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lti\Desktop\MULTISERVICIO\"/>
    </mc:Choice>
  </mc:AlternateContent>
  <xr:revisionPtr revIDLastSave="0" documentId="13_ncr:1_{D22EBC71-FBB9-4F32-8419-E615690C805A}" xr6:coauthVersionLast="47" xr6:coauthVersionMax="47" xr10:uidLastSave="{00000000-0000-0000-0000-000000000000}"/>
  <bookViews>
    <workbookView xWindow="75" yWindow="720" windowWidth="28725" windowHeight="15480" firstSheet="3" activeTab="10" xr2:uid="{00000000-000D-0000-FFFF-FFFF00000000}"/>
  </bookViews>
  <sheets>
    <sheet name="Hoja16" sheetId="80" r:id="rId1"/>
    <sheet name="Hoja15" sheetId="79" r:id="rId2"/>
    <sheet name="JULIO (2)" sheetId="76" r:id="rId3"/>
    <sheet name="Hoja14" sheetId="78" r:id="rId4"/>
    <sheet name="ENERO-JULIO" sheetId="73" r:id="rId5"/>
    <sheet name="ENERO" sheetId="1" r:id="rId6"/>
    <sheet name="FEBRERO-MARZO" sheetId="33" r:id="rId7"/>
    <sheet name="ABRIL" sheetId="38" r:id="rId8"/>
    <sheet name="MAYO-JUNIO" sheetId="40" r:id="rId9"/>
    <sheet name="JULIO" sheetId="47" r:id="rId10"/>
    <sheet name="AGOSTO-SEPT" sheetId="49" r:id="rId11"/>
    <sheet name="OCTUBRE-NOVIEMBRE-DICIEMBRE" sheetId="63" r:id="rId12"/>
    <sheet name="NOMINA MAYO (2)" sheetId="45" r:id="rId13"/>
    <sheet name="NOMINA OCTUBRE" sheetId="69" r:id="rId14"/>
    <sheet name="Hoja4" sheetId="72" r:id="rId15"/>
    <sheet name="Hoja6" sheetId="71" r:id="rId16"/>
    <sheet name="ADELANTOS" sheetId="37" r:id="rId17"/>
    <sheet name="NOMINA ENERO" sheetId="25" r:id="rId18"/>
    <sheet name="NOMINA AGOSTO" sheetId="50" r:id="rId19"/>
    <sheet name="Hoja8" sheetId="68" r:id="rId20"/>
    <sheet name="Hoja5" sheetId="65" r:id="rId21"/>
    <sheet name="POR MODELOS" sheetId="51" r:id="rId22"/>
    <sheet name="Hoja9" sheetId="62" r:id="rId23"/>
    <sheet name="POR AREA" sheetId="54" r:id="rId24"/>
    <sheet name="GANANCIA REPUESTO" sheetId="55" r:id="rId25"/>
    <sheet name="Hoja3" sheetId="52" state="hidden" r:id="rId26"/>
    <sheet name="Hoja2" sheetId="56" r:id="rId27"/>
    <sheet name="NOMINA MAYO" sheetId="43" r:id="rId28"/>
    <sheet name="NOMINA " sheetId="32" r:id="rId29"/>
    <sheet name="RESUMEN MAYO" sheetId="44" r:id="rId30"/>
    <sheet name="REPUESTOS" sheetId="36" r:id="rId31"/>
    <sheet name="Hoja1" sheetId="46" r:id="rId32"/>
    <sheet name="RESUMEN TRABAJO" sheetId="8" state="hidden" r:id="rId33"/>
    <sheet name="RECIBO" sheetId="24" state="hidden" r:id="rId34"/>
    <sheet name="AREA" sheetId="6" r:id="rId35"/>
    <sheet name="DETALLES" sheetId="7" r:id="rId36"/>
  </sheets>
  <externalReferences>
    <externalReference r:id="rId37"/>
    <externalReference r:id="rId38"/>
  </externalReferences>
  <definedNames>
    <definedName name="Nombre_empresa">[1]Factura!$B$1</definedName>
    <definedName name="NumeroColumna">7</definedName>
    <definedName name="NumeroFila">3</definedName>
    <definedName name="TítuloColumna1">[2]!Factura[[#Headers],[CANT]]</definedName>
  </definedNames>
  <calcPr calcId="181029"/>
  <pivotCaches>
    <pivotCache cacheId="10" r:id="rId39"/>
    <pivotCache cacheId="11" r:id="rId40"/>
    <pivotCache cacheId="12" r:id="rId41"/>
    <pivotCache cacheId="13" r:id="rId42"/>
    <pivotCache cacheId="14" r:id="rId43"/>
    <pivotCache cacheId="15" r:id="rId44"/>
    <pivotCache cacheId="16" r:id="rId45"/>
    <pivotCache cacheId="17" r:id="rId46"/>
    <pivotCache cacheId="18" r:id="rId4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80" l="1"/>
  <c r="C8" i="80"/>
  <c r="D8" i="80"/>
  <c r="O810" i="76"/>
  <c r="L810" i="76"/>
  <c r="I2" i="76"/>
  <c r="J2" i="76"/>
  <c r="M2" i="76"/>
  <c r="N2" i="76"/>
  <c r="P2" i="76"/>
  <c r="Q2" i="76"/>
  <c r="R2" i="76"/>
  <c r="S2" i="76"/>
  <c r="J12" i="76"/>
  <c r="M12" i="76"/>
  <c r="N12" i="76"/>
  <c r="P12" i="76"/>
  <c r="Q12" i="76"/>
  <c r="R12" i="76"/>
  <c r="S12" i="76"/>
  <c r="I13" i="76"/>
  <c r="J13" i="76"/>
  <c r="M13" i="76"/>
  <c r="N13" i="76"/>
  <c r="P13" i="76"/>
  <c r="Q13" i="76"/>
  <c r="R13" i="76"/>
  <c r="S13" i="76"/>
  <c r="I14" i="76"/>
  <c r="J14" i="76"/>
  <c r="M14" i="76"/>
  <c r="N14" i="76"/>
  <c r="P14" i="76"/>
  <c r="Q14" i="76"/>
  <c r="R14" i="76"/>
  <c r="S14" i="76"/>
  <c r="I23" i="76"/>
  <c r="J23" i="76"/>
  <c r="M23" i="76"/>
  <c r="N23" i="76"/>
  <c r="P23" i="76"/>
  <c r="Q23" i="76"/>
  <c r="R23" i="76"/>
  <c r="S23" i="76"/>
  <c r="I31" i="76"/>
  <c r="J31" i="76"/>
  <c r="M31" i="76"/>
  <c r="N31" i="76"/>
  <c r="P31" i="76"/>
  <c r="Q31" i="76"/>
  <c r="R31" i="76"/>
  <c r="S31" i="76"/>
  <c r="J34" i="76"/>
  <c r="M34" i="76"/>
  <c r="N34" i="76"/>
  <c r="P34" i="76"/>
  <c r="Q34" i="76"/>
  <c r="R34" i="76"/>
  <c r="S34" i="76"/>
  <c r="I35" i="76"/>
  <c r="J35" i="76"/>
  <c r="M35" i="76"/>
  <c r="N35" i="76"/>
  <c r="P35" i="76"/>
  <c r="Q35" i="76"/>
  <c r="R35" i="76"/>
  <c r="S35" i="76"/>
  <c r="I38" i="76"/>
  <c r="J38" i="76"/>
  <c r="M38" i="76"/>
  <c r="N38" i="76"/>
  <c r="P38" i="76"/>
  <c r="Q38" i="76"/>
  <c r="R38" i="76"/>
  <c r="S38" i="76"/>
  <c r="I41" i="76"/>
  <c r="J41" i="76"/>
  <c r="M41" i="76"/>
  <c r="N41" i="76"/>
  <c r="P41" i="76"/>
  <c r="Q41" i="76"/>
  <c r="R41" i="76"/>
  <c r="S41" i="76"/>
  <c r="I42" i="76"/>
  <c r="J42" i="76"/>
  <c r="M42" i="76"/>
  <c r="N42" i="76"/>
  <c r="P42" i="76"/>
  <c r="Q42" i="76"/>
  <c r="R42" i="76"/>
  <c r="S42" i="76"/>
  <c r="I60" i="76"/>
  <c r="J60" i="76"/>
  <c r="M60" i="76"/>
  <c r="N60" i="76"/>
  <c r="P60" i="76"/>
  <c r="Q60" i="76"/>
  <c r="R60" i="76"/>
  <c r="S60" i="76"/>
  <c r="I63" i="76"/>
  <c r="J63" i="76"/>
  <c r="M63" i="76"/>
  <c r="N63" i="76"/>
  <c r="P63" i="76"/>
  <c r="Q63" i="76"/>
  <c r="R63" i="76"/>
  <c r="S63" i="76"/>
  <c r="I67" i="76"/>
  <c r="J67" i="76"/>
  <c r="M67" i="76"/>
  <c r="N67" i="76"/>
  <c r="P67" i="76"/>
  <c r="Q67" i="76"/>
  <c r="R67" i="76"/>
  <c r="S67" i="76"/>
  <c r="I69" i="76"/>
  <c r="J69" i="76"/>
  <c r="M69" i="76"/>
  <c r="N69" i="76"/>
  <c r="P69" i="76"/>
  <c r="Q69" i="76"/>
  <c r="R69" i="76"/>
  <c r="S69" i="76"/>
  <c r="I79" i="76"/>
  <c r="J79" i="76"/>
  <c r="M79" i="76"/>
  <c r="N79" i="76"/>
  <c r="P79" i="76"/>
  <c r="Q79" i="76"/>
  <c r="R79" i="76"/>
  <c r="S79" i="76"/>
  <c r="I94" i="76"/>
  <c r="J94" i="76"/>
  <c r="L94" i="76"/>
  <c r="M94" i="76"/>
  <c r="N94" i="76"/>
  <c r="P94" i="76"/>
  <c r="Q94" i="76"/>
  <c r="R94" i="76"/>
  <c r="S94" i="76"/>
  <c r="I97" i="76"/>
  <c r="J97" i="76"/>
  <c r="M97" i="76"/>
  <c r="N97" i="76"/>
  <c r="P97" i="76"/>
  <c r="Q97" i="76"/>
  <c r="R97" i="76"/>
  <c r="S97" i="76"/>
  <c r="J103" i="76"/>
  <c r="M103" i="76"/>
  <c r="N103" i="76"/>
  <c r="P103" i="76"/>
  <c r="Q103" i="76"/>
  <c r="R103" i="76"/>
  <c r="S103" i="76"/>
  <c r="I113" i="76"/>
  <c r="J113" i="76"/>
  <c r="M113" i="76"/>
  <c r="N113" i="76"/>
  <c r="P113" i="76"/>
  <c r="Q113" i="76"/>
  <c r="R113" i="76"/>
  <c r="S113" i="76"/>
  <c r="H810" i="76"/>
  <c r="I810" i="76"/>
  <c r="J810" i="76"/>
  <c r="S810" i="76"/>
  <c r="C42" i="80"/>
  <c r="D42" i="80"/>
  <c r="B42" i="80"/>
  <c r="B8" i="80"/>
  <c r="E42" i="80" l="1"/>
  <c r="I6" i="79" l="1"/>
  <c r="H6" i="79"/>
  <c r="C29" i="79"/>
  <c r="B29" i="79"/>
  <c r="C27" i="79"/>
  <c r="B27" i="79"/>
  <c r="J6" i="78"/>
  <c r="I6" i="78"/>
  <c r="C27" i="78"/>
  <c r="B27" i="78"/>
  <c r="C22" i="78"/>
  <c r="B22" i="78"/>
  <c r="C24" i="78"/>
  <c r="B24" i="78"/>
  <c r="P120" i="76" l="1"/>
  <c r="Q120" i="76" s="1"/>
  <c r="M120" i="76"/>
  <c r="N120" i="76" s="1"/>
  <c r="J120" i="76"/>
  <c r="P119" i="76"/>
  <c r="Q119" i="76" s="1"/>
  <c r="M119" i="76"/>
  <c r="N119" i="76" s="1"/>
  <c r="I119" i="76"/>
  <c r="J119" i="76" s="1"/>
  <c r="P118" i="76"/>
  <c r="Q118" i="76" s="1"/>
  <c r="M118" i="76"/>
  <c r="N118" i="76" s="1"/>
  <c r="I118" i="76"/>
  <c r="J118" i="76" s="1"/>
  <c r="P117" i="76"/>
  <c r="Q117" i="76" s="1"/>
  <c r="M117" i="76"/>
  <c r="N117" i="76" s="1"/>
  <c r="I117" i="76"/>
  <c r="J117" i="76" s="1"/>
  <c r="P116" i="76"/>
  <c r="Q116" i="76" s="1"/>
  <c r="M116" i="76"/>
  <c r="N116" i="76" s="1"/>
  <c r="J116" i="76"/>
  <c r="P115" i="76"/>
  <c r="Q115" i="76" s="1"/>
  <c r="M115" i="76"/>
  <c r="N115" i="76" s="1"/>
  <c r="I115" i="76"/>
  <c r="J115" i="76" s="1"/>
  <c r="P114" i="76"/>
  <c r="Q114" i="76" s="1"/>
  <c r="M114" i="76"/>
  <c r="N114" i="76" s="1"/>
  <c r="I114" i="76"/>
  <c r="J114" i="76" s="1"/>
  <c r="P112" i="76"/>
  <c r="Q112" i="76" s="1"/>
  <c r="M112" i="76"/>
  <c r="N112" i="76" s="1"/>
  <c r="I112" i="76"/>
  <c r="J112" i="76" s="1"/>
  <c r="P111" i="76"/>
  <c r="Q111" i="76" s="1"/>
  <c r="L111" i="76"/>
  <c r="I111" i="76"/>
  <c r="J111" i="76" s="1"/>
  <c r="P110" i="76"/>
  <c r="Q110" i="76" s="1"/>
  <c r="M110" i="76"/>
  <c r="N110" i="76" s="1"/>
  <c r="I110" i="76"/>
  <c r="J110" i="76" s="1"/>
  <c r="P109" i="76"/>
  <c r="Q109" i="76" s="1"/>
  <c r="M109" i="76"/>
  <c r="N109" i="76" s="1"/>
  <c r="I109" i="76"/>
  <c r="J109" i="76" s="1"/>
  <c r="P108" i="76"/>
  <c r="Q108" i="76" s="1"/>
  <c r="L108" i="76"/>
  <c r="I108" i="76"/>
  <c r="J108" i="76" s="1"/>
  <c r="P107" i="76"/>
  <c r="Q107" i="76" s="1"/>
  <c r="M107" i="76"/>
  <c r="N107" i="76" s="1"/>
  <c r="I107" i="76"/>
  <c r="J107" i="76" s="1"/>
  <c r="P106" i="76"/>
  <c r="Q106" i="76" s="1"/>
  <c r="M106" i="76"/>
  <c r="N106" i="76" s="1"/>
  <c r="I106" i="76"/>
  <c r="J106" i="76" s="1"/>
  <c r="P105" i="76"/>
  <c r="Q105" i="76" s="1"/>
  <c r="M105" i="76"/>
  <c r="N105" i="76" s="1"/>
  <c r="I105" i="76"/>
  <c r="J105" i="76" s="1"/>
  <c r="O104" i="76"/>
  <c r="L104" i="76"/>
  <c r="M104" i="76" s="1"/>
  <c r="N104" i="76" s="1"/>
  <c r="I104" i="76"/>
  <c r="J104" i="76" s="1"/>
  <c r="S102" i="76"/>
  <c r="Q102" i="76"/>
  <c r="M102" i="76"/>
  <c r="N102" i="76" s="1"/>
  <c r="I102" i="76"/>
  <c r="J102" i="76" s="1"/>
  <c r="P101" i="76"/>
  <c r="Q101" i="76" s="1"/>
  <c r="L101" i="76"/>
  <c r="I101" i="76"/>
  <c r="J101" i="76" s="1"/>
  <c r="P100" i="76"/>
  <c r="Q100" i="76" s="1"/>
  <c r="M100" i="76"/>
  <c r="N100" i="76" s="1"/>
  <c r="I100" i="76"/>
  <c r="J100" i="76" s="1"/>
  <c r="P99" i="76"/>
  <c r="Q99" i="76" s="1"/>
  <c r="M99" i="76"/>
  <c r="N99" i="76" s="1"/>
  <c r="I99" i="76"/>
  <c r="J99" i="76" s="1"/>
  <c r="P98" i="76"/>
  <c r="Q98" i="76" s="1"/>
  <c r="M98" i="76"/>
  <c r="N98" i="76" s="1"/>
  <c r="I98" i="76"/>
  <c r="J98" i="76" s="1"/>
  <c r="Q96" i="76"/>
  <c r="N96" i="76"/>
  <c r="I96" i="76"/>
  <c r="J96" i="76" s="1"/>
  <c r="P95" i="76"/>
  <c r="Q95" i="76" s="1"/>
  <c r="M95" i="76"/>
  <c r="N95" i="76" s="1"/>
  <c r="I95" i="76"/>
  <c r="J95" i="76" s="1"/>
  <c r="P93" i="76"/>
  <c r="Q93" i="76" s="1"/>
  <c r="M93" i="76"/>
  <c r="N93" i="76" s="1"/>
  <c r="I93" i="76"/>
  <c r="J93" i="76" s="1"/>
  <c r="P92" i="76"/>
  <c r="Q92" i="76" s="1"/>
  <c r="M92" i="76"/>
  <c r="N92" i="76" s="1"/>
  <c r="I92" i="76"/>
  <c r="J92" i="76" s="1"/>
  <c r="P91" i="76"/>
  <c r="Q91" i="76" s="1"/>
  <c r="M91" i="76"/>
  <c r="N91" i="76" s="1"/>
  <c r="J91" i="76"/>
  <c r="P90" i="76"/>
  <c r="Q90" i="76" s="1"/>
  <c r="M90" i="76"/>
  <c r="N90" i="76" s="1"/>
  <c r="I90" i="76"/>
  <c r="J90" i="76" s="1"/>
  <c r="P89" i="76"/>
  <c r="Q89" i="76" s="1"/>
  <c r="M89" i="76"/>
  <c r="N89" i="76" s="1"/>
  <c r="I89" i="76"/>
  <c r="J89" i="76" s="1"/>
  <c r="P88" i="76"/>
  <c r="Q88" i="76" s="1"/>
  <c r="M88" i="76"/>
  <c r="N88" i="76" s="1"/>
  <c r="I88" i="76"/>
  <c r="J88" i="76" s="1"/>
  <c r="P87" i="76"/>
  <c r="Q87" i="76" s="1"/>
  <c r="M87" i="76"/>
  <c r="N87" i="76" s="1"/>
  <c r="J87" i="76"/>
  <c r="P86" i="76"/>
  <c r="Q86" i="76" s="1"/>
  <c r="M86" i="76"/>
  <c r="N86" i="76" s="1"/>
  <c r="I86" i="76"/>
  <c r="J86" i="76" s="1"/>
  <c r="P85" i="76"/>
  <c r="Q85" i="76" s="1"/>
  <c r="M85" i="76"/>
  <c r="N85" i="76" s="1"/>
  <c r="I85" i="76"/>
  <c r="J85" i="76" s="1"/>
  <c r="P84" i="76"/>
  <c r="Q84" i="76" s="1"/>
  <c r="M84" i="76"/>
  <c r="N84" i="76" s="1"/>
  <c r="J84" i="76"/>
  <c r="P83" i="76"/>
  <c r="Q83" i="76" s="1"/>
  <c r="M83" i="76"/>
  <c r="N83" i="76" s="1"/>
  <c r="I83" i="76"/>
  <c r="J83" i="76" s="1"/>
  <c r="P82" i="76"/>
  <c r="Q82" i="76" s="1"/>
  <c r="M82" i="76"/>
  <c r="N82" i="76" s="1"/>
  <c r="I82" i="76"/>
  <c r="J82" i="76" s="1"/>
  <c r="O81" i="76"/>
  <c r="M81" i="76"/>
  <c r="N81" i="76" s="1"/>
  <c r="I81" i="76"/>
  <c r="J81" i="76" s="1"/>
  <c r="P80" i="76"/>
  <c r="Q80" i="76" s="1"/>
  <c r="M80" i="76"/>
  <c r="N80" i="76" s="1"/>
  <c r="I80" i="76"/>
  <c r="J80" i="76" s="1"/>
  <c r="P78" i="76"/>
  <c r="Q78" i="76" s="1"/>
  <c r="M78" i="76"/>
  <c r="N78" i="76" s="1"/>
  <c r="I78" i="76"/>
  <c r="J78" i="76" s="1"/>
  <c r="P77" i="76"/>
  <c r="Q77" i="76" s="1"/>
  <c r="M77" i="76"/>
  <c r="N77" i="76" s="1"/>
  <c r="I77" i="76"/>
  <c r="J77" i="76" s="1"/>
  <c r="O76" i="76"/>
  <c r="L76" i="76"/>
  <c r="M76" i="76" s="1"/>
  <c r="N76" i="76" s="1"/>
  <c r="I76" i="76"/>
  <c r="J76" i="76" s="1"/>
  <c r="P75" i="76"/>
  <c r="Q75" i="76" s="1"/>
  <c r="M75" i="76"/>
  <c r="N75" i="76" s="1"/>
  <c r="I75" i="76"/>
  <c r="J75" i="76" s="1"/>
  <c r="P74" i="76"/>
  <c r="Q74" i="76" s="1"/>
  <c r="M74" i="76"/>
  <c r="N74" i="76" s="1"/>
  <c r="I74" i="76"/>
  <c r="J74" i="76" s="1"/>
  <c r="P73" i="76"/>
  <c r="Q73" i="76" s="1"/>
  <c r="L73" i="76"/>
  <c r="I73" i="76"/>
  <c r="J73" i="76" s="1"/>
  <c r="P72" i="76"/>
  <c r="Q72" i="76" s="1"/>
  <c r="M72" i="76"/>
  <c r="N72" i="76" s="1"/>
  <c r="I72" i="76"/>
  <c r="J72" i="76" s="1"/>
  <c r="P71" i="76"/>
  <c r="Q71" i="76" s="1"/>
  <c r="M71" i="76"/>
  <c r="N71" i="76" s="1"/>
  <c r="I71" i="76"/>
  <c r="J71" i="76" s="1"/>
  <c r="P70" i="76"/>
  <c r="Q70" i="76" s="1"/>
  <c r="M70" i="76"/>
  <c r="N70" i="76" s="1"/>
  <c r="I70" i="76"/>
  <c r="J70" i="76" s="1"/>
  <c r="P68" i="76"/>
  <c r="Q68" i="76" s="1"/>
  <c r="M68" i="76"/>
  <c r="N68" i="76" s="1"/>
  <c r="I68" i="76"/>
  <c r="J68" i="76" s="1"/>
  <c r="P66" i="76"/>
  <c r="Q66" i="76" s="1"/>
  <c r="M66" i="76"/>
  <c r="N66" i="76" s="1"/>
  <c r="I66" i="76"/>
  <c r="J66" i="76" s="1"/>
  <c r="P65" i="76"/>
  <c r="Q65" i="76" s="1"/>
  <c r="M65" i="76"/>
  <c r="N65" i="76" s="1"/>
  <c r="I65" i="76"/>
  <c r="J65" i="76" s="1"/>
  <c r="P64" i="76"/>
  <c r="Q64" i="76" s="1"/>
  <c r="M64" i="76"/>
  <c r="N64" i="76" s="1"/>
  <c r="I64" i="76"/>
  <c r="J64" i="76" s="1"/>
  <c r="P62" i="76"/>
  <c r="Q62" i="76" s="1"/>
  <c r="M62" i="76"/>
  <c r="N62" i="76" s="1"/>
  <c r="I62" i="76"/>
  <c r="J62" i="76" s="1"/>
  <c r="P61" i="76"/>
  <c r="Q61" i="76" s="1"/>
  <c r="M61" i="76"/>
  <c r="N61" i="76" s="1"/>
  <c r="I61" i="76"/>
  <c r="J61" i="76" s="1"/>
  <c r="P59" i="76"/>
  <c r="Q59" i="76" s="1"/>
  <c r="M59" i="76"/>
  <c r="N59" i="76" s="1"/>
  <c r="I59" i="76"/>
  <c r="J59" i="76" s="1"/>
  <c r="P58" i="76"/>
  <c r="Q58" i="76" s="1"/>
  <c r="M58" i="76"/>
  <c r="N58" i="76" s="1"/>
  <c r="I58" i="76"/>
  <c r="J58" i="76" s="1"/>
  <c r="P57" i="76"/>
  <c r="Q57" i="76" s="1"/>
  <c r="M57" i="76"/>
  <c r="N57" i="76" s="1"/>
  <c r="I57" i="76"/>
  <c r="J57" i="76" s="1"/>
  <c r="P56" i="76"/>
  <c r="Q56" i="76" s="1"/>
  <c r="M56" i="76"/>
  <c r="N56" i="76" s="1"/>
  <c r="J56" i="76"/>
  <c r="P55" i="76"/>
  <c r="Q55" i="76" s="1"/>
  <c r="M55" i="76"/>
  <c r="N55" i="76" s="1"/>
  <c r="I55" i="76"/>
  <c r="J55" i="76" s="1"/>
  <c r="P54" i="76"/>
  <c r="Q54" i="76" s="1"/>
  <c r="M54" i="76"/>
  <c r="N54" i="76" s="1"/>
  <c r="I54" i="76"/>
  <c r="J54" i="76" s="1"/>
  <c r="P53" i="76"/>
  <c r="Q53" i="76" s="1"/>
  <c r="M53" i="76"/>
  <c r="N53" i="76" s="1"/>
  <c r="I53" i="76"/>
  <c r="J53" i="76" s="1"/>
  <c r="P52" i="76"/>
  <c r="Q52" i="76" s="1"/>
  <c r="M52" i="76"/>
  <c r="N52" i="76" s="1"/>
  <c r="I52" i="76"/>
  <c r="J52" i="76" s="1"/>
  <c r="P51" i="76"/>
  <c r="Q51" i="76" s="1"/>
  <c r="M51" i="76"/>
  <c r="N51" i="76" s="1"/>
  <c r="I51" i="76"/>
  <c r="J51" i="76" s="1"/>
  <c r="P50" i="76"/>
  <c r="Q50" i="76" s="1"/>
  <c r="M50" i="76"/>
  <c r="N50" i="76" s="1"/>
  <c r="I50" i="76"/>
  <c r="J50" i="76" s="1"/>
  <c r="P49" i="76"/>
  <c r="Q49" i="76" s="1"/>
  <c r="M49" i="76"/>
  <c r="N49" i="76" s="1"/>
  <c r="I49" i="76"/>
  <c r="J49" i="76" s="1"/>
  <c r="P48" i="76"/>
  <c r="Q48" i="76" s="1"/>
  <c r="M48" i="76"/>
  <c r="N48" i="76" s="1"/>
  <c r="I48" i="76"/>
  <c r="J48" i="76" s="1"/>
  <c r="P47" i="76"/>
  <c r="Q47" i="76" s="1"/>
  <c r="M47" i="76"/>
  <c r="N47" i="76" s="1"/>
  <c r="I47" i="76"/>
  <c r="J47" i="76" s="1"/>
  <c r="P46" i="76"/>
  <c r="Q46" i="76" s="1"/>
  <c r="M46" i="76"/>
  <c r="N46" i="76" s="1"/>
  <c r="I46" i="76"/>
  <c r="J46" i="76" s="1"/>
  <c r="P45" i="76"/>
  <c r="Q45" i="76" s="1"/>
  <c r="M45" i="76"/>
  <c r="N45" i="76" s="1"/>
  <c r="I45" i="76"/>
  <c r="J45" i="76" s="1"/>
  <c r="P44" i="76"/>
  <c r="Q44" i="76" s="1"/>
  <c r="M44" i="76"/>
  <c r="N44" i="76" s="1"/>
  <c r="I44" i="76"/>
  <c r="J44" i="76" s="1"/>
  <c r="P43" i="76"/>
  <c r="Q43" i="76" s="1"/>
  <c r="M43" i="76"/>
  <c r="N43" i="76" s="1"/>
  <c r="I43" i="76"/>
  <c r="J43" i="76" s="1"/>
  <c r="P40" i="76"/>
  <c r="Q40" i="76" s="1"/>
  <c r="M40" i="76"/>
  <c r="N40" i="76" s="1"/>
  <c r="I40" i="76"/>
  <c r="J40" i="76" s="1"/>
  <c r="P39" i="76"/>
  <c r="Q39" i="76" s="1"/>
  <c r="M39" i="76"/>
  <c r="N39" i="76" s="1"/>
  <c r="I39" i="76"/>
  <c r="J39" i="76" s="1"/>
  <c r="P37" i="76"/>
  <c r="Q37" i="76" s="1"/>
  <c r="M37" i="76"/>
  <c r="N37" i="76" s="1"/>
  <c r="I37" i="76"/>
  <c r="J37" i="76" s="1"/>
  <c r="P36" i="76"/>
  <c r="Q36" i="76" s="1"/>
  <c r="M36" i="76"/>
  <c r="N36" i="76" s="1"/>
  <c r="I36" i="76"/>
  <c r="J36" i="76" s="1"/>
  <c r="P33" i="76"/>
  <c r="Q33" i="76" s="1"/>
  <c r="M33" i="76"/>
  <c r="N33" i="76" s="1"/>
  <c r="I33" i="76"/>
  <c r="J33" i="76" s="1"/>
  <c r="P32" i="76"/>
  <c r="Q32" i="76" s="1"/>
  <c r="M32" i="76"/>
  <c r="N32" i="76" s="1"/>
  <c r="I32" i="76"/>
  <c r="J32" i="76" s="1"/>
  <c r="P30" i="76"/>
  <c r="Q30" i="76" s="1"/>
  <c r="M30" i="76"/>
  <c r="N30" i="76" s="1"/>
  <c r="I30" i="76"/>
  <c r="J30" i="76" s="1"/>
  <c r="P29" i="76"/>
  <c r="Q29" i="76" s="1"/>
  <c r="M29" i="76"/>
  <c r="N29" i="76" s="1"/>
  <c r="I29" i="76"/>
  <c r="J29" i="76" s="1"/>
  <c r="P28" i="76"/>
  <c r="Q28" i="76" s="1"/>
  <c r="M28" i="76"/>
  <c r="N28" i="76" s="1"/>
  <c r="I28" i="76"/>
  <c r="J28" i="76" s="1"/>
  <c r="P27" i="76"/>
  <c r="Q27" i="76" s="1"/>
  <c r="M27" i="76"/>
  <c r="N27" i="76" s="1"/>
  <c r="I27" i="76"/>
  <c r="J27" i="76" s="1"/>
  <c r="P26" i="76"/>
  <c r="Q26" i="76" s="1"/>
  <c r="M26" i="76"/>
  <c r="N26" i="76" s="1"/>
  <c r="I26" i="76"/>
  <c r="J26" i="76" s="1"/>
  <c r="P25" i="76"/>
  <c r="Q25" i="76" s="1"/>
  <c r="M25" i="76"/>
  <c r="N25" i="76" s="1"/>
  <c r="I25" i="76"/>
  <c r="J25" i="76" s="1"/>
  <c r="P24" i="76"/>
  <c r="Q24" i="76" s="1"/>
  <c r="M24" i="76"/>
  <c r="N24" i="76" s="1"/>
  <c r="I24" i="76"/>
  <c r="J24" i="76" s="1"/>
  <c r="P22" i="76"/>
  <c r="Q22" i="76" s="1"/>
  <c r="M22" i="76"/>
  <c r="N22" i="76" s="1"/>
  <c r="I22" i="76"/>
  <c r="J22" i="76" s="1"/>
  <c r="P21" i="76"/>
  <c r="Q21" i="76" s="1"/>
  <c r="M21" i="76"/>
  <c r="N21" i="76" s="1"/>
  <c r="I21" i="76"/>
  <c r="J21" i="76" s="1"/>
  <c r="P20" i="76"/>
  <c r="Q20" i="76" s="1"/>
  <c r="M20" i="76"/>
  <c r="N20" i="76" s="1"/>
  <c r="I20" i="76"/>
  <c r="J20" i="76" s="1"/>
  <c r="P19" i="76"/>
  <c r="Q19" i="76" s="1"/>
  <c r="M19" i="76"/>
  <c r="N19" i="76" s="1"/>
  <c r="I19" i="76"/>
  <c r="J19" i="76" s="1"/>
  <c r="P18" i="76"/>
  <c r="Q18" i="76" s="1"/>
  <c r="M18" i="76"/>
  <c r="N18" i="76" s="1"/>
  <c r="I18" i="76"/>
  <c r="J18" i="76" s="1"/>
  <c r="P17" i="76"/>
  <c r="Q17" i="76" s="1"/>
  <c r="M17" i="76"/>
  <c r="N17" i="76" s="1"/>
  <c r="I17" i="76"/>
  <c r="J17" i="76" s="1"/>
  <c r="P16" i="76"/>
  <c r="Q16" i="76" s="1"/>
  <c r="M16" i="76"/>
  <c r="N16" i="76" s="1"/>
  <c r="I16" i="76"/>
  <c r="J16" i="76" s="1"/>
  <c r="P15" i="76"/>
  <c r="Q15" i="76" s="1"/>
  <c r="M15" i="76"/>
  <c r="N15" i="76" s="1"/>
  <c r="I15" i="76"/>
  <c r="J15" i="76" s="1"/>
  <c r="P11" i="76"/>
  <c r="Q11" i="76" s="1"/>
  <c r="M11" i="76"/>
  <c r="N11" i="76" s="1"/>
  <c r="J11" i="76"/>
  <c r="P10" i="76"/>
  <c r="Q10" i="76" s="1"/>
  <c r="M10" i="76"/>
  <c r="N10" i="76" s="1"/>
  <c r="I10" i="76"/>
  <c r="J10" i="76" s="1"/>
  <c r="P9" i="76"/>
  <c r="Q9" i="76" s="1"/>
  <c r="M9" i="76"/>
  <c r="N9" i="76" s="1"/>
  <c r="I9" i="76"/>
  <c r="J9" i="76" s="1"/>
  <c r="P8" i="76"/>
  <c r="Q8" i="76" s="1"/>
  <c r="M8" i="76"/>
  <c r="N8" i="76" s="1"/>
  <c r="I8" i="76"/>
  <c r="J8" i="76" s="1"/>
  <c r="P7" i="76"/>
  <c r="Q7" i="76" s="1"/>
  <c r="M7" i="76"/>
  <c r="N7" i="76" s="1"/>
  <c r="I7" i="76"/>
  <c r="J7" i="76" s="1"/>
  <c r="P6" i="76"/>
  <c r="Q6" i="76" s="1"/>
  <c r="M6" i="76"/>
  <c r="N6" i="76" s="1"/>
  <c r="I6" i="76"/>
  <c r="J6" i="76" s="1"/>
  <c r="P5" i="76"/>
  <c r="Q5" i="76" s="1"/>
  <c r="M5" i="76"/>
  <c r="N5" i="76" s="1"/>
  <c r="I5" i="76"/>
  <c r="J5" i="76" s="1"/>
  <c r="P4" i="76"/>
  <c r="Q4" i="76" s="1"/>
  <c r="M4" i="76"/>
  <c r="N4" i="76" s="1"/>
  <c r="I4" i="76"/>
  <c r="J4" i="76" s="1"/>
  <c r="P3" i="76"/>
  <c r="Q3" i="76" s="1"/>
  <c r="M3" i="76"/>
  <c r="N3" i="76" s="1"/>
  <c r="I3" i="76"/>
  <c r="J3" i="76" s="1"/>
  <c r="J450" i="73"/>
  <c r="J607" i="73"/>
  <c r="J611" i="73"/>
  <c r="J632" i="73"/>
  <c r="J646" i="73"/>
  <c r="J679" i="73"/>
  <c r="J688" i="73"/>
  <c r="J689" i="73"/>
  <c r="J690" i="73"/>
  <c r="J699" i="73"/>
  <c r="J700" i="73"/>
  <c r="J701" i="73"/>
  <c r="J702" i="73"/>
  <c r="J703" i="73"/>
  <c r="J704" i="73"/>
  <c r="J705" i="73"/>
  <c r="J706" i="73"/>
  <c r="J707" i="73"/>
  <c r="J708" i="73"/>
  <c r="J709" i="73"/>
  <c r="J710" i="73"/>
  <c r="J711" i="73"/>
  <c r="J712" i="73"/>
  <c r="J713" i="73"/>
  <c r="J714" i="73"/>
  <c r="J715" i="73"/>
  <c r="J716" i="73"/>
  <c r="J717" i="73"/>
  <c r="J718" i="73"/>
  <c r="J719" i="73"/>
  <c r="J720" i="73"/>
  <c r="J721" i="73"/>
  <c r="J722" i="73"/>
  <c r="J723" i="73"/>
  <c r="J724" i="73"/>
  <c r="J725" i="73"/>
  <c r="J726" i="73"/>
  <c r="J727" i="73"/>
  <c r="J728" i="73"/>
  <c r="J729" i="73"/>
  <c r="J730" i="73"/>
  <c r="J731" i="73"/>
  <c r="J732" i="73"/>
  <c r="J733" i="73"/>
  <c r="J734" i="73"/>
  <c r="J735" i="73"/>
  <c r="J736" i="73"/>
  <c r="J737" i="73"/>
  <c r="J738" i="73"/>
  <c r="J739" i="73"/>
  <c r="J740" i="73"/>
  <c r="J741" i="73"/>
  <c r="J742" i="73"/>
  <c r="J743" i="73"/>
  <c r="J744" i="73"/>
  <c r="J745" i="73"/>
  <c r="J746" i="73"/>
  <c r="J747" i="73"/>
  <c r="J748" i="73"/>
  <c r="J749" i="73"/>
  <c r="J750" i="73"/>
  <c r="J751" i="73"/>
  <c r="J752" i="73"/>
  <c r="J753" i="73"/>
  <c r="J754" i="73"/>
  <c r="J755" i="73"/>
  <c r="J756" i="73"/>
  <c r="J757" i="73"/>
  <c r="J758" i="73"/>
  <c r="J759" i="73"/>
  <c r="J760" i="73"/>
  <c r="J761" i="73"/>
  <c r="J762" i="73"/>
  <c r="J763" i="73"/>
  <c r="J764" i="73"/>
  <c r="J765" i="73"/>
  <c r="J766" i="73"/>
  <c r="J767" i="73"/>
  <c r="J768" i="73"/>
  <c r="J769" i="73"/>
  <c r="J770" i="73"/>
  <c r="J771" i="73"/>
  <c r="J772" i="73"/>
  <c r="J773" i="73"/>
  <c r="J774" i="73"/>
  <c r="J775" i="73"/>
  <c r="J776" i="73"/>
  <c r="J777" i="73"/>
  <c r="J778" i="73"/>
  <c r="J779" i="73"/>
  <c r="J780" i="73"/>
  <c r="J781" i="73"/>
  <c r="J782" i="73"/>
  <c r="J783" i="73"/>
  <c r="J784" i="73"/>
  <c r="J785" i="73"/>
  <c r="J786" i="73"/>
  <c r="J787" i="73"/>
  <c r="J788" i="73"/>
  <c r="J789" i="73"/>
  <c r="J790" i="73"/>
  <c r="J791" i="73"/>
  <c r="J792" i="73"/>
  <c r="J793" i="73"/>
  <c r="J794" i="73"/>
  <c r="J795" i="73"/>
  <c r="J796" i="73"/>
  <c r="J797" i="73"/>
  <c r="J798" i="73"/>
  <c r="J799" i="73"/>
  <c r="J800" i="73"/>
  <c r="J801" i="73"/>
  <c r="J802" i="73"/>
  <c r="J803" i="73"/>
  <c r="J804" i="73"/>
  <c r="J805" i="73"/>
  <c r="J806" i="73"/>
  <c r="J807" i="73"/>
  <c r="J808" i="73"/>
  <c r="J809" i="73"/>
  <c r="J810" i="73"/>
  <c r="J811" i="73"/>
  <c r="J812" i="73"/>
  <c r="J813" i="73"/>
  <c r="J814" i="73"/>
  <c r="J815" i="73"/>
  <c r="J816" i="73"/>
  <c r="J817" i="73"/>
  <c r="J818" i="73"/>
  <c r="J819" i="73"/>
  <c r="J820" i="73"/>
  <c r="J821" i="73"/>
  <c r="J822" i="73"/>
  <c r="J823" i="73"/>
  <c r="J824" i="73"/>
  <c r="J825" i="73"/>
  <c r="J826" i="73"/>
  <c r="J827" i="73"/>
  <c r="J828" i="73"/>
  <c r="J829" i="73"/>
  <c r="J830" i="73"/>
  <c r="J831" i="73"/>
  <c r="J832" i="73"/>
  <c r="J833" i="73"/>
  <c r="J834" i="73"/>
  <c r="J835" i="73"/>
  <c r="J836" i="73"/>
  <c r="J837" i="73"/>
  <c r="J838" i="73"/>
  <c r="J839" i="73"/>
  <c r="J840" i="73"/>
  <c r="J841" i="73"/>
  <c r="J842" i="73"/>
  <c r="J843" i="73"/>
  <c r="J844" i="73"/>
  <c r="J845" i="73"/>
  <c r="O450" i="73"/>
  <c r="O553" i="73"/>
  <c r="O607" i="73"/>
  <c r="O611" i="73"/>
  <c r="O632" i="73"/>
  <c r="O646" i="73"/>
  <c r="O657" i="73"/>
  <c r="O688" i="73"/>
  <c r="O689" i="73"/>
  <c r="O690" i="73"/>
  <c r="O700" i="73"/>
  <c r="O701" i="73"/>
  <c r="O702" i="73"/>
  <c r="O703" i="73"/>
  <c r="O704" i="73"/>
  <c r="O705" i="73"/>
  <c r="O706" i="73"/>
  <c r="O707" i="73"/>
  <c r="O708" i="73"/>
  <c r="O709" i="73"/>
  <c r="O710" i="73"/>
  <c r="O711" i="73"/>
  <c r="O712" i="73"/>
  <c r="O713" i="73"/>
  <c r="O714" i="73"/>
  <c r="O715" i="73"/>
  <c r="O716" i="73"/>
  <c r="O717" i="73"/>
  <c r="O718" i="73"/>
  <c r="O719" i="73"/>
  <c r="O720" i="73"/>
  <c r="O721" i="73"/>
  <c r="O722" i="73"/>
  <c r="O723" i="73"/>
  <c r="O724" i="73"/>
  <c r="O725" i="73"/>
  <c r="O726" i="73"/>
  <c r="O727" i="73"/>
  <c r="O728" i="73"/>
  <c r="O729" i="73"/>
  <c r="O730" i="73"/>
  <c r="O731" i="73"/>
  <c r="O732" i="73"/>
  <c r="O733" i="73"/>
  <c r="O734" i="73"/>
  <c r="O735" i="73"/>
  <c r="O736" i="73"/>
  <c r="O737" i="73"/>
  <c r="O738" i="73"/>
  <c r="O739" i="73"/>
  <c r="O740" i="73"/>
  <c r="O741" i="73"/>
  <c r="O742" i="73"/>
  <c r="O743" i="73"/>
  <c r="O744" i="73"/>
  <c r="O745" i="73"/>
  <c r="O746" i="73"/>
  <c r="O747" i="73"/>
  <c r="O748" i="73"/>
  <c r="O749" i="73"/>
  <c r="O750" i="73"/>
  <c r="O751" i="73"/>
  <c r="O752" i="73"/>
  <c r="O753" i="73"/>
  <c r="O754" i="73"/>
  <c r="O755" i="73"/>
  <c r="O756" i="73"/>
  <c r="O757" i="73"/>
  <c r="O758" i="73"/>
  <c r="O759" i="73"/>
  <c r="O760" i="73"/>
  <c r="O761" i="73"/>
  <c r="O762" i="73"/>
  <c r="O763" i="73"/>
  <c r="O764" i="73"/>
  <c r="O765" i="73"/>
  <c r="O766" i="73"/>
  <c r="O767" i="73"/>
  <c r="O768" i="73"/>
  <c r="O769" i="73"/>
  <c r="O770" i="73"/>
  <c r="O771" i="73"/>
  <c r="O772" i="73"/>
  <c r="O773" i="73"/>
  <c r="O774" i="73"/>
  <c r="O775" i="73"/>
  <c r="O776" i="73"/>
  <c r="O777" i="73"/>
  <c r="O778" i="73"/>
  <c r="O779" i="73"/>
  <c r="O780" i="73"/>
  <c r="O781" i="73"/>
  <c r="O782" i="73"/>
  <c r="O783" i="73"/>
  <c r="O784" i="73"/>
  <c r="O785" i="73"/>
  <c r="O786" i="73"/>
  <c r="O787" i="73"/>
  <c r="O788" i="73"/>
  <c r="O789" i="73"/>
  <c r="O790" i="73"/>
  <c r="O791" i="73"/>
  <c r="O792" i="73"/>
  <c r="O793" i="73"/>
  <c r="O794" i="73"/>
  <c r="O795" i="73"/>
  <c r="O796" i="73"/>
  <c r="O797" i="73"/>
  <c r="O798" i="73"/>
  <c r="O799" i="73"/>
  <c r="O800" i="73"/>
  <c r="O801" i="73"/>
  <c r="O802" i="73"/>
  <c r="O803" i="73"/>
  <c r="O804" i="73"/>
  <c r="O805" i="73"/>
  <c r="O806" i="73"/>
  <c r="O807" i="73"/>
  <c r="O808" i="73"/>
  <c r="O809" i="73"/>
  <c r="O810" i="73"/>
  <c r="O811" i="73"/>
  <c r="O812" i="73"/>
  <c r="O813" i="73"/>
  <c r="O814" i="73"/>
  <c r="O815" i="73"/>
  <c r="O816" i="73"/>
  <c r="O817" i="73"/>
  <c r="O818" i="73"/>
  <c r="O819" i="73"/>
  <c r="O820" i="73"/>
  <c r="O821" i="73"/>
  <c r="O822" i="73"/>
  <c r="O823" i="73"/>
  <c r="O824" i="73"/>
  <c r="O825" i="73"/>
  <c r="O826" i="73"/>
  <c r="O827" i="73"/>
  <c r="O828" i="73"/>
  <c r="O829" i="73"/>
  <c r="O830" i="73"/>
  <c r="O831" i="73"/>
  <c r="O832" i="73"/>
  <c r="O833" i="73"/>
  <c r="O834" i="73"/>
  <c r="O835" i="73"/>
  <c r="O836" i="73"/>
  <c r="O837" i="73"/>
  <c r="O838" i="73"/>
  <c r="O839" i="73"/>
  <c r="O840" i="73"/>
  <c r="O841" i="73"/>
  <c r="O842" i="73"/>
  <c r="O843" i="73"/>
  <c r="O844" i="73"/>
  <c r="O845" i="73"/>
  <c r="O187" i="73"/>
  <c r="J187" i="73"/>
  <c r="I187" i="73"/>
  <c r="O186" i="73"/>
  <c r="J186" i="73"/>
  <c r="I186" i="73"/>
  <c r="M185" i="73"/>
  <c r="O185" i="73" s="1"/>
  <c r="J185" i="73"/>
  <c r="I185" i="73"/>
  <c r="O184" i="73"/>
  <c r="J184" i="73"/>
  <c r="I184" i="73"/>
  <c r="O183" i="73"/>
  <c r="J183" i="73"/>
  <c r="I183" i="73"/>
  <c r="O182" i="73"/>
  <c r="J182" i="73"/>
  <c r="I182" i="73"/>
  <c r="O181" i="73"/>
  <c r="J181" i="73"/>
  <c r="I181" i="73"/>
  <c r="L180" i="73"/>
  <c r="O180" i="73" s="1"/>
  <c r="J180" i="73"/>
  <c r="I180" i="73"/>
  <c r="O179" i="73"/>
  <c r="J179" i="73"/>
  <c r="I179" i="73"/>
  <c r="O178" i="73"/>
  <c r="J178" i="73"/>
  <c r="O177" i="73"/>
  <c r="J177" i="73"/>
  <c r="I177" i="73"/>
  <c r="O176" i="73"/>
  <c r="J176" i="73"/>
  <c r="I176" i="73"/>
  <c r="O175" i="73"/>
  <c r="J175" i="73"/>
  <c r="I175" i="73"/>
  <c r="O174" i="73"/>
  <c r="J174" i="73"/>
  <c r="I174" i="73"/>
  <c r="O173" i="73"/>
  <c r="J173" i="73"/>
  <c r="I173" i="73"/>
  <c r="O172" i="73"/>
  <c r="J172" i="73"/>
  <c r="I172" i="73"/>
  <c r="O171" i="73"/>
  <c r="J171" i="73"/>
  <c r="I171" i="73"/>
  <c r="L170" i="73"/>
  <c r="O170" i="73" s="1"/>
  <c r="J170" i="73"/>
  <c r="I170" i="73"/>
  <c r="M169" i="73"/>
  <c r="L169" i="73"/>
  <c r="J169" i="73"/>
  <c r="I169" i="73"/>
  <c r="L168" i="73"/>
  <c r="O168" i="73" s="1"/>
  <c r="J168" i="73"/>
  <c r="I168" i="73"/>
  <c r="O167" i="73"/>
  <c r="J167" i="73"/>
  <c r="I167" i="73"/>
  <c r="O166" i="73"/>
  <c r="J166" i="73"/>
  <c r="O165" i="73"/>
  <c r="J165" i="73"/>
  <c r="O164" i="73"/>
  <c r="J164" i="73"/>
  <c r="I164" i="73"/>
  <c r="M163" i="73"/>
  <c r="L163" i="73"/>
  <c r="J163" i="73"/>
  <c r="I163" i="73"/>
  <c r="L162" i="73"/>
  <c r="O162" i="73" s="1"/>
  <c r="J162" i="73"/>
  <c r="I162" i="73"/>
  <c r="M161" i="73"/>
  <c r="L161" i="73"/>
  <c r="J161" i="73"/>
  <c r="I161" i="73"/>
  <c r="O160" i="73"/>
  <c r="J160" i="73"/>
  <c r="I160" i="73"/>
  <c r="O159" i="73"/>
  <c r="J159" i="73"/>
  <c r="I159" i="73"/>
  <c r="M158" i="73"/>
  <c r="L158" i="73"/>
  <c r="J158" i="73"/>
  <c r="I158" i="73"/>
  <c r="O157" i="73"/>
  <c r="J157" i="73"/>
  <c r="I157" i="73"/>
  <c r="O156" i="73"/>
  <c r="J156" i="73"/>
  <c r="I156" i="73"/>
  <c r="L155" i="73"/>
  <c r="O155" i="73" s="1"/>
  <c r="J155" i="73"/>
  <c r="I155" i="73"/>
  <c r="O154" i="73"/>
  <c r="J154" i="73"/>
  <c r="I154" i="73"/>
  <c r="O153" i="73"/>
  <c r="J153" i="73"/>
  <c r="I153" i="73"/>
  <c r="O152" i="73"/>
  <c r="J152" i="73"/>
  <c r="I152" i="73"/>
  <c r="O151" i="73"/>
  <c r="J151" i="73"/>
  <c r="I151" i="73"/>
  <c r="O150" i="73"/>
  <c r="J150" i="73"/>
  <c r="I150" i="73"/>
  <c r="O149" i="73"/>
  <c r="J149" i="73"/>
  <c r="I149" i="73"/>
  <c r="O148" i="73"/>
  <c r="J148" i="73"/>
  <c r="I148" i="73"/>
  <c r="L147" i="73"/>
  <c r="O147" i="73" s="1"/>
  <c r="J147" i="73"/>
  <c r="I147" i="73"/>
  <c r="O146" i="73"/>
  <c r="J146" i="73"/>
  <c r="I146" i="73"/>
  <c r="O145" i="73"/>
  <c r="J145" i="73"/>
  <c r="I145" i="73"/>
  <c r="L144" i="73"/>
  <c r="O144" i="73" s="1"/>
  <c r="J144" i="73"/>
  <c r="I144" i="73"/>
  <c r="O143" i="73"/>
  <c r="J143" i="73"/>
  <c r="I143" i="73"/>
  <c r="O142" i="73"/>
  <c r="J142" i="73"/>
  <c r="I142" i="73"/>
  <c r="L141" i="73"/>
  <c r="O141" i="73" s="1"/>
  <c r="J141" i="73"/>
  <c r="I141" i="73"/>
  <c r="O140" i="73"/>
  <c r="J140" i="73"/>
  <c r="I140" i="73"/>
  <c r="M139" i="73"/>
  <c r="O139" i="73" s="1"/>
  <c r="J139" i="73"/>
  <c r="O138" i="73"/>
  <c r="J138" i="73"/>
  <c r="I138" i="73"/>
  <c r="O137" i="73"/>
  <c r="J137" i="73"/>
  <c r="I137" i="73"/>
  <c r="O136" i="73"/>
  <c r="J136" i="73"/>
  <c r="I136" i="73"/>
  <c r="O135" i="73"/>
  <c r="J135" i="73"/>
  <c r="I135" i="73"/>
  <c r="O134" i="73"/>
  <c r="J134" i="73"/>
  <c r="O133" i="73"/>
  <c r="J133" i="73"/>
  <c r="I133" i="73"/>
  <c r="M132" i="73"/>
  <c r="L132" i="73"/>
  <c r="J132" i="73"/>
  <c r="I132" i="73"/>
  <c r="O131" i="73"/>
  <c r="J131" i="73"/>
  <c r="I131" i="73"/>
  <c r="O130" i="73"/>
  <c r="J130" i="73"/>
  <c r="I130" i="73"/>
  <c r="O129" i="73"/>
  <c r="J129" i="73"/>
  <c r="I129" i="73"/>
  <c r="O128" i="73"/>
  <c r="J128" i="73"/>
  <c r="I128" i="73"/>
  <c r="O127" i="73"/>
  <c r="J127" i="73"/>
  <c r="I127" i="73"/>
  <c r="O126" i="73"/>
  <c r="J126" i="73"/>
  <c r="I126" i="73"/>
  <c r="O125" i="73"/>
  <c r="J125" i="73"/>
  <c r="I125" i="73"/>
  <c r="O124" i="73"/>
  <c r="J124" i="73"/>
  <c r="I124" i="73"/>
  <c r="O123" i="73"/>
  <c r="J123" i="73"/>
  <c r="I123" i="73"/>
  <c r="O122" i="73"/>
  <c r="J122" i="73"/>
  <c r="I122" i="73"/>
  <c r="O121" i="73"/>
  <c r="J121" i="73"/>
  <c r="I121" i="73"/>
  <c r="O120" i="73"/>
  <c r="J120" i="73"/>
  <c r="O119" i="73"/>
  <c r="J119" i="73"/>
  <c r="O118" i="73"/>
  <c r="J118" i="73"/>
  <c r="I118" i="73"/>
  <c r="O117" i="73"/>
  <c r="O116" i="73"/>
  <c r="J116" i="73"/>
  <c r="I116" i="73"/>
  <c r="O115" i="73"/>
  <c r="J115" i="73"/>
  <c r="I115" i="73"/>
  <c r="O114" i="73"/>
  <c r="J114" i="73"/>
  <c r="I114" i="73"/>
  <c r="L113" i="73"/>
  <c r="O113" i="73" s="1"/>
  <c r="J113" i="73"/>
  <c r="O112" i="73"/>
  <c r="J112" i="73"/>
  <c r="I112" i="73"/>
  <c r="O111" i="73"/>
  <c r="J111" i="73"/>
  <c r="I111" i="73"/>
  <c r="O110" i="73"/>
  <c r="J110" i="73"/>
  <c r="I110" i="73"/>
  <c r="O109" i="73"/>
  <c r="J109" i="73"/>
  <c r="I109" i="73"/>
  <c r="M108" i="73"/>
  <c r="O108" i="73" s="1"/>
  <c r="J108" i="73"/>
  <c r="I108" i="73"/>
  <c r="O107" i="73"/>
  <c r="J107" i="73"/>
  <c r="I107" i="73"/>
  <c r="O106" i="73"/>
  <c r="J106" i="73"/>
  <c r="I106" i="73"/>
  <c r="O105" i="73"/>
  <c r="J105" i="73"/>
  <c r="I105" i="73"/>
  <c r="O104" i="73"/>
  <c r="J104" i="73"/>
  <c r="I104" i="73"/>
  <c r="O103" i="73"/>
  <c r="J103" i="73"/>
  <c r="I103" i="73"/>
  <c r="O102" i="73"/>
  <c r="O101" i="73"/>
  <c r="J101" i="73"/>
  <c r="I101" i="73"/>
  <c r="O100" i="73"/>
  <c r="J100" i="73"/>
  <c r="I100" i="73"/>
  <c r="O99" i="73"/>
  <c r="J99" i="73"/>
  <c r="I99" i="73"/>
  <c r="O98" i="73"/>
  <c r="J98" i="73"/>
  <c r="I98" i="73"/>
  <c r="O97" i="73"/>
  <c r="J97" i="73"/>
  <c r="I97" i="73"/>
  <c r="O96" i="73"/>
  <c r="J96" i="73"/>
  <c r="I96" i="73"/>
  <c r="L95" i="73"/>
  <c r="O95" i="73" s="1"/>
  <c r="J95" i="73"/>
  <c r="I95" i="73"/>
  <c r="L94" i="73"/>
  <c r="O94" i="73" s="1"/>
  <c r="J94" i="73"/>
  <c r="I94" i="73"/>
  <c r="O93" i="73"/>
  <c r="J93" i="73"/>
  <c r="O92" i="73"/>
  <c r="J92" i="73"/>
  <c r="I92" i="73"/>
  <c r="O91" i="73"/>
  <c r="J91" i="73"/>
  <c r="I91" i="73"/>
  <c r="O90" i="73"/>
  <c r="J90" i="73"/>
  <c r="I90" i="73"/>
  <c r="O89" i="73"/>
  <c r="J89" i="73"/>
  <c r="I89" i="73"/>
  <c r="O88" i="73"/>
  <c r="J88" i="73"/>
  <c r="I88" i="73"/>
  <c r="O87" i="73"/>
  <c r="J87" i="73"/>
  <c r="I87" i="73"/>
  <c r="L86" i="73"/>
  <c r="O86" i="73" s="1"/>
  <c r="J86" i="73"/>
  <c r="I86" i="73"/>
  <c r="O85" i="73"/>
  <c r="J85" i="73"/>
  <c r="I85" i="73"/>
  <c r="O84" i="73"/>
  <c r="J84" i="73"/>
  <c r="I84" i="73"/>
  <c r="O83" i="73"/>
  <c r="J83" i="73"/>
  <c r="I83" i="73"/>
  <c r="O82" i="73"/>
  <c r="J82" i="73"/>
  <c r="I82" i="73"/>
  <c r="O81" i="73"/>
  <c r="J81" i="73"/>
  <c r="O80" i="73"/>
  <c r="J80" i="73"/>
  <c r="I80" i="73"/>
  <c r="O79" i="73"/>
  <c r="J79" i="73"/>
  <c r="I79" i="73"/>
  <c r="O78" i="73"/>
  <c r="J78" i="73"/>
  <c r="I78" i="73"/>
  <c r="O77" i="73"/>
  <c r="H77" i="73"/>
  <c r="O76" i="73"/>
  <c r="J76" i="73"/>
  <c r="I76" i="73"/>
  <c r="O75" i="73"/>
  <c r="J75" i="73"/>
  <c r="I75" i="73"/>
  <c r="L74" i="73"/>
  <c r="O74" i="73" s="1"/>
  <c r="J74" i="73"/>
  <c r="I74" i="73"/>
  <c r="L73" i="73"/>
  <c r="O73" i="73" s="1"/>
  <c r="J73" i="73"/>
  <c r="I73" i="73"/>
  <c r="O72" i="73"/>
  <c r="J72" i="73"/>
  <c r="I72" i="73"/>
  <c r="O71" i="73"/>
  <c r="J71" i="73"/>
  <c r="I71" i="73"/>
  <c r="O70" i="73"/>
  <c r="J70" i="73"/>
  <c r="I70" i="73"/>
  <c r="O69" i="73"/>
  <c r="J69" i="73"/>
  <c r="I69" i="73"/>
  <c r="O68" i="73"/>
  <c r="J68" i="73"/>
  <c r="I68" i="73"/>
  <c r="O67" i="73"/>
  <c r="J67" i="73"/>
  <c r="I67" i="73"/>
  <c r="O66" i="73"/>
  <c r="J66" i="73"/>
  <c r="I66" i="73"/>
  <c r="O65" i="73"/>
  <c r="J65" i="73"/>
  <c r="I65" i="73"/>
  <c r="O64" i="73"/>
  <c r="J64" i="73"/>
  <c r="O63" i="73"/>
  <c r="J63" i="73"/>
  <c r="I63" i="73"/>
  <c r="O62" i="73"/>
  <c r="J62" i="73"/>
  <c r="I62" i="73"/>
  <c r="M61" i="73"/>
  <c r="O61" i="73" s="1"/>
  <c r="J61" i="73"/>
  <c r="I61" i="73"/>
  <c r="O60" i="73"/>
  <c r="J60" i="73"/>
  <c r="I60" i="73"/>
  <c r="O59" i="73"/>
  <c r="J59" i="73"/>
  <c r="I59" i="73"/>
  <c r="J58" i="73"/>
  <c r="I58" i="73"/>
  <c r="O57" i="73"/>
  <c r="J57" i="73"/>
  <c r="I57" i="73"/>
  <c r="O56" i="73"/>
  <c r="J56" i="73"/>
  <c r="I56" i="73"/>
  <c r="O55" i="73"/>
  <c r="J55" i="73"/>
  <c r="I55" i="73"/>
  <c r="O54" i="73"/>
  <c r="J54" i="73"/>
  <c r="I54" i="73"/>
  <c r="O53" i="73"/>
  <c r="J53" i="73"/>
  <c r="I53" i="73"/>
  <c r="O52" i="73"/>
  <c r="J52" i="73"/>
  <c r="I52" i="73"/>
  <c r="L51" i="73"/>
  <c r="O51" i="73" s="1"/>
  <c r="J51" i="73"/>
  <c r="I51" i="73"/>
  <c r="M50" i="73"/>
  <c r="L50" i="73"/>
  <c r="J50" i="73"/>
  <c r="I50" i="73"/>
  <c r="M49" i="73"/>
  <c r="L49" i="73"/>
  <c r="J49" i="73"/>
  <c r="I49" i="73"/>
  <c r="O48" i="73"/>
  <c r="J48" i="73"/>
  <c r="I48" i="73"/>
  <c r="O47" i="73"/>
  <c r="J47" i="73"/>
  <c r="I47" i="73"/>
  <c r="O46" i="73"/>
  <c r="J46" i="73"/>
  <c r="I46" i="73"/>
  <c r="M45" i="73"/>
  <c r="O45" i="73" s="1"/>
  <c r="J45" i="73"/>
  <c r="I45" i="73"/>
  <c r="O44" i="73"/>
  <c r="J44" i="73"/>
  <c r="I44" i="73"/>
  <c r="O43" i="73"/>
  <c r="J43" i="73"/>
  <c r="I43" i="73"/>
  <c r="O42" i="73"/>
  <c r="J42" i="73"/>
  <c r="I42" i="73"/>
  <c r="O41" i="73"/>
  <c r="J41" i="73"/>
  <c r="I41" i="73"/>
  <c r="O40" i="73"/>
  <c r="J40" i="73"/>
  <c r="I40" i="73"/>
  <c r="O39" i="73"/>
  <c r="J39" i="73"/>
  <c r="I39" i="73"/>
  <c r="O38" i="73"/>
  <c r="J38" i="73"/>
  <c r="I38" i="73"/>
  <c r="O37" i="73"/>
  <c r="J37" i="73"/>
  <c r="I37" i="73"/>
  <c r="O36" i="73"/>
  <c r="J36" i="73"/>
  <c r="I36" i="73"/>
  <c r="O35" i="73"/>
  <c r="J35" i="73"/>
  <c r="I35" i="73"/>
  <c r="O34" i="73"/>
  <c r="J34" i="73"/>
  <c r="I34" i="73"/>
  <c r="O33" i="73"/>
  <c r="J33" i="73"/>
  <c r="I33" i="73"/>
  <c r="O32" i="73"/>
  <c r="J32" i="73"/>
  <c r="I32" i="73"/>
  <c r="O31" i="73"/>
  <c r="J31" i="73"/>
  <c r="I31" i="73"/>
  <c r="O30" i="73"/>
  <c r="J30" i="73"/>
  <c r="I30" i="73"/>
  <c r="O29" i="73"/>
  <c r="J29" i="73"/>
  <c r="M28" i="73"/>
  <c r="L28" i="73"/>
  <c r="J28" i="73"/>
  <c r="I28" i="73"/>
  <c r="O27" i="73"/>
  <c r="J27" i="73"/>
  <c r="I27" i="73"/>
  <c r="M26" i="73"/>
  <c r="O26" i="73" s="1"/>
  <c r="J26" i="73"/>
  <c r="I26" i="73"/>
  <c r="M25" i="73"/>
  <c r="L25" i="73"/>
  <c r="J25" i="73"/>
  <c r="I25" i="73"/>
  <c r="O24" i="73"/>
  <c r="J24" i="73"/>
  <c r="I24" i="73"/>
  <c r="O23" i="73"/>
  <c r="J23" i="73"/>
  <c r="I23" i="73"/>
  <c r="O22" i="73"/>
  <c r="J22" i="73"/>
  <c r="I22" i="73"/>
  <c r="O21" i="73"/>
  <c r="J21" i="73"/>
  <c r="I21" i="73"/>
  <c r="M20" i="73"/>
  <c r="O20" i="73" s="1"/>
  <c r="J20" i="73"/>
  <c r="I20" i="73"/>
  <c r="O19" i="73"/>
  <c r="J19" i="73"/>
  <c r="I19" i="73"/>
  <c r="O18" i="73"/>
  <c r="J18" i="73"/>
  <c r="I18" i="73"/>
  <c r="O17" i="73"/>
  <c r="J17" i="73"/>
  <c r="I17" i="73"/>
  <c r="O16" i="73"/>
  <c r="J16" i="73"/>
  <c r="I16" i="73"/>
  <c r="O15" i="73"/>
  <c r="J15" i="73"/>
  <c r="I15" i="73"/>
  <c r="M14" i="73"/>
  <c r="O14" i="73" s="1"/>
  <c r="J14" i="73"/>
  <c r="I14" i="73"/>
  <c r="O13" i="73"/>
  <c r="J13" i="73"/>
  <c r="I13" i="73"/>
  <c r="O12" i="73"/>
  <c r="J12" i="73"/>
  <c r="I12" i="73"/>
  <c r="O11" i="73"/>
  <c r="J11" i="73"/>
  <c r="I11" i="73"/>
  <c r="O10" i="73"/>
  <c r="J10" i="73"/>
  <c r="I10" i="73"/>
  <c r="O9" i="73"/>
  <c r="J9" i="73"/>
  <c r="I9" i="73"/>
  <c r="O8" i="73"/>
  <c r="J8" i="73"/>
  <c r="I8" i="73"/>
  <c r="O7" i="73"/>
  <c r="J7" i="73"/>
  <c r="I7" i="73"/>
  <c r="O6" i="73"/>
  <c r="J6" i="73"/>
  <c r="I6" i="73"/>
  <c r="O5" i="73"/>
  <c r="J5" i="73"/>
  <c r="I5" i="73"/>
  <c r="O4" i="73"/>
  <c r="J4" i="73"/>
  <c r="I4" i="73"/>
  <c r="O3" i="73"/>
  <c r="J3" i="73"/>
  <c r="I3" i="73"/>
  <c r="O2" i="73"/>
  <c r="J2" i="73"/>
  <c r="I2" i="73"/>
  <c r="L174" i="69"/>
  <c r="L171" i="69"/>
  <c r="I412" i="63"/>
  <c r="I399" i="63"/>
  <c r="F171" i="69"/>
  <c r="D168" i="69"/>
  <c r="D167" i="69"/>
  <c r="R3" i="76" l="1"/>
  <c r="S3" i="76" s="1"/>
  <c r="R4" i="76"/>
  <c r="S4" i="76" s="1"/>
  <c r="R5" i="76"/>
  <c r="S5" i="76" s="1"/>
  <c r="R6" i="76"/>
  <c r="S6" i="76" s="1"/>
  <c r="R7" i="76"/>
  <c r="S7" i="76" s="1"/>
  <c r="R8" i="76"/>
  <c r="S8" i="76" s="1"/>
  <c r="R9" i="76"/>
  <c r="S9" i="76" s="1"/>
  <c r="R10" i="76"/>
  <c r="S10" i="76" s="1"/>
  <c r="R11" i="76"/>
  <c r="S11" i="76" s="1"/>
  <c r="R15" i="76"/>
  <c r="S15" i="76" s="1"/>
  <c r="R16" i="76"/>
  <c r="S16" i="76" s="1"/>
  <c r="R17" i="76"/>
  <c r="S17" i="76" s="1"/>
  <c r="R18" i="76"/>
  <c r="S18" i="76" s="1"/>
  <c r="R19" i="76"/>
  <c r="S19" i="76" s="1"/>
  <c r="R20" i="76"/>
  <c r="S20" i="76" s="1"/>
  <c r="R21" i="76"/>
  <c r="S21" i="76" s="1"/>
  <c r="R22" i="76"/>
  <c r="S22" i="76" s="1"/>
  <c r="R24" i="76"/>
  <c r="S24" i="76" s="1"/>
  <c r="R25" i="76"/>
  <c r="S25" i="76" s="1"/>
  <c r="R26" i="76"/>
  <c r="S26" i="76" s="1"/>
  <c r="R27" i="76"/>
  <c r="S27" i="76" s="1"/>
  <c r="R28" i="76"/>
  <c r="S28" i="76" s="1"/>
  <c r="R29" i="76"/>
  <c r="S29" i="76" s="1"/>
  <c r="R30" i="76"/>
  <c r="S30" i="76" s="1"/>
  <c r="R32" i="76"/>
  <c r="S32" i="76" s="1"/>
  <c r="R33" i="76"/>
  <c r="S33" i="76" s="1"/>
  <c r="R36" i="76"/>
  <c r="S36" i="76" s="1"/>
  <c r="R37" i="76"/>
  <c r="S37" i="76" s="1"/>
  <c r="R39" i="76"/>
  <c r="S39" i="76" s="1"/>
  <c r="R40" i="76"/>
  <c r="S40" i="76" s="1"/>
  <c r="R43" i="76"/>
  <c r="S43" i="76" s="1"/>
  <c r="R44" i="76"/>
  <c r="S44" i="76" s="1"/>
  <c r="R45" i="76"/>
  <c r="S45" i="76" s="1"/>
  <c r="R46" i="76"/>
  <c r="S46" i="76" s="1"/>
  <c r="R47" i="76"/>
  <c r="S47" i="76" s="1"/>
  <c r="R48" i="76"/>
  <c r="S48" i="76" s="1"/>
  <c r="R49" i="76"/>
  <c r="S49" i="76" s="1"/>
  <c r="R50" i="76"/>
  <c r="S50" i="76" s="1"/>
  <c r="R51" i="76"/>
  <c r="S51" i="76" s="1"/>
  <c r="R52" i="76"/>
  <c r="S52" i="76" s="1"/>
  <c r="R53" i="76"/>
  <c r="S53" i="76" s="1"/>
  <c r="R54" i="76"/>
  <c r="S54" i="76" s="1"/>
  <c r="R55" i="76"/>
  <c r="S55" i="76" s="1"/>
  <c r="R56" i="76"/>
  <c r="S56" i="76" s="1"/>
  <c r="R57" i="76"/>
  <c r="S57" i="76" s="1"/>
  <c r="R58" i="76"/>
  <c r="S58" i="76" s="1"/>
  <c r="R59" i="76"/>
  <c r="S59" i="76" s="1"/>
  <c r="R61" i="76"/>
  <c r="S61" i="76" s="1"/>
  <c r="R62" i="76"/>
  <c r="S62" i="76" s="1"/>
  <c r="R64" i="76"/>
  <c r="S64" i="76" s="1"/>
  <c r="R65" i="76"/>
  <c r="S65" i="76" s="1"/>
  <c r="R66" i="76"/>
  <c r="S66" i="76" s="1"/>
  <c r="R68" i="76"/>
  <c r="S68" i="76" s="1"/>
  <c r="R70" i="76"/>
  <c r="S70" i="76" s="1"/>
  <c r="R71" i="76"/>
  <c r="S71" i="76" s="1"/>
  <c r="R72" i="76"/>
  <c r="S72" i="76" s="1"/>
  <c r="M73" i="76"/>
  <c r="N73" i="76" s="1"/>
  <c r="R73" i="76"/>
  <c r="S73" i="76" s="1"/>
  <c r="R74" i="76"/>
  <c r="S74" i="76" s="1"/>
  <c r="R75" i="76"/>
  <c r="S75" i="76" s="1"/>
  <c r="P76" i="76"/>
  <c r="Q76" i="76" s="1"/>
  <c r="R76" i="76" s="1"/>
  <c r="S76" i="76" s="1"/>
  <c r="R77" i="76"/>
  <c r="S77" i="76" s="1"/>
  <c r="R78" i="76"/>
  <c r="S78" i="76" s="1"/>
  <c r="R80" i="76"/>
  <c r="S80" i="76" s="1"/>
  <c r="P81" i="76"/>
  <c r="Q81" i="76" s="1"/>
  <c r="R81" i="76" s="1"/>
  <c r="S81" i="76" s="1"/>
  <c r="R82" i="76"/>
  <c r="S82" i="76" s="1"/>
  <c r="R83" i="76"/>
  <c r="S83" i="76" s="1"/>
  <c r="R84" i="76"/>
  <c r="S84" i="76" s="1"/>
  <c r="R85" i="76"/>
  <c r="S85" i="76" s="1"/>
  <c r="R86" i="76"/>
  <c r="S86" i="76" s="1"/>
  <c r="R87" i="76"/>
  <c r="S87" i="76" s="1"/>
  <c r="R88" i="76"/>
  <c r="S88" i="76" s="1"/>
  <c r="R89" i="76"/>
  <c r="S89" i="76" s="1"/>
  <c r="R90" i="76"/>
  <c r="S90" i="76" s="1"/>
  <c r="R91" i="76"/>
  <c r="S91" i="76" s="1"/>
  <c r="R92" i="76"/>
  <c r="S92" i="76" s="1"/>
  <c r="R93" i="76"/>
  <c r="S93" i="76" s="1"/>
  <c r="R95" i="76"/>
  <c r="S95" i="76" s="1"/>
  <c r="R96" i="76"/>
  <c r="S96" i="76" s="1"/>
  <c r="R98" i="76"/>
  <c r="S98" i="76" s="1"/>
  <c r="R99" i="76"/>
  <c r="S99" i="76" s="1"/>
  <c r="R100" i="76"/>
  <c r="S100" i="76" s="1"/>
  <c r="M101" i="76"/>
  <c r="N101" i="76" s="1"/>
  <c r="R101" i="76"/>
  <c r="S101" i="76" s="1"/>
  <c r="P104" i="76"/>
  <c r="Q104" i="76" s="1"/>
  <c r="R104" i="76" s="1"/>
  <c r="S104" i="76" s="1"/>
  <c r="R105" i="76"/>
  <c r="S105" i="76" s="1"/>
  <c r="R106" i="76"/>
  <c r="S106" i="76" s="1"/>
  <c r="R107" i="76"/>
  <c r="S107" i="76" s="1"/>
  <c r="M108" i="76"/>
  <c r="N108" i="76" s="1"/>
  <c r="R108" i="76"/>
  <c r="S108" i="76" s="1"/>
  <c r="R109" i="76"/>
  <c r="S109" i="76" s="1"/>
  <c r="R110" i="76"/>
  <c r="S110" i="76" s="1"/>
  <c r="M111" i="76"/>
  <c r="N111" i="76" s="1"/>
  <c r="R111" i="76"/>
  <c r="S111" i="76" s="1"/>
  <c r="R112" i="76"/>
  <c r="S112" i="76" s="1"/>
  <c r="R114" i="76"/>
  <c r="S114" i="76" s="1"/>
  <c r="R115" i="76"/>
  <c r="S115" i="76" s="1"/>
  <c r="R116" i="76"/>
  <c r="S116" i="76" s="1"/>
  <c r="R117" i="76"/>
  <c r="S117" i="76" s="1"/>
  <c r="R118" i="76"/>
  <c r="S118" i="76" s="1"/>
  <c r="R119" i="76"/>
  <c r="S119" i="76" s="1"/>
  <c r="R120" i="76"/>
  <c r="S120" i="76" s="1"/>
  <c r="O25" i="73"/>
  <c r="O28" i="73"/>
  <c r="O49" i="73"/>
  <c r="O50" i="73"/>
  <c r="J77" i="73"/>
  <c r="I77" i="73"/>
  <c r="O132" i="73"/>
  <c r="O158" i="73"/>
  <c r="O161" i="73"/>
  <c r="O163" i="73"/>
  <c r="O169" i="73"/>
  <c r="I426" i="63"/>
  <c r="I424" i="63"/>
  <c r="I423" i="63"/>
  <c r="I422" i="63"/>
  <c r="I420" i="63"/>
  <c r="I419" i="63"/>
  <c r="I417" i="63"/>
  <c r="I416" i="63"/>
  <c r="I414" i="63"/>
  <c r="I411" i="63"/>
  <c r="I410" i="63"/>
  <c r="I407" i="63"/>
  <c r="I406" i="63"/>
  <c r="I405" i="63"/>
  <c r="I403" i="63"/>
  <c r="I402" i="63"/>
  <c r="I401" i="63"/>
  <c r="I400" i="63"/>
  <c r="I398" i="63"/>
  <c r="I397" i="63"/>
  <c r="I396" i="63"/>
  <c r="I395" i="63"/>
  <c r="I394" i="63"/>
  <c r="J416" i="63"/>
  <c r="M416" i="63"/>
  <c r="N416" i="63"/>
  <c r="P416" i="63"/>
  <c r="Q416" i="63"/>
  <c r="R416" i="63"/>
  <c r="S416" i="63"/>
  <c r="I393" i="63"/>
  <c r="J417" i="63"/>
  <c r="M417" i="63"/>
  <c r="N417" i="63"/>
  <c r="P417" i="63"/>
  <c r="Q417" i="63"/>
  <c r="R417" i="63"/>
  <c r="S417" i="63"/>
  <c r="F170" i="69"/>
  <c r="F169" i="69"/>
  <c r="F168" i="69"/>
  <c r="F167" i="69"/>
  <c r="I425" i="63"/>
  <c r="I415" i="63"/>
  <c r="J415" i="63"/>
  <c r="M415" i="63"/>
  <c r="N415" i="63"/>
  <c r="P415" i="63"/>
  <c r="Q415" i="63"/>
  <c r="R415" i="63"/>
  <c r="S415" i="63"/>
  <c r="I413" i="63" l="1"/>
  <c r="L422" i="63"/>
  <c r="O419" i="63"/>
  <c r="L419" i="63"/>
  <c r="I418" i="63" l="1"/>
  <c r="I421" i="63"/>
  <c r="J414" i="63"/>
  <c r="J418" i="63"/>
  <c r="J419" i="63"/>
  <c r="J420" i="63"/>
  <c r="J421" i="63"/>
  <c r="J422" i="63"/>
  <c r="J423" i="63"/>
  <c r="J424" i="63"/>
  <c r="M414" i="63"/>
  <c r="M418" i="63"/>
  <c r="M419" i="63"/>
  <c r="M420" i="63"/>
  <c r="M421" i="63"/>
  <c r="M422" i="63"/>
  <c r="M423" i="63"/>
  <c r="M424" i="63"/>
  <c r="N414" i="63"/>
  <c r="N418" i="63"/>
  <c r="N419" i="63"/>
  <c r="N420" i="63"/>
  <c r="N421" i="63"/>
  <c r="N422" i="63"/>
  <c r="N423" i="63"/>
  <c r="N424" i="63"/>
  <c r="P414" i="63"/>
  <c r="P418" i="63"/>
  <c r="P419" i="63"/>
  <c r="P421" i="63"/>
  <c r="P422" i="63"/>
  <c r="P423" i="63"/>
  <c r="P424" i="63"/>
  <c r="Q414" i="63"/>
  <c r="Q418" i="63"/>
  <c r="Q419" i="63"/>
  <c r="Q420" i="63"/>
  <c r="Q421" i="63"/>
  <c r="Q422" i="63"/>
  <c r="Q423" i="63"/>
  <c r="Q424" i="63"/>
  <c r="R414" i="63"/>
  <c r="R418" i="63"/>
  <c r="R419" i="63"/>
  <c r="R420" i="63"/>
  <c r="R421" i="63"/>
  <c r="R422" i="63"/>
  <c r="R423" i="63"/>
  <c r="R424" i="63"/>
  <c r="S414" i="63"/>
  <c r="S418" i="63"/>
  <c r="S419" i="63"/>
  <c r="S420" i="63"/>
  <c r="S421" i="63"/>
  <c r="S422" i="63"/>
  <c r="S423" i="63"/>
  <c r="S424" i="63"/>
  <c r="L157" i="69"/>
  <c r="L159" i="69" s="1"/>
  <c r="L379" i="63"/>
  <c r="L399" i="63"/>
  <c r="L380" i="63" l="1"/>
  <c r="L393" i="63"/>
  <c r="I371" i="63"/>
  <c r="D157" i="69"/>
  <c r="D154" i="69"/>
  <c r="D153" i="69"/>
  <c r="F158" i="69"/>
  <c r="F157" i="69"/>
  <c r="F156" i="69"/>
  <c r="F155" i="69"/>
  <c r="F154" i="69"/>
  <c r="F153" i="69"/>
  <c r="F152" i="69"/>
  <c r="B88" i="37"/>
  <c r="I391" i="63"/>
  <c r="I375" i="63"/>
  <c r="I367" i="63"/>
  <c r="I361" i="63"/>
  <c r="I360" i="63"/>
  <c r="L378" i="63"/>
  <c r="J68" i="37"/>
  <c r="J88" i="37"/>
  <c r="F159" i="69" l="1"/>
  <c r="F161" i="69" s="1"/>
  <c r="L364" i="63"/>
  <c r="D140" i="69" l="1"/>
  <c r="D141" i="69"/>
  <c r="J348" i="63"/>
  <c r="M348" i="63"/>
  <c r="N348" i="63"/>
  <c r="P348" i="63"/>
  <c r="Q348" i="63"/>
  <c r="R348" i="63"/>
  <c r="S348" i="63"/>
  <c r="I345" i="63"/>
  <c r="J345" i="63"/>
  <c r="N345" i="63"/>
  <c r="Q345" i="63"/>
  <c r="R345" i="63"/>
  <c r="S345" i="63"/>
  <c r="O350" i="63" l="1"/>
  <c r="L350" i="63"/>
  <c r="F140" i="69" l="1"/>
  <c r="F141" i="69"/>
  <c r="F142" i="69"/>
  <c r="F143" i="69"/>
  <c r="F144" i="69"/>
  <c r="F145" i="69"/>
  <c r="F139" i="69"/>
  <c r="I347" i="63"/>
  <c r="F148" i="69" l="1"/>
  <c r="I346" i="63" l="1"/>
  <c r="I349" i="63"/>
  <c r="I350" i="63"/>
  <c r="I351" i="63"/>
  <c r="I352" i="63"/>
  <c r="I353" i="63"/>
  <c r="I354" i="63"/>
  <c r="I355" i="63"/>
  <c r="I356" i="63"/>
  <c r="I357" i="63"/>
  <c r="I358" i="63"/>
  <c r="I359" i="63"/>
  <c r="I362" i="63"/>
  <c r="I363" i="63"/>
  <c r="I364" i="63"/>
  <c r="I365" i="63"/>
  <c r="I366" i="63"/>
  <c r="I368" i="63"/>
  <c r="I369" i="63"/>
  <c r="I370" i="63"/>
  <c r="I372" i="63"/>
  <c r="I373" i="63"/>
  <c r="I374" i="63"/>
  <c r="I376" i="63"/>
  <c r="I377" i="63"/>
  <c r="I378" i="63"/>
  <c r="I379" i="63"/>
  <c r="I380" i="63"/>
  <c r="I381" i="63"/>
  <c r="I382" i="63"/>
  <c r="I383" i="63"/>
  <c r="I384" i="63"/>
  <c r="I385" i="63"/>
  <c r="I386" i="63"/>
  <c r="I387" i="63"/>
  <c r="I388" i="63"/>
  <c r="I389" i="63"/>
  <c r="I390" i="63"/>
  <c r="I404" i="63"/>
  <c r="I408" i="63"/>
  <c r="I409" i="63"/>
  <c r="I344" i="63"/>
  <c r="I342" i="63"/>
  <c r="I336" i="63"/>
  <c r="I335" i="63"/>
  <c r="I329" i="63"/>
  <c r="I343" i="63"/>
  <c r="I341" i="63"/>
  <c r="I340" i="63"/>
  <c r="I339" i="63"/>
  <c r="I338" i="63"/>
  <c r="I337" i="63"/>
  <c r="I333" i="63"/>
  <c r="I331" i="63"/>
  <c r="I330" i="63"/>
  <c r="I328" i="63"/>
  <c r="O328" i="63"/>
  <c r="L328" i="63"/>
  <c r="I332" i="63"/>
  <c r="I334" i="63"/>
  <c r="J328" i="63"/>
  <c r="J329" i="63"/>
  <c r="J330" i="63"/>
  <c r="J331" i="63"/>
  <c r="J332" i="63"/>
  <c r="J333" i="63"/>
  <c r="J334" i="63"/>
  <c r="J335" i="63"/>
  <c r="J336" i="63"/>
  <c r="J337" i="63"/>
  <c r="J338" i="63"/>
  <c r="J339" i="63"/>
  <c r="J340" i="63"/>
  <c r="J341" i="63"/>
  <c r="J342" i="63"/>
  <c r="J343" i="63"/>
  <c r="J344" i="63"/>
  <c r="J346" i="63"/>
  <c r="J347" i="63"/>
  <c r="J349" i="63"/>
  <c r="J350" i="63"/>
  <c r="J351" i="63"/>
  <c r="J352" i="63"/>
  <c r="J353" i="63"/>
  <c r="J354" i="63"/>
  <c r="J355" i="63"/>
  <c r="J356" i="63"/>
  <c r="J357" i="63"/>
  <c r="J358" i="63"/>
  <c r="J359" i="63"/>
  <c r="J360" i="63"/>
  <c r="J361" i="63"/>
  <c r="J362" i="63"/>
  <c r="J363" i="63"/>
  <c r="J364" i="63"/>
  <c r="J365" i="63"/>
  <c r="J366" i="63"/>
  <c r="J367" i="63"/>
  <c r="J368" i="63"/>
  <c r="J369" i="63"/>
  <c r="J370" i="63"/>
  <c r="J371" i="63"/>
  <c r="J372" i="63"/>
  <c r="J373" i="63"/>
  <c r="J374" i="63"/>
  <c r="J375" i="63"/>
  <c r="J376" i="63"/>
  <c r="J377" i="63"/>
  <c r="J378" i="63"/>
  <c r="J379" i="63"/>
  <c r="J380" i="63"/>
  <c r="J381" i="63"/>
  <c r="J382" i="63"/>
  <c r="J383" i="63"/>
  <c r="J384" i="63"/>
  <c r="J385" i="63"/>
  <c r="J386" i="63"/>
  <c r="J387" i="63"/>
  <c r="J388" i="63"/>
  <c r="J389" i="63"/>
  <c r="J390" i="63"/>
  <c r="J391" i="63"/>
  <c r="J392" i="63"/>
  <c r="J393" i="63"/>
  <c r="J394" i="63"/>
  <c r="J395" i="63"/>
  <c r="J396" i="63"/>
  <c r="J397" i="63"/>
  <c r="J398" i="63"/>
  <c r="J399" i="63"/>
  <c r="J400" i="63"/>
  <c r="J401" i="63"/>
  <c r="J402" i="63"/>
  <c r="J403" i="63"/>
  <c r="J404" i="63"/>
  <c r="J405" i="63"/>
  <c r="J406" i="63"/>
  <c r="J407" i="63"/>
  <c r="J408" i="63"/>
  <c r="J409" i="63"/>
  <c r="J410" i="63"/>
  <c r="J411" i="63"/>
  <c r="J412" i="63"/>
  <c r="J425" i="63"/>
  <c r="J426" i="63"/>
  <c r="M328" i="63"/>
  <c r="M330" i="63"/>
  <c r="M331" i="63"/>
  <c r="M332" i="63"/>
  <c r="M333" i="63"/>
  <c r="M334" i="63"/>
  <c r="M335" i="63"/>
  <c r="M336" i="63"/>
  <c r="M337" i="63"/>
  <c r="M339" i="63"/>
  <c r="M340" i="63"/>
  <c r="M341" i="63"/>
  <c r="M342" i="63"/>
  <c r="M343" i="63"/>
  <c r="M344" i="63"/>
  <c r="M346" i="63"/>
  <c r="M349" i="63"/>
  <c r="M350" i="63"/>
  <c r="M351" i="63"/>
  <c r="M352" i="63"/>
  <c r="M353" i="63"/>
  <c r="M354" i="63"/>
  <c r="M355" i="63"/>
  <c r="M357" i="63"/>
  <c r="M358" i="63"/>
  <c r="M359" i="63"/>
  <c r="M360" i="63"/>
  <c r="M362" i="63"/>
  <c r="M363" i="63"/>
  <c r="M364" i="63"/>
  <c r="M365" i="63"/>
  <c r="M366" i="63"/>
  <c r="M367" i="63"/>
  <c r="M368" i="63"/>
  <c r="M369" i="63"/>
  <c r="M370" i="63"/>
  <c r="M371" i="63"/>
  <c r="M372" i="63"/>
  <c r="M373" i="63"/>
  <c r="M374" i="63"/>
  <c r="M375" i="63"/>
  <c r="M376" i="63"/>
  <c r="M377" i="63"/>
  <c r="M378" i="63"/>
  <c r="M379" i="63"/>
  <c r="M381" i="63"/>
  <c r="M382" i="63"/>
  <c r="M383" i="63"/>
  <c r="M384" i="63"/>
  <c r="M385" i="63"/>
  <c r="M386" i="63"/>
  <c r="M387" i="63"/>
  <c r="M388" i="63"/>
  <c r="M389" i="63"/>
  <c r="M390" i="63"/>
  <c r="M391" i="63"/>
  <c r="M392" i="63"/>
  <c r="M393" i="63"/>
  <c r="M394" i="63"/>
  <c r="M395" i="63"/>
  <c r="M396" i="63"/>
  <c r="M397" i="63"/>
  <c r="M398" i="63"/>
  <c r="M400" i="63"/>
  <c r="M401" i="63"/>
  <c r="M402" i="63"/>
  <c r="M404" i="63"/>
  <c r="M405" i="63"/>
  <c r="M406" i="63"/>
  <c r="M407" i="63"/>
  <c r="M408" i="63"/>
  <c r="M409" i="63"/>
  <c r="M410" i="63"/>
  <c r="M411" i="63"/>
  <c r="M412" i="63"/>
  <c r="M413" i="63"/>
  <c r="M425" i="63"/>
  <c r="M426" i="63"/>
  <c r="N328" i="63"/>
  <c r="N329" i="63"/>
  <c r="N330" i="63"/>
  <c r="N331" i="63"/>
  <c r="N332" i="63"/>
  <c r="N333" i="63"/>
  <c r="N334" i="63"/>
  <c r="N335" i="63"/>
  <c r="N336" i="63"/>
  <c r="N337" i="63"/>
  <c r="N338" i="63"/>
  <c r="N339" i="63"/>
  <c r="N340" i="63"/>
  <c r="N341" i="63"/>
  <c r="N342" i="63"/>
  <c r="N343" i="63"/>
  <c r="N344" i="63"/>
  <c r="N346" i="63"/>
  <c r="N347" i="63"/>
  <c r="N349" i="63"/>
  <c r="N350" i="63"/>
  <c r="N351" i="63"/>
  <c r="N352" i="63"/>
  <c r="N353" i="63"/>
  <c r="N354" i="63"/>
  <c r="N355" i="63"/>
  <c r="N356" i="63"/>
  <c r="N357" i="63"/>
  <c r="N358" i="63"/>
  <c r="N359" i="63"/>
  <c r="N360" i="63"/>
  <c r="N361" i="63"/>
  <c r="N362" i="63"/>
  <c r="N363" i="63"/>
  <c r="N364" i="63"/>
  <c r="N365" i="63"/>
  <c r="N366" i="63"/>
  <c r="N367" i="63"/>
  <c r="N368" i="63"/>
  <c r="N369" i="63"/>
  <c r="N370" i="63"/>
  <c r="N371" i="63"/>
  <c r="N372" i="63"/>
  <c r="N373" i="63"/>
  <c r="N374" i="63"/>
  <c r="N375" i="63"/>
  <c r="N376" i="63"/>
  <c r="N377" i="63"/>
  <c r="N378" i="63"/>
  <c r="N379" i="63"/>
  <c r="N380" i="63"/>
  <c r="N381" i="63"/>
  <c r="N382" i="63"/>
  <c r="N383" i="63"/>
  <c r="N384" i="63"/>
  <c r="N385" i="63"/>
  <c r="N386" i="63"/>
  <c r="N387" i="63"/>
  <c r="N388" i="63"/>
  <c r="N389" i="63"/>
  <c r="N390" i="63"/>
  <c r="N391" i="63"/>
  <c r="N392" i="63"/>
  <c r="N393" i="63"/>
  <c r="N394" i="63"/>
  <c r="N395" i="63"/>
  <c r="N396" i="63"/>
  <c r="N397" i="63"/>
  <c r="N398" i="63"/>
  <c r="N399" i="63"/>
  <c r="N400" i="63"/>
  <c r="N401" i="63"/>
  <c r="N402" i="63"/>
  <c r="N403" i="63"/>
  <c r="N404" i="63"/>
  <c r="N405" i="63"/>
  <c r="N406" i="63"/>
  <c r="N407" i="63"/>
  <c r="N408" i="63"/>
  <c r="N409" i="63"/>
  <c r="N410" i="63"/>
  <c r="N411" i="63"/>
  <c r="N412" i="63"/>
  <c r="N413" i="63"/>
  <c r="N425" i="63"/>
  <c r="N426" i="63"/>
  <c r="P330" i="63"/>
  <c r="P331" i="63"/>
  <c r="P332" i="63"/>
  <c r="P333" i="63"/>
  <c r="P334" i="63"/>
  <c r="P335" i="63"/>
  <c r="P336" i="63"/>
  <c r="P337" i="63"/>
  <c r="P339" i="63"/>
  <c r="P340" i="63"/>
  <c r="P341" i="63"/>
  <c r="P342" i="63"/>
  <c r="P343" i="63"/>
  <c r="P344" i="63"/>
  <c r="P346" i="63"/>
  <c r="P349" i="63"/>
  <c r="P350" i="63"/>
  <c r="P351" i="63"/>
  <c r="P352" i="63"/>
  <c r="P353" i="63"/>
  <c r="P354" i="63"/>
  <c r="P355" i="63"/>
  <c r="P356" i="63"/>
  <c r="P357" i="63"/>
  <c r="P358" i="63"/>
  <c r="P359" i="63"/>
  <c r="P360" i="63"/>
  <c r="P362" i="63"/>
  <c r="P363" i="63"/>
  <c r="P364" i="63"/>
  <c r="P365" i="63"/>
  <c r="P366" i="63"/>
  <c r="P367" i="63"/>
  <c r="P368" i="63"/>
  <c r="P369" i="63"/>
  <c r="P370" i="63"/>
  <c r="P371" i="63"/>
  <c r="P372" i="63"/>
  <c r="P373" i="63"/>
  <c r="P374" i="63"/>
  <c r="P375" i="63"/>
  <c r="P376" i="63"/>
  <c r="P377" i="63"/>
  <c r="P378" i="63"/>
  <c r="P379" i="63"/>
  <c r="P381" i="63"/>
  <c r="P382" i="63"/>
  <c r="P383" i="63"/>
  <c r="P384" i="63"/>
  <c r="P385" i="63"/>
  <c r="P386" i="63"/>
  <c r="P387" i="63"/>
  <c r="P388" i="63"/>
  <c r="P389" i="63"/>
  <c r="P390" i="63"/>
  <c r="P391" i="63"/>
  <c r="P392" i="63"/>
  <c r="P393" i="63"/>
  <c r="P394" i="63"/>
  <c r="P395" i="63"/>
  <c r="P396" i="63"/>
  <c r="P397" i="63"/>
  <c r="P398" i="63"/>
  <c r="P400" i="63"/>
  <c r="P401" i="63"/>
  <c r="P402" i="63"/>
  <c r="P404" i="63"/>
  <c r="P405" i="63"/>
  <c r="P406" i="63"/>
  <c r="P407" i="63"/>
  <c r="P408" i="63"/>
  <c r="P409" i="63"/>
  <c r="P410" i="63"/>
  <c r="P411" i="63"/>
  <c r="P412" i="63"/>
  <c r="P413" i="63"/>
  <c r="P425" i="63"/>
  <c r="P426" i="63"/>
  <c r="Q328" i="63"/>
  <c r="Q329" i="63"/>
  <c r="Q330" i="63"/>
  <c r="Q331" i="63"/>
  <c r="Q332" i="63"/>
  <c r="Q333" i="63"/>
  <c r="Q334" i="63"/>
  <c r="Q335" i="63"/>
  <c r="Q336" i="63"/>
  <c r="Q337" i="63"/>
  <c r="Q338" i="63"/>
  <c r="Q339" i="63"/>
  <c r="Q340" i="63"/>
  <c r="Q341" i="63"/>
  <c r="Q342" i="63"/>
  <c r="Q343" i="63"/>
  <c r="Q344" i="63"/>
  <c r="Q346" i="63"/>
  <c r="Q347" i="63"/>
  <c r="Q349" i="63"/>
  <c r="Q350" i="63"/>
  <c r="Q351" i="63"/>
  <c r="Q352" i="63"/>
  <c r="Q353" i="63"/>
  <c r="Q354" i="63"/>
  <c r="Q355" i="63"/>
  <c r="Q356" i="63"/>
  <c r="Q357" i="63"/>
  <c r="Q358" i="63"/>
  <c r="Q359" i="63"/>
  <c r="Q360" i="63"/>
  <c r="Q361" i="63"/>
  <c r="Q362" i="63"/>
  <c r="Q363" i="63"/>
  <c r="Q364" i="63"/>
  <c r="Q365" i="63"/>
  <c r="Q366" i="63"/>
  <c r="Q367" i="63"/>
  <c r="Q368" i="63"/>
  <c r="Q369" i="63"/>
  <c r="Q370" i="63"/>
  <c r="Q371" i="63"/>
  <c r="Q372" i="63"/>
  <c r="Q373" i="63"/>
  <c r="Q374" i="63"/>
  <c r="Q375" i="63"/>
  <c r="Q376" i="63"/>
  <c r="Q377" i="63"/>
  <c r="Q378" i="63"/>
  <c r="Q379" i="63"/>
  <c r="Q380" i="63"/>
  <c r="Q381" i="63"/>
  <c r="Q382" i="63"/>
  <c r="Q383" i="63"/>
  <c r="Q384" i="63"/>
  <c r="Q385" i="63"/>
  <c r="Q386" i="63"/>
  <c r="Q387" i="63"/>
  <c r="Q388" i="63"/>
  <c r="Q389" i="63"/>
  <c r="Q390" i="63"/>
  <c r="Q391" i="63"/>
  <c r="Q392" i="63"/>
  <c r="Q393" i="63"/>
  <c r="Q394" i="63"/>
  <c r="Q395" i="63"/>
  <c r="Q396" i="63"/>
  <c r="Q397" i="63"/>
  <c r="Q398" i="63"/>
  <c r="Q399" i="63"/>
  <c r="Q400" i="63"/>
  <c r="Q401" i="63"/>
  <c r="Q402" i="63"/>
  <c r="Q403" i="63"/>
  <c r="Q404" i="63"/>
  <c r="Q405" i="63"/>
  <c r="Q406" i="63"/>
  <c r="Q407" i="63"/>
  <c r="Q408" i="63"/>
  <c r="Q409" i="63"/>
  <c r="Q410" i="63"/>
  <c r="Q411" i="63"/>
  <c r="Q412" i="63"/>
  <c r="Q413" i="63"/>
  <c r="Q425" i="63"/>
  <c r="Q426" i="63"/>
  <c r="R328" i="63"/>
  <c r="R329" i="63"/>
  <c r="R330" i="63"/>
  <c r="R331" i="63"/>
  <c r="R332" i="63"/>
  <c r="R333" i="63"/>
  <c r="R334" i="63"/>
  <c r="R335" i="63"/>
  <c r="R336" i="63"/>
  <c r="R337" i="63"/>
  <c r="R338" i="63"/>
  <c r="R339" i="63"/>
  <c r="R340" i="63"/>
  <c r="R341" i="63"/>
  <c r="R342" i="63"/>
  <c r="R343" i="63"/>
  <c r="R344" i="63"/>
  <c r="R346" i="63"/>
  <c r="R347" i="63"/>
  <c r="R349" i="63"/>
  <c r="R350" i="63"/>
  <c r="R351" i="63"/>
  <c r="R352" i="63"/>
  <c r="R353" i="63"/>
  <c r="R354" i="63"/>
  <c r="R355" i="63"/>
  <c r="R356" i="63"/>
  <c r="R357" i="63"/>
  <c r="R358" i="63"/>
  <c r="R359" i="63"/>
  <c r="R360" i="63"/>
  <c r="R361" i="63"/>
  <c r="R362" i="63"/>
  <c r="R363" i="63"/>
  <c r="R364" i="63"/>
  <c r="R365" i="63"/>
  <c r="R366" i="63"/>
  <c r="R367" i="63"/>
  <c r="R368" i="63"/>
  <c r="R369" i="63"/>
  <c r="R370" i="63"/>
  <c r="R371" i="63"/>
  <c r="R372" i="63"/>
  <c r="R373" i="63"/>
  <c r="R374" i="63"/>
  <c r="R375" i="63"/>
  <c r="R376" i="63"/>
  <c r="R377" i="63"/>
  <c r="R378" i="63"/>
  <c r="R379" i="63"/>
  <c r="R380" i="63"/>
  <c r="R381" i="63"/>
  <c r="R382" i="63"/>
  <c r="R383" i="63"/>
  <c r="R384" i="63"/>
  <c r="R385" i="63"/>
  <c r="R386" i="63"/>
  <c r="R387" i="63"/>
  <c r="R388" i="63"/>
  <c r="R389" i="63"/>
  <c r="R390" i="63"/>
  <c r="R391" i="63"/>
  <c r="R392" i="63"/>
  <c r="R393" i="63"/>
  <c r="R394" i="63"/>
  <c r="R395" i="63"/>
  <c r="R396" i="63"/>
  <c r="R397" i="63"/>
  <c r="R398" i="63"/>
  <c r="R399" i="63"/>
  <c r="R400" i="63"/>
  <c r="R401" i="63"/>
  <c r="R402" i="63"/>
  <c r="R403" i="63"/>
  <c r="R404" i="63"/>
  <c r="R405" i="63"/>
  <c r="R406" i="63"/>
  <c r="R407" i="63"/>
  <c r="R408" i="63"/>
  <c r="R409" i="63"/>
  <c r="R410" i="63"/>
  <c r="R411" i="63"/>
  <c r="R412" i="63"/>
  <c r="R413" i="63"/>
  <c r="R425" i="63"/>
  <c r="R426" i="63"/>
  <c r="S328" i="63"/>
  <c r="S329" i="63"/>
  <c r="S330" i="63"/>
  <c r="S331" i="63"/>
  <c r="S332" i="63"/>
  <c r="S333" i="63"/>
  <c r="S334" i="63"/>
  <c r="S335" i="63"/>
  <c r="S336" i="63"/>
  <c r="S337" i="63"/>
  <c r="S338" i="63"/>
  <c r="S339" i="63"/>
  <c r="S340" i="63"/>
  <c r="S341" i="63"/>
  <c r="S342" i="63"/>
  <c r="S343" i="63"/>
  <c r="S344" i="63"/>
  <c r="S346" i="63"/>
  <c r="S347" i="63"/>
  <c r="S349" i="63"/>
  <c r="S350" i="63"/>
  <c r="S351" i="63"/>
  <c r="S352" i="63"/>
  <c r="S353" i="63"/>
  <c r="S354" i="63"/>
  <c r="S355" i="63"/>
  <c r="S356" i="63"/>
  <c r="S357" i="63"/>
  <c r="S358" i="63"/>
  <c r="S359" i="63"/>
  <c r="S360" i="63"/>
  <c r="S361" i="63"/>
  <c r="S362" i="63"/>
  <c r="S363" i="63"/>
  <c r="S364" i="63"/>
  <c r="S365" i="63"/>
  <c r="S366" i="63"/>
  <c r="S367" i="63"/>
  <c r="S368" i="63"/>
  <c r="S369" i="63"/>
  <c r="S370" i="63"/>
  <c r="S371" i="63"/>
  <c r="S372" i="63"/>
  <c r="S373" i="63"/>
  <c r="S374" i="63"/>
  <c r="S375" i="63"/>
  <c r="S376" i="63"/>
  <c r="S377" i="63"/>
  <c r="S378" i="63"/>
  <c r="S379" i="63"/>
  <c r="S380" i="63"/>
  <c r="S381" i="63"/>
  <c r="S382" i="63"/>
  <c r="S383" i="63"/>
  <c r="S384" i="63"/>
  <c r="S385" i="63"/>
  <c r="S386" i="63"/>
  <c r="S387" i="63"/>
  <c r="S388" i="63"/>
  <c r="S389" i="63"/>
  <c r="S390" i="63"/>
  <c r="S391" i="63"/>
  <c r="S392" i="63"/>
  <c r="S393" i="63"/>
  <c r="S394" i="63"/>
  <c r="S395" i="63"/>
  <c r="S396" i="63"/>
  <c r="S397" i="63"/>
  <c r="S398" i="63"/>
  <c r="S399" i="63"/>
  <c r="S400" i="63"/>
  <c r="S401" i="63"/>
  <c r="S402" i="63"/>
  <c r="S403" i="63"/>
  <c r="S404" i="63"/>
  <c r="S405" i="63"/>
  <c r="S406" i="63"/>
  <c r="S407" i="63"/>
  <c r="S408" i="63"/>
  <c r="S409" i="63"/>
  <c r="S410" i="63"/>
  <c r="S411" i="63"/>
  <c r="S412" i="63"/>
  <c r="S413" i="63"/>
  <c r="S425" i="63"/>
  <c r="S426" i="63"/>
  <c r="I323" i="63" l="1"/>
  <c r="I304" i="63"/>
  <c r="D131" i="69" l="1"/>
  <c r="M68" i="37" l="1"/>
  <c r="I294" i="63"/>
  <c r="J294" i="63"/>
  <c r="M294" i="63"/>
  <c r="N294" i="63"/>
  <c r="P294" i="63"/>
  <c r="Q294" i="63"/>
  <c r="R294" i="63"/>
  <c r="S294" i="63"/>
  <c r="I315" i="63" l="1"/>
  <c r="J315" i="63"/>
  <c r="M315" i="63"/>
  <c r="N315" i="63"/>
  <c r="P315" i="63"/>
  <c r="Q315" i="63"/>
  <c r="R315" i="63"/>
  <c r="S315" i="63"/>
  <c r="I324" i="63"/>
  <c r="I313" i="63"/>
  <c r="I310" i="63"/>
  <c r="I297" i="63"/>
  <c r="I295" i="63"/>
  <c r="I291" i="63"/>
  <c r="D128" i="69"/>
  <c r="D127" i="69"/>
  <c r="I327" i="63"/>
  <c r="I326" i="63"/>
  <c r="I325" i="63"/>
  <c r="I322" i="63"/>
  <c r="I321" i="63"/>
  <c r="I320" i="63"/>
  <c r="I319" i="63"/>
  <c r="I318" i="63"/>
  <c r="I317" i="63"/>
  <c r="I314" i="63"/>
  <c r="I311" i="63"/>
  <c r="I308" i="63"/>
  <c r="I306" i="63"/>
  <c r="I305" i="63"/>
  <c r="I303" i="63"/>
  <c r="I302" i="63"/>
  <c r="I300" i="63"/>
  <c r="I299" i="63"/>
  <c r="I298" i="63"/>
  <c r="I296" i="63"/>
  <c r="I293" i="63"/>
  <c r="I290" i="63"/>
  <c r="I289" i="63"/>
  <c r="I288" i="63"/>
  <c r="I287" i="63"/>
  <c r="L322" i="63"/>
  <c r="L318" i="63"/>
  <c r="L311" i="63"/>
  <c r="F131" i="69"/>
  <c r="F130" i="69"/>
  <c r="F129" i="69"/>
  <c r="F128" i="69"/>
  <c r="F127" i="69"/>
  <c r="F126" i="69"/>
  <c r="O309" i="63"/>
  <c r="L309" i="63"/>
  <c r="H309" i="63"/>
  <c r="P307" i="63"/>
  <c r="O306" i="63"/>
  <c r="I307" i="63"/>
  <c r="I312" i="63"/>
  <c r="J306" i="63"/>
  <c r="J307" i="63"/>
  <c r="J308" i="63"/>
  <c r="J310" i="63"/>
  <c r="J311" i="63"/>
  <c r="J312" i="63"/>
  <c r="J313" i="63"/>
  <c r="J314" i="63"/>
  <c r="J316" i="63"/>
  <c r="J317" i="63"/>
  <c r="M306" i="63"/>
  <c r="M308" i="63"/>
  <c r="M309" i="63"/>
  <c r="M310" i="63"/>
  <c r="M311" i="63"/>
  <c r="M313" i="63"/>
  <c r="M314" i="63"/>
  <c r="M317" i="63"/>
  <c r="N306" i="63"/>
  <c r="N307" i="63"/>
  <c r="N308" i="63"/>
  <c r="N309" i="63"/>
  <c r="N310" i="63"/>
  <c r="N311" i="63"/>
  <c r="N312" i="63"/>
  <c r="N313" i="63"/>
  <c r="N314" i="63"/>
  <c r="N316" i="63"/>
  <c r="N317" i="63"/>
  <c r="P306" i="63"/>
  <c r="P308" i="63"/>
  <c r="P309" i="63"/>
  <c r="P310" i="63"/>
  <c r="P311" i="63"/>
  <c r="P313" i="63"/>
  <c r="P314" i="63"/>
  <c r="P317" i="63"/>
  <c r="Q306" i="63"/>
  <c r="Q307" i="63"/>
  <c r="Q308" i="63"/>
  <c r="Q309" i="63"/>
  <c r="Q310" i="63"/>
  <c r="Q311" i="63"/>
  <c r="Q312" i="63"/>
  <c r="Q313" i="63"/>
  <c r="Q314" i="63"/>
  <c r="Q316" i="63"/>
  <c r="Q317" i="63"/>
  <c r="R306" i="63"/>
  <c r="R307" i="63"/>
  <c r="R308" i="63"/>
  <c r="R309" i="63"/>
  <c r="R310" i="63"/>
  <c r="R311" i="63"/>
  <c r="R312" i="63"/>
  <c r="R313" i="63"/>
  <c r="R314" i="63"/>
  <c r="R316" i="63"/>
  <c r="R317" i="63"/>
  <c r="S306" i="63"/>
  <c r="S307" i="63"/>
  <c r="S308" i="63"/>
  <c r="S309" i="63"/>
  <c r="S310" i="63"/>
  <c r="S311" i="63"/>
  <c r="S312" i="63"/>
  <c r="S313" i="63"/>
  <c r="S314" i="63"/>
  <c r="S316" i="63"/>
  <c r="S317" i="63"/>
  <c r="I309" i="63" l="1"/>
  <c r="J309" i="63" s="1"/>
  <c r="H427" i="63"/>
  <c r="F133" i="69"/>
  <c r="L304" i="63"/>
  <c r="O298" i="63"/>
  <c r="L298" i="63"/>
  <c r="O296" i="63"/>
  <c r="L296" i="63"/>
  <c r="J327" i="63" l="1"/>
  <c r="M327" i="63"/>
  <c r="N327" i="63"/>
  <c r="P327" i="63"/>
  <c r="Q327" i="63"/>
  <c r="R327" i="63"/>
  <c r="S327" i="63"/>
  <c r="C21" i="72" l="1"/>
  <c r="E21" i="72"/>
  <c r="D21" i="72"/>
  <c r="B21" i="72"/>
  <c r="L220" i="63"/>
  <c r="O287" i="63" l="1"/>
  <c r="L287" i="63"/>
  <c r="F119" i="69"/>
  <c r="I273" i="63"/>
  <c r="D117" i="69"/>
  <c r="E138" i="37"/>
  <c r="B138" i="37"/>
  <c r="G129" i="37"/>
  <c r="I285" i="63"/>
  <c r="D114" i="69"/>
  <c r="D113" i="69"/>
  <c r="D120" i="69" s="1"/>
  <c r="I278" i="63"/>
  <c r="I277" i="63"/>
  <c r="I286" i="63"/>
  <c r="I284" i="63"/>
  <c r="I283" i="63"/>
  <c r="I282" i="63"/>
  <c r="I281" i="63"/>
  <c r="I279" i="63"/>
  <c r="I276" i="63"/>
  <c r="I275" i="63"/>
  <c r="I269" i="63"/>
  <c r="I267" i="63"/>
  <c r="J277" i="63"/>
  <c r="M277" i="63"/>
  <c r="N277" i="63"/>
  <c r="P277" i="63"/>
  <c r="Q277" i="63"/>
  <c r="R277" i="63"/>
  <c r="S277" i="63"/>
  <c r="L286" i="63"/>
  <c r="O286" i="63"/>
  <c r="L284" i="63"/>
  <c r="I292" i="63"/>
  <c r="I301" i="63"/>
  <c r="J287" i="63"/>
  <c r="J288" i="63"/>
  <c r="J289" i="63"/>
  <c r="J290" i="63"/>
  <c r="J291" i="63"/>
  <c r="J292" i="63"/>
  <c r="J293" i="63"/>
  <c r="J295" i="63"/>
  <c r="J297" i="63"/>
  <c r="J298" i="63"/>
  <c r="J299" i="63"/>
  <c r="J300" i="63"/>
  <c r="J301" i="63"/>
  <c r="J302" i="63"/>
  <c r="J303" i="63"/>
  <c r="J304" i="63"/>
  <c r="J305" i="63"/>
  <c r="J318" i="63"/>
  <c r="J319" i="63"/>
  <c r="J320" i="63"/>
  <c r="J321" i="63"/>
  <c r="J322" i="63"/>
  <c r="J323" i="63"/>
  <c r="J324" i="63"/>
  <c r="J325" i="63"/>
  <c r="J326" i="63"/>
  <c r="M287" i="63"/>
  <c r="M288" i="63"/>
  <c r="M289" i="63"/>
  <c r="M290" i="63"/>
  <c r="M291" i="63"/>
  <c r="M293" i="63"/>
  <c r="M295" i="63"/>
  <c r="M296" i="63"/>
  <c r="M297" i="63"/>
  <c r="M298" i="63"/>
  <c r="M299" i="63"/>
  <c r="M300" i="63"/>
  <c r="M301" i="63"/>
  <c r="M302" i="63"/>
  <c r="M303" i="63"/>
  <c r="M304" i="63"/>
  <c r="M305" i="63"/>
  <c r="M318" i="63"/>
  <c r="M319" i="63"/>
  <c r="M320" i="63"/>
  <c r="M321" i="63"/>
  <c r="M322" i="63"/>
  <c r="M323" i="63"/>
  <c r="M324" i="63"/>
  <c r="M325" i="63"/>
  <c r="M326" i="63"/>
  <c r="N287" i="63"/>
  <c r="N288" i="63"/>
  <c r="N289" i="63"/>
  <c r="N290" i="63"/>
  <c r="N291" i="63"/>
  <c r="N292" i="63"/>
  <c r="N293" i="63"/>
  <c r="N295" i="63"/>
  <c r="N296" i="63"/>
  <c r="N297" i="63"/>
  <c r="N298" i="63"/>
  <c r="N299" i="63"/>
  <c r="N300" i="63"/>
  <c r="N301" i="63"/>
  <c r="N302" i="63"/>
  <c r="N303" i="63"/>
  <c r="N304" i="63"/>
  <c r="N305" i="63"/>
  <c r="N318" i="63"/>
  <c r="N319" i="63"/>
  <c r="N320" i="63"/>
  <c r="N321" i="63"/>
  <c r="N322" i="63"/>
  <c r="N323" i="63"/>
  <c r="N324" i="63"/>
  <c r="N325" i="63"/>
  <c r="N326" i="63"/>
  <c r="P287" i="63"/>
  <c r="P288" i="63"/>
  <c r="P289" i="63"/>
  <c r="P290" i="63"/>
  <c r="P291" i="63"/>
  <c r="P293" i="63"/>
  <c r="P295" i="63"/>
  <c r="P296" i="63"/>
  <c r="P297" i="63"/>
  <c r="P298" i="63"/>
  <c r="P299" i="63"/>
  <c r="P300" i="63"/>
  <c r="P301" i="63"/>
  <c r="P302" i="63"/>
  <c r="P303" i="63"/>
  <c r="P304" i="63"/>
  <c r="P305" i="63"/>
  <c r="P318" i="63"/>
  <c r="P319" i="63"/>
  <c r="P320" i="63"/>
  <c r="P321" i="63"/>
  <c r="P322" i="63"/>
  <c r="P323" i="63"/>
  <c r="P324" i="63"/>
  <c r="P325" i="63"/>
  <c r="P326" i="63"/>
  <c r="Q287" i="63"/>
  <c r="Q288" i="63"/>
  <c r="Q289" i="63"/>
  <c r="Q290" i="63"/>
  <c r="Q291" i="63"/>
  <c r="Q292" i="63"/>
  <c r="Q293" i="63"/>
  <c r="Q295" i="63"/>
  <c r="Q296" i="63"/>
  <c r="Q297" i="63"/>
  <c r="Q298" i="63"/>
  <c r="Q299" i="63"/>
  <c r="Q300" i="63"/>
  <c r="Q301" i="63"/>
  <c r="Q302" i="63"/>
  <c r="Q303" i="63"/>
  <c r="Q304" i="63"/>
  <c r="Q305" i="63"/>
  <c r="Q318" i="63"/>
  <c r="Q319" i="63"/>
  <c r="Q320" i="63"/>
  <c r="Q321" i="63"/>
  <c r="Q322" i="63"/>
  <c r="Q323" i="63"/>
  <c r="Q324" i="63"/>
  <c r="Q325" i="63"/>
  <c r="Q326" i="63"/>
  <c r="R287" i="63"/>
  <c r="R288" i="63"/>
  <c r="R289" i="63"/>
  <c r="R290" i="63"/>
  <c r="R291" i="63"/>
  <c r="R292" i="63"/>
  <c r="R293" i="63"/>
  <c r="R295" i="63"/>
  <c r="R296" i="63"/>
  <c r="R297" i="63"/>
  <c r="R298" i="63"/>
  <c r="R299" i="63"/>
  <c r="R300" i="63"/>
  <c r="R301" i="63"/>
  <c r="R302" i="63"/>
  <c r="R303" i="63"/>
  <c r="R304" i="63"/>
  <c r="R305" i="63"/>
  <c r="R318" i="63"/>
  <c r="R319" i="63"/>
  <c r="R320" i="63"/>
  <c r="R321" i="63"/>
  <c r="R322" i="63"/>
  <c r="R323" i="63"/>
  <c r="R324" i="63"/>
  <c r="R325" i="63"/>
  <c r="R326" i="63"/>
  <c r="S287" i="63"/>
  <c r="S288" i="63"/>
  <c r="S289" i="63"/>
  <c r="S290" i="63"/>
  <c r="S291" i="63"/>
  <c r="S292" i="63"/>
  <c r="S293" i="63"/>
  <c r="S295" i="63"/>
  <c r="S296" i="63"/>
  <c r="S297" i="63"/>
  <c r="S298" i="63"/>
  <c r="S299" i="63"/>
  <c r="S300" i="63"/>
  <c r="S301" i="63"/>
  <c r="S302" i="63"/>
  <c r="S303" i="63"/>
  <c r="S304" i="63"/>
  <c r="S305" i="63"/>
  <c r="S318" i="63"/>
  <c r="S319" i="63"/>
  <c r="S320" i="63"/>
  <c r="S321" i="63"/>
  <c r="S322" i="63"/>
  <c r="S323" i="63"/>
  <c r="S324" i="63"/>
  <c r="S325" i="63"/>
  <c r="S326" i="63"/>
  <c r="O284" i="63"/>
  <c r="I280" i="63" l="1"/>
  <c r="J279" i="63"/>
  <c r="J280" i="63"/>
  <c r="J281" i="63"/>
  <c r="J282" i="63"/>
  <c r="M279" i="63"/>
  <c r="M280" i="63"/>
  <c r="M281" i="63"/>
  <c r="N279" i="63"/>
  <c r="N280" i="63"/>
  <c r="N281" i="63"/>
  <c r="N282" i="63"/>
  <c r="P279" i="63"/>
  <c r="P280" i="63"/>
  <c r="P281" i="63"/>
  <c r="P282" i="63"/>
  <c r="Q279" i="63"/>
  <c r="Q280" i="63"/>
  <c r="Q281" i="63"/>
  <c r="Q282" i="63"/>
  <c r="R279" i="63"/>
  <c r="R280" i="63"/>
  <c r="R281" i="63"/>
  <c r="R282" i="63"/>
  <c r="S279" i="63"/>
  <c r="S280" i="63"/>
  <c r="S281" i="63"/>
  <c r="S282" i="63"/>
  <c r="J283" i="63"/>
  <c r="M283" i="63"/>
  <c r="N283" i="63"/>
  <c r="P283" i="63"/>
  <c r="Q283" i="63"/>
  <c r="R283" i="63"/>
  <c r="S283" i="63"/>
  <c r="J284" i="63"/>
  <c r="M284" i="63"/>
  <c r="N284" i="63"/>
  <c r="P284" i="63"/>
  <c r="Q284" i="63"/>
  <c r="R284" i="63"/>
  <c r="S284" i="63"/>
  <c r="J285" i="63"/>
  <c r="M285" i="63"/>
  <c r="N285" i="63"/>
  <c r="P285" i="63"/>
  <c r="Q285" i="63"/>
  <c r="R285" i="63"/>
  <c r="S285" i="63"/>
  <c r="F117" i="69"/>
  <c r="F116" i="69"/>
  <c r="F115" i="69"/>
  <c r="F114" i="69"/>
  <c r="F112" i="69"/>
  <c r="F113" i="69" l="1"/>
  <c r="F120" i="69" s="1"/>
  <c r="I257" i="63" l="1"/>
  <c r="I271" i="63"/>
  <c r="I266" i="63"/>
  <c r="I258" i="63"/>
  <c r="I247" i="63"/>
  <c r="I263" i="63"/>
  <c r="I262" i="63"/>
  <c r="I261" i="63"/>
  <c r="I260" i="63"/>
  <c r="I259" i="63"/>
  <c r="I256" i="63"/>
  <c r="I255" i="63"/>
  <c r="I254" i="63"/>
  <c r="I253" i="63"/>
  <c r="I252" i="63"/>
  <c r="I251" i="63"/>
  <c r="I250" i="63"/>
  <c r="I249" i="63"/>
  <c r="I248" i="63"/>
  <c r="I246" i="63"/>
  <c r="O273" i="63"/>
  <c r="L273" i="63"/>
  <c r="I272" i="63"/>
  <c r="I274" i="63"/>
  <c r="J271" i="63"/>
  <c r="J272" i="63"/>
  <c r="J273" i="63"/>
  <c r="J274" i="63"/>
  <c r="M271" i="63"/>
  <c r="M272" i="63"/>
  <c r="M273" i="63"/>
  <c r="M274" i="63"/>
  <c r="N271" i="63"/>
  <c r="N272" i="63"/>
  <c r="N273" i="63"/>
  <c r="N274" i="63"/>
  <c r="P271" i="63"/>
  <c r="P272" i="63"/>
  <c r="P273" i="63"/>
  <c r="P274" i="63"/>
  <c r="Q271" i="63"/>
  <c r="Q272" i="63"/>
  <c r="Q273" i="63"/>
  <c r="Q274" i="63"/>
  <c r="R271" i="63"/>
  <c r="R272" i="63"/>
  <c r="R273" i="63"/>
  <c r="R274" i="63"/>
  <c r="S271" i="63"/>
  <c r="S272" i="63"/>
  <c r="S273" i="63"/>
  <c r="S274" i="63"/>
  <c r="J275" i="63"/>
  <c r="J276" i="63"/>
  <c r="M275" i="63"/>
  <c r="M276" i="63"/>
  <c r="N275" i="63"/>
  <c r="N276" i="63"/>
  <c r="P275" i="63"/>
  <c r="P276" i="63"/>
  <c r="Q275" i="63"/>
  <c r="Q276" i="63"/>
  <c r="R275" i="63"/>
  <c r="R276" i="63"/>
  <c r="S275" i="63"/>
  <c r="S276" i="63"/>
  <c r="J278" i="63"/>
  <c r="M278" i="63"/>
  <c r="N278" i="63"/>
  <c r="P278" i="63"/>
  <c r="Q278" i="63"/>
  <c r="R278" i="63"/>
  <c r="S278" i="63"/>
  <c r="L263" i="63"/>
  <c r="O257" i="63"/>
  <c r="J257" i="63"/>
  <c r="M257" i="63"/>
  <c r="N257" i="63"/>
  <c r="P257" i="63"/>
  <c r="Q257" i="63"/>
  <c r="R257" i="63"/>
  <c r="S257" i="63"/>
  <c r="L261" i="63" l="1"/>
  <c r="L256" i="63"/>
  <c r="P254" i="63"/>
  <c r="Q254" i="63" s="1"/>
  <c r="M254" i="63"/>
  <c r="L253" i="63" l="1"/>
  <c r="D106" i="69" l="1"/>
  <c r="D102" i="69"/>
  <c r="D103" i="69"/>
  <c r="I244" i="63"/>
  <c r="I238" i="63"/>
  <c r="D107" i="69"/>
  <c r="F106" i="69"/>
  <c r="I243" i="63"/>
  <c r="I242" i="63"/>
  <c r="I241" i="63"/>
  <c r="I240" i="63"/>
  <c r="I237" i="63"/>
  <c r="I236" i="63"/>
  <c r="I234" i="63"/>
  <c r="I231" i="63"/>
  <c r="I230" i="63"/>
  <c r="I229" i="63"/>
  <c r="I228" i="63"/>
  <c r="I225" i="63"/>
  <c r="I224" i="63"/>
  <c r="I223" i="63"/>
  <c r="I221" i="63"/>
  <c r="E107" i="69"/>
  <c r="F105" i="69"/>
  <c r="F104" i="69"/>
  <c r="F103" i="69"/>
  <c r="F102" i="69"/>
  <c r="F101" i="69"/>
  <c r="F107" i="69" s="1"/>
  <c r="I245" i="63" l="1"/>
  <c r="I239" i="63"/>
  <c r="L242" i="63"/>
  <c r="B108" i="37" l="1"/>
  <c r="E108" i="37"/>
  <c r="O229" i="63"/>
  <c r="L229" i="63"/>
  <c r="J229" i="63"/>
  <c r="M229" i="63"/>
  <c r="N229" i="63"/>
  <c r="P229" i="63"/>
  <c r="Q229" i="63"/>
  <c r="R229" i="63"/>
  <c r="S229" i="63"/>
  <c r="G94" i="37" l="1"/>
  <c r="I235" i="63"/>
  <c r="I232" i="63"/>
  <c r="I227" i="63"/>
  <c r="I226" i="63"/>
  <c r="L231" i="63"/>
  <c r="L228" i="63" l="1"/>
  <c r="L214" i="63" l="1"/>
  <c r="M286" i="63"/>
  <c r="N286" i="63"/>
  <c r="P286" i="63"/>
  <c r="Q286" i="63"/>
  <c r="R286" i="63"/>
  <c r="S286" i="63"/>
  <c r="I222" i="63"/>
  <c r="I233" i="63"/>
  <c r="I264" i="63"/>
  <c r="I265" i="63"/>
  <c r="I268" i="63"/>
  <c r="I270" i="63"/>
  <c r="J286" i="63"/>
  <c r="D88" i="69" l="1"/>
  <c r="D87" i="69"/>
  <c r="D92" i="69"/>
  <c r="I217" i="63"/>
  <c r="P217" i="63"/>
  <c r="Q217" i="63" s="1"/>
  <c r="M217" i="63"/>
  <c r="N217" i="63" s="1"/>
  <c r="J217" i="63"/>
  <c r="I220" i="63"/>
  <c r="F92" i="69"/>
  <c r="R217" i="63" l="1"/>
  <c r="S217" i="63" s="1"/>
  <c r="I218" i="63" l="1"/>
  <c r="I216" i="63"/>
  <c r="I215" i="63"/>
  <c r="I214" i="63"/>
  <c r="I213" i="63"/>
  <c r="I212" i="63"/>
  <c r="I210" i="63"/>
  <c r="I209" i="63"/>
  <c r="I208" i="63"/>
  <c r="I207" i="63"/>
  <c r="I205" i="63"/>
  <c r="I204" i="63"/>
  <c r="I203" i="63"/>
  <c r="I202" i="63"/>
  <c r="I201" i="63"/>
  <c r="I199" i="63"/>
  <c r="I198" i="63"/>
  <c r="I195" i="63"/>
  <c r="I196" i="63"/>
  <c r="I194" i="63"/>
  <c r="J215" i="63"/>
  <c r="M215" i="63"/>
  <c r="N215" i="63"/>
  <c r="P215" i="63"/>
  <c r="Q215" i="63"/>
  <c r="R215" i="63"/>
  <c r="S215" i="63"/>
  <c r="I211" i="63"/>
  <c r="I197" i="63"/>
  <c r="F93" i="69"/>
  <c r="F91" i="69"/>
  <c r="F90" i="69"/>
  <c r="F89" i="69"/>
  <c r="F88" i="69"/>
  <c r="F87" i="69"/>
  <c r="F86" i="69"/>
  <c r="J205" i="63"/>
  <c r="M205" i="63"/>
  <c r="N205" i="63"/>
  <c r="P205" i="63"/>
  <c r="Q205" i="63"/>
  <c r="R205" i="63"/>
  <c r="S205" i="63"/>
  <c r="F94" i="69" l="1"/>
  <c r="F97" i="69" s="1"/>
  <c r="L207" i="63"/>
  <c r="L195" i="63" l="1"/>
  <c r="O194" i="63"/>
  <c r="L194" i="63"/>
  <c r="D75" i="69" l="1"/>
  <c r="F78" i="69"/>
  <c r="D74" i="69"/>
  <c r="F80" i="69" l="1"/>
  <c r="F79" i="69"/>
  <c r="F76" i="69"/>
  <c r="F75" i="69"/>
  <c r="F74" i="69"/>
  <c r="F73" i="69"/>
  <c r="I188" i="63"/>
  <c r="I187" i="63"/>
  <c r="I186" i="63"/>
  <c r="I185" i="63"/>
  <c r="I181" i="63"/>
  <c r="I178" i="63"/>
  <c r="I176" i="63"/>
  <c r="I174" i="63"/>
  <c r="I169" i="63"/>
  <c r="I165" i="63"/>
  <c r="L190" i="63"/>
  <c r="R186" i="63"/>
  <c r="S186" i="63" s="1"/>
  <c r="F77" i="69" l="1"/>
  <c r="F81" i="69" s="1"/>
  <c r="L184" i="63" l="1"/>
  <c r="O170" i="63" l="1"/>
  <c r="L170" i="63"/>
  <c r="J165" i="63" l="1"/>
  <c r="M165" i="63"/>
  <c r="N165" i="63"/>
  <c r="P165" i="63"/>
  <c r="Q165" i="63"/>
  <c r="R165" i="63"/>
  <c r="S165" i="63"/>
  <c r="L168" i="63" l="1"/>
  <c r="L167" i="63"/>
  <c r="F64" i="69" l="1"/>
  <c r="D66" i="69" l="1"/>
  <c r="D68" i="69" l="1"/>
  <c r="F67" i="69" l="1"/>
  <c r="F66" i="69"/>
  <c r="F65" i="69"/>
  <c r="F63" i="69"/>
  <c r="F62" i="69"/>
  <c r="F68" i="69" s="1"/>
  <c r="M163" i="63"/>
  <c r="N163" i="63"/>
  <c r="I151" i="63"/>
  <c r="I141" i="63"/>
  <c r="I137" i="63"/>
  <c r="I133" i="63"/>
  <c r="L160" i="63"/>
  <c r="I143" i="63" l="1"/>
  <c r="J143" i="63"/>
  <c r="M143" i="63"/>
  <c r="N143" i="63"/>
  <c r="P143" i="63"/>
  <c r="Q143" i="63"/>
  <c r="R143" i="63"/>
  <c r="S143" i="63"/>
  <c r="O154" i="63"/>
  <c r="B36" i="71"/>
  <c r="D22" i="71"/>
  <c r="C17" i="71" l="1"/>
  <c r="C22" i="71" s="1"/>
  <c r="B17" i="71"/>
  <c r="B22" i="71" s="1"/>
  <c r="I132" i="63"/>
  <c r="I120" i="63"/>
  <c r="L134" i="63" l="1"/>
  <c r="I135" i="63"/>
  <c r="J135" i="63"/>
  <c r="M135" i="63"/>
  <c r="N135" i="63"/>
  <c r="P135" i="63"/>
  <c r="Q135" i="63"/>
  <c r="R135" i="63"/>
  <c r="S135" i="63"/>
  <c r="M88" i="37"/>
  <c r="E88" i="37"/>
  <c r="F49" i="69" l="1"/>
  <c r="F52" i="69"/>
  <c r="F53" i="69"/>
  <c r="F54" i="69"/>
  <c r="F55" i="69"/>
  <c r="D51" i="69"/>
  <c r="F51" i="69" s="1"/>
  <c r="D50" i="69"/>
  <c r="F50" i="69" s="1"/>
  <c r="F48" i="69"/>
  <c r="O127" i="63"/>
  <c r="L127" i="63"/>
  <c r="F56" i="69" l="1"/>
  <c r="I115" i="63"/>
  <c r="I113" i="63"/>
  <c r="I112" i="63"/>
  <c r="I111" i="63"/>
  <c r="I104" i="63"/>
  <c r="I101" i="63"/>
  <c r="I99" i="63"/>
  <c r="M112" i="63" l="1"/>
  <c r="N112" i="63"/>
  <c r="P112" i="63"/>
  <c r="Q112" i="63"/>
  <c r="D36" i="69" l="1"/>
  <c r="D35" i="69"/>
  <c r="I78" i="63"/>
  <c r="J78" i="63"/>
  <c r="M78" i="63"/>
  <c r="N78" i="63"/>
  <c r="P78" i="63"/>
  <c r="Q78" i="63"/>
  <c r="R78" i="63"/>
  <c r="S78" i="63"/>
  <c r="F37" i="69"/>
  <c r="F36" i="69"/>
  <c r="F34" i="69"/>
  <c r="F33" i="69"/>
  <c r="D39" i="69" l="1"/>
  <c r="F35" i="69"/>
  <c r="F39" i="69" s="1"/>
  <c r="L93" i="63" l="1"/>
  <c r="L71" i="63"/>
  <c r="I96" i="63"/>
  <c r="I95" i="63"/>
  <c r="L91" i="63"/>
  <c r="I89" i="63" l="1"/>
  <c r="I87" i="63"/>
  <c r="I85" i="63"/>
  <c r="I76" i="63"/>
  <c r="I73" i="63"/>
  <c r="O90" i="63"/>
  <c r="L90" i="63"/>
  <c r="D22" i="69" l="1"/>
  <c r="D21" i="69"/>
  <c r="D27" i="69" s="1"/>
  <c r="F20" i="69" l="1"/>
  <c r="F21" i="69"/>
  <c r="F22" i="69"/>
  <c r="F23" i="69"/>
  <c r="F24" i="69"/>
  <c r="F25" i="69"/>
  <c r="F19" i="69"/>
  <c r="F27" i="69" s="1"/>
  <c r="I70" i="63"/>
  <c r="I69" i="63"/>
  <c r="L67" i="63"/>
  <c r="I61" i="63" l="1"/>
  <c r="I60" i="63"/>
  <c r="I54" i="63"/>
  <c r="I52" i="63"/>
  <c r="I49" i="63"/>
  <c r="L47" i="63" l="1"/>
  <c r="I45" i="63"/>
  <c r="L42" i="63"/>
  <c r="L41" i="63"/>
  <c r="D7" i="69" l="1"/>
  <c r="D6" i="69"/>
  <c r="F8" i="69"/>
  <c r="F7" i="69"/>
  <c r="F6" i="69"/>
  <c r="F5" i="69"/>
  <c r="F4" i="69"/>
  <c r="F9" i="69" s="1"/>
  <c r="F13" i="69" s="1"/>
  <c r="I29" i="63"/>
  <c r="L27" i="63" l="1"/>
  <c r="L17" i="63" l="1"/>
  <c r="N9" i="63" l="1"/>
  <c r="L9" i="63"/>
  <c r="L8" i="63"/>
  <c r="M8" i="63" s="1"/>
  <c r="C6" i="68" l="1"/>
  <c r="D6" i="68"/>
  <c r="E6" i="68"/>
  <c r="B6" i="68"/>
  <c r="D19" i="65"/>
  <c r="L268" i="49"/>
  <c r="E21" i="65" l="1"/>
  <c r="E20" i="65"/>
  <c r="E19" i="65"/>
  <c r="E22" i="65" s="1"/>
  <c r="C21" i="65"/>
  <c r="C20" i="65"/>
  <c r="C19" i="65"/>
  <c r="C22" i="65" s="1"/>
  <c r="D21" i="65"/>
  <c r="D20" i="65"/>
  <c r="D22" i="65"/>
  <c r="B19" i="65"/>
  <c r="B22" i="65" s="1"/>
  <c r="F6" i="55"/>
  <c r="F5" i="55"/>
  <c r="F4" i="55"/>
  <c r="L263" i="49"/>
  <c r="P2" i="63" l="1"/>
  <c r="Q2" i="63" s="1"/>
  <c r="P3" i="63"/>
  <c r="Q3" i="63" s="1"/>
  <c r="P4" i="63"/>
  <c r="Q4" i="63" s="1"/>
  <c r="P5" i="63"/>
  <c r="Q5" i="63" s="1"/>
  <c r="P6" i="63"/>
  <c r="Q6" i="63" s="1"/>
  <c r="P7" i="63"/>
  <c r="Q7" i="63" s="1"/>
  <c r="P8" i="63"/>
  <c r="Q8" i="63" s="1"/>
  <c r="P9" i="63"/>
  <c r="Q9" i="63" s="1"/>
  <c r="P10" i="63"/>
  <c r="Q10" i="63" s="1"/>
  <c r="P11" i="63"/>
  <c r="Q11" i="63" s="1"/>
  <c r="P12" i="63"/>
  <c r="Q12" i="63" s="1"/>
  <c r="P13" i="63"/>
  <c r="Q13" i="63" s="1"/>
  <c r="P14" i="63"/>
  <c r="Q14" i="63" s="1"/>
  <c r="P15" i="63"/>
  <c r="Q15" i="63" s="1"/>
  <c r="P16" i="63"/>
  <c r="Q16" i="63" s="1"/>
  <c r="P17" i="63"/>
  <c r="Q17" i="63" s="1"/>
  <c r="P18" i="63"/>
  <c r="Q18" i="63" s="1"/>
  <c r="P19" i="63"/>
  <c r="Q19" i="63" s="1"/>
  <c r="P20" i="63"/>
  <c r="Q20" i="63" s="1"/>
  <c r="P21" i="63"/>
  <c r="Q21" i="63" s="1"/>
  <c r="P22" i="63"/>
  <c r="Q22" i="63" s="1"/>
  <c r="P23" i="63"/>
  <c r="Q23" i="63" s="1"/>
  <c r="P24" i="63"/>
  <c r="Q24" i="63" s="1"/>
  <c r="P25" i="63"/>
  <c r="Q25" i="63" s="1"/>
  <c r="P26" i="63"/>
  <c r="Q26" i="63" s="1"/>
  <c r="P27" i="63"/>
  <c r="Q27" i="63" s="1"/>
  <c r="P28" i="63"/>
  <c r="Q28" i="63" s="1"/>
  <c r="P29" i="63"/>
  <c r="Q29" i="63" s="1"/>
  <c r="P31" i="63"/>
  <c r="Q31" i="63" s="1"/>
  <c r="Q32" i="63"/>
  <c r="P33" i="63"/>
  <c r="Q33" i="63" s="1"/>
  <c r="P34" i="63"/>
  <c r="Q34" i="63" s="1"/>
  <c r="P35" i="63"/>
  <c r="Q35" i="63" s="1"/>
  <c r="P36" i="63"/>
  <c r="Q36" i="63" s="1"/>
  <c r="Q37" i="63"/>
  <c r="Q38" i="63"/>
  <c r="P39" i="63"/>
  <c r="Q39" i="63" s="1"/>
  <c r="P40" i="63"/>
  <c r="Q40" i="63" s="1"/>
  <c r="P41" i="63"/>
  <c r="Q41" i="63" s="1"/>
  <c r="P42" i="63"/>
  <c r="Q42" i="63" s="1"/>
  <c r="P43" i="63"/>
  <c r="Q43" i="63" s="1"/>
  <c r="P44" i="63"/>
  <c r="Q44" i="63" s="1"/>
  <c r="P45" i="63"/>
  <c r="Q45" i="63" s="1"/>
  <c r="Q46" i="63"/>
  <c r="P47" i="63"/>
  <c r="Q47" i="63" s="1"/>
  <c r="P48" i="63"/>
  <c r="Q48" i="63" s="1"/>
  <c r="P49" i="63"/>
  <c r="Q49" i="63" s="1"/>
  <c r="P50" i="63"/>
  <c r="Q50" i="63" s="1"/>
  <c r="P51" i="63"/>
  <c r="Q51" i="63" s="1"/>
  <c r="P52" i="63"/>
  <c r="Q52" i="63" s="1"/>
  <c r="P53" i="63"/>
  <c r="Q53" i="63" s="1"/>
  <c r="P54" i="63"/>
  <c r="Q54" i="63" s="1"/>
  <c r="P55" i="63"/>
  <c r="Q55" i="63" s="1"/>
  <c r="P56" i="63"/>
  <c r="Q56" i="63" s="1"/>
  <c r="P57" i="63"/>
  <c r="Q57" i="63" s="1"/>
  <c r="P58" i="63"/>
  <c r="Q58" i="63" s="1"/>
  <c r="P59" i="63"/>
  <c r="Q59" i="63" s="1"/>
  <c r="P60" i="63"/>
  <c r="Q60" i="63" s="1"/>
  <c r="P61" i="63"/>
  <c r="Q61" i="63" s="1"/>
  <c r="P62" i="63"/>
  <c r="Q62" i="63" s="1"/>
  <c r="P63" i="63"/>
  <c r="Q63" i="63" s="1"/>
  <c r="P64" i="63"/>
  <c r="Q64" i="63" s="1"/>
  <c r="P65" i="63"/>
  <c r="Q65" i="63" s="1"/>
  <c r="P66" i="63"/>
  <c r="Q66" i="63" s="1"/>
  <c r="P67" i="63"/>
  <c r="Q67" i="63" s="1"/>
  <c r="P68" i="63"/>
  <c r="Q68" i="63" s="1"/>
  <c r="P69" i="63"/>
  <c r="Q69" i="63" s="1"/>
  <c r="P70" i="63"/>
  <c r="Q70" i="63" s="1"/>
  <c r="P71" i="63"/>
  <c r="Q71" i="63" s="1"/>
  <c r="P72" i="63"/>
  <c r="Q72" i="63" s="1"/>
  <c r="P73" i="63"/>
  <c r="Q73" i="63" s="1"/>
  <c r="P74" i="63"/>
  <c r="Q74" i="63" s="1"/>
  <c r="P75" i="63"/>
  <c r="Q75" i="63" s="1"/>
  <c r="P76" i="63"/>
  <c r="Q76" i="63" s="1"/>
  <c r="P77" i="63"/>
  <c r="Q77" i="63" s="1"/>
  <c r="P79" i="63"/>
  <c r="Q79" i="63" s="1"/>
  <c r="P80" i="63"/>
  <c r="Q80" i="63" s="1"/>
  <c r="P81" i="63"/>
  <c r="Q81" i="63" s="1"/>
  <c r="Q82" i="63"/>
  <c r="P83" i="63"/>
  <c r="Q83" i="63" s="1"/>
  <c r="Q84" i="63"/>
  <c r="P85" i="63"/>
  <c r="Q85" i="63" s="1"/>
  <c r="P86" i="63"/>
  <c r="Q86" i="63" s="1"/>
  <c r="P87" i="63"/>
  <c r="Q87" i="63" s="1"/>
  <c r="Q88" i="63"/>
  <c r="P89" i="63"/>
  <c r="Q89" i="63" s="1"/>
  <c r="P90" i="63"/>
  <c r="Q90" i="63" s="1"/>
  <c r="P91" i="63"/>
  <c r="Q91" i="63" s="1"/>
  <c r="P92" i="63"/>
  <c r="Q92" i="63" s="1"/>
  <c r="P93" i="63"/>
  <c r="Q93" i="63" s="1"/>
  <c r="P94" i="63"/>
  <c r="Q94" i="63" s="1"/>
  <c r="P95" i="63"/>
  <c r="Q95" i="63" s="1"/>
  <c r="P96" i="63"/>
  <c r="Q96" i="63" s="1"/>
  <c r="P97" i="63"/>
  <c r="Q97" i="63" s="1"/>
  <c r="P98" i="63"/>
  <c r="Q98" i="63" s="1"/>
  <c r="P99" i="63"/>
  <c r="Q99" i="63" s="1"/>
  <c r="P100" i="63"/>
  <c r="Q100" i="63" s="1"/>
  <c r="P101" i="63"/>
  <c r="Q101" i="63" s="1"/>
  <c r="P102" i="63"/>
  <c r="Q102" i="63" s="1"/>
  <c r="P103" i="63"/>
  <c r="Q103" i="63" s="1"/>
  <c r="P104" i="63"/>
  <c r="Q104" i="63" s="1"/>
  <c r="P105" i="63"/>
  <c r="Q105" i="63" s="1"/>
  <c r="P106" i="63"/>
  <c r="Q106" i="63" s="1"/>
  <c r="P107" i="63"/>
  <c r="Q107" i="63" s="1"/>
  <c r="P108" i="63"/>
  <c r="Q108" i="63" s="1"/>
  <c r="P109" i="63"/>
  <c r="Q109" i="63" s="1"/>
  <c r="P110" i="63"/>
  <c r="Q110" i="63" s="1"/>
  <c r="P111" i="63"/>
  <c r="Q111" i="63" s="1"/>
  <c r="P113" i="63"/>
  <c r="Q113" i="63" s="1"/>
  <c r="P114" i="63"/>
  <c r="Q114" i="63" s="1"/>
  <c r="P115" i="63"/>
  <c r="Q115" i="63" s="1"/>
  <c r="P116" i="63"/>
  <c r="Q116" i="63" s="1"/>
  <c r="P117" i="63"/>
  <c r="Q117" i="63" s="1"/>
  <c r="P118" i="63"/>
  <c r="Q118" i="63" s="1"/>
  <c r="P119" i="63"/>
  <c r="Q119" i="63" s="1"/>
  <c r="P120" i="63"/>
  <c r="Q120" i="63" s="1"/>
  <c r="P121" i="63"/>
  <c r="Q121" i="63" s="1"/>
  <c r="P122" i="63"/>
  <c r="Q122" i="63" s="1"/>
  <c r="P123" i="63"/>
  <c r="Q123" i="63" s="1"/>
  <c r="P124" i="63"/>
  <c r="Q124" i="63" s="1"/>
  <c r="P125" i="63"/>
  <c r="Q125" i="63" s="1"/>
  <c r="P126" i="63"/>
  <c r="Q126" i="63" s="1"/>
  <c r="Q127" i="63"/>
  <c r="P128" i="63"/>
  <c r="Q128" i="63" s="1"/>
  <c r="P129" i="63"/>
  <c r="Q129" i="63" s="1"/>
  <c r="P130" i="63"/>
  <c r="Q130" i="63" s="1"/>
  <c r="P131" i="63"/>
  <c r="Q131" i="63" s="1"/>
  <c r="P132" i="63"/>
  <c r="Q132" i="63" s="1"/>
  <c r="P133" i="63"/>
  <c r="Q133" i="63" s="1"/>
  <c r="Q134" i="63"/>
  <c r="P136" i="63"/>
  <c r="Q136" i="63" s="1"/>
  <c r="P137" i="63"/>
  <c r="Q137" i="63" s="1"/>
  <c r="P138" i="63"/>
  <c r="Q138" i="63" s="1"/>
  <c r="P139" i="63"/>
  <c r="Q139" i="63" s="1"/>
  <c r="P140" i="63"/>
  <c r="Q140" i="63" s="1"/>
  <c r="P141" i="63"/>
  <c r="Q141" i="63" s="1"/>
  <c r="P142" i="63"/>
  <c r="Q142" i="63" s="1"/>
  <c r="P144" i="63"/>
  <c r="Q144" i="63" s="1"/>
  <c r="P145" i="63"/>
  <c r="Q145" i="63" s="1"/>
  <c r="P146" i="63"/>
  <c r="Q146" i="63" s="1"/>
  <c r="P147" i="63"/>
  <c r="Q147" i="63" s="1"/>
  <c r="P148" i="63"/>
  <c r="Q148" i="63" s="1"/>
  <c r="P149" i="63"/>
  <c r="Q149" i="63" s="1"/>
  <c r="P150" i="63"/>
  <c r="Q150" i="63" s="1"/>
  <c r="Q151" i="63"/>
  <c r="P152" i="63"/>
  <c r="Q152" i="63" s="1"/>
  <c r="P153" i="63"/>
  <c r="Q153" i="63" s="1"/>
  <c r="P154" i="63"/>
  <c r="Q154" i="63" s="1"/>
  <c r="P155" i="63"/>
  <c r="Q155" i="63" s="1"/>
  <c r="P156" i="63"/>
  <c r="Q156" i="63" s="1"/>
  <c r="P157" i="63"/>
  <c r="Q157" i="63" s="1"/>
  <c r="Q158" i="63"/>
  <c r="P159" i="63"/>
  <c r="Q159" i="63" s="1"/>
  <c r="P160" i="63"/>
  <c r="Q160" i="63" s="1"/>
  <c r="P161" i="63"/>
  <c r="Q161" i="63" s="1"/>
  <c r="P162" i="63"/>
  <c r="Q162" i="63" s="1"/>
  <c r="P163" i="63"/>
  <c r="Q163" i="63" s="1"/>
  <c r="P164" i="63"/>
  <c r="Q164" i="63" s="1"/>
  <c r="P166" i="63"/>
  <c r="Q166" i="63" s="1"/>
  <c r="P167" i="63"/>
  <c r="Q167" i="63" s="1"/>
  <c r="P168" i="63"/>
  <c r="Q168" i="63" s="1"/>
  <c r="P169" i="63"/>
  <c r="Q169" i="63" s="1"/>
  <c r="P170" i="63"/>
  <c r="Q170" i="63" s="1"/>
  <c r="P171" i="63"/>
  <c r="Q171" i="63" s="1"/>
  <c r="P172" i="63"/>
  <c r="Q172" i="63" s="1"/>
  <c r="P173" i="63"/>
  <c r="Q173" i="63" s="1"/>
  <c r="P174" i="63"/>
  <c r="Q174" i="63" s="1"/>
  <c r="P175" i="63"/>
  <c r="Q175" i="63" s="1"/>
  <c r="P176" i="63"/>
  <c r="Q176" i="63" s="1"/>
  <c r="P177" i="63"/>
  <c r="Q177" i="63" s="1"/>
  <c r="P178" i="63"/>
  <c r="Q178" i="63" s="1"/>
  <c r="P179" i="63"/>
  <c r="Q179" i="63" s="1"/>
  <c r="P180" i="63"/>
  <c r="Q180" i="63" s="1"/>
  <c r="P181" i="63"/>
  <c r="Q181" i="63" s="1"/>
  <c r="P182" i="63"/>
  <c r="Q182" i="63" s="1"/>
  <c r="Q183" i="63"/>
  <c r="P185" i="63"/>
  <c r="Q185" i="63" s="1"/>
  <c r="P184" i="63"/>
  <c r="Q184" i="63" s="1"/>
  <c r="P187" i="63"/>
  <c r="Q187" i="63" s="1"/>
  <c r="P188" i="63"/>
  <c r="Q188" i="63" s="1"/>
  <c r="P189" i="63"/>
  <c r="Q189" i="63" s="1"/>
  <c r="P190" i="63"/>
  <c r="Q190" i="63" s="1"/>
  <c r="P191" i="63"/>
  <c r="Q191" i="63" s="1"/>
  <c r="P192" i="63"/>
  <c r="Q192" i="63" s="1"/>
  <c r="P193" i="63"/>
  <c r="Q193" i="63" s="1"/>
  <c r="P194" i="63"/>
  <c r="Q194" i="63" s="1"/>
  <c r="P195" i="63"/>
  <c r="Q195" i="63" s="1"/>
  <c r="P196" i="63"/>
  <c r="Q196" i="63" s="1"/>
  <c r="Q197" i="63"/>
  <c r="P198" i="63"/>
  <c r="Q198" i="63" s="1"/>
  <c r="P199" i="63"/>
  <c r="Q199" i="63" s="1"/>
  <c r="P200" i="63"/>
  <c r="Q200" i="63" s="1"/>
  <c r="P201" i="63"/>
  <c r="Q201" i="63" s="1"/>
  <c r="P202" i="63"/>
  <c r="Q202" i="63" s="1"/>
  <c r="P203" i="63"/>
  <c r="Q203" i="63" s="1"/>
  <c r="P204" i="63"/>
  <c r="Q204" i="63" s="1"/>
  <c r="P206" i="63"/>
  <c r="Q206" i="63" s="1"/>
  <c r="P207" i="63"/>
  <c r="Q207" i="63" s="1"/>
  <c r="P208" i="63"/>
  <c r="Q208" i="63" s="1"/>
  <c r="P209" i="63"/>
  <c r="Q209" i="63" s="1"/>
  <c r="P210" i="63"/>
  <c r="Q210" i="63" s="1"/>
  <c r="P211" i="63"/>
  <c r="Q211" i="63" s="1"/>
  <c r="P212" i="63"/>
  <c r="Q212" i="63" s="1"/>
  <c r="P213" i="63"/>
  <c r="Q213" i="63" s="1"/>
  <c r="Q214" i="63"/>
  <c r="P216" i="63"/>
  <c r="Q216" i="63" s="1"/>
  <c r="P218" i="63"/>
  <c r="Q218" i="63" s="1"/>
  <c r="P219" i="63"/>
  <c r="Q219" i="63" s="1"/>
  <c r="P220" i="63"/>
  <c r="Q220" i="63" s="1"/>
  <c r="Q221" i="63"/>
  <c r="Q222" i="63"/>
  <c r="P223" i="63"/>
  <c r="Q223" i="63" s="1"/>
  <c r="P224" i="63"/>
  <c r="Q224" i="63" s="1"/>
  <c r="P225" i="63"/>
  <c r="Q225" i="63" s="1"/>
  <c r="P226" i="63"/>
  <c r="Q226" i="63" s="1"/>
  <c r="P227" i="63"/>
  <c r="Q227" i="63" s="1"/>
  <c r="P228" i="63"/>
  <c r="Q228" i="63" s="1"/>
  <c r="P230" i="63"/>
  <c r="Q230" i="63" s="1"/>
  <c r="P231" i="63"/>
  <c r="Q231" i="63" s="1"/>
  <c r="P232" i="63"/>
  <c r="Q232" i="63" s="1"/>
  <c r="P233" i="63"/>
  <c r="Q233" i="63" s="1"/>
  <c r="P234" i="63"/>
  <c r="Q234" i="63" s="1"/>
  <c r="P235" i="63"/>
  <c r="Q235" i="63" s="1"/>
  <c r="P236" i="63"/>
  <c r="Q236" i="63" s="1"/>
  <c r="P237" i="63"/>
  <c r="Q237" i="63" s="1"/>
  <c r="P238" i="63"/>
  <c r="Q238" i="63" s="1"/>
  <c r="P239" i="63"/>
  <c r="Q239" i="63" s="1"/>
  <c r="P240" i="63"/>
  <c r="Q240" i="63" s="1"/>
  <c r="P241" i="63"/>
  <c r="Q241" i="63" s="1"/>
  <c r="P242" i="63"/>
  <c r="Q242" i="63" s="1"/>
  <c r="P243" i="63"/>
  <c r="Q243" i="63" s="1"/>
  <c r="P244" i="63"/>
  <c r="Q244" i="63" s="1"/>
  <c r="P245" i="63"/>
  <c r="Q245" i="63" s="1"/>
  <c r="P246" i="63"/>
  <c r="Q246" i="63" s="1"/>
  <c r="P247" i="63"/>
  <c r="Q247" i="63" s="1"/>
  <c r="P248" i="63"/>
  <c r="Q248" i="63" s="1"/>
  <c r="P249" i="63"/>
  <c r="Q249" i="63" s="1"/>
  <c r="P250" i="63"/>
  <c r="Q250" i="63" s="1"/>
  <c r="P251" i="63"/>
  <c r="Q251" i="63" s="1"/>
  <c r="P252" i="63"/>
  <c r="Q252" i="63" s="1"/>
  <c r="P253" i="63"/>
  <c r="Q253" i="63" s="1"/>
  <c r="P255" i="63"/>
  <c r="Q255" i="63" s="1"/>
  <c r="P256" i="63"/>
  <c r="Q256" i="63" s="1"/>
  <c r="P258" i="63"/>
  <c r="Q258" i="63" s="1"/>
  <c r="P259" i="63"/>
  <c r="Q259" i="63" s="1"/>
  <c r="P260" i="63"/>
  <c r="Q260" i="63" s="1"/>
  <c r="Q261" i="63"/>
  <c r="P262" i="63"/>
  <c r="Q262" i="63" s="1"/>
  <c r="P263" i="63"/>
  <c r="Q263" i="63" s="1"/>
  <c r="P264" i="63"/>
  <c r="Q264" i="63" s="1"/>
  <c r="P265" i="63"/>
  <c r="Q265" i="63" s="1"/>
  <c r="P266" i="63"/>
  <c r="Q266" i="63" s="1"/>
  <c r="P267" i="63"/>
  <c r="Q267" i="63" s="1"/>
  <c r="P268" i="63"/>
  <c r="Q268" i="63" s="1"/>
  <c r="P269" i="63"/>
  <c r="Q269" i="63" s="1"/>
  <c r="Q270" i="63"/>
  <c r="M2" i="63"/>
  <c r="N2" i="63" s="1"/>
  <c r="M3" i="63"/>
  <c r="N3" i="63" s="1"/>
  <c r="M4" i="63"/>
  <c r="N4" i="63" s="1"/>
  <c r="R4" i="63" s="1"/>
  <c r="S4" i="63" s="1"/>
  <c r="M5" i="63"/>
  <c r="N5" i="63" s="1"/>
  <c r="R5" i="63" s="1"/>
  <c r="S5" i="63" s="1"/>
  <c r="M6" i="63"/>
  <c r="N6" i="63" s="1"/>
  <c r="M7" i="63"/>
  <c r="N7" i="63" s="1"/>
  <c r="N8" i="63"/>
  <c r="R8" i="63" s="1"/>
  <c r="S8" i="63" s="1"/>
  <c r="R9" i="63"/>
  <c r="S9" i="63" s="1"/>
  <c r="M10" i="63"/>
  <c r="N10" i="63" s="1"/>
  <c r="R10" i="63" s="1"/>
  <c r="S10" i="63" s="1"/>
  <c r="M11" i="63"/>
  <c r="N11" i="63" s="1"/>
  <c r="M12" i="63"/>
  <c r="N12" i="63" s="1"/>
  <c r="R12" i="63" s="1"/>
  <c r="S12" i="63" s="1"/>
  <c r="M13" i="63"/>
  <c r="N13" i="63" s="1"/>
  <c r="M14" i="63"/>
  <c r="N14" i="63" s="1"/>
  <c r="M15" i="63"/>
  <c r="N15" i="63" s="1"/>
  <c r="M16" i="63"/>
  <c r="N16" i="63" s="1"/>
  <c r="R16" i="63" s="1"/>
  <c r="S16" i="63" s="1"/>
  <c r="M17" i="63"/>
  <c r="N17" i="63" s="1"/>
  <c r="R17" i="63" s="1"/>
  <c r="S17" i="63" s="1"/>
  <c r="M18" i="63"/>
  <c r="N18" i="63" s="1"/>
  <c r="M19" i="63"/>
  <c r="N19" i="63" s="1"/>
  <c r="M20" i="63"/>
  <c r="N20" i="63" s="1"/>
  <c r="M21" i="63"/>
  <c r="N21" i="63" s="1"/>
  <c r="M22" i="63"/>
  <c r="N22" i="63" s="1"/>
  <c r="M23" i="63"/>
  <c r="N23" i="63" s="1"/>
  <c r="M24" i="63"/>
  <c r="N24" i="63" s="1"/>
  <c r="M25" i="63"/>
  <c r="N25" i="63" s="1"/>
  <c r="M26" i="63"/>
  <c r="N26" i="63" s="1"/>
  <c r="M27" i="63"/>
  <c r="N27" i="63" s="1"/>
  <c r="M28" i="63"/>
  <c r="N28" i="63" s="1"/>
  <c r="N29" i="63"/>
  <c r="M30" i="63"/>
  <c r="N30" i="63" s="1"/>
  <c r="M31" i="63"/>
  <c r="N31" i="63" s="1"/>
  <c r="N32" i="63"/>
  <c r="M33" i="63"/>
  <c r="N33" i="63" s="1"/>
  <c r="M34" i="63"/>
  <c r="N34" i="63" s="1"/>
  <c r="M35" i="63"/>
  <c r="N35" i="63" s="1"/>
  <c r="M36" i="63"/>
  <c r="N36" i="63" s="1"/>
  <c r="N37" i="63"/>
  <c r="M38" i="63"/>
  <c r="N38" i="63" s="1"/>
  <c r="M39" i="63"/>
  <c r="N39" i="63" s="1"/>
  <c r="M40" i="63"/>
  <c r="N40" i="63" s="1"/>
  <c r="M41" i="63"/>
  <c r="N41" i="63" s="1"/>
  <c r="M42" i="63"/>
  <c r="N42" i="63" s="1"/>
  <c r="M43" i="63"/>
  <c r="N43" i="63" s="1"/>
  <c r="M44" i="63"/>
  <c r="N44" i="63" s="1"/>
  <c r="M45" i="63"/>
  <c r="N45" i="63" s="1"/>
  <c r="N46" i="63"/>
  <c r="M47" i="63"/>
  <c r="N47" i="63" s="1"/>
  <c r="M48" i="63"/>
  <c r="N48" i="63" s="1"/>
  <c r="M49" i="63"/>
  <c r="N49" i="63" s="1"/>
  <c r="M50" i="63"/>
  <c r="N50" i="63" s="1"/>
  <c r="M51" i="63"/>
  <c r="N51" i="63" s="1"/>
  <c r="M52" i="63"/>
  <c r="N52" i="63" s="1"/>
  <c r="M53" i="63"/>
  <c r="N53" i="63" s="1"/>
  <c r="M54" i="63"/>
  <c r="N54" i="63" s="1"/>
  <c r="M55" i="63"/>
  <c r="N55" i="63" s="1"/>
  <c r="M56" i="63"/>
  <c r="N56" i="63" s="1"/>
  <c r="M57" i="63"/>
  <c r="N57" i="63" s="1"/>
  <c r="M58" i="63"/>
  <c r="N58" i="63" s="1"/>
  <c r="M59" i="63"/>
  <c r="N59" i="63" s="1"/>
  <c r="M60" i="63"/>
  <c r="N60" i="63" s="1"/>
  <c r="M61" i="63"/>
  <c r="N61" i="63" s="1"/>
  <c r="M62" i="63"/>
  <c r="N62" i="63" s="1"/>
  <c r="M63" i="63"/>
  <c r="N63" i="63" s="1"/>
  <c r="M64" i="63"/>
  <c r="N64" i="63" s="1"/>
  <c r="M65" i="63"/>
  <c r="N65" i="63" s="1"/>
  <c r="M66" i="63"/>
  <c r="N66" i="63" s="1"/>
  <c r="M67" i="63"/>
  <c r="N67" i="63" s="1"/>
  <c r="M68" i="63"/>
  <c r="N68" i="63" s="1"/>
  <c r="M69" i="63"/>
  <c r="N69" i="63" s="1"/>
  <c r="M70" i="63"/>
  <c r="N70" i="63" s="1"/>
  <c r="N71" i="63"/>
  <c r="M72" i="63"/>
  <c r="N72" i="63" s="1"/>
  <c r="M73" i="63"/>
  <c r="N73" i="63" s="1"/>
  <c r="M74" i="63"/>
  <c r="N74" i="63" s="1"/>
  <c r="M75" i="63"/>
  <c r="N75" i="63" s="1"/>
  <c r="M76" i="63"/>
  <c r="N76" i="63" s="1"/>
  <c r="M77" i="63"/>
  <c r="N77" i="63" s="1"/>
  <c r="M79" i="63"/>
  <c r="N79" i="63" s="1"/>
  <c r="M80" i="63"/>
  <c r="N80" i="63" s="1"/>
  <c r="M81" i="63"/>
  <c r="N81" i="63" s="1"/>
  <c r="N82" i="63"/>
  <c r="M83" i="63"/>
  <c r="N83" i="63" s="1"/>
  <c r="N84" i="63"/>
  <c r="M85" i="63"/>
  <c r="N85" i="63" s="1"/>
  <c r="M86" i="63"/>
  <c r="N86" i="63" s="1"/>
  <c r="M87" i="63"/>
  <c r="N87" i="63" s="1"/>
  <c r="M88" i="63"/>
  <c r="N88" i="63" s="1"/>
  <c r="M89" i="63"/>
  <c r="N89" i="63" s="1"/>
  <c r="M90" i="63"/>
  <c r="N90" i="63" s="1"/>
  <c r="M91" i="63"/>
  <c r="N91" i="63" s="1"/>
  <c r="M92" i="63"/>
  <c r="N92" i="63" s="1"/>
  <c r="M93" i="63"/>
  <c r="N93" i="63" s="1"/>
  <c r="M94" i="63"/>
  <c r="N94" i="63" s="1"/>
  <c r="M95" i="63"/>
  <c r="N95" i="63" s="1"/>
  <c r="M96" i="63"/>
  <c r="N96" i="63" s="1"/>
  <c r="M97" i="63"/>
  <c r="N97" i="63" s="1"/>
  <c r="M98" i="63"/>
  <c r="N98" i="63" s="1"/>
  <c r="M99" i="63"/>
  <c r="N99" i="63" s="1"/>
  <c r="M100" i="63"/>
  <c r="N100" i="63" s="1"/>
  <c r="M101" i="63"/>
  <c r="N101" i="63" s="1"/>
  <c r="M102" i="63"/>
  <c r="N102" i="63" s="1"/>
  <c r="M103" i="63"/>
  <c r="N103" i="63" s="1"/>
  <c r="M104" i="63"/>
  <c r="N104" i="63" s="1"/>
  <c r="M105" i="63"/>
  <c r="N105" i="63" s="1"/>
  <c r="M106" i="63"/>
  <c r="N106" i="63" s="1"/>
  <c r="M107" i="63"/>
  <c r="N107" i="63" s="1"/>
  <c r="M108" i="63"/>
  <c r="N108" i="63" s="1"/>
  <c r="M109" i="63"/>
  <c r="N109" i="63" s="1"/>
  <c r="M110" i="63"/>
  <c r="N110" i="63" s="1"/>
  <c r="M111" i="63"/>
  <c r="N111" i="63" s="1"/>
  <c r="M113" i="63"/>
  <c r="N113" i="63" s="1"/>
  <c r="M114" i="63"/>
  <c r="N114" i="63" s="1"/>
  <c r="M115" i="63"/>
  <c r="N115" i="63" s="1"/>
  <c r="M116" i="63"/>
  <c r="N116" i="63" s="1"/>
  <c r="M117" i="63"/>
  <c r="N117" i="63" s="1"/>
  <c r="M118" i="63"/>
  <c r="N118" i="63" s="1"/>
  <c r="M119" i="63"/>
  <c r="N119" i="63" s="1"/>
  <c r="M120" i="63"/>
  <c r="N120" i="63" s="1"/>
  <c r="M121" i="63"/>
  <c r="N121" i="63" s="1"/>
  <c r="M122" i="63"/>
  <c r="N122" i="63" s="1"/>
  <c r="M123" i="63"/>
  <c r="N123" i="63" s="1"/>
  <c r="M124" i="63"/>
  <c r="N124" i="63" s="1"/>
  <c r="M125" i="63"/>
  <c r="N125" i="63" s="1"/>
  <c r="M126" i="63"/>
  <c r="N126" i="63" s="1"/>
  <c r="N127" i="63"/>
  <c r="M128" i="63"/>
  <c r="N128" i="63" s="1"/>
  <c r="M129" i="63"/>
  <c r="N129" i="63" s="1"/>
  <c r="M130" i="63"/>
  <c r="N130" i="63" s="1"/>
  <c r="M131" i="63"/>
  <c r="N131" i="63" s="1"/>
  <c r="M132" i="63"/>
  <c r="N132" i="63" s="1"/>
  <c r="M133" i="63"/>
  <c r="N133" i="63" s="1"/>
  <c r="N134" i="63"/>
  <c r="M136" i="63"/>
  <c r="N136" i="63" s="1"/>
  <c r="N137" i="63"/>
  <c r="M138" i="63"/>
  <c r="N138" i="63" s="1"/>
  <c r="M139" i="63"/>
  <c r="N139" i="63" s="1"/>
  <c r="M140" i="63"/>
  <c r="N140" i="63" s="1"/>
  <c r="M141" i="63"/>
  <c r="N141" i="63" s="1"/>
  <c r="M142" i="63"/>
  <c r="N142" i="63" s="1"/>
  <c r="M144" i="63"/>
  <c r="N144" i="63" s="1"/>
  <c r="M145" i="63"/>
  <c r="N145" i="63" s="1"/>
  <c r="M146" i="63"/>
  <c r="N146" i="63" s="1"/>
  <c r="M147" i="63"/>
  <c r="N147" i="63" s="1"/>
  <c r="M148" i="63"/>
  <c r="N148" i="63" s="1"/>
  <c r="M149" i="63"/>
  <c r="N149" i="63" s="1"/>
  <c r="M150" i="63"/>
  <c r="N150" i="63" s="1"/>
  <c r="N151" i="63"/>
  <c r="M152" i="63"/>
  <c r="N152" i="63" s="1"/>
  <c r="M153" i="63"/>
  <c r="N153" i="63" s="1"/>
  <c r="M154" i="63"/>
  <c r="N154" i="63" s="1"/>
  <c r="M155" i="63"/>
  <c r="N155" i="63" s="1"/>
  <c r="M156" i="63"/>
  <c r="N156" i="63" s="1"/>
  <c r="M157" i="63"/>
  <c r="N157" i="63" s="1"/>
  <c r="N158" i="63"/>
  <c r="M159" i="63"/>
  <c r="N159" i="63" s="1"/>
  <c r="M160" i="63"/>
  <c r="N160" i="63" s="1"/>
  <c r="M161" i="63"/>
  <c r="N161" i="63" s="1"/>
  <c r="M162" i="63"/>
  <c r="N162" i="63" s="1"/>
  <c r="M164" i="63"/>
  <c r="N164" i="63" s="1"/>
  <c r="M166" i="63"/>
  <c r="N166" i="63" s="1"/>
  <c r="M167" i="63"/>
  <c r="N167" i="63" s="1"/>
  <c r="M168" i="63"/>
  <c r="N168" i="63" s="1"/>
  <c r="M169" i="63"/>
  <c r="N169" i="63" s="1"/>
  <c r="M170" i="63"/>
  <c r="N170" i="63" s="1"/>
  <c r="M171" i="63"/>
  <c r="N171" i="63" s="1"/>
  <c r="M172" i="63"/>
  <c r="N172" i="63" s="1"/>
  <c r="M173" i="63"/>
  <c r="N173" i="63" s="1"/>
  <c r="M174" i="63"/>
  <c r="N174" i="63" s="1"/>
  <c r="M175" i="63"/>
  <c r="N175" i="63" s="1"/>
  <c r="M176" i="63"/>
  <c r="N176" i="63" s="1"/>
  <c r="M177" i="63"/>
  <c r="N177" i="63" s="1"/>
  <c r="M178" i="63"/>
  <c r="N178" i="63" s="1"/>
  <c r="M179" i="63"/>
  <c r="N179" i="63" s="1"/>
  <c r="M180" i="63"/>
  <c r="N180" i="63" s="1"/>
  <c r="M181" i="63"/>
  <c r="N181" i="63" s="1"/>
  <c r="M182" i="63"/>
  <c r="N182" i="63" s="1"/>
  <c r="M183" i="63"/>
  <c r="N183" i="63" s="1"/>
  <c r="M185" i="63"/>
  <c r="N185" i="63" s="1"/>
  <c r="M184" i="63"/>
  <c r="N184" i="63" s="1"/>
  <c r="M187" i="63"/>
  <c r="N187" i="63" s="1"/>
  <c r="M188" i="63"/>
  <c r="N188" i="63" s="1"/>
  <c r="M189" i="63"/>
  <c r="N189" i="63" s="1"/>
  <c r="M190" i="63"/>
  <c r="N190" i="63" s="1"/>
  <c r="M191" i="63"/>
  <c r="N191" i="63" s="1"/>
  <c r="M192" i="63"/>
  <c r="N192" i="63" s="1"/>
  <c r="M193" i="63"/>
  <c r="N193" i="63" s="1"/>
  <c r="M194" i="63"/>
  <c r="N194" i="63" s="1"/>
  <c r="M195" i="63"/>
  <c r="N195" i="63" s="1"/>
  <c r="M196" i="63"/>
  <c r="N196" i="63" s="1"/>
  <c r="N197" i="63"/>
  <c r="M198" i="63"/>
  <c r="N198" i="63" s="1"/>
  <c r="M199" i="63"/>
  <c r="N199" i="63" s="1"/>
  <c r="M200" i="63"/>
  <c r="N200" i="63" s="1"/>
  <c r="M201" i="63"/>
  <c r="N201" i="63" s="1"/>
  <c r="M202" i="63"/>
  <c r="N202" i="63" s="1"/>
  <c r="M203" i="63"/>
  <c r="N203" i="63" s="1"/>
  <c r="M204" i="63"/>
  <c r="N204" i="63" s="1"/>
  <c r="M206" i="63"/>
  <c r="N206" i="63" s="1"/>
  <c r="M207" i="63"/>
  <c r="N207" i="63" s="1"/>
  <c r="M208" i="63"/>
  <c r="N208" i="63" s="1"/>
  <c r="M209" i="63"/>
  <c r="N209" i="63" s="1"/>
  <c r="M210" i="63"/>
  <c r="N210" i="63" s="1"/>
  <c r="M211" i="63"/>
  <c r="N211" i="63" s="1"/>
  <c r="M212" i="63"/>
  <c r="N212" i="63" s="1"/>
  <c r="M213" i="63"/>
  <c r="N213" i="63" s="1"/>
  <c r="N214" i="63"/>
  <c r="M216" i="63"/>
  <c r="N216" i="63" s="1"/>
  <c r="M218" i="63"/>
  <c r="N218" i="63" s="1"/>
  <c r="M219" i="63"/>
  <c r="N219" i="63" s="1"/>
  <c r="N220" i="63"/>
  <c r="N221" i="63"/>
  <c r="N222" i="63"/>
  <c r="M223" i="63"/>
  <c r="N223" i="63" s="1"/>
  <c r="M224" i="63"/>
  <c r="N224" i="63" s="1"/>
  <c r="M225" i="63"/>
  <c r="N225" i="63" s="1"/>
  <c r="M226" i="63"/>
  <c r="N226" i="63" s="1"/>
  <c r="M227" i="63"/>
  <c r="N227" i="63" s="1"/>
  <c r="M228" i="63"/>
  <c r="N228" i="63" s="1"/>
  <c r="M230" i="63"/>
  <c r="N230" i="63" s="1"/>
  <c r="M231" i="63"/>
  <c r="N231" i="63" s="1"/>
  <c r="M232" i="63"/>
  <c r="N232" i="63" s="1"/>
  <c r="M233" i="63"/>
  <c r="N233" i="63" s="1"/>
  <c r="M234" i="63"/>
  <c r="N234" i="63" s="1"/>
  <c r="M235" i="63"/>
  <c r="N235" i="63" s="1"/>
  <c r="M236" i="63"/>
  <c r="N236" i="63" s="1"/>
  <c r="M237" i="63"/>
  <c r="N237" i="63" s="1"/>
  <c r="M238" i="63"/>
  <c r="N238" i="63" s="1"/>
  <c r="M239" i="63"/>
  <c r="N239" i="63" s="1"/>
  <c r="M240" i="63"/>
  <c r="N240" i="63" s="1"/>
  <c r="M241" i="63"/>
  <c r="N241" i="63" s="1"/>
  <c r="M242" i="63"/>
  <c r="N242" i="63" s="1"/>
  <c r="M243" i="63"/>
  <c r="N243" i="63" s="1"/>
  <c r="M244" i="63"/>
  <c r="N244" i="63" s="1"/>
  <c r="M245" i="63"/>
  <c r="N245" i="63" s="1"/>
  <c r="M246" i="63"/>
  <c r="N246" i="63" s="1"/>
  <c r="M247" i="63"/>
  <c r="N247" i="63" s="1"/>
  <c r="M248" i="63"/>
  <c r="N248" i="63" s="1"/>
  <c r="M249" i="63"/>
  <c r="N249" i="63" s="1"/>
  <c r="M250" i="63"/>
  <c r="N250" i="63" s="1"/>
  <c r="M251" i="63"/>
  <c r="N251" i="63" s="1"/>
  <c r="M252" i="63"/>
  <c r="N252" i="63" s="1"/>
  <c r="M253" i="63"/>
  <c r="N253" i="63" s="1"/>
  <c r="N254" i="63"/>
  <c r="R254" i="63" s="1"/>
  <c r="M255" i="63"/>
  <c r="N255" i="63" s="1"/>
  <c r="M256" i="63"/>
  <c r="N256" i="63" s="1"/>
  <c r="M258" i="63"/>
  <c r="N258" i="63" s="1"/>
  <c r="M259" i="63"/>
  <c r="N259" i="63" s="1"/>
  <c r="M260" i="63"/>
  <c r="N260" i="63" s="1"/>
  <c r="N261" i="63"/>
  <c r="M262" i="63"/>
  <c r="N262" i="63" s="1"/>
  <c r="M264" i="63"/>
  <c r="N264" i="63" s="1"/>
  <c r="M265" i="63"/>
  <c r="N265" i="63" s="1"/>
  <c r="M266" i="63"/>
  <c r="N266" i="63" s="1"/>
  <c r="M267" i="63"/>
  <c r="N267" i="63" s="1"/>
  <c r="M268" i="63"/>
  <c r="N268" i="63" s="1"/>
  <c r="M269" i="63"/>
  <c r="N269" i="63" s="1"/>
  <c r="N270" i="63"/>
  <c r="I2" i="63"/>
  <c r="I3" i="63"/>
  <c r="J3" i="63" s="1"/>
  <c r="I4" i="63"/>
  <c r="J4" i="63" s="1"/>
  <c r="I5" i="63"/>
  <c r="J5" i="63" s="1"/>
  <c r="I6" i="63"/>
  <c r="J6" i="63" s="1"/>
  <c r="I7" i="63"/>
  <c r="J7" i="63" s="1"/>
  <c r="I8" i="63"/>
  <c r="J8" i="63" s="1"/>
  <c r="I9" i="63"/>
  <c r="J9" i="63" s="1"/>
  <c r="I10" i="63"/>
  <c r="J10" i="63" s="1"/>
  <c r="I11" i="63"/>
  <c r="J11" i="63" s="1"/>
  <c r="I12" i="63"/>
  <c r="J12" i="63" s="1"/>
  <c r="I13" i="63"/>
  <c r="J13" i="63" s="1"/>
  <c r="I14" i="63"/>
  <c r="J14" i="63" s="1"/>
  <c r="I16" i="63"/>
  <c r="J16" i="63" s="1"/>
  <c r="I17" i="63"/>
  <c r="J17" i="63" s="1"/>
  <c r="J18" i="63"/>
  <c r="J19" i="63"/>
  <c r="J20" i="63"/>
  <c r="I21" i="63"/>
  <c r="J21" i="63" s="1"/>
  <c r="I22" i="63"/>
  <c r="J22" i="63" s="1"/>
  <c r="I23" i="63"/>
  <c r="J23" i="63" s="1"/>
  <c r="I24" i="63"/>
  <c r="J24" i="63" s="1"/>
  <c r="I25" i="63"/>
  <c r="J25" i="63" s="1"/>
  <c r="I26" i="63"/>
  <c r="J26" i="63" s="1"/>
  <c r="I27" i="63"/>
  <c r="J27" i="63" s="1"/>
  <c r="I28" i="63"/>
  <c r="J28" i="63" s="1"/>
  <c r="J29" i="63"/>
  <c r="I30" i="63"/>
  <c r="J30" i="63" s="1"/>
  <c r="J31" i="63"/>
  <c r="I32" i="63"/>
  <c r="J32" i="63" s="1"/>
  <c r="I33" i="63"/>
  <c r="J33" i="63" s="1"/>
  <c r="I34" i="63"/>
  <c r="J34" i="63" s="1"/>
  <c r="I35" i="63"/>
  <c r="J35" i="63" s="1"/>
  <c r="I36" i="63"/>
  <c r="J36" i="63" s="1"/>
  <c r="I37" i="63"/>
  <c r="J37" i="63" s="1"/>
  <c r="I38" i="63"/>
  <c r="J38" i="63" s="1"/>
  <c r="J39" i="63"/>
  <c r="I40" i="63"/>
  <c r="J40" i="63" s="1"/>
  <c r="I41" i="63"/>
  <c r="J41" i="63" s="1"/>
  <c r="I42" i="63"/>
  <c r="J42" i="63" s="1"/>
  <c r="I43" i="63"/>
  <c r="J43" i="63" s="1"/>
  <c r="I44" i="63"/>
  <c r="J44" i="63" s="1"/>
  <c r="J45" i="63"/>
  <c r="I46" i="63"/>
  <c r="J46" i="63" s="1"/>
  <c r="I47" i="63"/>
  <c r="J47" i="63" s="1"/>
  <c r="I48" i="63"/>
  <c r="J48" i="63" s="1"/>
  <c r="J49" i="63"/>
  <c r="I50" i="63"/>
  <c r="J50" i="63" s="1"/>
  <c r="I51" i="63"/>
  <c r="J51" i="63" s="1"/>
  <c r="J52" i="63"/>
  <c r="J53" i="63"/>
  <c r="J54" i="63"/>
  <c r="I55" i="63"/>
  <c r="J55" i="63" s="1"/>
  <c r="I56" i="63"/>
  <c r="J56" i="63" s="1"/>
  <c r="I58" i="63"/>
  <c r="J58" i="63" s="1"/>
  <c r="I59" i="63"/>
  <c r="J59" i="63" s="1"/>
  <c r="J60" i="63"/>
  <c r="J61" i="63"/>
  <c r="I62" i="63"/>
  <c r="J62" i="63" s="1"/>
  <c r="I63" i="63"/>
  <c r="J63" i="63" s="1"/>
  <c r="I64" i="63"/>
  <c r="J64" i="63" s="1"/>
  <c r="I65" i="63"/>
  <c r="J65" i="63" s="1"/>
  <c r="I66" i="63"/>
  <c r="J66" i="63" s="1"/>
  <c r="I67" i="63"/>
  <c r="J67" i="63" s="1"/>
  <c r="I68" i="63"/>
  <c r="J68" i="63" s="1"/>
  <c r="J69" i="63"/>
  <c r="J70" i="63"/>
  <c r="I71" i="63"/>
  <c r="J71" i="63" s="1"/>
  <c r="I72" i="63"/>
  <c r="J72" i="63" s="1"/>
  <c r="J73" i="63"/>
  <c r="I74" i="63"/>
  <c r="J74" i="63" s="1"/>
  <c r="I75" i="63"/>
  <c r="J75" i="63" s="1"/>
  <c r="J76" i="63"/>
  <c r="I77" i="63"/>
  <c r="J77" i="63" s="1"/>
  <c r="I79" i="63"/>
  <c r="J79" i="63" s="1"/>
  <c r="I80" i="63"/>
  <c r="J80" i="63" s="1"/>
  <c r="J81" i="63"/>
  <c r="I82" i="63"/>
  <c r="J82" i="63" s="1"/>
  <c r="I83" i="63"/>
  <c r="J83" i="63" s="1"/>
  <c r="I84" i="63"/>
  <c r="J84" i="63" s="1"/>
  <c r="J85" i="63"/>
  <c r="I86" i="63"/>
  <c r="J86" i="63" s="1"/>
  <c r="J87" i="63"/>
  <c r="I88" i="63"/>
  <c r="J88" i="63" s="1"/>
  <c r="J89" i="63"/>
  <c r="I90" i="63"/>
  <c r="J90" i="63" s="1"/>
  <c r="I91" i="63"/>
  <c r="J91" i="63" s="1"/>
  <c r="I92" i="63"/>
  <c r="J92" i="63" s="1"/>
  <c r="I93" i="63"/>
  <c r="J93" i="63" s="1"/>
  <c r="I94" i="63"/>
  <c r="J94" i="63" s="1"/>
  <c r="J95" i="63"/>
  <c r="J96" i="63"/>
  <c r="I98" i="63"/>
  <c r="J98" i="63" s="1"/>
  <c r="J99" i="63"/>
  <c r="I100" i="63"/>
  <c r="J100" i="63" s="1"/>
  <c r="J101" i="63"/>
  <c r="I102" i="63"/>
  <c r="J102" i="63" s="1"/>
  <c r="J103" i="63"/>
  <c r="J104" i="63"/>
  <c r="I105" i="63"/>
  <c r="J105" i="63" s="1"/>
  <c r="I106" i="63"/>
  <c r="J106" i="63" s="1"/>
  <c r="I107" i="63"/>
  <c r="J107" i="63" s="1"/>
  <c r="I108" i="63"/>
  <c r="J108" i="63" s="1"/>
  <c r="I109" i="63"/>
  <c r="J109" i="63" s="1"/>
  <c r="I110" i="63"/>
  <c r="J110" i="63" s="1"/>
  <c r="J111" i="63"/>
  <c r="J112" i="63"/>
  <c r="J113" i="63"/>
  <c r="I114" i="63"/>
  <c r="J114" i="63" s="1"/>
  <c r="J115" i="63"/>
  <c r="I116" i="63"/>
  <c r="J116" i="63" s="1"/>
  <c r="I117" i="63"/>
  <c r="J117" i="63" s="1"/>
  <c r="I118" i="63"/>
  <c r="J118" i="63" s="1"/>
  <c r="I119" i="63"/>
  <c r="J119" i="63" s="1"/>
  <c r="J120" i="63"/>
  <c r="I121" i="63"/>
  <c r="J121" i="63" s="1"/>
  <c r="I122" i="63"/>
  <c r="J122" i="63" s="1"/>
  <c r="I123" i="63"/>
  <c r="J123" i="63" s="1"/>
  <c r="I124" i="63"/>
  <c r="J124" i="63" s="1"/>
  <c r="I125" i="63"/>
  <c r="J125" i="63" s="1"/>
  <c r="I126" i="63"/>
  <c r="J126" i="63" s="1"/>
  <c r="I127" i="63"/>
  <c r="J127" i="63" s="1"/>
  <c r="I128" i="63"/>
  <c r="J128" i="63" s="1"/>
  <c r="I129" i="63"/>
  <c r="J129" i="63" s="1"/>
  <c r="I130" i="63"/>
  <c r="J130" i="63" s="1"/>
  <c r="I131" i="63"/>
  <c r="J131" i="63" s="1"/>
  <c r="J132" i="63"/>
  <c r="J133" i="63"/>
  <c r="I134" i="63"/>
  <c r="J134" i="63" s="1"/>
  <c r="I136" i="63"/>
  <c r="J136" i="63" s="1"/>
  <c r="J137" i="63"/>
  <c r="I138" i="63"/>
  <c r="J138" i="63" s="1"/>
  <c r="I139" i="63"/>
  <c r="J139" i="63" s="1"/>
  <c r="I140" i="63"/>
  <c r="J140" i="63" s="1"/>
  <c r="J141" i="63"/>
  <c r="I142" i="63"/>
  <c r="J142" i="63" s="1"/>
  <c r="I144" i="63"/>
  <c r="J144" i="63" s="1"/>
  <c r="I145" i="63"/>
  <c r="J145" i="63" s="1"/>
  <c r="I146" i="63"/>
  <c r="J146" i="63" s="1"/>
  <c r="I147" i="63"/>
  <c r="J147" i="63" s="1"/>
  <c r="I148" i="63"/>
  <c r="J148" i="63" s="1"/>
  <c r="I149" i="63"/>
  <c r="J149" i="63" s="1"/>
  <c r="I150" i="63"/>
  <c r="J150" i="63" s="1"/>
  <c r="J151" i="63"/>
  <c r="I152" i="63"/>
  <c r="J152" i="63" s="1"/>
  <c r="I153" i="63"/>
  <c r="J153" i="63" s="1"/>
  <c r="I154" i="63"/>
  <c r="J154" i="63" s="1"/>
  <c r="I155" i="63"/>
  <c r="J155" i="63" s="1"/>
  <c r="J156" i="63"/>
  <c r="I157" i="63"/>
  <c r="J157" i="63" s="1"/>
  <c r="J158" i="63"/>
  <c r="I159" i="63"/>
  <c r="J159" i="63" s="1"/>
  <c r="I160" i="63"/>
  <c r="J160" i="63" s="1"/>
  <c r="I161" i="63"/>
  <c r="J161" i="63" s="1"/>
  <c r="I162" i="63"/>
  <c r="J162" i="63" s="1"/>
  <c r="I163" i="63"/>
  <c r="J163" i="63" s="1"/>
  <c r="I164" i="63"/>
  <c r="J164" i="63" s="1"/>
  <c r="I166" i="63"/>
  <c r="J166" i="63" s="1"/>
  <c r="I167" i="63"/>
  <c r="J167" i="63" s="1"/>
  <c r="I168" i="63"/>
  <c r="J168" i="63" s="1"/>
  <c r="J169" i="63"/>
  <c r="I170" i="63"/>
  <c r="J170" i="63" s="1"/>
  <c r="I171" i="63"/>
  <c r="J171" i="63" s="1"/>
  <c r="I172" i="63"/>
  <c r="J172" i="63" s="1"/>
  <c r="I173" i="63"/>
  <c r="J173" i="63" s="1"/>
  <c r="J174" i="63"/>
  <c r="I175" i="63"/>
  <c r="J175" i="63" s="1"/>
  <c r="J176" i="63"/>
  <c r="I177" i="63"/>
  <c r="J177" i="63" s="1"/>
  <c r="J178" i="63"/>
  <c r="I179" i="63"/>
  <c r="J179" i="63" s="1"/>
  <c r="I180" i="63"/>
  <c r="J180" i="63" s="1"/>
  <c r="J181" i="63"/>
  <c r="I182" i="63"/>
  <c r="J182" i="63" s="1"/>
  <c r="I183" i="63"/>
  <c r="J183" i="63" s="1"/>
  <c r="J185" i="63"/>
  <c r="I184" i="63"/>
  <c r="J184" i="63" s="1"/>
  <c r="J186" i="63"/>
  <c r="J187" i="63"/>
  <c r="J188" i="63"/>
  <c r="I189" i="63"/>
  <c r="J189" i="63" s="1"/>
  <c r="I190" i="63"/>
  <c r="J190" i="63" s="1"/>
  <c r="J191" i="63"/>
  <c r="I192" i="63"/>
  <c r="J192" i="63" s="1"/>
  <c r="I193" i="63"/>
  <c r="J193" i="63" s="1"/>
  <c r="J194" i="63"/>
  <c r="J195" i="63"/>
  <c r="J196" i="63"/>
  <c r="J197" i="63"/>
  <c r="J198" i="63"/>
  <c r="J199" i="63"/>
  <c r="I200" i="63"/>
  <c r="J200" i="63" s="1"/>
  <c r="J201" i="63"/>
  <c r="J202" i="63"/>
  <c r="J203" i="63"/>
  <c r="J204" i="63"/>
  <c r="I206" i="63"/>
  <c r="J206" i="63" s="1"/>
  <c r="J207" i="63"/>
  <c r="J208" i="63"/>
  <c r="J209" i="63"/>
  <c r="J210" i="63"/>
  <c r="J211" i="63"/>
  <c r="J212" i="63"/>
  <c r="J213" i="63"/>
  <c r="J214" i="63"/>
  <c r="J216" i="63"/>
  <c r="J218" i="63"/>
  <c r="I219" i="63"/>
  <c r="J219" i="63" s="1"/>
  <c r="J220" i="63"/>
  <c r="J221" i="63"/>
  <c r="J222" i="63"/>
  <c r="J223" i="63"/>
  <c r="J224" i="63"/>
  <c r="J225" i="63"/>
  <c r="J226" i="63"/>
  <c r="J227" i="63"/>
  <c r="J228" i="63"/>
  <c r="J230" i="63"/>
  <c r="J231" i="63"/>
  <c r="J232" i="63"/>
  <c r="J233" i="63"/>
  <c r="J234" i="63"/>
  <c r="J235" i="63"/>
  <c r="J236" i="63"/>
  <c r="J237" i="63"/>
  <c r="J238" i="63"/>
  <c r="J239" i="63"/>
  <c r="J240" i="63"/>
  <c r="J241" i="63"/>
  <c r="J242" i="63"/>
  <c r="J243" i="63"/>
  <c r="J244" i="63"/>
  <c r="J245" i="63"/>
  <c r="J246" i="63"/>
  <c r="J247" i="63"/>
  <c r="J248" i="63"/>
  <c r="J249" i="63"/>
  <c r="J250" i="63"/>
  <c r="J251" i="63"/>
  <c r="J252" i="63"/>
  <c r="J253" i="63"/>
  <c r="J254" i="63"/>
  <c r="J255" i="63"/>
  <c r="J256" i="63"/>
  <c r="J258" i="63"/>
  <c r="J259" i="63"/>
  <c r="J260" i="63"/>
  <c r="J261" i="63"/>
  <c r="J262" i="63"/>
  <c r="J263" i="63"/>
  <c r="J264" i="63"/>
  <c r="J265" i="63"/>
  <c r="J266" i="63"/>
  <c r="J267" i="63"/>
  <c r="J268" i="63"/>
  <c r="J269" i="63"/>
  <c r="J270" i="63"/>
  <c r="J2" i="63"/>
  <c r="J265" i="49"/>
  <c r="J266" i="49"/>
  <c r="M265" i="49"/>
  <c r="M266" i="49"/>
  <c r="N265" i="49"/>
  <c r="N266" i="49"/>
  <c r="P265" i="49"/>
  <c r="P266" i="49"/>
  <c r="Q265" i="49"/>
  <c r="Q266" i="49"/>
  <c r="R265" i="49"/>
  <c r="R266" i="49"/>
  <c r="S265" i="49"/>
  <c r="S266" i="49"/>
  <c r="J427" i="63" l="1"/>
  <c r="I427" i="63"/>
  <c r="R255" i="63"/>
  <c r="R270" i="63"/>
  <c r="S270" i="63" s="1"/>
  <c r="R269" i="63"/>
  <c r="S269" i="63" s="1"/>
  <c r="R268" i="63"/>
  <c r="S268" i="63" s="1"/>
  <c r="R267" i="63"/>
  <c r="S267" i="63" s="1"/>
  <c r="R266" i="63"/>
  <c r="S266" i="63" s="1"/>
  <c r="R265" i="63"/>
  <c r="S265" i="63" s="1"/>
  <c r="R264" i="63"/>
  <c r="S264" i="63" s="1"/>
  <c r="R263" i="63"/>
  <c r="S263" i="63" s="1"/>
  <c r="R262" i="63"/>
  <c r="S262" i="63" s="1"/>
  <c r="R261" i="63"/>
  <c r="S261" i="63" s="1"/>
  <c r="R260" i="63"/>
  <c r="S260" i="63" s="1"/>
  <c r="R259" i="63"/>
  <c r="S259" i="63" s="1"/>
  <c r="R258" i="63"/>
  <c r="S258" i="63" s="1"/>
  <c r="R256" i="63"/>
  <c r="S256" i="63" s="1"/>
  <c r="S255" i="63"/>
  <c r="S254" i="63"/>
  <c r="R253" i="63"/>
  <c r="S253" i="63" s="1"/>
  <c r="R252" i="63"/>
  <c r="S252" i="63" s="1"/>
  <c r="R251" i="63"/>
  <c r="S251" i="63" s="1"/>
  <c r="R250" i="63"/>
  <c r="S250" i="63" s="1"/>
  <c r="R249" i="63"/>
  <c r="S249" i="63" s="1"/>
  <c r="R248" i="63"/>
  <c r="S248" i="63" s="1"/>
  <c r="R247" i="63"/>
  <c r="S247" i="63" s="1"/>
  <c r="R246" i="63"/>
  <c r="S246" i="63" s="1"/>
  <c r="R245" i="63"/>
  <c r="S245" i="63" s="1"/>
  <c r="R244" i="63"/>
  <c r="S244" i="63" s="1"/>
  <c r="R243" i="63"/>
  <c r="S243" i="63" s="1"/>
  <c r="R242" i="63"/>
  <c r="S242" i="63" s="1"/>
  <c r="R241" i="63"/>
  <c r="S241" i="63" s="1"/>
  <c r="R240" i="63"/>
  <c r="S240" i="63" s="1"/>
  <c r="R239" i="63"/>
  <c r="S239" i="63" s="1"/>
  <c r="R238" i="63"/>
  <c r="S238" i="63" s="1"/>
  <c r="R237" i="63"/>
  <c r="S237" i="63" s="1"/>
  <c r="R236" i="63"/>
  <c r="S236" i="63" s="1"/>
  <c r="R235" i="63"/>
  <c r="S235" i="63" s="1"/>
  <c r="R234" i="63"/>
  <c r="S234" i="63" s="1"/>
  <c r="R233" i="63"/>
  <c r="S233" i="63" s="1"/>
  <c r="R232" i="63"/>
  <c r="S232" i="63" s="1"/>
  <c r="R231" i="63"/>
  <c r="S231" i="63" s="1"/>
  <c r="R230" i="63"/>
  <c r="S230" i="63" s="1"/>
  <c r="R228" i="63"/>
  <c r="S228" i="63" s="1"/>
  <c r="R227" i="63"/>
  <c r="S227" i="63" s="1"/>
  <c r="R226" i="63"/>
  <c r="S226" i="63" s="1"/>
  <c r="R225" i="63"/>
  <c r="S225" i="63" s="1"/>
  <c r="R224" i="63"/>
  <c r="S224" i="63" s="1"/>
  <c r="R223" i="63"/>
  <c r="S223" i="63" s="1"/>
  <c r="R222" i="63"/>
  <c r="S222" i="63" s="1"/>
  <c r="R221" i="63"/>
  <c r="S221" i="63" s="1"/>
  <c r="R220" i="63"/>
  <c r="S220" i="63" s="1"/>
  <c r="R219" i="63"/>
  <c r="S219" i="63" s="1"/>
  <c r="R218" i="63"/>
  <c r="S218" i="63" s="1"/>
  <c r="R216" i="63"/>
  <c r="S216" i="63" s="1"/>
  <c r="R214" i="63"/>
  <c r="S214" i="63" s="1"/>
  <c r="R213" i="63"/>
  <c r="S213" i="63" s="1"/>
  <c r="R212" i="63"/>
  <c r="S212" i="63" s="1"/>
  <c r="R211" i="63"/>
  <c r="S211" i="63" s="1"/>
  <c r="R210" i="63"/>
  <c r="S210" i="63" s="1"/>
  <c r="R209" i="63"/>
  <c r="S209" i="63" s="1"/>
  <c r="R208" i="63"/>
  <c r="S208" i="63" s="1"/>
  <c r="R207" i="63"/>
  <c r="S207" i="63" s="1"/>
  <c r="R206" i="63"/>
  <c r="S206" i="63" s="1"/>
  <c r="R204" i="63"/>
  <c r="S204" i="63" s="1"/>
  <c r="R203" i="63"/>
  <c r="S203" i="63" s="1"/>
  <c r="R202" i="63"/>
  <c r="S202" i="63" s="1"/>
  <c r="R201" i="63"/>
  <c r="S201" i="63" s="1"/>
  <c r="R200" i="63"/>
  <c r="S200" i="63" s="1"/>
  <c r="R199" i="63"/>
  <c r="S199" i="63" s="1"/>
  <c r="R198" i="63"/>
  <c r="S198" i="63" s="1"/>
  <c r="R197" i="63"/>
  <c r="S197" i="63" s="1"/>
  <c r="R196" i="63"/>
  <c r="S196" i="63" s="1"/>
  <c r="R195" i="63"/>
  <c r="S195" i="63" s="1"/>
  <c r="R194" i="63"/>
  <c r="S194" i="63" s="1"/>
  <c r="R193" i="63"/>
  <c r="S193" i="63" s="1"/>
  <c r="R192" i="63"/>
  <c r="S192" i="63" s="1"/>
  <c r="R191" i="63"/>
  <c r="S191" i="63" s="1"/>
  <c r="R190" i="63"/>
  <c r="S190" i="63" s="1"/>
  <c r="R189" i="63"/>
  <c r="S189" i="63" s="1"/>
  <c r="R188" i="63"/>
  <c r="S188" i="63" s="1"/>
  <c r="R187" i="63"/>
  <c r="S187" i="63" s="1"/>
  <c r="R184" i="63"/>
  <c r="S184" i="63" s="1"/>
  <c r="R185" i="63"/>
  <c r="S185" i="63" s="1"/>
  <c r="R183" i="63"/>
  <c r="S183" i="63" s="1"/>
  <c r="R182" i="63"/>
  <c r="S182" i="63" s="1"/>
  <c r="R181" i="63"/>
  <c r="S181" i="63" s="1"/>
  <c r="R180" i="63"/>
  <c r="S180" i="63" s="1"/>
  <c r="R179" i="63"/>
  <c r="S179" i="63" s="1"/>
  <c r="R178" i="63"/>
  <c r="S178" i="63" s="1"/>
  <c r="R177" i="63"/>
  <c r="S177" i="63" s="1"/>
  <c r="R176" i="63"/>
  <c r="S176" i="63" s="1"/>
  <c r="R175" i="63"/>
  <c r="S175" i="63" s="1"/>
  <c r="R174" i="63"/>
  <c r="S174" i="63" s="1"/>
  <c r="R173" i="63"/>
  <c r="S173" i="63" s="1"/>
  <c r="R172" i="63"/>
  <c r="S172" i="63" s="1"/>
  <c r="R171" i="63"/>
  <c r="S171" i="63" s="1"/>
  <c r="R170" i="63"/>
  <c r="S170" i="63" s="1"/>
  <c r="R169" i="63"/>
  <c r="S169" i="63" s="1"/>
  <c r="R168" i="63"/>
  <c r="S168" i="63" s="1"/>
  <c r="R167" i="63"/>
  <c r="S167" i="63" s="1"/>
  <c r="R166" i="63"/>
  <c r="S166" i="63" s="1"/>
  <c r="R164" i="63"/>
  <c r="S164" i="63" s="1"/>
  <c r="R163" i="63"/>
  <c r="S163" i="63" s="1"/>
  <c r="R162" i="63"/>
  <c r="S162" i="63" s="1"/>
  <c r="R161" i="63"/>
  <c r="S161" i="63" s="1"/>
  <c r="R160" i="63"/>
  <c r="S160" i="63" s="1"/>
  <c r="R159" i="63"/>
  <c r="S159" i="63" s="1"/>
  <c r="R158" i="63"/>
  <c r="S158" i="63" s="1"/>
  <c r="R157" i="63"/>
  <c r="S157" i="63" s="1"/>
  <c r="R156" i="63"/>
  <c r="S156" i="63" s="1"/>
  <c r="R155" i="63"/>
  <c r="S155" i="63" s="1"/>
  <c r="R154" i="63"/>
  <c r="S154" i="63" s="1"/>
  <c r="R153" i="63"/>
  <c r="S153" i="63" s="1"/>
  <c r="R152" i="63"/>
  <c r="S152" i="63" s="1"/>
  <c r="R151" i="63"/>
  <c r="S151" i="63" s="1"/>
  <c r="R150" i="63"/>
  <c r="S150" i="63" s="1"/>
  <c r="R149" i="63"/>
  <c r="S149" i="63" s="1"/>
  <c r="R148" i="63"/>
  <c r="S148" i="63" s="1"/>
  <c r="R147" i="63"/>
  <c r="S147" i="63" s="1"/>
  <c r="R146" i="63"/>
  <c r="S146" i="63" s="1"/>
  <c r="R145" i="63"/>
  <c r="S145" i="63" s="1"/>
  <c r="R144" i="63"/>
  <c r="S144" i="63" s="1"/>
  <c r="R142" i="63"/>
  <c r="S142" i="63" s="1"/>
  <c r="R141" i="63"/>
  <c r="S141" i="63" s="1"/>
  <c r="R140" i="63"/>
  <c r="S140" i="63" s="1"/>
  <c r="R139" i="63"/>
  <c r="S139" i="63" s="1"/>
  <c r="R138" i="63"/>
  <c r="S138" i="63" s="1"/>
  <c r="R137" i="63"/>
  <c r="S137" i="63" s="1"/>
  <c r="R136" i="63"/>
  <c r="S136" i="63" s="1"/>
  <c r="R134" i="63"/>
  <c r="S134" i="63" s="1"/>
  <c r="R133" i="63"/>
  <c r="S133" i="63" s="1"/>
  <c r="R132" i="63"/>
  <c r="S132" i="63" s="1"/>
  <c r="R131" i="63"/>
  <c r="S131" i="63" s="1"/>
  <c r="R130" i="63"/>
  <c r="S130" i="63" s="1"/>
  <c r="R129" i="63"/>
  <c r="S129" i="63" s="1"/>
  <c r="R128" i="63"/>
  <c r="S128" i="63" s="1"/>
  <c r="R127" i="63"/>
  <c r="S127" i="63" s="1"/>
  <c r="R126" i="63"/>
  <c r="S126" i="63" s="1"/>
  <c r="R125" i="63"/>
  <c r="S125" i="63" s="1"/>
  <c r="R124" i="63"/>
  <c r="S124" i="63" s="1"/>
  <c r="R123" i="63"/>
  <c r="S123" i="63" s="1"/>
  <c r="R122" i="63"/>
  <c r="S122" i="63" s="1"/>
  <c r="R121" i="63"/>
  <c r="S121" i="63" s="1"/>
  <c r="R120" i="63"/>
  <c r="S120" i="63" s="1"/>
  <c r="R119" i="63"/>
  <c r="S119" i="63" s="1"/>
  <c r="R118" i="63"/>
  <c r="S118" i="63" s="1"/>
  <c r="R117" i="63"/>
  <c r="S117" i="63" s="1"/>
  <c r="R116" i="63"/>
  <c r="S116" i="63" s="1"/>
  <c r="R115" i="63"/>
  <c r="S115" i="63" s="1"/>
  <c r="R114" i="63"/>
  <c r="S114" i="63" s="1"/>
  <c r="R113" i="63"/>
  <c r="S113" i="63" s="1"/>
  <c r="R112" i="63"/>
  <c r="S112" i="63" s="1"/>
  <c r="R111" i="63"/>
  <c r="S111" i="63" s="1"/>
  <c r="R110" i="63"/>
  <c r="S110" i="63" s="1"/>
  <c r="R109" i="63"/>
  <c r="S109" i="63" s="1"/>
  <c r="R108" i="63"/>
  <c r="S108" i="63" s="1"/>
  <c r="R107" i="63"/>
  <c r="S107" i="63" s="1"/>
  <c r="R106" i="63"/>
  <c r="S106" i="63" s="1"/>
  <c r="R105" i="63"/>
  <c r="S105" i="63" s="1"/>
  <c r="R104" i="63"/>
  <c r="S104" i="63" s="1"/>
  <c r="R103" i="63"/>
  <c r="S103" i="63" s="1"/>
  <c r="R102" i="63"/>
  <c r="S102" i="63" s="1"/>
  <c r="R101" i="63"/>
  <c r="S101" i="63" s="1"/>
  <c r="R100" i="63"/>
  <c r="S100" i="63" s="1"/>
  <c r="R99" i="63"/>
  <c r="S99" i="63" s="1"/>
  <c r="R98" i="63"/>
  <c r="S98" i="63" s="1"/>
  <c r="R97" i="63"/>
  <c r="S97" i="63" s="1"/>
  <c r="R96" i="63"/>
  <c r="S96" i="63" s="1"/>
  <c r="R95" i="63"/>
  <c r="S95" i="63" s="1"/>
  <c r="R94" i="63"/>
  <c r="S94" i="63" s="1"/>
  <c r="R93" i="63"/>
  <c r="S93" i="63" s="1"/>
  <c r="R92" i="63"/>
  <c r="S92" i="63" s="1"/>
  <c r="R91" i="63"/>
  <c r="S91" i="63" s="1"/>
  <c r="R90" i="63"/>
  <c r="S90" i="63" s="1"/>
  <c r="R89" i="63"/>
  <c r="S89" i="63" s="1"/>
  <c r="R88" i="63"/>
  <c r="S88" i="63" s="1"/>
  <c r="R87" i="63"/>
  <c r="S87" i="63" s="1"/>
  <c r="R86" i="63"/>
  <c r="S86" i="63" s="1"/>
  <c r="R85" i="63"/>
  <c r="S85" i="63" s="1"/>
  <c r="R84" i="63"/>
  <c r="S84" i="63" s="1"/>
  <c r="R83" i="63"/>
  <c r="S83" i="63" s="1"/>
  <c r="R82" i="63"/>
  <c r="S82" i="63" s="1"/>
  <c r="R81" i="63"/>
  <c r="S81" i="63" s="1"/>
  <c r="R80" i="63"/>
  <c r="S80" i="63" s="1"/>
  <c r="R79" i="63"/>
  <c r="S79" i="63" s="1"/>
  <c r="R77" i="63"/>
  <c r="S77" i="63" s="1"/>
  <c r="R76" i="63"/>
  <c r="S76" i="63" s="1"/>
  <c r="R75" i="63"/>
  <c r="S75" i="63" s="1"/>
  <c r="R74" i="63"/>
  <c r="S74" i="63" s="1"/>
  <c r="R73" i="63"/>
  <c r="S73" i="63" s="1"/>
  <c r="R72" i="63"/>
  <c r="S72" i="63" s="1"/>
  <c r="R71" i="63"/>
  <c r="S71" i="63" s="1"/>
  <c r="R70" i="63"/>
  <c r="S70" i="63" s="1"/>
  <c r="R69" i="63"/>
  <c r="S69" i="63" s="1"/>
  <c r="R68" i="63"/>
  <c r="S68" i="63" s="1"/>
  <c r="R67" i="63"/>
  <c r="S67" i="63" s="1"/>
  <c r="R66" i="63"/>
  <c r="S66" i="63" s="1"/>
  <c r="R65" i="63"/>
  <c r="S65" i="63" s="1"/>
  <c r="R64" i="63"/>
  <c r="S64" i="63" s="1"/>
  <c r="R63" i="63"/>
  <c r="S63" i="63" s="1"/>
  <c r="R62" i="63"/>
  <c r="S62" i="63" s="1"/>
  <c r="R61" i="63"/>
  <c r="S61" i="63" s="1"/>
  <c r="R60" i="63"/>
  <c r="S60" i="63" s="1"/>
  <c r="R59" i="63"/>
  <c r="S59" i="63" s="1"/>
  <c r="R58" i="63"/>
  <c r="S58" i="63" s="1"/>
  <c r="R57" i="63"/>
  <c r="S57" i="63" s="1"/>
  <c r="R56" i="63"/>
  <c r="S56" i="63" s="1"/>
  <c r="R55" i="63"/>
  <c r="S55" i="63" s="1"/>
  <c r="R54" i="63"/>
  <c r="S54" i="63" s="1"/>
  <c r="R53" i="63"/>
  <c r="S53" i="63" s="1"/>
  <c r="R52" i="63"/>
  <c r="S52" i="63" s="1"/>
  <c r="R51" i="63"/>
  <c r="S51" i="63" s="1"/>
  <c r="R50" i="63"/>
  <c r="S50" i="63" s="1"/>
  <c r="R49" i="63"/>
  <c r="S49" i="63" s="1"/>
  <c r="R48" i="63"/>
  <c r="S48" i="63" s="1"/>
  <c r="R47" i="63"/>
  <c r="S47" i="63" s="1"/>
  <c r="R46" i="63"/>
  <c r="S46" i="63" s="1"/>
  <c r="R45" i="63"/>
  <c r="S45" i="63" s="1"/>
  <c r="R44" i="63"/>
  <c r="S44" i="63" s="1"/>
  <c r="R43" i="63"/>
  <c r="S43" i="63" s="1"/>
  <c r="R42" i="63"/>
  <c r="S42" i="63" s="1"/>
  <c r="R41" i="63"/>
  <c r="S41" i="63" s="1"/>
  <c r="R40" i="63"/>
  <c r="S40" i="63" s="1"/>
  <c r="R39" i="63"/>
  <c r="S39" i="63" s="1"/>
  <c r="R38" i="63"/>
  <c r="S38" i="63" s="1"/>
  <c r="R37" i="63"/>
  <c r="S37" i="63" s="1"/>
  <c r="R36" i="63"/>
  <c r="S36" i="63" s="1"/>
  <c r="R35" i="63"/>
  <c r="S35" i="63" s="1"/>
  <c r="R34" i="63"/>
  <c r="S34" i="63" s="1"/>
  <c r="R33" i="63"/>
  <c r="S33" i="63" s="1"/>
  <c r="R32" i="63"/>
  <c r="S32" i="63" s="1"/>
  <c r="R31" i="63"/>
  <c r="S31" i="63" s="1"/>
  <c r="S30" i="63"/>
  <c r="R29" i="63"/>
  <c r="S29" i="63" s="1"/>
  <c r="R28" i="63"/>
  <c r="S28" i="63" s="1"/>
  <c r="R27" i="63"/>
  <c r="S27" i="63" s="1"/>
  <c r="R26" i="63"/>
  <c r="S26" i="63" s="1"/>
  <c r="R25" i="63"/>
  <c r="S25" i="63" s="1"/>
  <c r="R24" i="63"/>
  <c r="S24" i="63" s="1"/>
  <c r="R23" i="63"/>
  <c r="S23" i="63" s="1"/>
  <c r="R22" i="63"/>
  <c r="S22" i="63" s="1"/>
  <c r="R21" i="63"/>
  <c r="S21" i="63" s="1"/>
  <c r="R20" i="63"/>
  <c r="S20" i="63" s="1"/>
  <c r="R19" i="63"/>
  <c r="S19" i="63" s="1"/>
  <c r="R15" i="63"/>
  <c r="S15" i="63" s="1"/>
  <c r="R14" i="63"/>
  <c r="S14" i="63" s="1"/>
  <c r="R13" i="63"/>
  <c r="S13" i="63" s="1"/>
  <c r="R11" i="63"/>
  <c r="S11" i="63" s="1"/>
  <c r="R7" i="63"/>
  <c r="S7" i="63" s="1"/>
  <c r="R6" i="63"/>
  <c r="S6" i="63" s="1"/>
  <c r="R3" i="63"/>
  <c r="S3" i="63" s="1"/>
  <c r="R2" i="63"/>
  <c r="S2" i="63" s="1"/>
  <c r="R18" i="63"/>
  <c r="S18" i="63" s="1"/>
  <c r="G104" i="50" l="1"/>
  <c r="G110" i="50"/>
  <c r="G105" i="50"/>
  <c r="G106" i="50"/>
  <c r="G107" i="50"/>
  <c r="G108" i="50"/>
  <c r="G109" i="50"/>
  <c r="G103" i="50"/>
  <c r="A104" i="50" l="1"/>
  <c r="A105" i="50" s="1"/>
  <c r="A106" i="50" s="1"/>
  <c r="A107" i="50" s="1"/>
  <c r="L264" i="49" l="1"/>
  <c r="I250" i="49"/>
  <c r="I251" i="49"/>
  <c r="I252" i="49"/>
  <c r="I253" i="49"/>
  <c r="I255" i="49"/>
  <c r="I256" i="49"/>
  <c r="I257" i="49"/>
  <c r="I258" i="49"/>
  <c r="I259" i="49"/>
  <c r="I260" i="49"/>
  <c r="I261" i="49"/>
  <c r="I262" i="49"/>
  <c r="I263" i="49"/>
  <c r="I264" i="49"/>
  <c r="I249" i="49"/>
  <c r="L262" i="49"/>
  <c r="L261" i="49"/>
  <c r="O254" i="49"/>
  <c r="L254" i="49"/>
  <c r="L253" i="49"/>
  <c r="L252" i="49" l="1"/>
  <c r="M252" i="49" l="1"/>
  <c r="M253" i="49"/>
  <c r="P253" i="49"/>
  <c r="L226" i="49" l="1"/>
  <c r="O249" i="49"/>
  <c r="J249" i="49"/>
  <c r="J250" i="49"/>
  <c r="J251" i="49"/>
  <c r="J252" i="49"/>
  <c r="J253" i="49"/>
  <c r="J254" i="49"/>
  <c r="J255" i="49"/>
  <c r="J256" i="49"/>
  <c r="M249" i="49"/>
  <c r="M250" i="49"/>
  <c r="M251" i="49"/>
  <c r="N251" i="49" s="1"/>
  <c r="M254" i="49"/>
  <c r="M255" i="49"/>
  <c r="M256" i="49"/>
  <c r="N249" i="49"/>
  <c r="N250" i="49"/>
  <c r="N252" i="49"/>
  <c r="N253" i="49"/>
  <c r="N254" i="49"/>
  <c r="N255" i="49"/>
  <c r="N256" i="49"/>
  <c r="P249" i="49"/>
  <c r="P250" i="49"/>
  <c r="P251" i="49"/>
  <c r="P252" i="49"/>
  <c r="P254" i="49"/>
  <c r="P255" i="49"/>
  <c r="Q249" i="49"/>
  <c r="Q250" i="49"/>
  <c r="Q251" i="49"/>
  <c r="Q252" i="49"/>
  <c r="Q253" i="49"/>
  <c r="Q254" i="49"/>
  <c r="Q256" i="49"/>
  <c r="R249" i="49"/>
  <c r="R250" i="49"/>
  <c r="R251" i="49"/>
  <c r="R252" i="49"/>
  <c r="R253" i="49"/>
  <c r="R254" i="49"/>
  <c r="R256" i="49"/>
  <c r="S249" i="49"/>
  <c r="S250" i="49"/>
  <c r="S251" i="49"/>
  <c r="S252" i="49"/>
  <c r="S253" i="49"/>
  <c r="S254" i="49"/>
  <c r="S255" i="49"/>
  <c r="S256" i="49"/>
  <c r="J257" i="49"/>
  <c r="J258" i="49"/>
  <c r="J259" i="49"/>
  <c r="J260" i="49"/>
  <c r="M258" i="49"/>
  <c r="M259" i="49"/>
  <c r="N257" i="49"/>
  <c r="N258" i="49"/>
  <c r="N259" i="49"/>
  <c r="N260" i="49"/>
  <c r="P258" i="49"/>
  <c r="P259" i="49"/>
  <c r="Q257" i="49"/>
  <c r="Q258" i="49"/>
  <c r="Q259" i="49"/>
  <c r="Q260" i="49"/>
  <c r="R257" i="49"/>
  <c r="R258" i="49"/>
  <c r="R259" i="49"/>
  <c r="R260" i="49"/>
  <c r="S260" i="49" s="1"/>
  <c r="S257" i="49"/>
  <c r="S258" i="49"/>
  <c r="S259" i="49"/>
  <c r="J261" i="49"/>
  <c r="J262" i="49"/>
  <c r="M261" i="49"/>
  <c r="M262" i="49"/>
  <c r="N261" i="49"/>
  <c r="N262" i="49"/>
  <c r="P261" i="49"/>
  <c r="P262" i="49"/>
  <c r="Q261" i="49"/>
  <c r="Q262" i="49"/>
  <c r="R261" i="49"/>
  <c r="R262" i="49"/>
  <c r="S261" i="49"/>
  <c r="S262" i="49"/>
  <c r="J263" i="49"/>
  <c r="M263" i="49"/>
  <c r="N263" i="49"/>
  <c r="P263" i="49"/>
  <c r="Q263" i="49"/>
  <c r="R263" i="49"/>
  <c r="S263" i="49"/>
  <c r="G98" i="50" l="1"/>
  <c r="E96" i="50"/>
  <c r="E95" i="50"/>
  <c r="G97" i="50"/>
  <c r="G96" i="50"/>
  <c r="G95" i="50"/>
  <c r="G94" i="50"/>
  <c r="A94" i="50"/>
  <c r="A95" i="50" s="1"/>
  <c r="A96" i="50" s="1"/>
  <c r="A97" i="50" s="1"/>
  <c r="I229" i="49"/>
  <c r="J229" i="49"/>
  <c r="M229" i="49"/>
  <c r="N229" i="49"/>
  <c r="P229" i="49"/>
  <c r="Q229" i="49"/>
  <c r="R229" i="49"/>
  <c r="S229" i="49"/>
  <c r="I236" i="49" l="1"/>
  <c r="I237" i="49"/>
  <c r="I238" i="49"/>
  <c r="I239" i="49"/>
  <c r="I240" i="49"/>
  <c r="I241" i="49"/>
  <c r="I242" i="49"/>
  <c r="I243" i="49"/>
  <c r="I244" i="49"/>
  <c r="I245" i="49"/>
  <c r="I246" i="49"/>
  <c r="I247" i="49"/>
  <c r="I248" i="49"/>
  <c r="I235" i="49"/>
  <c r="I233" i="49"/>
  <c r="I234" i="49"/>
  <c r="I231" i="49"/>
  <c r="I227" i="49"/>
  <c r="I228" i="49"/>
  <c r="I226" i="49"/>
  <c r="I219" i="49"/>
  <c r="L247" i="49"/>
  <c r="O243" i="49"/>
  <c r="L243" i="49"/>
  <c r="O235" i="49"/>
  <c r="J234" i="49" l="1"/>
  <c r="J235" i="49"/>
  <c r="J236" i="49"/>
  <c r="J237" i="49"/>
  <c r="J238" i="49"/>
  <c r="J239" i="49"/>
  <c r="J240" i="49"/>
  <c r="J241" i="49"/>
  <c r="M234" i="49"/>
  <c r="M235" i="49"/>
  <c r="M236" i="49"/>
  <c r="M237" i="49"/>
  <c r="M238" i="49"/>
  <c r="M239" i="49"/>
  <c r="M240" i="49"/>
  <c r="M241" i="49"/>
  <c r="N234" i="49"/>
  <c r="N235" i="49"/>
  <c r="N236" i="49"/>
  <c r="N237" i="49"/>
  <c r="N238" i="49"/>
  <c r="N239" i="49"/>
  <c r="N240" i="49"/>
  <c r="N241" i="49"/>
  <c r="P234" i="49"/>
  <c r="P235" i="49"/>
  <c r="P236" i="49"/>
  <c r="P237" i="49"/>
  <c r="P238" i="49"/>
  <c r="P239" i="49"/>
  <c r="P240" i="49"/>
  <c r="P241" i="49"/>
  <c r="Q234" i="49"/>
  <c r="Q235" i="49"/>
  <c r="Q236" i="49"/>
  <c r="Q237" i="49"/>
  <c r="Q238" i="49"/>
  <c r="Q239" i="49"/>
  <c r="Q240" i="49"/>
  <c r="Q241" i="49"/>
  <c r="R234" i="49"/>
  <c r="R235" i="49"/>
  <c r="R236" i="49"/>
  <c r="R237" i="49"/>
  <c r="R238" i="49"/>
  <c r="R239" i="49"/>
  <c r="R240" i="49"/>
  <c r="R241" i="49"/>
  <c r="S234" i="49"/>
  <c r="S235" i="49"/>
  <c r="S236" i="49"/>
  <c r="S237" i="49"/>
  <c r="S238" i="49"/>
  <c r="S239" i="49"/>
  <c r="S240" i="49"/>
  <c r="S241" i="49"/>
  <c r="J242" i="49"/>
  <c r="J243" i="49"/>
  <c r="J244" i="49"/>
  <c r="J245" i="49"/>
  <c r="M242" i="49"/>
  <c r="M243" i="49"/>
  <c r="M244" i="49"/>
  <c r="M245" i="49"/>
  <c r="N242" i="49"/>
  <c r="N243" i="49"/>
  <c r="N244" i="49"/>
  <c r="N245" i="49"/>
  <c r="P242" i="49"/>
  <c r="P243" i="49"/>
  <c r="P244" i="49"/>
  <c r="P245" i="49"/>
  <c r="Q242" i="49"/>
  <c r="Q243" i="49"/>
  <c r="Q244" i="49"/>
  <c r="Q245" i="49"/>
  <c r="R245" i="49" s="1"/>
  <c r="R242" i="49"/>
  <c r="R243" i="49"/>
  <c r="R244" i="49"/>
  <c r="S242" i="49"/>
  <c r="S243" i="49"/>
  <c r="S244" i="49"/>
  <c r="S245" i="49"/>
  <c r="O231" i="49" l="1"/>
  <c r="L230" i="49"/>
  <c r="I232" i="49" l="1"/>
  <c r="J233" i="49"/>
  <c r="J227" i="49"/>
  <c r="J228" i="49"/>
  <c r="J230" i="49"/>
  <c r="J231" i="49"/>
  <c r="J232" i="49"/>
  <c r="M233" i="49"/>
  <c r="M227" i="49"/>
  <c r="M228" i="49"/>
  <c r="M230" i="49"/>
  <c r="M232" i="49"/>
  <c r="N233" i="49"/>
  <c r="N227" i="49"/>
  <c r="N228" i="49"/>
  <c r="N230" i="49"/>
  <c r="N231" i="49"/>
  <c r="N232" i="49"/>
  <c r="P233" i="49"/>
  <c r="P227" i="49"/>
  <c r="P228" i="49"/>
  <c r="P230" i="49"/>
  <c r="P231" i="49"/>
  <c r="P232" i="49"/>
  <c r="Q233" i="49"/>
  <c r="Q227" i="49"/>
  <c r="Q228" i="49"/>
  <c r="Q230" i="49"/>
  <c r="Q231" i="49"/>
  <c r="Q232" i="49"/>
  <c r="R233" i="49"/>
  <c r="R227" i="49"/>
  <c r="R228" i="49"/>
  <c r="R230" i="49"/>
  <c r="R231" i="49"/>
  <c r="R232" i="49"/>
  <c r="S233" i="49"/>
  <c r="S227" i="49"/>
  <c r="S228" i="49"/>
  <c r="S230" i="49"/>
  <c r="S231" i="49"/>
  <c r="S232" i="49"/>
  <c r="P218" i="49"/>
  <c r="I221" i="49"/>
  <c r="I222" i="49"/>
  <c r="I223" i="49"/>
  <c r="I224" i="49"/>
  <c r="I225" i="49"/>
  <c r="J222" i="49" l="1"/>
  <c r="J223" i="49"/>
  <c r="J224" i="49"/>
  <c r="J225" i="49"/>
  <c r="J226" i="49"/>
  <c r="J246" i="49"/>
  <c r="J247" i="49"/>
  <c r="J248" i="49"/>
  <c r="J264" i="49"/>
  <c r="M222" i="49"/>
  <c r="N222" i="49" s="1"/>
  <c r="M223" i="49"/>
  <c r="M224" i="49"/>
  <c r="M225" i="49"/>
  <c r="M226" i="49"/>
  <c r="M246" i="49"/>
  <c r="M248" i="49"/>
  <c r="M264" i="49"/>
  <c r="N223" i="49"/>
  <c r="N224" i="49"/>
  <c r="N225" i="49"/>
  <c r="N226" i="49"/>
  <c r="N246" i="49"/>
  <c r="N247" i="49"/>
  <c r="N248" i="49"/>
  <c r="N264" i="49"/>
  <c r="P223" i="49"/>
  <c r="P224" i="49"/>
  <c r="P225" i="49"/>
  <c r="P226" i="49"/>
  <c r="P246" i="49"/>
  <c r="P247" i="49"/>
  <c r="P248" i="49"/>
  <c r="P264" i="49"/>
  <c r="Q222" i="49"/>
  <c r="Q223" i="49"/>
  <c r="Q224" i="49"/>
  <c r="Q225" i="49"/>
  <c r="Q226" i="49"/>
  <c r="Q246" i="49"/>
  <c r="Q247" i="49"/>
  <c r="Q248" i="49"/>
  <c r="Q264" i="49"/>
  <c r="R222" i="49"/>
  <c r="R223" i="49"/>
  <c r="R224" i="49"/>
  <c r="R225" i="49"/>
  <c r="R226" i="49"/>
  <c r="R246" i="49"/>
  <c r="R247" i="49"/>
  <c r="R248" i="49"/>
  <c r="R264" i="49"/>
  <c r="S222" i="49"/>
  <c r="S223" i="49"/>
  <c r="S224" i="49"/>
  <c r="S225" i="49"/>
  <c r="S226" i="49"/>
  <c r="S246" i="49"/>
  <c r="S247" i="49"/>
  <c r="S248" i="49"/>
  <c r="S264" i="49"/>
  <c r="O212" i="49"/>
  <c r="L212" i="49"/>
  <c r="L215" i="49"/>
  <c r="I212" i="49" l="1"/>
  <c r="A87" i="50"/>
  <c r="I217" i="49"/>
  <c r="J217" i="49"/>
  <c r="M217" i="49"/>
  <c r="N217" i="49"/>
  <c r="P217" i="49"/>
  <c r="Q217" i="49"/>
  <c r="R217" i="49"/>
  <c r="S217" i="49"/>
  <c r="G87" i="50"/>
  <c r="G86" i="50"/>
  <c r="G85" i="50"/>
  <c r="G88" i="50" s="1"/>
  <c r="G90" i="50" s="1"/>
  <c r="G84" i="50"/>
  <c r="A84" i="50"/>
  <c r="A85" i="50" s="1"/>
  <c r="A86" i="50" s="1"/>
  <c r="G83" i="50"/>
  <c r="S202" i="49"/>
  <c r="N202" i="49"/>
  <c r="I202" i="49"/>
  <c r="J202" i="49" s="1"/>
  <c r="J212" i="49" l="1"/>
  <c r="J210" i="49" l="1"/>
  <c r="J211" i="49"/>
  <c r="I213" i="49"/>
  <c r="J213" i="49" s="1"/>
  <c r="I214" i="49"/>
  <c r="J214" i="49" s="1"/>
  <c r="I215" i="49"/>
  <c r="J215" i="49" s="1"/>
  <c r="I216" i="49"/>
  <c r="J216" i="49" s="1"/>
  <c r="I218" i="49"/>
  <c r="J218" i="49" s="1"/>
  <c r="J219" i="49"/>
  <c r="I220" i="49"/>
  <c r="J220" i="49" s="1"/>
  <c r="J221" i="49"/>
  <c r="I209" i="49"/>
  <c r="I208" i="49"/>
  <c r="I207" i="49"/>
  <c r="I206" i="49"/>
  <c r="I205" i="49"/>
  <c r="I204" i="49"/>
  <c r="I203" i="49"/>
  <c r="I201" i="49"/>
  <c r="I200" i="49"/>
  <c r="I199" i="49"/>
  <c r="I198" i="49"/>
  <c r="I197" i="49"/>
  <c r="I196" i="49"/>
  <c r="I195" i="49"/>
  <c r="I194" i="49"/>
  <c r="I193" i="49"/>
  <c r="I192" i="49"/>
  <c r="I191" i="49"/>
  <c r="I190" i="49"/>
  <c r="I188" i="49"/>
  <c r="I186" i="49"/>
  <c r="I185" i="49"/>
  <c r="J206" i="49"/>
  <c r="J207" i="49"/>
  <c r="J208" i="49"/>
  <c r="J209" i="49"/>
  <c r="M206" i="49"/>
  <c r="M207" i="49"/>
  <c r="M208" i="49"/>
  <c r="M209" i="49"/>
  <c r="M210" i="49"/>
  <c r="M211" i="49"/>
  <c r="M213" i="49"/>
  <c r="N206" i="49"/>
  <c r="N207" i="49"/>
  <c r="N208" i="49"/>
  <c r="N209" i="49"/>
  <c r="N210" i="49"/>
  <c r="N211" i="49"/>
  <c r="N212" i="49"/>
  <c r="N213" i="49"/>
  <c r="P206" i="49"/>
  <c r="P207" i="49"/>
  <c r="P208" i="49"/>
  <c r="P209" i="49"/>
  <c r="P210" i="49"/>
  <c r="P211" i="49"/>
  <c r="P213" i="49"/>
  <c r="Q206" i="49"/>
  <c r="Q207" i="49"/>
  <c r="Q208" i="49"/>
  <c r="Q209" i="49"/>
  <c r="Q210" i="49"/>
  <c r="Q211" i="49"/>
  <c r="Q212" i="49"/>
  <c r="Q213" i="49"/>
  <c r="R206" i="49"/>
  <c r="R207" i="49"/>
  <c r="R208" i="49"/>
  <c r="R209" i="49"/>
  <c r="R210" i="49"/>
  <c r="R211" i="49"/>
  <c r="R212" i="49"/>
  <c r="R213" i="49"/>
  <c r="S206" i="49"/>
  <c r="S207" i="49"/>
  <c r="S208" i="49"/>
  <c r="S209" i="49"/>
  <c r="S210" i="49"/>
  <c r="S211" i="49"/>
  <c r="S212" i="49"/>
  <c r="S213" i="49"/>
  <c r="P204" i="49" l="1"/>
  <c r="Q204" i="49" s="1"/>
  <c r="M204" i="49"/>
  <c r="M200" i="49"/>
  <c r="M201" i="49"/>
  <c r="N204" i="49"/>
  <c r="J203" i="49"/>
  <c r="S203" i="49"/>
  <c r="N203" i="49"/>
  <c r="J204" i="49"/>
  <c r="R204" i="49"/>
  <c r="S204" i="49" s="1"/>
  <c r="L197" i="49"/>
  <c r="L191" i="49" l="1"/>
  <c r="E31" i="37" l="1"/>
  <c r="I187" i="49"/>
  <c r="J186" i="49"/>
  <c r="J187" i="49"/>
  <c r="J188" i="49"/>
  <c r="J189" i="49"/>
  <c r="J190" i="49"/>
  <c r="J191" i="49"/>
  <c r="J192" i="49"/>
  <c r="J193" i="49"/>
  <c r="J194" i="49"/>
  <c r="J195" i="49"/>
  <c r="J196" i="49"/>
  <c r="M186" i="49"/>
  <c r="M187" i="49"/>
  <c r="M188" i="49"/>
  <c r="M189" i="49"/>
  <c r="M190" i="49"/>
  <c r="M191" i="49"/>
  <c r="M192" i="49"/>
  <c r="M195" i="49"/>
  <c r="M196" i="49"/>
  <c r="N186" i="49"/>
  <c r="N187" i="49"/>
  <c r="N188" i="49"/>
  <c r="N189" i="49"/>
  <c r="N190" i="49"/>
  <c r="N191" i="49"/>
  <c r="N192" i="49"/>
  <c r="N193" i="49"/>
  <c r="N194" i="49"/>
  <c r="N195" i="49"/>
  <c r="N196" i="49"/>
  <c r="P186" i="49"/>
  <c r="P187" i="49"/>
  <c r="P188" i="49"/>
  <c r="P189" i="49"/>
  <c r="P191" i="49"/>
  <c r="P192" i="49"/>
  <c r="P195" i="49"/>
  <c r="P196" i="49"/>
  <c r="Q186" i="49"/>
  <c r="Q187" i="49"/>
  <c r="Q188" i="49"/>
  <c r="Q189" i="49"/>
  <c r="Q190" i="49"/>
  <c r="Q191" i="49"/>
  <c r="Q192" i="49"/>
  <c r="Q193" i="49"/>
  <c r="Q194" i="49"/>
  <c r="Q195" i="49"/>
  <c r="Q196" i="49"/>
  <c r="R186" i="49"/>
  <c r="R187" i="49"/>
  <c r="R188" i="49"/>
  <c r="R189" i="49"/>
  <c r="R190" i="49"/>
  <c r="R191" i="49"/>
  <c r="R192" i="49"/>
  <c r="R193" i="49"/>
  <c r="R194" i="49"/>
  <c r="R195" i="49"/>
  <c r="R196" i="49"/>
  <c r="S186" i="49"/>
  <c r="S187" i="49"/>
  <c r="S188" i="49"/>
  <c r="S189" i="49"/>
  <c r="S190" i="49"/>
  <c r="S191" i="49"/>
  <c r="S192" i="49"/>
  <c r="S193" i="49"/>
  <c r="S194" i="49"/>
  <c r="S195" i="49"/>
  <c r="S196" i="49"/>
  <c r="J197" i="49"/>
  <c r="J198" i="49"/>
  <c r="J199" i="49"/>
  <c r="J200" i="49"/>
  <c r="J201" i="49"/>
  <c r="J205" i="49"/>
  <c r="M197" i="49"/>
  <c r="M198" i="49"/>
  <c r="M199" i="49"/>
  <c r="N197" i="49"/>
  <c r="N198" i="49"/>
  <c r="N199" i="49"/>
  <c r="N200" i="49"/>
  <c r="N201" i="49"/>
  <c r="N205" i="49"/>
  <c r="P197" i="49"/>
  <c r="P198" i="49"/>
  <c r="P199" i="49"/>
  <c r="P200" i="49"/>
  <c r="P201" i="49"/>
  <c r="Q197" i="49"/>
  <c r="Q198" i="49"/>
  <c r="Q199" i="49"/>
  <c r="Q200" i="49"/>
  <c r="Q201" i="49"/>
  <c r="Q205" i="49"/>
  <c r="R197" i="49"/>
  <c r="R198" i="49"/>
  <c r="R199" i="49"/>
  <c r="R200" i="49"/>
  <c r="R201" i="49"/>
  <c r="S201" i="49" s="1"/>
  <c r="R205" i="49"/>
  <c r="S197" i="49"/>
  <c r="S198" i="49"/>
  <c r="S199" i="49"/>
  <c r="S200" i="49"/>
  <c r="S205" i="49"/>
  <c r="M216" i="49"/>
  <c r="N214" i="49"/>
  <c r="N215" i="49"/>
  <c r="N216" i="49"/>
  <c r="P215" i="49"/>
  <c r="P216" i="49"/>
  <c r="Q214" i="49"/>
  <c r="Q215" i="49"/>
  <c r="Q216" i="49"/>
  <c r="R214" i="49"/>
  <c r="R215" i="49"/>
  <c r="R216" i="49"/>
  <c r="S214" i="49"/>
  <c r="S215" i="49"/>
  <c r="S216" i="49"/>
  <c r="M218" i="49"/>
  <c r="N218" i="49"/>
  <c r="N219" i="49"/>
  <c r="P219" i="49"/>
  <c r="Q218" i="49"/>
  <c r="R218" i="49"/>
  <c r="R219" i="49"/>
  <c r="S218" i="49"/>
  <c r="S219" i="49"/>
  <c r="I161" i="49" l="1"/>
  <c r="J161" i="49"/>
  <c r="M161" i="49"/>
  <c r="N161" i="49"/>
  <c r="P161" i="49"/>
  <c r="Q161" i="49"/>
  <c r="R161" i="49"/>
  <c r="S161" i="49"/>
  <c r="G76" i="50" l="1"/>
  <c r="G75" i="50"/>
  <c r="G74" i="50"/>
  <c r="G73" i="50"/>
  <c r="G72" i="50"/>
  <c r="A72" i="50"/>
  <c r="A73" i="50" s="1"/>
  <c r="A74" i="50" s="1"/>
  <c r="A75" i="50" s="1"/>
  <c r="A76" i="50" s="1"/>
  <c r="G71" i="50"/>
  <c r="G77" i="50" s="1"/>
  <c r="I184" i="49" l="1"/>
  <c r="I183" i="49"/>
  <c r="I182" i="49"/>
  <c r="I181" i="49"/>
  <c r="S182" i="49"/>
  <c r="M182" i="49"/>
  <c r="O181" i="49"/>
  <c r="L181" i="49"/>
  <c r="I180" i="49"/>
  <c r="J180" i="49"/>
  <c r="J181" i="49"/>
  <c r="J182" i="49"/>
  <c r="J183" i="49"/>
  <c r="M180" i="49"/>
  <c r="M183" i="49"/>
  <c r="N180" i="49"/>
  <c r="N181" i="49"/>
  <c r="N182" i="49"/>
  <c r="N183" i="49"/>
  <c r="P180" i="49"/>
  <c r="P183" i="49"/>
  <c r="Q180" i="49"/>
  <c r="Q181" i="49"/>
  <c r="Q182" i="49"/>
  <c r="Q183" i="49"/>
  <c r="R180" i="49"/>
  <c r="R181" i="49"/>
  <c r="R183" i="49"/>
  <c r="S180" i="49"/>
  <c r="S181" i="49"/>
  <c r="S183" i="49"/>
  <c r="J184" i="49"/>
  <c r="J185" i="49"/>
  <c r="M184" i="49"/>
  <c r="N184" i="49"/>
  <c r="N185" i="49"/>
  <c r="P184" i="49"/>
  <c r="Q184" i="49"/>
  <c r="Q185" i="49"/>
  <c r="R184" i="49"/>
  <c r="R185" i="49"/>
  <c r="S184" i="49"/>
  <c r="S185" i="49"/>
  <c r="I179" i="49"/>
  <c r="I177" i="49"/>
  <c r="I174" i="49"/>
  <c r="I173" i="49"/>
  <c r="I172" i="49"/>
  <c r="I166" i="49"/>
  <c r="I162" i="49"/>
  <c r="I160" i="49"/>
  <c r="I158" i="49"/>
  <c r="L179" i="49"/>
  <c r="J179" i="49"/>
  <c r="N179" i="49"/>
  <c r="Q179" i="49"/>
  <c r="R179" i="49"/>
  <c r="S179" i="49"/>
  <c r="O177" i="49"/>
  <c r="L177" i="49"/>
  <c r="L174" i="49"/>
  <c r="L173" i="49"/>
  <c r="M171" i="49"/>
  <c r="M172" i="49"/>
  <c r="B31" i="37"/>
  <c r="L164" i="49"/>
  <c r="I163" i="49"/>
  <c r="I165" i="49"/>
  <c r="I167" i="49"/>
  <c r="I168" i="49"/>
  <c r="I169" i="49"/>
  <c r="J158" i="49"/>
  <c r="J159" i="49"/>
  <c r="J160" i="49"/>
  <c r="J162" i="49"/>
  <c r="J163" i="49"/>
  <c r="J165" i="49"/>
  <c r="J166" i="49"/>
  <c r="J167" i="49"/>
  <c r="J168" i="49"/>
  <c r="J169" i="49"/>
  <c r="M158" i="49"/>
  <c r="M159" i="49"/>
  <c r="M160" i="49"/>
  <c r="M162" i="49"/>
  <c r="M163" i="49"/>
  <c r="M164" i="49"/>
  <c r="M165" i="49"/>
  <c r="M166" i="49"/>
  <c r="M167" i="49"/>
  <c r="M168" i="49"/>
  <c r="M169" i="49"/>
  <c r="N158" i="49"/>
  <c r="N159" i="49"/>
  <c r="N160" i="49"/>
  <c r="N162" i="49"/>
  <c r="N163" i="49"/>
  <c r="N164" i="49"/>
  <c r="N165" i="49"/>
  <c r="N166" i="49"/>
  <c r="N167" i="49"/>
  <c r="N168" i="49"/>
  <c r="N169" i="49"/>
  <c r="P158" i="49"/>
  <c r="P159" i="49"/>
  <c r="P160" i="49"/>
  <c r="P162" i="49"/>
  <c r="P163" i="49"/>
  <c r="P164" i="49"/>
  <c r="P165" i="49"/>
  <c r="P166" i="49"/>
  <c r="P167" i="49"/>
  <c r="P168" i="49"/>
  <c r="P169" i="49"/>
  <c r="Q158" i="49"/>
  <c r="Q159" i="49"/>
  <c r="Q160" i="49"/>
  <c r="Q162" i="49"/>
  <c r="Q163" i="49"/>
  <c r="Q164" i="49"/>
  <c r="Q165" i="49"/>
  <c r="Q166" i="49"/>
  <c r="Q167" i="49"/>
  <c r="Q168" i="49"/>
  <c r="Q169" i="49"/>
  <c r="R158" i="49"/>
  <c r="R159" i="49"/>
  <c r="R160" i="49"/>
  <c r="R162" i="49"/>
  <c r="R163" i="49"/>
  <c r="R164" i="49"/>
  <c r="R165" i="49"/>
  <c r="R166" i="49"/>
  <c r="R167" i="49"/>
  <c r="R168" i="49"/>
  <c r="R169" i="49"/>
  <c r="S158" i="49"/>
  <c r="S159" i="49"/>
  <c r="S160" i="49"/>
  <c r="S162" i="49"/>
  <c r="S163" i="49"/>
  <c r="S164" i="49"/>
  <c r="S165" i="49"/>
  <c r="S166" i="49"/>
  <c r="S167" i="49"/>
  <c r="S168" i="49"/>
  <c r="S169" i="49"/>
  <c r="I170" i="49"/>
  <c r="I171" i="49"/>
  <c r="J170" i="49"/>
  <c r="J171" i="49"/>
  <c r="J172" i="49"/>
  <c r="J173" i="49"/>
  <c r="J174" i="49"/>
  <c r="M170" i="49"/>
  <c r="N170" i="49"/>
  <c r="N171" i="49"/>
  <c r="N172" i="49"/>
  <c r="N173" i="49"/>
  <c r="N174" i="49"/>
  <c r="P170" i="49"/>
  <c r="P171" i="49"/>
  <c r="P172" i="49"/>
  <c r="Q170" i="49"/>
  <c r="Q171" i="49"/>
  <c r="Q172" i="49"/>
  <c r="Q173" i="49"/>
  <c r="Q174" i="49"/>
  <c r="R170" i="49"/>
  <c r="R171" i="49"/>
  <c r="R172" i="49"/>
  <c r="R173" i="49"/>
  <c r="R174" i="49"/>
  <c r="S170" i="49"/>
  <c r="S171" i="49"/>
  <c r="S172" i="49"/>
  <c r="S173" i="49"/>
  <c r="S174" i="49"/>
  <c r="I175" i="49"/>
  <c r="I176" i="49"/>
  <c r="J175" i="49"/>
  <c r="J176" i="49"/>
  <c r="J177" i="49"/>
  <c r="M175" i="49"/>
  <c r="M176" i="49"/>
  <c r="M177" i="49"/>
  <c r="N175" i="49"/>
  <c r="N176" i="49"/>
  <c r="N177" i="49"/>
  <c r="P175" i="49"/>
  <c r="P176" i="49"/>
  <c r="P177" i="49"/>
  <c r="Q175" i="49"/>
  <c r="Q176" i="49"/>
  <c r="Q177" i="49"/>
  <c r="R175" i="49"/>
  <c r="R176" i="49"/>
  <c r="R177" i="49"/>
  <c r="S175" i="49"/>
  <c r="S176" i="49"/>
  <c r="S177" i="49"/>
  <c r="J156" i="49" l="1"/>
  <c r="M156" i="49"/>
  <c r="N156" i="49"/>
  <c r="P156" i="49"/>
  <c r="Q156" i="49"/>
  <c r="R156" i="49"/>
  <c r="S156" i="49"/>
  <c r="E58" i="50"/>
  <c r="E59" i="50"/>
  <c r="E64" i="50"/>
  <c r="Q149" i="49"/>
  <c r="N149" i="49"/>
  <c r="I149" i="49"/>
  <c r="J149" i="49" s="1"/>
  <c r="I157" i="49"/>
  <c r="A59" i="50"/>
  <c r="A60" i="50" s="1"/>
  <c r="A61" i="50" s="1"/>
  <c r="A62" i="50" s="1"/>
  <c r="A63" i="50" s="1"/>
  <c r="G63" i="50"/>
  <c r="G62" i="50"/>
  <c r="G61" i="50"/>
  <c r="G60" i="50"/>
  <c r="G59" i="50"/>
  <c r="G58" i="50"/>
  <c r="I155" i="49"/>
  <c r="I154" i="49"/>
  <c r="I153" i="49"/>
  <c r="I151" i="49"/>
  <c r="I148" i="49"/>
  <c r="I145" i="49"/>
  <c r="O155" i="49"/>
  <c r="O157" i="49"/>
  <c r="L155" i="49"/>
  <c r="L157" i="49"/>
  <c r="S157" i="49"/>
  <c r="J157" i="49"/>
  <c r="N178" i="49"/>
  <c r="Q178" i="49"/>
  <c r="R178" i="49"/>
  <c r="S178" i="49"/>
  <c r="M220" i="49"/>
  <c r="N220" i="49"/>
  <c r="P220" i="49"/>
  <c r="Q220" i="49"/>
  <c r="R220" i="49"/>
  <c r="S220" i="49"/>
  <c r="L154" i="49"/>
  <c r="G64" i="50" l="1"/>
  <c r="R149" i="49"/>
  <c r="S149" i="49" s="1"/>
  <c r="I150" i="49" l="1"/>
  <c r="I144" i="49"/>
  <c r="I143" i="49"/>
  <c r="I142" i="49"/>
  <c r="I141" i="49"/>
  <c r="I140" i="49"/>
  <c r="I139" i="49"/>
  <c r="I137" i="49"/>
  <c r="I136" i="49"/>
  <c r="I134" i="49"/>
  <c r="I133" i="49"/>
  <c r="I131" i="49"/>
  <c r="L151" i="49"/>
  <c r="L150" i="49"/>
  <c r="B28" i="62"/>
  <c r="B26" i="62"/>
  <c r="B25" i="62"/>
  <c r="B29" i="62" s="1"/>
  <c r="B6" i="62"/>
  <c r="B4" i="62"/>
  <c r="B7" i="62" s="1"/>
  <c r="L148" i="49" l="1"/>
  <c r="L139" i="49"/>
  <c r="I147" i="49"/>
  <c r="I152" i="49"/>
  <c r="J143" i="49"/>
  <c r="J139" i="49"/>
  <c r="J144" i="49"/>
  <c r="J145" i="49"/>
  <c r="J146" i="49"/>
  <c r="J147" i="49"/>
  <c r="J148" i="49"/>
  <c r="J150" i="49"/>
  <c r="J151" i="49"/>
  <c r="J152" i="49"/>
  <c r="J153" i="49"/>
  <c r="J154" i="49"/>
  <c r="J155" i="49"/>
  <c r="M143" i="49"/>
  <c r="M139" i="49"/>
  <c r="M144" i="49"/>
  <c r="M145" i="49"/>
  <c r="M146" i="49"/>
  <c r="M147" i="49"/>
  <c r="M148" i="49"/>
  <c r="M151" i="49"/>
  <c r="M152" i="49"/>
  <c r="M154" i="49"/>
  <c r="N143" i="49"/>
  <c r="N139" i="49"/>
  <c r="N144" i="49"/>
  <c r="N145" i="49"/>
  <c r="N146" i="49"/>
  <c r="N147" i="49"/>
  <c r="N148" i="49"/>
  <c r="N150" i="49"/>
  <c r="N151" i="49"/>
  <c r="N152" i="49"/>
  <c r="N153" i="49"/>
  <c r="N154" i="49"/>
  <c r="P143" i="49"/>
  <c r="P139" i="49"/>
  <c r="P144" i="49"/>
  <c r="P145" i="49"/>
  <c r="P146" i="49"/>
  <c r="P147" i="49"/>
  <c r="P148" i="49"/>
  <c r="P151" i="49"/>
  <c r="P152" i="49"/>
  <c r="P154" i="49"/>
  <c r="Q143" i="49"/>
  <c r="Q139" i="49"/>
  <c r="Q144" i="49"/>
  <c r="Q145" i="49"/>
  <c r="Q146" i="49"/>
  <c r="Q147" i="49"/>
  <c r="Q148" i="49"/>
  <c r="Q150" i="49"/>
  <c r="Q151" i="49"/>
  <c r="Q152" i="49"/>
  <c r="Q153" i="49"/>
  <c r="Q154" i="49"/>
  <c r="R143" i="49"/>
  <c r="R139" i="49"/>
  <c r="R144" i="49"/>
  <c r="R145" i="49"/>
  <c r="R146" i="49"/>
  <c r="R147" i="49"/>
  <c r="R148" i="49"/>
  <c r="R150" i="49"/>
  <c r="R151" i="49"/>
  <c r="R152" i="49"/>
  <c r="R153" i="49"/>
  <c r="R154" i="49"/>
  <c r="S143" i="49"/>
  <c r="S139" i="49"/>
  <c r="S144" i="49"/>
  <c r="S145" i="49"/>
  <c r="S146" i="49"/>
  <c r="S147" i="49"/>
  <c r="S148" i="49"/>
  <c r="S150" i="49"/>
  <c r="S151" i="49"/>
  <c r="S152" i="49"/>
  <c r="S153" i="49"/>
  <c r="S154" i="49"/>
  <c r="S155" i="49"/>
  <c r="J123" i="49" l="1"/>
  <c r="E50" i="50"/>
  <c r="E46" i="50"/>
  <c r="E52" i="50" s="1"/>
  <c r="G51" i="50"/>
  <c r="G50" i="50"/>
  <c r="G49" i="50"/>
  <c r="G48" i="50"/>
  <c r="G47" i="50"/>
  <c r="G46" i="50"/>
  <c r="A46" i="50"/>
  <c r="A47" i="50" s="1"/>
  <c r="A48" i="50" s="1"/>
  <c r="A49" i="50" s="1"/>
  <c r="A50" i="50" s="1"/>
  <c r="A51" i="50" s="1"/>
  <c r="G45" i="50"/>
  <c r="I98" i="49"/>
  <c r="I128" i="49"/>
  <c r="J128" i="49" s="1"/>
  <c r="I127" i="49"/>
  <c r="J127" i="49" s="1"/>
  <c r="I111" i="49"/>
  <c r="J111" i="49" s="1"/>
  <c r="I110" i="49"/>
  <c r="J110" i="49" s="1"/>
  <c r="I125" i="49"/>
  <c r="J125" i="49" s="1"/>
  <c r="I124" i="49"/>
  <c r="J124" i="49" s="1"/>
  <c r="I121" i="49"/>
  <c r="J121" i="49" s="1"/>
  <c r="I118" i="49"/>
  <c r="J118" i="49" s="1"/>
  <c r="I116" i="49"/>
  <c r="J116" i="49" s="1"/>
  <c r="I115" i="49"/>
  <c r="J115" i="49" s="1"/>
  <c r="I114" i="49"/>
  <c r="J114" i="49" s="1"/>
  <c r="I109" i="49"/>
  <c r="J109" i="49" s="1"/>
  <c r="I108" i="49"/>
  <c r="J108" i="49" s="1"/>
  <c r="I107" i="49"/>
  <c r="J107" i="49" s="1"/>
  <c r="I105" i="49"/>
  <c r="J105" i="49" s="1"/>
  <c r="I104" i="49"/>
  <c r="J104" i="49" s="1"/>
  <c r="I102" i="49"/>
  <c r="J102" i="49" s="1"/>
  <c r="I100" i="49"/>
  <c r="J100" i="49" s="1"/>
  <c r="I99" i="49"/>
  <c r="J99" i="49" s="1"/>
  <c r="I126" i="49"/>
  <c r="J126" i="49" s="1"/>
  <c r="I129" i="49"/>
  <c r="J129" i="49" s="1"/>
  <c r="I130" i="49"/>
  <c r="J130" i="49" s="1"/>
  <c r="I132" i="49"/>
  <c r="J131" i="49"/>
  <c r="J132" i="49"/>
  <c r="J133" i="49"/>
  <c r="M126" i="49"/>
  <c r="M127" i="49"/>
  <c r="M128" i="49"/>
  <c r="M129" i="49"/>
  <c r="M130" i="49"/>
  <c r="M131" i="49"/>
  <c r="M133" i="49"/>
  <c r="N126" i="49"/>
  <c r="N127" i="49"/>
  <c r="N128" i="49"/>
  <c r="N129" i="49"/>
  <c r="N130" i="49"/>
  <c r="N131" i="49"/>
  <c r="N132" i="49"/>
  <c r="N133" i="49"/>
  <c r="P126" i="49"/>
  <c r="P127" i="49"/>
  <c r="P128" i="49"/>
  <c r="P129" i="49"/>
  <c r="P130" i="49"/>
  <c r="P131" i="49"/>
  <c r="P133" i="49"/>
  <c r="Q126" i="49"/>
  <c r="Q127" i="49"/>
  <c r="Q128" i="49"/>
  <c r="Q129" i="49"/>
  <c r="Q130" i="49"/>
  <c r="Q131" i="49"/>
  <c r="Q132" i="49"/>
  <c r="Q133" i="49"/>
  <c r="R126" i="49"/>
  <c r="R127" i="49"/>
  <c r="R128" i="49"/>
  <c r="R129" i="49"/>
  <c r="R130" i="49"/>
  <c r="R131" i="49"/>
  <c r="R132" i="49"/>
  <c r="R133" i="49"/>
  <c r="S126" i="49"/>
  <c r="S127" i="49"/>
  <c r="S128" i="49"/>
  <c r="S129" i="49"/>
  <c r="S130" i="49"/>
  <c r="S131" i="49"/>
  <c r="S132" i="49"/>
  <c r="S133" i="49"/>
  <c r="I135" i="49"/>
  <c r="J134" i="49"/>
  <c r="J135" i="49"/>
  <c r="J136" i="49"/>
  <c r="J137" i="49"/>
  <c r="M134" i="49"/>
  <c r="M135" i="49"/>
  <c r="M136" i="49"/>
  <c r="M137" i="49"/>
  <c r="N134" i="49"/>
  <c r="N135" i="49"/>
  <c r="N136" i="49"/>
  <c r="N137" i="49"/>
  <c r="P134" i="49"/>
  <c r="P135" i="49"/>
  <c r="P136" i="49"/>
  <c r="P137" i="49"/>
  <c r="Q134" i="49"/>
  <c r="Q135" i="49"/>
  <c r="Q136" i="49"/>
  <c r="Q137" i="49"/>
  <c r="R134" i="49"/>
  <c r="R135" i="49"/>
  <c r="R136" i="49"/>
  <c r="R137" i="49"/>
  <c r="S134" i="49"/>
  <c r="S135" i="49"/>
  <c r="S136" i="49"/>
  <c r="S137" i="49"/>
  <c r="I138" i="49"/>
  <c r="J138" i="49"/>
  <c r="J140" i="49"/>
  <c r="M138" i="49"/>
  <c r="M140" i="49"/>
  <c r="N138" i="49"/>
  <c r="N140" i="49"/>
  <c r="P138" i="49"/>
  <c r="P140" i="49"/>
  <c r="Q138" i="49"/>
  <c r="Q140" i="49"/>
  <c r="R138" i="49"/>
  <c r="R140" i="49"/>
  <c r="S138" i="49"/>
  <c r="S140" i="49"/>
  <c r="J142" i="49"/>
  <c r="M142" i="49"/>
  <c r="N142" i="49"/>
  <c r="P142" i="49"/>
  <c r="Q142" i="49"/>
  <c r="R142" i="49"/>
  <c r="S142" i="49"/>
  <c r="J98" i="49" l="1"/>
  <c r="G52" i="50"/>
  <c r="L120" i="49"/>
  <c r="I120" i="49"/>
  <c r="J120" i="49" s="1"/>
  <c r="M113" i="49"/>
  <c r="N113" i="49"/>
  <c r="P113" i="49"/>
  <c r="Q113" i="49"/>
  <c r="R113" i="49"/>
  <c r="S113" i="49"/>
  <c r="L111" i="49" l="1"/>
  <c r="L110" i="49"/>
  <c r="L101" i="49" l="1"/>
  <c r="L100" i="49"/>
  <c r="F35" i="50" l="1"/>
  <c r="F34" i="50"/>
  <c r="I60" i="49" l="1"/>
  <c r="G34" i="50"/>
  <c r="G35" i="50"/>
  <c r="G32" i="50"/>
  <c r="G36" i="50"/>
  <c r="G33" i="50"/>
  <c r="G31" i="50"/>
  <c r="A31" i="50"/>
  <c r="A32" i="50" s="1"/>
  <c r="A33" i="50" s="1"/>
  <c r="A34" i="50" s="1"/>
  <c r="A35" i="50" s="1"/>
  <c r="A36" i="50" s="1"/>
  <c r="G30" i="50"/>
  <c r="G37" i="50" s="1"/>
  <c r="H40" i="50" s="1"/>
  <c r="I90" i="49"/>
  <c r="I96" i="49"/>
  <c r="I95" i="49"/>
  <c r="I93" i="49" l="1"/>
  <c r="I92" i="49"/>
  <c r="I91" i="49"/>
  <c r="I86" i="49"/>
  <c r="I85" i="49"/>
  <c r="I73" i="49"/>
  <c r="L90" i="49"/>
  <c r="L91" i="49"/>
  <c r="M86" i="49"/>
  <c r="L81" i="49"/>
  <c r="I81" i="49"/>
  <c r="J81" i="49"/>
  <c r="M81" i="49"/>
  <c r="N81" i="49"/>
  <c r="P81" i="49"/>
  <c r="Q81" i="49"/>
  <c r="R81" i="49"/>
  <c r="S81" i="49"/>
  <c r="H25" i="50" l="1"/>
  <c r="F19" i="50"/>
  <c r="G19" i="50"/>
  <c r="E21" i="50" l="1"/>
  <c r="G21" i="50" s="1"/>
  <c r="I61" i="49"/>
  <c r="J61" i="49"/>
  <c r="M61" i="49"/>
  <c r="N61" i="49"/>
  <c r="P61" i="49"/>
  <c r="Q61" i="49"/>
  <c r="R61" i="49"/>
  <c r="S61" i="49"/>
  <c r="G24" i="50" l="1"/>
  <c r="G23" i="50"/>
  <c r="G17" i="50"/>
  <c r="A17" i="50"/>
  <c r="A18" i="50" s="1"/>
  <c r="A19" i="50" s="1"/>
  <c r="A20" i="50" s="1"/>
  <c r="A21" i="50" s="1"/>
  <c r="A22" i="50" s="1"/>
  <c r="A23" i="50" s="1"/>
  <c r="A24" i="50" s="1"/>
  <c r="G16" i="50"/>
  <c r="G25" i="50" s="1"/>
  <c r="I25" i="50" s="1"/>
  <c r="G9" i="50"/>
  <c r="F8" i="50"/>
  <c r="G8" i="50" s="1"/>
  <c r="G6" i="50"/>
  <c r="G5" i="50"/>
  <c r="G4" i="50"/>
  <c r="A4" i="50"/>
  <c r="A5" i="50" s="1"/>
  <c r="A6" i="50" s="1"/>
  <c r="A7" i="50" s="1"/>
  <c r="A8" i="50" s="1"/>
  <c r="A9" i="50" s="1"/>
  <c r="G3" i="50"/>
  <c r="I71" i="49"/>
  <c r="I70" i="49" l="1"/>
  <c r="I69" i="49"/>
  <c r="I68" i="49"/>
  <c r="I66" i="49"/>
  <c r="I64" i="49"/>
  <c r="I62" i="49"/>
  <c r="I59" i="49"/>
  <c r="I57" i="49"/>
  <c r="I56" i="49"/>
  <c r="I51" i="49"/>
  <c r="I50" i="49"/>
  <c r="I48" i="49"/>
  <c r="I47" i="49"/>
  <c r="I45" i="49"/>
  <c r="I44" i="49"/>
  <c r="I43" i="49"/>
  <c r="I40" i="49"/>
  <c r="J64" i="49"/>
  <c r="M64" i="49"/>
  <c r="N64" i="49"/>
  <c r="P64" i="49"/>
  <c r="Q64" i="49"/>
  <c r="R64" i="49"/>
  <c r="S64" i="49"/>
  <c r="I58" i="49"/>
  <c r="J58" i="49" s="1"/>
  <c r="J59" i="49"/>
  <c r="J60" i="49"/>
  <c r="L50" i="49"/>
  <c r="S50" i="49" s="1"/>
  <c r="L37" i="49" l="1"/>
  <c r="F219" i="43"/>
  <c r="A216" i="43" l="1"/>
  <c r="A217" i="43"/>
  <c r="A218" i="43"/>
  <c r="A219" i="43"/>
  <c r="A220" i="43"/>
  <c r="I37" i="49" l="1"/>
  <c r="I18" i="49"/>
  <c r="J18" i="49"/>
  <c r="M18" i="49"/>
  <c r="N18" i="49"/>
  <c r="P18" i="49"/>
  <c r="Q18" i="49"/>
  <c r="R18" i="49"/>
  <c r="S18" i="49"/>
  <c r="I36" i="49"/>
  <c r="G220" i="43"/>
  <c r="G219" i="43"/>
  <c r="G224" i="43" s="1"/>
  <c r="G227" i="43" s="1"/>
  <c r="G217" i="43"/>
  <c r="G216" i="43"/>
  <c r="G215" i="43"/>
  <c r="A215" i="43"/>
  <c r="G214" i="43"/>
  <c r="I35" i="49" l="1"/>
  <c r="I34" i="49"/>
  <c r="I28" i="49" l="1"/>
  <c r="I12" i="49"/>
  <c r="I9" i="49"/>
  <c r="I4" i="49"/>
  <c r="I30" i="49"/>
  <c r="I27" i="49"/>
  <c r="I25" i="49"/>
  <c r="I22" i="49"/>
  <c r="I20" i="49"/>
  <c r="I19" i="49"/>
  <c r="I17" i="49"/>
  <c r="I13" i="49"/>
  <c r="I11" i="49"/>
  <c r="I6" i="49"/>
  <c r="I3" i="49"/>
  <c r="O26" i="49" l="1"/>
  <c r="L26" i="49"/>
  <c r="L19" i="49" l="1"/>
  <c r="L5" i="49" l="1"/>
  <c r="J3" i="49"/>
  <c r="J4" i="49"/>
  <c r="I5" i="49"/>
  <c r="J5" i="49" s="1"/>
  <c r="J6" i="49"/>
  <c r="I7" i="49"/>
  <c r="J7" i="49" s="1"/>
  <c r="J8" i="49"/>
  <c r="J9" i="49"/>
  <c r="I10" i="49"/>
  <c r="J11" i="49"/>
  <c r="J12" i="49"/>
  <c r="J13" i="49"/>
  <c r="I14" i="49"/>
  <c r="J14" i="49" s="1"/>
  <c r="I15" i="49"/>
  <c r="J15" i="49" s="1"/>
  <c r="I16" i="49"/>
  <c r="J16" i="49" s="1"/>
  <c r="J17" i="49"/>
  <c r="J19" i="49"/>
  <c r="J20" i="49"/>
  <c r="I21" i="49"/>
  <c r="J21" i="49" s="1"/>
  <c r="J22" i="49"/>
  <c r="I23" i="49"/>
  <c r="J23" i="49" s="1"/>
  <c r="I24" i="49"/>
  <c r="J24" i="49" s="1"/>
  <c r="J25" i="49"/>
  <c r="I26" i="49"/>
  <c r="J26" i="49" s="1"/>
  <c r="J27" i="49"/>
  <c r="J28" i="49"/>
  <c r="J29" i="49"/>
  <c r="J30" i="49"/>
  <c r="I31" i="49"/>
  <c r="J31" i="49" s="1"/>
  <c r="I32" i="49"/>
  <c r="J32" i="49" s="1"/>
  <c r="J41" i="49"/>
  <c r="I33" i="49"/>
  <c r="J33" i="49" s="1"/>
  <c r="J34" i="49"/>
  <c r="J35" i="49"/>
  <c r="J36" i="49"/>
  <c r="J37" i="49"/>
  <c r="I38" i="49"/>
  <c r="J38" i="49" s="1"/>
  <c r="I39" i="49"/>
  <c r="J39" i="49" s="1"/>
  <c r="J40" i="49"/>
  <c r="J42" i="49"/>
  <c r="J43" i="49"/>
  <c r="J44" i="49"/>
  <c r="J45" i="49"/>
  <c r="I46" i="49"/>
  <c r="J46" i="49" s="1"/>
  <c r="J47" i="49"/>
  <c r="J48" i="49"/>
  <c r="I49" i="49"/>
  <c r="J49" i="49" s="1"/>
  <c r="J50" i="49"/>
  <c r="J51" i="49"/>
  <c r="I52" i="49"/>
  <c r="J52" i="49" s="1"/>
  <c r="I53" i="49"/>
  <c r="J53" i="49" s="1"/>
  <c r="I54" i="49"/>
  <c r="J54" i="49" s="1"/>
  <c r="I55" i="49"/>
  <c r="J55" i="49" s="1"/>
  <c r="J56" i="49"/>
  <c r="J57" i="49"/>
  <c r="J62" i="49"/>
  <c r="I63" i="49"/>
  <c r="J63" i="49" s="1"/>
  <c r="I65" i="49"/>
  <c r="J65" i="49" s="1"/>
  <c r="J66" i="49"/>
  <c r="I67" i="49"/>
  <c r="J67" i="49" s="1"/>
  <c r="J68" i="49"/>
  <c r="J69" i="49"/>
  <c r="J70" i="49"/>
  <c r="J71" i="49"/>
  <c r="J72" i="49"/>
  <c r="J73" i="49"/>
  <c r="I74" i="49"/>
  <c r="J74" i="49" s="1"/>
  <c r="J75" i="49"/>
  <c r="I76" i="49"/>
  <c r="J76" i="49" s="1"/>
  <c r="I77" i="49"/>
  <c r="J77" i="49" s="1"/>
  <c r="I78" i="49"/>
  <c r="J78" i="49" s="1"/>
  <c r="J79" i="49"/>
  <c r="J80" i="49"/>
  <c r="I83" i="49"/>
  <c r="J83" i="49" s="1"/>
  <c r="J85" i="49"/>
  <c r="I82" i="49"/>
  <c r="J82" i="49" s="1"/>
  <c r="J86" i="49"/>
  <c r="I87" i="49"/>
  <c r="J87" i="49" s="1"/>
  <c r="I88" i="49"/>
  <c r="J88" i="49" s="1"/>
  <c r="J89" i="49"/>
  <c r="J90" i="49"/>
  <c r="J91" i="49"/>
  <c r="J92" i="49"/>
  <c r="J93" i="49"/>
  <c r="I94" i="49"/>
  <c r="J94" i="49" s="1"/>
  <c r="J95" i="49"/>
  <c r="J96" i="49"/>
  <c r="I97" i="49"/>
  <c r="I103" i="49"/>
  <c r="J103" i="49" s="1"/>
  <c r="I106" i="49"/>
  <c r="J106" i="49" s="1"/>
  <c r="I117" i="49"/>
  <c r="J117" i="49" s="1"/>
  <c r="I119" i="49"/>
  <c r="J119" i="49" s="1"/>
  <c r="I122" i="49"/>
  <c r="J122" i="49" s="1"/>
  <c r="M125" i="49"/>
  <c r="P4" i="49"/>
  <c r="Q4" i="49"/>
  <c r="Q5" i="49"/>
  <c r="P6" i="49"/>
  <c r="Q6" i="49"/>
  <c r="P7" i="49"/>
  <c r="Q7" i="49"/>
  <c r="P8" i="49"/>
  <c r="Q8" i="49"/>
  <c r="P9" i="49"/>
  <c r="Q9" i="49"/>
  <c r="P10" i="49"/>
  <c r="Q10" i="49"/>
  <c r="P11" i="49"/>
  <c r="Q11" i="49"/>
  <c r="P12" i="49"/>
  <c r="Q12" i="49"/>
  <c r="P13" i="49"/>
  <c r="Q13" i="49"/>
  <c r="P14" i="49"/>
  <c r="Q14" i="49"/>
  <c r="P15" i="49"/>
  <c r="Q15" i="49"/>
  <c r="P16" i="49"/>
  <c r="Q16" i="49"/>
  <c r="P17" i="49"/>
  <c r="Q17" i="49"/>
  <c r="P19" i="49"/>
  <c r="Q19" i="49"/>
  <c r="P20" i="49"/>
  <c r="Q20" i="49"/>
  <c r="P21" i="49"/>
  <c r="Q21" i="49"/>
  <c r="P22" i="49"/>
  <c r="Q22" i="49"/>
  <c r="P23" i="49"/>
  <c r="Q23" i="49"/>
  <c r="P24" i="49"/>
  <c r="Q24" i="49"/>
  <c r="P25" i="49"/>
  <c r="Q25" i="49"/>
  <c r="P26" i="49"/>
  <c r="Q26" i="49"/>
  <c r="P27" i="49"/>
  <c r="Q27" i="49"/>
  <c r="P28" i="49"/>
  <c r="Q28" i="49"/>
  <c r="P29" i="49"/>
  <c r="Q29" i="49"/>
  <c r="P30" i="49"/>
  <c r="Q30" i="49"/>
  <c r="P31" i="49"/>
  <c r="Q31" i="49"/>
  <c r="P32" i="49"/>
  <c r="Q32" i="49"/>
  <c r="P41" i="49"/>
  <c r="Q41" i="49"/>
  <c r="P33" i="49"/>
  <c r="Q33" i="49"/>
  <c r="P34" i="49"/>
  <c r="Q34" i="49"/>
  <c r="P35" i="49"/>
  <c r="Q35" i="49"/>
  <c r="P36" i="49"/>
  <c r="Q36" i="49"/>
  <c r="P37" i="49"/>
  <c r="Q37" i="49"/>
  <c r="P38" i="49"/>
  <c r="Q38" i="49"/>
  <c r="P39" i="49"/>
  <c r="Q39" i="49"/>
  <c r="P40" i="49"/>
  <c r="Q40" i="49"/>
  <c r="P42" i="49"/>
  <c r="Q42" i="49"/>
  <c r="P43" i="49"/>
  <c r="Q43" i="49"/>
  <c r="P44" i="49"/>
  <c r="Q44" i="49"/>
  <c r="P45" i="49"/>
  <c r="Q45" i="49"/>
  <c r="P46" i="49"/>
  <c r="Q46" i="49"/>
  <c r="P47" i="49"/>
  <c r="Q47" i="49"/>
  <c r="P48" i="49"/>
  <c r="Q48" i="49"/>
  <c r="P49" i="49"/>
  <c r="Q49" i="49"/>
  <c r="Q50" i="49"/>
  <c r="P51" i="49"/>
  <c r="Q51" i="49"/>
  <c r="P52" i="49"/>
  <c r="Q52" i="49"/>
  <c r="P53" i="49"/>
  <c r="Q53" i="49"/>
  <c r="P54" i="49"/>
  <c r="Q54" i="49"/>
  <c r="P55" i="49"/>
  <c r="Q55" i="49"/>
  <c r="P56" i="49"/>
  <c r="Q56" i="49"/>
  <c r="P57" i="49"/>
  <c r="Q57" i="49"/>
  <c r="P60" i="49"/>
  <c r="Q60" i="49"/>
  <c r="P62" i="49"/>
  <c r="Q62" i="49"/>
  <c r="P63" i="49"/>
  <c r="Q63" i="49"/>
  <c r="P65" i="49"/>
  <c r="Q65" i="49"/>
  <c r="P66" i="49"/>
  <c r="Q66" i="49"/>
  <c r="P67" i="49"/>
  <c r="Q67" i="49"/>
  <c r="P68" i="49"/>
  <c r="Q68" i="49"/>
  <c r="P69" i="49"/>
  <c r="Q69" i="49"/>
  <c r="P70" i="49"/>
  <c r="Q70" i="49"/>
  <c r="P71" i="49"/>
  <c r="Q71" i="49"/>
  <c r="P72" i="49"/>
  <c r="Q72" i="49"/>
  <c r="P73" i="49"/>
  <c r="Q73" i="49"/>
  <c r="P74" i="49"/>
  <c r="Q74" i="49"/>
  <c r="Q75" i="49"/>
  <c r="P76" i="49"/>
  <c r="Q76" i="49"/>
  <c r="P77" i="49"/>
  <c r="Q77" i="49"/>
  <c r="P78" i="49"/>
  <c r="Q78" i="49"/>
  <c r="P79" i="49"/>
  <c r="Q79" i="49"/>
  <c r="P80" i="49"/>
  <c r="Q80" i="49"/>
  <c r="P83" i="49"/>
  <c r="Q83" i="49"/>
  <c r="P84" i="49"/>
  <c r="Q84" i="49"/>
  <c r="P85" i="49"/>
  <c r="Q85" i="49"/>
  <c r="P82" i="49"/>
  <c r="Q82" i="49"/>
  <c r="P86" i="49"/>
  <c r="Q86" i="49"/>
  <c r="P87" i="49"/>
  <c r="Q87" i="49"/>
  <c r="P88" i="49"/>
  <c r="Q88" i="49"/>
  <c r="P89" i="49"/>
  <c r="Q89" i="49"/>
  <c r="P90" i="49"/>
  <c r="Q90" i="49"/>
  <c r="R90" i="49" s="1"/>
  <c r="P92" i="49"/>
  <c r="Q92" i="49"/>
  <c r="P93" i="49"/>
  <c r="Q93" i="49"/>
  <c r="P94" i="49"/>
  <c r="Q94" i="49"/>
  <c r="P95" i="49"/>
  <c r="Q95" i="49"/>
  <c r="P96" i="49"/>
  <c r="Q96" i="49"/>
  <c r="P97" i="49"/>
  <c r="Q97" i="49"/>
  <c r="P98" i="49"/>
  <c r="Q98" i="49"/>
  <c r="P99" i="49"/>
  <c r="Q99" i="49"/>
  <c r="P100" i="49"/>
  <c r="Q100" i="49"/>
  <c r="P101" i="49"/>
  <c r="Q101" i="49"/>
  <c r="P102" i="49"/>
  <c r="Q102" i="49"/>
  <c r="P103" i="49"/>
  <c r="Q103" i="49"/>
  <c r="P104" i="49"/>
  <c r="Q104" i="49"/>
  <c r="P105" i="49"/>
  <c r="Q105" i="49"/>
  <c r="P106" i="49"/>
  <c r="Q106" i="49"/>
  <c r="P107" i="49"/>
  <c r="Q107" i="49"/>
  <c r="P108" i="49"/>
  <c r="Q108" i="49"/>
  <c r="P109" i="49"/>
  <c r="Q109" i="49"/>
  <c r="P110" i="49"/>
  <c r="Q110" i="49"/>
  <c r="P111" i="49"/>
  <c r="Q111" i="49"/>
  <c r="P112" i="49"/>
  <c r="Q112" i="49"/>
  <c r="P114" i="49"/>
  <c r="Q114" i="49"/>
  <c r="P115" i="49"/>
  <c r="Q115" i="49"/>
  <c r="P116" i="49"/>
  <c r="Q116" i="49"/>
  <c r="P117" i="49"/>
  <c r="Q117" i="49"/>
  <c r="P118" i="49"/>
  <c r="Q118" i="49"/>
  <c r="P119" i="49"/>
  <c r="Q119" i="49"/>
  <c r="P120" i="49"/>
  <c r="Q120" i="49"/>
  <c r="P121" i="49"/>
  <c r="Q121" i="49"/>
  <c r="P122" i="49"/>
  <c r="Q122" i="49"/>
  <c r="P123" i="49"/>
  <c r="Q123" i="49"/>
  <c r="P124" i="49"/>
  <c r="Q124" i="49"/>
  <c r="N125" i="49"/>
  <c r="P125" i="49"/>
  <c r="Q125" i="49"/>
  <c r="R125" i="49"/>
  <c r="S125" i="49" s="1"/>
  <c r="M4" i="49"/>
  <c r="N4" i="49" s="1"/>
  <c r="R4" i="49" s="1"/>
  <c r="S4" i="49" s="1"/>
  <c r="M5" i="49"/>
  <c r="R5" i="49" s="1"/>
  <c r="S5" i="49" s="1"/>
  <c r="M6" i="49"/>
  <c r="N6" i="49" s="1"/>
  <c r="R6" i="49" s="1"/>
  <c r="S6" i="49" s="1"/>
  <c r="M7" i="49"/>
  <c r="N7" i="49" s="1"/>
  <c r="R7" i="49" s="1"/>
  <c r="S7" i="49" s="1"/>
  <c r="M8" i="49"/>
  <c r="N8" i="49" s="1"/>
  <c r="R8" i="49" s="1"/>
  <c r="S8" i="49" s="1"/>
  <c r="M9" i="49"/>
  <c r="N9" i="49" s="1"/>
  <c r="R9" i="49" s="1"/>
  <c r="S9" i="49" s="1"/>
  <c r="M10" i="49"/>
  <c r="N10" i="49" s="1"/>
  <c r="R10" i="49" s="1"/>
  <c r="S10" i="49" s="1"/>
  <c r="M11" i="49"/>
  <c r="N11" i="49" s="1"/>
  <c r="R11" i="49" s="1"/>
  <c r="S11" i="49" s="1"/>
  <c r="M12" i="49"/>
  <c r="N12" i="49" s="1"/>
  <c r="R12" i="49" s="1"/>
  <c r="S12" i="49" s="1"/>
  <c r="M13" i="49"/>
  <c r="N13" i="49" s="1"/>
  <c r="R13" i="49" s="1"/>
  <c r="S13" i="49" s="1"/>
  <c r="M14" i="49"/>
  <c r="N14" i="49" s="1"/>
  <c r="R14" i="49" s="1"/>
  <c r="S14" i="49" s="1"/>
  <c r="M15" i="49"/>
  <c r="N15" i="49" s="1"/>
  <c r="R15" i="49" s="1"/>
  <c r="S15" i="49" s="1"/>
  <c r="M16" i="49"/>
  <c r="N16" i="49" s="1"/>
  <c r="R16" i="49" s="1"/>
  <c r="S16" i="49" s="1"/>
  <c r="M17" i="49"/>
  <c r="N17" i="49" s="1"/>
  <c r="R17" i="49" s="1"/>
  <c r="S17" i="49" s="1"/>
  <c r="M19" i="49"/>
  <c r="N19" i="49" s="1"/>
  <c r="R19" i="49" s="1"/>
  <c r="S19" i="49" s="1"/>
  <c r="M20" i="49"/>
  <c r="N20" i="49" s="1"/>
  <c r="R20" i="49" s="1"/>
  <c r="S20" i="49" s="1"/>
  <c r="M21" i="49"/>
  <c r="N21" i="49" s="1"/>
  <c r="R21" i="49" s="1"/>
  <c r="S21" i="49" s="1"/>
  <c r="M22" i="49"/>
  <c r="N22" i="49" s="1"/>
  <c r="R22" i="49" s="1"/>
  <c r="S22" i="49" s="1"/>
  <c r="M23" i="49"/>
  <c r="N23" i="49" s="1"/>
  <c r="R23" i="49" s="1"/>
  <c r="S23" i="49" s="1"/>
  <c r="M24" i="49"/>
  <c r="N24" i="49" s="1"/>
  <c r="R24" i="49" s="1"/>
  <c r="S24" i="49" s="1"/>
  <c r="M25" i="49"/>
  <c r="N25" i="49" s="1"/>
  <c r="R25" i="49" s="1"/>
  <c r="S25" i="49" s="1"/>
  <c r="M26" i="49"/>
  <c r="N26" i="49" s="1"/>
  <c r="R26" i="49" s="1"/>
  <c r="S26" i="49" s="1"/>
  <c r="M27" i="49"/>
  <c r="N27" i="49" s="1"/>
  <c r="R27" i="49" s="1"/>
  <c r="S27" i="49" s="1"/>
  <c r="M28" i="49"/>
  <c r="N28" i="49" s="1"/>
  <c r="R28" i="49" s="1"/>
  <c r="S28" i="49" s="1"/>
  <c r="M29" i="49"/>
  <c r="N29" i="49" s="1"/>
  <c r="R29" i="49" s="1"/>
  <c r="S29" i="49" s="1"/>
  <c r="M30" i="49"/>
  <c r="N30" i="49" s="1"/>
  <c r="R30" i="49" s="1"/>
  <c r="S30" i="49" s="1"/>
  <c r="M31" i="49"/>
  <c r="N31" i="49" s="1"/>
  <c r="R31" i="49" s="1"/>
  <c r="S31" i="49" s="1"/>
  <c r="M32" i="49"/>
  <c r="N32" i="49" s="1"/>
  <c r="R32" i="49" s="1"/>
  <c r="S32" i="49" s="1"/>
  <c r="M41" i="49"/>
  <c r="N41" i="49" s="1"/>
  <c r="R41" i="49" s="1"/>
  <c r="S41" i="49" s="1"/>
  <c r="M33" i="49"/>
  <c r="N33" i="49" s="1"/>
  <c r="R33" i="49" s="1"/>
  <c r="S33" i="49" s="1"/>
  <c r="M34" i="49"/>
  <c r="N34" i="49" s="1"/>
  <c r="R34" i="49" s="1"/>
  <c r="S34" i="49" s="1"/>
  <c r="M35" i="49"/>
  <c r="N35" i="49" s="1"/>
  <c r="R35" i="49" s="1"/>
  <c r="S35" i="49" s="1"/>
  <c r="M36" i="49"/>
  <c r="N36" i="49" s="1"/>
  <c r="R36" i="49" s="1"/>
  <c r="S36" i="49" s="1"/>
  <c r="N37" i="49"/>
  <c r="R37" i="49" s="1"/>
  <c r="S37" i="49" s="1"/>
  <c r="M38" i="49"/>
  <c r="N38" i="49" s="1"/>
  <c r="R38" i="49" s="1"/>
  <c r="S38" i="49" s="1"/>
  <c r="M39" i="49"/>
  <c r="N39" i="49" s="1"/>
  <c r="R39" i="49" s="1"/>
  <c r="S39" i="49" s="1"/>
  <c r="M40" i="49"/>
  <c r="N40" i="49" s="1"/>
  <c r="R40" i="49" s="1"/>
  <c r="S40" i="49" s="1"/>
  <c r="M42" i="49"/>
  <c r="N42" i="49" s="1"/>
  <c r="R42" i="49" s="1"/>
  <c r="S42" i="49" s="1"/>
  <c r="M43" i="49"/>
  <c r="N43" i="49" s="1"/>
  <c r="R43" i="49" s="1"/>
  <c r="S43" i="49" s="1"/>
  <c r="M44" i="49"/>
  <c r="N44" i="49" s="1"/>
  <c r="R44" i="49" s="1"/>
  <c r="S44" i="49" s="1"/>
  <c r="M45" i="49"/>
  <c r="N45" i="49" s="1"/>
  <c r="R45" i="49" s="1"/>
  <c r="S45" i="49" s="1"/>
  <c r="M46" i="49"/>
  <c r="N46" i="49" s="1"/>
  <c r="R46" i="49" s="1"/>
  <c r="S46" i="49" s="1"/>
  <c r="M47" i="49"/>
  <c r="N47" i="49" s="1"/>
  <c r="R47" i="49" s="1"/>
  <c r="S47" i="49" s="1"/>
  <c r="M48" i="49"/>
  <c r="N48" i="49" s="1"/>
  <c r="R48" i="49" s="1"/>
  <c r="S48" i="49" s="1"/>
  <c r="M49" i="49"/>
  <c r="N49" i="49" s="1"/>
  <c r="R49" i="49" s="1"/>
  <c r="S49" i="49" s="1"/>
  <c r="M50" i="49"/>
  <c r="N50" i="49" s="1"/>
  <c r="M51" i="49"/>
  <c r="N51" i="49" s="1"/>
  <c r="R51" i="49" s="1"/>
  <c r="S51" i="49" s="1"/>
  <c r="M52" i="49"/>
  <c r="N52" i="49" s="1"/>
  <c r="R52" i="49" s="1"/>
  <c r="S52" i="49" s="1"/>
  <c r="M53" i="49"/>
  <c r="N53" i="49" s="1"/>
  <c r="R53" i="49" s="1"/>
  <c r="S53" i="49" s="1"/>
  <c r="M54" i="49"/>
  <c r="N54" i="49" s="1"/>
  <c r="R54" i="49" s="1"/>
  <c r="S54" i="49" s="1"/>
  <c r="M55" i="49"/>
  <c r="N55" i="49" s="1"/>
  <c r="R55" i="49" s="1"/>
  <c r="S55" i="49" s="1"/>
  <c r="M56" i="49"/>
  <c r="N56" i="49" s="1"/>
  <c r="R56" i="49" s="1"/>
  <c r="S56" i="49" s="1"/>
  <c r="M57" i="49"/>
  <c r="N57" i="49" s="1"/>
  <c r="R57" i="49" s="1"/>
  <c r="S57" i="49" s="1"/>
  <c r="M60" i="49"/>
  <c r="N60" i="49" s="1"/>
  <c r="R60" i="49" s="1"/>
  <c r="S60" i="49" s="1"/>
  <c r="M62" i="49"/>
  <c r="N62" i="49" s="1"/>
  <c r="R62" i="49" s="1"/>
  <c r="S62" i="49" s="1"/>
  <c r="M63" i="49"/>
  <c r="N63" i="49" s="1"/>
  <c r="R63" i="49" s="1"/>
  <c r="S63" i="49" s="1"/>
  <c r="M65" i="49"/>
  <c r="N65" i="49" s="1"/>
  <c r="R65" i="49" s="1"/>
  <c r="S65" i="49" s="1"/>
  <c r="M66" i="49"/>
  <c r="N66" i="49" s="1"/>
  <c r="R66" i="49" s="1"/>
  <c r="S66" i="49" s="1"/>
  <c r="M67" i="49"/>
  <c r="N67" i="49" s="1"/>
  <c r="R67" i="49" s="1"/>
  <c r="S67" i="49" s="1"/>
  <c r="M68" i="49"/>
  <c r="N68" i="49" s="1"/>
  <c r="R68" i="49" s="1"/>
  <c r="S68" i="49" s="1"/>
  <c r="M69" i="49"/>
  <c r="N69" i="49" s="1"/>
  <c r="R69" i="49" s="1"/>
  <c r="S69" i="49" s="1"/>
  <c r="M70" i="49"/>
  <c r="N70" i="49" s="1"/>
  <c r="R70" i="49" s="1"/>
  <c r="S70" i="49" s="1"/>
  <c r="M71" i="49"/>
  <c r="N71" i="49" s="1"/>
  <c r="R71" i="49" s="1"/>
  <c r="S71" i="49" s="1"/>
  <c r="M72" i="49"/>
  <c r="N72" i="49" s="1"/>
  <c r="R72" i="49" s="1"/>
  <c r="S72" i="49" s="1"/>
  <c r="M73" i="49"/>
  <c r="N73" i="49" s="1"/>
  <c r="R73" i="49" s="1"/>
  <c r="S73" i="49" s="1"/>
  <c r="M74" i="49"/>
  <c r="N74" i="49" s="1"/>
  <c r="R74" i="49" s="1"/>
  <c r="S74" i="49" s="1"/>
  <c r="R75" i="49"/>
  <c r="S75" i="49" s="1"/>
  <c r="M76" i="49"/>
  <c r="N76" i="49" s="1"/>
  <c r="R76" i="49" s="1"/>
  <c r="S76" i="49" s="1"/>
  <c r="M77" i="49"/>
  <c r="N77" i="49" s="1"/>
  <c r="R77" i="49" s="1"/>
  <c r="S77" i="49" s="1"/>
  <c r="M78" i="49"/>
  <c r="N78" i="49" s="1"/>
  <c r="R78" i="49" s="1"/>
  <c r="S78" i="49" s="1"/>
  <c r="M79" i="49"/>
  <c r="N79" i="49" s="1"/>
  <c r="R79" i="49" s="1"/>
  <c r="S79" i="49" s="1"/>
  <c r="M80" i="49"/>
  <c r="N80" i="49" s="1"/>
  <c r="R80" i="49" s="1"/>
  <c r="S80" i="49" s="1"/>
  <c r="M83" i="49"/>
  <c r="N83" i="49" s="1"/>
  <c r="R83" i="49" s="1"/>
  <c r="S83" i="49" s="1"/>
  <c r="M84" i="49"/>
  <c r="N84" i="49" s="1"/>
  <c r="R84" i="49" s="1"/>
  <c r="S84" i="49" s="1"/>
  <c r="M85" i="49"/>
  <c r="N85" i="49" s="1"/>
  <c r="R85" i="49" s="1"/>
  <c r="S85" i="49" s="1"/>
  <c r="M82" i="49"/>
  <c r="N82" i="49" s="1"/>
  <c r="R82" i="49" s="1"/>
  <c r="S82" i="49" s="1"/>
  <c r="N86" i="49"/>
  <c r="R86" i="49" s="1"/>
  <c r="S86" i="49" s="1"/>
  <c r="M87" i="49"/>
  <c r="N87" i="49" s="1"/>
  <c r="R87" i="49" s="1"/>
  <c r="S87" i="49" s="1"/>
  <c r="M88" i="49"/>
  <c r="N88" i="49" s="1"/>
  <c r="R88" i="49" s="1"/>
  <c r="S88" i="49" s="1"/>
  <c r="M89" i="49"/>
  <c r="N89" i="49" s="1"/>
  <c r="R89" i="49" s="1"/>
  <c r="S89" i="49" s="1"/>
  <c r="S90" i="49"/>
  <c r="R91" i="49"/>
  <c r="S91" i="49" s="1"/>
  <c r="M92" i="49"/>
  <c r="N92" i="49" s="1"/>
  <c r="R92" i="49" s="1"/>
  <c r="S92" i="49" s="1"/>
  <c r="M93" i="49"/>
  <c r="N93" i="49" s="1"/>
  <c r="R93" i="49" s="1"/>
  <c r="S93" i="49" s="1"/>
  <c r="M94" i="49"/>
  <c r="N94" i="49" s="1"/>
  <c r="R94" i="49" s="1"/>
  <c r="S94" i="49" s="1"/>
  <c r="M95" i="49"/>
  <c r="N95" i="49" s="1"/>
  <c r="R95" i="49" s="1"/>
  <c r="S95" i="49" s="1"/>
  <c r="M96" i="49"/>
  <c r="N96" i="49" s="1"/>
  <c r="R96" i="49" s="1"/>
  <c r="S96" i="49" s="1"/>
  <c r="M97" i="49"/>
  <c r="N97" i="49" s="1"/>
  <c r="R97" i="49" s="1"/>
  <c r="S97" i="49" s="1"/>
  <c r="M98" i="49"/>
  <c r="N98" i="49" s="1"/>
  <c r="R98" i="49" s="1"/>
  <c r="S98" i="49" s="1"/>
  <c r="M99" i="49"/>
  <c r="N99" i="49" s="1"/>
  <c r="R99" i="49" s="1"/>
  <c r="S99" i="49" s="1"/>
  <c r="M100" i="49"/>
  <c r="N100" i="49" s="1"/>
  <c r="R100" i="49" s="1"/>
  <c r="S100" i="49" s="1"/>
  <c r="M101" i="49"/>
  <c r="N101" i="49" s="1"/>
  <c r="R101" i="49" s="1"/>
  <c r="S101" i="49" s="1"/>
  <c r="M102" i="49"/>
  <c r="N102" i="49" s="1"/>
  <c r="R102" i="49" s="1"/>
  <c r="S102" i="49" s="1"/>
  <c r="M103" i="49"/>
  <c r="N103" i="49" s="1"/>
  <c r="R103" i="49" s="1"/>
  <c r="S103" i="49" s="1"/>
  <c r="M104" i="49"/>
  <c r="N104" i="49" s="1"/>
  <c r="R104" i="49" s="1"/>
  <c r="S104" i="49" s="1"/>
  <c r="M105" i="49"/>
  <c r="N105" i="49" s="1"/>
  <c r="R105" i="49" s="1"/>
  <c r="S105" i="49" s="1"/>
  <c r="M106" i="49"/>
  <c r="N106" i="49" s="1"/>
  <c r="R106" i="49" s="1"/>
  <c r="S106" i="49" s="1"/>
  <c r="M107" i="49"/>
  <c r="N107" i="49" s="1"/>
  <c r="R107" i="49" s="1"/>
  <c r="S107" i="49" s="1"/>
  <c r="M108" i="49"/>
  <c r="N108" i="49" s="1"/>
  <c r="R108" i="49" s="1"/>
  <c r="S108" i="49" s="1"/>
  <c r="M109" i="49"/>
  <c r="N109" i="49" s="1"/>
  <c r="R109" i="49" s="1"/>
  <c r="S109" i="49" s="1"/>
  <c r="M110" i="49"/>
  <c r="N110" i="49" s="1"/>
  <c r="R110" i="49" s="1"/>
  <c r="S110" i="49" s="1"/>
  <c r="M111" i="49"/>
  <c r="N111" i="49" s="1"/>
  <c r="R111" i="49" s="1"/>
  <c r="S111" i="49" s="1"/>
  <c r="M112" i="49"/>
  <c r="N112" i="49" s="1"/>
  <c r="R112" i="49" s="1"/>
  <c r="S112" i="49" s="1"/>
  <c r="M114" i="49"/>
  <c r="N114" i="49" s="1"/>
  <c r="R114" i="49" s="1"/>
  <c r="S114" i="49" s="1"/>
  <c r="M115" i="49"/>
  <c r="N115" i="49" s="1"/>
  <c r="R115" i="49" s="1"/>
  <c r="S115" i="49" s="1"/>
  <c r="N116" i="49"/>
  <c r="R116" i="49" s="1"/>
  <c r="S116" i="49" s="1"/>
  <c r="M117" i="49"/>
  <c r="N117" i="49" s="1"/>
  <c r="R117" i="49" s="1"/>
  <c r="S117" i="49" s="1"/>
  <c r="M118" i="49"/>
  <c r="N118" i="49" s="1"/>
  <c r="R118" i="49" s="1"/>
  <c r="S118" i="49" s="1"/>
  <c r="M119" i="49"/>
  <c r="N119" i="49" s="1"/>
  <c r="R119" i="49" s="1"/>
  <c r="S119" i="49" s="1"/>
  <c r="M120" i="49"/>
  <c r="N120" i="49" s="1"/>
  <c r="R120" i="49" s="1"/>
  <c r="S120" i="49" s="1"/>
  <c r="M121" i="49"/>
  <c r="N121" i="49" s="1"/>
  <c r="R121" i="49" s="1"/>
  <c r="S121" i="49" s="1"/>
  <c r="M122" i="49"/>
  <c r="N122" i="49" s="1"/>
  <c r="R122" i="49" s="1"/>
  <c r="S122" i="49" s="1"/>
  <c r="M123" i="49"/>
  <c r="N123" i="49" s="1"/>
  <c r="R123" i="49" s="1"/>
  <c r="S123" i="49" s="1"/>
  <c r="M124" i="49"/>
  <c r="N124" i="49" s="1"/>
  <c r="R124" i="49" s="1"/>
  <c r="S124" i="49" s="1"/>
  <c r="M3" i="49"/>
  <c r="N3" i="49"/>
  <c r="P3" i="49"/>
  <c r="Q3" i="49"/>
  <c r="R3" i="49"/>
  <c r="S3" i="49" s="1"/>
  <c r="J10" i="49" l="1"/>
  <c r="J97" i="49"/>
  <c r="E199" i="43"/>
  <c r="G208" i="43"/>
  <c r="G207" i="43"/>
  <c r="G206" i="43"/>
  <c r="G205" i="43"/>
  <c r="G203" i="43"/>
  <c r="G202" i="43"/>
  <c r="G201" i="43"/>
  <c r="G200" i="43"/>
  <c r="A200" i="43"/>
  <c r="A201" i="43" s="1"/>
  <c r="A202" i="43" s="1"/>
  <c r="A203" i="43" s="1"/>
  <c r="A204" i="43" s="1"/>
  <c r="A205" i="43" s="1"/>
  <c r="A206" i="43" s="1"/>
  <c r="A207" i="43" s="1"/>
  <c r="A208" i="43" s="1"/>
  <c r="G199" i="43"/>
  <c r="L111" i="47"/>
  <c r="I104" i="47"/>
  <c r="I113" i="47"/>
  <c r="I97" i="47"/>
  <c r="I119" i="47"/>
  <c r="I118" i="47"/>
  <c r="I117" i="47"/>
  <c r="I115" i="47"/>
  <c r="I114" i="47"/>
  <c r="I108" i="47"/>
  <c r="I106" i="47"/>
  <c r="I105" i="47"/>
  <c r="I102" i="47"/>
  <c r="I101" i="47"/>
  <c r="I99" i="47"/>
  <c r="P119" i="47"/>
  <c r="J119" i="47"/>
  <c r="J120" i="47"/>
  <c r="M119" i="47"/>
  <c r="M120" i="47"/>
  <c r="N119" i="47"/>
  <c r="N120" i="47"/>
  <c r="P120" i="47"/>
  <c r="Q119" i="47"/>
  <c r="R119" i="47" s="1"/>
  <c r="Q120" i="47"/>
  <c r="R120" i="47" s="1"/>
  <c r="S119" i="47"/>
  <c r="S120" i="47"/>
  <c r="L108" i="47"/>
  <c r="G209" i="43" l="1"/>
  <c r="J106" i="47"/>
  <c r="M106" i="47"/>
  <c r="N106" i="47"/>
  <c r="P106" i="47"/>
  <c r="Q106" i="47"/>
  <c r="R106" i="47"/>
  <c r="S106" i="47"/>
  <c r="L104" i="47" l="1"/>
  <c r="O104" i="47"/>
  <c r="L101" i="47" l="1"/>
  <c r="M118" i="47"/>
  <c r="N118" i="47"/>
  <c r="P118" i="47"/>
  <c r="Q118" i="47"/>
  <c r="R118" i="47" s="1"/>
  <c r="S118" i="47"/>
  <c r="I98" i="47"/>
  <c r="I100" i="47"/>
  <c r="I107" i="47"/>
  <c r="I109" i="47"/>
  <c r="I110" i="47"/>
  <c r="I111" i="47"/>
  <c r="I112" i="47"/>
  <c r="J118" i="47"/>
  <c r="F188" i="43" l="1"/>
  <c r="J178" i="43"/>
  <c r="I94" i="47" l="1"/>
  <c r="I79" i="47"/>
  <c r="E191" i="43"/>
  <c r="G190" i="43"/>
  <c r="G188" i="43"/>
  <c r="G187" i="43"/>
  <c r="G186" i="43"/>
  <c r="G185" i="43"/>
  <c r="A185" i="43"/>
  <c r="A186" i="43" s="1"/>
  <c r="A187" i="43" s="1"/>
  <c r="A188" i="43" s="1"/>
  <c r="A189" i="43" s="1"/>
  <c r="A190" i="43" s="1"/>
  <c r="G184" i="43"/>
  <c r="G191" i="43" s="1"/>
  <c r="H194" i="43" s="1"/>
  <c r="I95" i="47"/>
  <c r="I90" i="47"/>
  <c r="I85" i="47"/>
  <c r="I82" i="47"/>
  <c r="I81" i="47"/>
  <c r="I76" i="47"/>
  <c r="I75" i="47"/>
  <c r="I74" i="47"/>
  <c r="L94" i="47"/>
  <c r="J97" i="47"/>
  <c r="J98" i="47"/>
  <c r="J99" i="47"/>
  <c r="J100" i="47"/>
  <c r="J101" i="47"/>
  <c r="J102" i="47"/>
  <c r="J103" i="47"/>
  <c r="J104" i="47"/>
  <c r="J105" i="47"/>
  <c r="J107" i="47"/>
  <c r="J108" i="47"/>
  <c r="J109" i="47"/>
  <c r="J110" i="47"/>
  <c r="J111" i="47"/>
  <c r="J112" i="47"/>
  <c r="J113" i="47"/>
  <c r="J114" i="47"/>
  <c r="J115" i="47"/>
  <c r="J116" i="47"/>
  <c r="J117" i="47"/>
  <c r="M97" i="47"/>
  <c r="M98" i="47"/>
  <c r="M99" i="47"/>
  <c r="M100" i="47"/>
  <c r="M101" i="47"/>
  <c r="M102" i="47"/>
  <c r="M103" i="47"/>
  <c r="M104" i="47"/>
  <c r="M105" i="47"/>
  <c r="M107" i="47"/>
  <c r="M108" i="47"/>
  <c r="M109" i="47"/>
  <c r="M110" i="47"/>
  <c r="M111" i="47"/>
  <c r="N111" i="47" s="1"/>
  <c r="M112" i="47"/>
  <c r="M113" i="47"/>
  <c r="M114" i="47"/>
  <c r="M115" i="47"/>
  <c r="M116" i="47"/>
  <c r="M117" i="47"/>
  <c r="N97" i="47"/>
  <c r="N98" i="47"/>
  <c r="N99" i="47"/>
  <c r="N100" i="47"/>
  <c r="N101" i="47"/>
  <c r="N102" i="47"/>
  <c r="N103" i="47"/>
  <c r="N104" i="47"/>
  <c r="N105" i="47"/>
  <c r="N107" i="47"/>
  <c r="N108" i="47"/>
  <c r="N109" i="47"/>
  <c r="N110" i="47"/>
  <c r="N112" i="47"/>
  <c r="N113" i="47"/>
  <c r="N114" i="47"/>
  <c r="N115" i="47"/>
  <c r="N116" i="47"/>
  <c r="N117" i="47"/>
  <c r="P97" i="47"/>
  <c r="P98" i="47"/>
  <c r="P99" i="47"/>
  <c r="P100" i="47"/>
  <c r="P101" i="47"/>
  <c r="P103" i="47"/>
  <c r="P104" i="47"/>
  <c r="P105" i="47"/>
  <c r="P107" i="47"/>
  <c r="P108" i="47"/>
  <c r="P109" i="47"/>
  <c r="P110" i="47"/>
  <c r="P111" i="47"/>
  <c r="P112" i="47"/>
  <c r="P113" i="47"/>
  <c r="P114" i="47"/>
  <c r="P115" i="47"/>
  <c r="P116" i="47"/>
  <c r="P117" i="47"/>
  <c r="Q97" i="47"/>
  <c r="R97" i="47" s="1"/>
  <c r="Q98" i="47"/>
  <c r="R98" i="47" s="1"/>
  <c r="Q99" i="47"/>
  <c r="R99" i="47" s="1"/>
  <c r="Q100" i="47"/>
  <c r="R100" i="47" s="1"/>
  <c r="Q101" i="47"/>
  <c r="R101" i="47" s="1"/>
  <c r="Q102" i="47"/>
  <c r="Q103" i="47"/>
  <c r="R103" i="47" s="1"/>
  <c r="Q104" i="47"/>
  <c r="R104" i="47" s="1"/>
  <c r="Q105" i="47"/>
  <c r="R105" i="47" s="1"/>
  <c r="Q107" i="47"/>
  <c r="R107" i="47" s="1"/>
  <c r="Q108" i="47"/>
  <c r="R108" i="47" s="1"/>
  <c r="Q109" i="47"/>
  <c r="R109" i="47" s="1"/>
  <c r="Q110" i="47"/>
  <c r="R110" i="47" s="1"/>
  <c r="Q111" i="47"/>
  <c r="R111" i="47" s="1"/>
  <c r="Q112" i="47"/>
  <c r="R112" i="47" s="1"/>
  <c r="Q113" i="47"/>
  <c r="R113" i="47" s="1"/>
  <c r="Q114" i="47"/>
  <c r="R114" i="47" s="1"/>
  <c r="Q115" i="47"/>
  <c r="R115" i="47" s="1"/>
  <c r="Q116" i="47"/>
  <c r="R116" i="47" s="1"/>
  <c r="Q117" i="47"/>
  <c r="R117" i="47" s="1"/>
  <c r="S97" i="47"/>
  <c r="S98" i="47"/>
  <c r="S99" i="47"/>
  <c r="S100" i="47"/>
  <c r="S101" i="47"/>
  <c r="S102" i="47"/>
  <c r="S103" i="47"/>
  <c r="S104" i="47"/>
  <c r="S105" i="47"/>
  <c r="S107" i="47"/>
  <c r="S108" i="47"/>
  <c r="S109" i="47"/>
  <c r="S110" i="47"/>
  <c r="S111" i="47"/>
  <c r="S112" i="47"/>
  <c r="S113" i="47"/>
  <c r="S114" i="47"/>
  <c r="S115" i="47"/>
  <c r="S116" i="47"/>
  <c r="S117" i="47"/>
  <c r="M123" i="37" l="1"/>
  <c r="J123" i="37"/>
  <c r="O114" i="37"/>
  <c r="J39" i="37"/>
  <c r="P2" i="47"/>
  <c r="Q2" i="47" s="1"/>
  <c r="P3" i="47"/>
  <c r="Q3" i="47" s="1"/>
  <c r="P4" i="47"/>
  <c r="Q4" i="47" s="1"/>
  <c r="P5" i="47"/>
  <c r="Q5" i="47" s="1"/>
  <c r="P6" i="47"/>
  <c r="Q6" i="47" s="1"/>
  <c r="P7" i="47"/>
  <c r="Q7" i="47" s="1"/>
  <c r="P8" i="47"/>
  <c r="Q8" i="47" s="1"/>
  <c r="P9" i="47"/>
  <c r="Q9" i="47" s="1"/>
  <c r="P10" i="47"/>
  <c r="Q10" i="47" s="1"/>
  <c r="P11" i="47"/>
  <c r="Q11" i="47" s="1"/>
  <c r="P12" i="47"/>
  <c r="Q12" i="47" s="1"/>
  <c r="P13" i="47"/>
  <c r="Q13" i="47" s="1"/>
  <c r="P14" i="47"/>
  <c r="Q14" i="47" s="1"/>
  <c r="P15" i="47"/>
  <c r="Q15" i="47" s="1"/>
  <c r="P16" i="47"/>
  <c r="Q16" i="47" s="1"/>
  <c r="P17" i="47"/>
  <c r="Q17" i="47" s="1"/>
  <c r="P18" i="47"/>
  <c r="Q18" i="47" s="1"/>
  <c r="P19" i="47"/>
  <c r="Q19" i="47" s="1"/>
  <c r="P20" i="47"/>
  <c r="Q20" i="47" s="1"/>
  <c r="P21" i="47"/>
  <c r="Q21" i="47" s="1"/>
  <c r="P22" i="47"/>
  <c r="Q22" i="47" s="1"/>
  <c r="P23" i="47"/>
  <c r="Q23" i="47" s="1"/>
  <c r="P24" i="47"/>
  <c r="Q24" i="47" s="1"/>
  <c r="P25" i="47"/>
  <c r="Q25" i="47" s="1"/>
  <c r="P26" i="47"/>
  <c r="Q26" i="47" s="1"/>
  <c r="P27" i="47"/>
  <c r="Q27" i="47" s="1"/>
  <c r="P28" i="47"/>
  <c r="Q28" i="47" s="1"/>
  <c r="P29" i="47"/>
  <c r="Q29" i="47" s="1"/>
  <c r="P30" i="47"/>
  <c r="Q30" i="47" s="1"/>
  <c r="P31" i="47"/>
  <c r="Q31" i="47" s="1"/>
  <c r="P32" i="47"/>
  <c r="Q32" i="47" s="1"/>
  <c r="P33" i="47"/>
  <c r="Q33" i="47" s="1"/>
  <c r="P34" i="47"/>
  <c r="Q34" i="47" s="1"/>
  <c r="P35" i="47"/>
  <c r="Q35" i="47" s="1"/>
  <c r="P36" i="47"/>
  <c r="Q36" i="47" s="1"/>
  <c r="P37" i="47"/>
  <c r="Q37" i="47" s="1"/>
  <c r="P38" i="47"/>
  <c r="Q38" i="47" s="1"/>
  <c r="P39" i="47"/>
  <c r="Q39" i="47" s="1"/>
  <c r="P40" i="47"/>
  <c r="Q40" i="47" s="1"/>
  <c r="P41" i="47"/>
  <c r="Q41" i="47" s="1"/>
  <c r="P42" i="47"/>
  <c r="Q42" i="47" s="1"/>
  <c r="P43" i="47"/>
  <c r="Q43" i="47" s="1"/>
  <c r="P44" i="47"/>
  <c r="Q44" i="47" s="1"/>
  <c r="P45" i="47"/>
  <c r="Q45" i="47" s="1"/>
  <c r="P46" i="47"/>
  <c r="Q46" i="47" s="1"/>
  <c r="P47" i="47"/>
  <c r="Q47" i="47" s="1"/>
  <c r="P48" i="47"/>
  <c r="Q48" i="47" s="1"/>
  <c r="P49" i="47"/>
  <c r="Q49" i="47" s="1"/>
  <c r="P50" i="47"/>
  <c r="Q50" i="47" s="1"/>
  <c r="P51" i="47"/>
  <c r="Q51" i="47" s="1"/>
  <c r="P52" i="47"/>
  <c r="Q52" i="47" s="1"/>
  <c r="P53" i="47"/>
  <c r="Q53" i="47" s="1"/>
  <c r="P54" i="47"/>
  <c r="Q54" i="47" s="1"/>
  <c r="P55" i="47"/>
  <c r="Q55" i="47" s="1"/>
  <c r="P56" i="47"/>
  <c r="Q56" i="47" s="1"/>
  <c r="P57" i="47"/>
  <c r="Q57" i="47" s="1"/>
  <c r="P58" i="47"/>
  <c r="Q58" i="47" s="1"/>
  <c r="P59" i="47"/>
  <c r="Q59" i="47" s="1"/>
  <c r="P60" i="47"/>
  <c r="Q60" i="47" s="1"/>
  <c r="P61" i="47"/>
  <c r="Q61" i="47" s="1"/>
  <c r="P62" i="47"/>
  <c r="Q62" i="47" s="1"/>
  <c r="P63" i="47"/>
  <c r="Q63" i="47" s="1"/>
  <c r="P64" i="47"/>
  <c r="Q64" i="47" s="1"/>
  <c r="P65" i="47"/>
  <c r="Q65" i="47" s="1"/>
  <c r="P66" i="47"/>
  <c r="Q66" i="47" s="1"/>
  <c r="P67" i="47"/>
  <c r="Q67" i="47" s="1"/>
  <c r="P68" i="47"/>
  <c r="Q68" i="47" s="1"/>
  <c r="P69" i="47"/>
  <c r="Q69" i="47" s="1"/>
  <c r="P70" i="47"/>
  <c r="Q70" i="47" s="1"/>
  <c r="P71" i="47"/>
  <c r="Q71" i="47" s="1"/>
  <c r="P72" i="47"/>
  <c r="Q72" i="47" s="1"/>
  <c r="P73" i="47"/>
  <c r="Q73" i="47" s="1"/>
  <c r="P74" i="47"/>
  <c r="Q74" i="47" s="1"/>
  <c r="P75" i="47"/>
  <c r="Q75" i="47" s="1"/>
  <c r="P77" i="47"/>
  <c r="Q77" i="47" s="1"/>
  <c r="P78" i="47"/>
  <c r="Q78" i="47" s="1"/>
  <c r="P79" i="47"/>
  <c r="Q79" i="47" s="1"/>
  <c r="P80" i="47"/>
  <c r="Q80" i="47" s="1"/>
  <c r="P82" i="47"/>
  <c r="Q82" i="47" s="1"/>
  <c r="P83" i="47"/>
  <c r="Q83" i="47" s="1"/>
  <c r="P84" i="47"/>
  <c r="Q84" i="47" s="1"/>
  <c r="P85" i="47"/>
  <c r="Q85" i="47" s="1"/>
  <c r="P86" i="47"/>
  <c r="Q86" i="47" s="1"/>
  <c r="P87" i="47"/>
  <c r="Q87" i="47" s="1"/>
  <c r="P88" i="47"/>
  <c r="Q88" i="47" s="1"/>
  <c r="P89" i="47"/>
  <c r="Q89" i="47" s="1"/>
  <c r="P90" i="47"/>
  <c r="Q90" i="47" s="1"/>
  <c r="P91" i="47"/>
  <c r="Q91" i="47" s="1"/>
  <c r="P92" i="47"/>
  <c r="Q92" i="47" s="1"/>
  <c r="P93" i="47"/>
  <c r="Q93" i="47" s="1"/>
  <c r="P94" i="47"/>
  <c r="Q94" i="47" s="1"/>
  <c r="P95" i="47"/>
  <c r="Q95" i="47" s="1"/>
  <c r="Q96" i="47"/>
  <c r="O81" i="47"/>
  <c r="P81" i="47" s="1"/>
  <c r="Q81" i="47" s="1"/>
  <c r="M2" i="47"/>
  <c r="N2" i="47" s="1"/>
  <c r="M3" i="47"/>
  <c r="N3" i="47" s="1"/>
  <c r="M4" i="47"/>
  <c r="N4" i="47" s="1"/>
  <c r="M5" i="47"/>
  <c r="N5" i="47" s="1"/>
  <c r="M6" i="47"/>
  <c r="N6" i="47" s="1"/>
  <c r="M7" i="47"/>
  <c r="N7" i="47" s="1"/>
  <c r="M8" i="47"/>
  <c r="N8" i="47" s="1"/>
  <c r="M9" i="47"/>
  <c r="N9" i="47" s="1"/>
  <c r="M10" i="47"/>
  <c r="N10" i="47" s="1"/>
  <c r="M11" i="47"/>
  <c r="N11" i="47" s="1"/>
  <c r="M12" i="47"/>
  <c r="N12" i="47" s="1"/>
  <c r="M13" i="47"/>
  <c r="N13" i="47" s="1"/>
  <c r="M14" i="47"/>
  <c r="N14" i="47" s="1"/>
  <c r="M15" i="47"/>
  <c r="N15" i="47" s="1"/>
  <c r="M16" i="47"/>
  <c r="N16" i="47" s="1"/>
  <c r="M17" i="47"/>
  <c r="N17" i="47" s="1"/>
  <c r="M18" i="47"/>
  <c r="N18" i="47" s="1"/>
  <c r="M19" i="47"/>
  <c r="N19" i="47" s="1"/>
  <c r="M20" i="47"/>
  <c r="N20" i="47" s="1"/>
  <c r="M21" i="47"/>
  <c r="N21" i="47" s="1"/>
  <c r="M22" i="47"/>
  <c r="N22" i="47" s="1"/>
  <c r="M23" i="47"/>
  <c r="N23" i="47" s="1"/>
  <c r="M24" i="47"/>
  <c r="N24" i="47" s="1"/>
  <c r="M25" i="47"/>
  <c r="N25" i="47" s="1"/>
  <c r="M26" i="47"/>
  <c r="N26" i="47" s="1"/>
  <c r="M27" i="47"/>
  <c r="N27" i="47" s="1"/>
  <c r="M28" i="47"/>
  <c r="N28" i="47" s="1"/>
  <c r="M29" i="47"/>
  <c r="N29" i="47" s="1"/>
  <c r="M30" i="47"/>
  <c r="N30" i="47" s="1"/>
  <c r="M31" i="47"/>
  <c r="N31" i="47" s="1"/>
  <c r="M32" i="47"/>
  <c r="N32" i="47" s="1"/>
  <c r="M33" i="47"/>
  <c r="N33" i="47" s="1"/>
  <c r="M34" i="47"/>
  <c r="N34" i="47" s="1"/>
  <c r="M35" i="47"/>
  <c r="N35" i="47" s="1"/>
  <c r="M36" i="47"/>
  <c r="N36" i="47" s="1"/>
  <c r="M37" i="47"/>
  <c r="N37" i="47" s="1"/>
  <c r="M38" i="47"/>
  <c r="N38" i="47" s="1"/>
  <c r="M39" i="47"/>
  <c r="N39" i="47" s="1"/>
  <c r="M40" i="47"/>
  <c r="N40" i="47" s="1"/>
  <c r="M41" i="47"/>
  <c r="N41" i="47" s="1"/>
  <c r="M42" i="47"/>
  <c r="N42" i="47" s="1"/>
  <c r="M43" i="47"/>
  <c r="N43" i="47" s="1"/>
  <c r="M44" i="47"/>
  <c r="N44" i="47" s="1"/>
  <c r="M45" i="47"/>
  <c r="N45" i="47" s="1"/>
  <c r="M46" i="47"/>
  <c r="N46" i="47" s="1"/>
  <c r="M47" i="47"/>
  <c r="N47" i="47" s="1"/>
  <c r="M48" i="47"/>
  <c r="N48" i="47" s="1"/>
  <c r="M49" i="47"/>
  <c r="N49" i="47" s="1"/>
  <c r="M50" i="47"/>
  <c r="N50" i="47" s="1"/>
  <c r="M51" i="47"/>
  <c r="N51" i="47" s="1"/>
  <c r="M52" i="47"/>
  <c r="N52" i="47" s="1"/>
  <c r="M53" i="47"/>
  <c r="N53" i="47" s="1"/>
  <c r="M54" i="47"/>
  <c r="N54" i="47" s="1"/>
  <c r="M55" i="47"/>
  <c r="N55" i="47" s="1"/>
  <c r="M56" i="47"/>
  <c r="N56" i="47" s="1"/>
  <c r="M57" i="47"/>
  <c r="N57" i="47" s="1"/>
  <c r="M58" i="47"/>
  <c r="N58" i="47" s="1"/>
  <c r="M59" i="47"/>
  <c r="N59" i="47" s="1"/>
  <c r="M60" i="47"/>
  <c r="N60" i="47" s="1"/>
  <c r="M61" i="47"/>
  <c r="N61" i="47" s="1"/>
  <c r="M62" i="47"/>
  <c r="N62" i="47" s="1"/>
  <c r="M63" i="47"/>
  <c r="N63" i="47" s="1"/>
  <c r="M64" i="47"/>
  <c r="N64" i="47" s="1"/>
  <c r="M65" i="47"/>
  <c r="N65" i="47" s="1"/>
  <c r="M66" i="47"/>
  <c r="N66" i="47" s="1"/>
  <c r="M67" i="47"/>
  <c r="N67" i="47" s="1"/>
  <c r="M68" i="47"/>
  <c r="N68" i="47" s="1"/>
  <c r="M69" i="47"/>
  <c r="N69" i="47" s="1"/>
  <c r="M70" i="47"/>
  <c r="N70" i="47" s="1"/>
  <c r="M71" i="47"/>
  <c r="N71" i="47" s="1"/>
  <c r="M72" i="47"/>
  <c r="N72" i="47" s="1"/>
  <c r="M74" i="47"/>
  <c r="N74" i="47" s="1"/>
  <c r="M75" i="47"/>
  <c r="N75" i="47" s="1"/>
  <c r="M77" i="47"/>
  <c r="N77" i="47" s="1"/>
  <c r="M78" i="47"/>
  <c r="N78" i="47" s="1"/>
  <c r="M79" i="47"/>
  <c r="N79" i="47" s="1"/>
  <c r="M80" i="47"/>
  <c r="N80" i="47" s="1"/>
  <c r="M82" i="47"/>
  <c r="N82" i="47" s="1"/>
  <c r="M83" i="47"/>
  <c r="N83" i="47" s="1"/>
  <c r="M84" i="47"/>
  <c r="N84" i="47" s="1"/>
  <c r="M85" i="47"/>
  <c r="N85" i="47" s="1"/>
  <c r="M86" i="47"/>
  <c r="N86" i="47" s="1"/>
  <c r="M87" i="47"/>
  <c r="N87" i="47" s="1"/>
  <c r="M88" i="47"/>
  <c r="N88" i="47" s="1"/>
  <c r="M89" i="47"/>
  <c r="N89" i="47" s="1"/>
  <c r="M90" i="47"/>
  <c r="N90" i="47" s="1"/>
  <c r="M91" i="47"/>
  <c r="N91" i="47" s="1"/>
  <c r="M92" i="47"/>
  <c r="N92" i="47" s="1"/>
  <c r="M93" i="47"/>
  <c r="N93" i="47" s="1"/>
  <c r="M94" i="47"/>
  <c r="N94" i="47" s="1"/>
  <c r="M95" i="47"/>
  <c r="N95" i="47" s="1"/>
  <c r="N96" i="47"/>
  <c r="R96" i="47" s="1"/>
  <c r="S96" i="47" s="1"/>
  <c r="M81" i="47"/>
  <c r="N81" i="47" s="1"/>
  <c r="R81" i="47" l="1"/>
  <c r="S81" i="47" s="1"/>
  <c r="R95" i="47"/>
  <c r="S95" i="47" s="1"/>
  <c r="R94" i="47"/>
  <c r="S94" i="47" s="1"/>
  <c r="R93" i="47"/>
  <c r="S93" i="47" s="1"/>
  <c r="R92" i="47"/>
  <c r="S92" i="47" s="1"/>
  <c r="R91" i="47"/>
  <c r="S91" i="47" s="1"/>
  <c r="R89" i="47"/>
  <c r="S89" i="47" s="1"/>
  <c r="R88" i="47"/>
  <c r="S88" i="47" s="1"/>
  <c r="R87" i="47"/>
  <c r="S87" i="47" s="1"/>
  <c r="R86" i="47"/>
  <c r="S86" i="47" s="1"/>
  <c r="R85" i="47"/>
  <c r="S85" i="47" s="1"/>
  <c r="R84" i="47"/>
  <c r="S84" i="47" s="1"/>
  <c r="R83" i="47"/>
  <c r="S83" i="47" s="1"/>
  <c r="R82" i="47"/>
  <c r="S82" i="47" s="1"/>
  <c r="R80" i="47"/>
  <c r="S80" i="47" s="1"/>
  <c r="R79" i="47"/>
  <c r="S79" i="47" s="1"/>
  <c r="R78" i="47"/>
  <c r="S78" i="47" s="1"/>
  <c r="R77" i="47"/>
  <c r="S77" i="47" s="1"/>
  <c r="R75" i="47"/>
  <c r="S75" i="47" s="1"/>
  <c r="R74" i="47"/>
  <c r="S74" i="47" s="1"/>
  <c r="R72" i="47"/>
  <c r="S72" i="47" s="1"/>
  <c r="R71" i="47"/>
  <c r="S71" i="47" s="1"/>
  <c r="R70" i="47"/>
  <c r="S70" i="47" s="1"/>
  <c r="R69" i="47"/>
  <c r="S69" i="47" s="1"/>
  <c r="R68" i="47"/>
  <c r="R67" i="47"/>
  <c r="R66" i="47"/>
  <c r="R65" i="47"/>
  <c r="R64" i="47"/>
  <c r="R63" i="47"/>
  <c r="R62" i="47"/>
  <c r="R61" i="47"/>
  <c r="R60" i="47"/>
  <c r="R59" i="47"/>
  <c r="R58" i="47"/>
  <c r="R57" i="47"/>
  <c r="R56" i="47"/>
  <c r="R55" i="47"/>
  <c r="R54" i="47"/>
  <c r="R53" i="47"/>
  <c r="R52" i="47"/>
  <c r="R51" i="47"/>
  <c r="R50" i="47"/>
  <c r="R49" i="47"/>
  <c r="R48" i="47"/>
  <c r="R47" i="47"/>
  <c r="R46" i="47"/>
  <c r="R45" i="47"/>
  <c r="R44" i="47"/>
  <c r="R43" i="47"/>
  <c r="R42" i="47"/>
  <c r="R41" i="47"/>
  <c r="R40" i="47"/>
  <c r="R39" i="47"/>
  <c r="R38" i="47"/>
  <c r="R37" i="47"/>
  <c r="R36" i="47"/>
  <c r="R35" i="47"/>
  <c r="R34" i="47"/>
  <c r="R33" i="47"/>
  <c r="R32" i="47"/>
  <c r="R31" i="47"/>
  <c r="R30" i="47"/>
  <c r="R29" i="47"/>
  <c r="R28" i="47"/>
  <c r="R27" i="47"/>
  <c r="R26" i="47"/>
  <c r="R25" i="47"/>
  <c r="R24" i="47"/>
  <c r="R23" i="47"/>
  <c r="R22" i="47"/>
  <c r="R21" i="47"/>
  <c r="R20" i="47"/>
  <c r="R19" i="47"/>
  <c r="R18" i="47"/>
  <c r="R17" i="47"/>
  <c r="R16" i="47"/>
  <c r="R15" i="47"/>
  <c r="R14" i="47"/>
  <c r="R13" i="47"/>
  <c r="R12" i="47"/>
  <c r="R11" i="47"/>
  <c r="R10" i="47"/>
  <c r="R9" i="47"/>
  <c r="R8" i="47"/>
  <c r="R7" i="47"/>
  <c r="R6" i="47"/>
  <c r="R5" i="47"/>
  <c r="R4" i="47"/>
  <c r="R3" i="47"/>
  <c r="R2" i="47"/>
  <c r="S2" i="47" s="1"/>
  <c r="R90" i="47"/>
  <c r="S90" i="47" s="1"/>
  <c r="O76" i="47"/>
  <c r="P76" i="47" s="1"/>
  <c r="Q76" i="47" s="1"/>
  <c r="L76" i="47"/>
  <c r="M76" i="47" s="1"/>
  <c r="N76" i="47" s="1"/>
  <c r="L73" i="47"/>
  <c r="M73" i="47" s="1"/>
  <c r="N73" i="47" s="1"/>
  <c r="R73" i="47" s="1"/>
  <c r="S73" i="47" s="1"/>
  <c r="I73" i="47"/>
  <c r="J73" i="47" s="1"/>
  <c r="I72" i="47"/>
  <c r="J72" i="47" s="1"/>
  <c r="I71" i="47"/>
  <c r="I77" i="47"/>
  <c r="I78" i="47"/>
  <c r="I80" i="47"/>
  <c r="I83" i="47"/>
  <c r="I86" i="47"/>
  <c r="I88" i="47"/>
  <c r="I89" i="47"/>
  <c r="I92" i="47"/>
  <c r="I93" i="47"/>
  <c r="I96" i="47"/>
  <c r="I70" i="47"/>
  <c r="I69" i="47"/>
  <c r="J70" i="47"/>
  <c r="J71" i="47"/>
  <c r="J74" i="47"/>
  <c r="J75" i="47"/>
  <c r="J76" i="47"/>
  <c r="J77" i="47"/>
  <c r="J78" i="47"/>
  <c r="J79" i="47"/>
  <c r="J80" i="47"/>
  <c r="J81" i="47"/>
  <c r="J82" i="47"/>
  <c r="J83" i="47"/>
  <c r="J84" i="47"/>
  <c r="J85" i="47"/>
  <c r="J86" i="47"/>
  <c r="J87" i="47"/>
  <c r="J88" i="47"/>
  <c r="J89" i="47"/>
  <c r="J90" i="47"/>
  <c r="J91" i="47"/>
  <c r="J92" i="47"/>
  <c r="J93" i="47"/>
  <c r="J94" i="47"/>
  <c r="J95" i="47"/>
  <c r="J96" i="47"/>
  <c r="J11" i="47"/>
  <c r="J12" i="47"/>
  <c r="J34" i="47"/>
  <c r="J56" i="47"/>
  <c r="S3" i="47"/>
  <c r="S4" i="47"/>
  <c r="S5" i="47"/>
  <c r="S6" i="47"/>
  <c r="S7" i="47"/>
  <c r="S8" i="47"/>
  <c r="S9" i="47"/>
  <c r="S10" i="47"/>
  <c r="S11" i="47"/>
  <c r="S12" i="47"/>
  <c r="S13" i="47"/>
  <c r="S14" i="47"/>
  <c r="F173" i="43"/>
  <c r="E178" i="43"/>
  <c r="G177" i="43"/>
  <c r="G176" i="43"/>
  <c r="I68" i="47"/>
  <c r="J68" i="47" s="1"/>
  <c r="I67" i="47"/>
  <c r="J67" i="47" s="1"/>
  <c r="I54" i="47"/>
  <c r="J54" i="47" s="1"/>
  <c r="I53" i="47"/>
  <c r="J53" i="47" s="1"/>
  <c r="I51" i="47"/>
  <c r="J51" i="47" s="1"/>
  <c r="I49" i="47"/>
  <c r="J49" i="47" s="1"/>
  <c r="I48" i="47"/>
  <c r="J48" i="47" s="1"/>
  <c r="I47" i="47"/>
  <c r="J47" i="47" s="1"/>
  <c r="I39" i="47"/>
  <c r="J39" i="47" s="1"/>
  <c r="I66" i="47"/>
  <c r="J66" i="47" s="1"/>
  <c r="I62" i="47"/>
  <c r="J62" i="47" s="1"/>
  <c r="I61" i="47"/>
  <c r="J61" i="47" s="1"/>
  <c r="I59" i="47"/>
  <c r="J59" i="47" s="1"/>
  <c r="I57" i="47"/>
  <c r="J57" i="47" s="1"/>
  <c r="I44" i="47"/>
  <c r="J44" i="47" s="1"/>
  <c r="I37" i="47"/>
  <c r="J37" i="47" s="1"/>
  <c r="R76" i="47" l="1"/>
  <c r="S76" i="47" s="1"/>
  <c r="S68" i="47"/>
  <c r="S67" i="47"/>
  <c r="S66" i="47"/>
  <c r="S65" i="47"/>
  <c r="S64" i="47"/>
  <c r="S63" i="47"/>
  <c r="S62" i="47"/>
  <c r="S61" i="47"/>
  <c r="S60" i="47"/>
  <c r="S59" i="47"/>
  <c r="S58" i="47"/>
  <c r="S57" i="47"/>
  <c r="S56" i="47"/>
  <c r="S55" i="47"/>
  <c r="S54" i="47"/>
  <c r="S53" i="47"/>
  <c r="S52" i="47"/>
  <c r="S51" i="47"/>
  <c r="S50" i="47"/>
  <c r="S49" i="47"/>
  <c r="S48" i="47"/>
  <c r="S47" i="47"/>
  <c r="S46" i="47"/>
  <c r="S45" i="47"/>
  <c r="S44" i="47"/>
  <c r="S43" i="47"/>
  <c r="S42" i="47"/>
  <c r="S41" i="47"/>
  <c r="S40" i="47"/>
  <c r="S39" i="47"/>
  <c r="S38" i="47"/>
  <c r="S37" i="47"/>
  <c r="S36" i="47"/>
  <c r="S35" i="47"/>
  <c r="S34" i="47"/>
  <c r="S33" i="47"/>
  <c r="S32" i="47"/>
  <c r="S31" i="47"/>
  <c r="S30" i="47"/>
  <c r="S29" i="47"/>
  <c r="S28" i="47"/>
  <c r="S27" i="47"/>
  <c r="S26" i="47"/>
  <c r="S25" i="47"/>
  <c r="S24" i="47"/>
  <c r="S23" i="47"/>
  <c r="S22" i="47"/>
  <c r="S21" i="47"/>
  <c r="S20" i="47"/>
  <c r="S19" i="47"/>
  <c r="S18" i="47"/>
  <c r="S17" i="47"/>
  <c r="S16" i="47"/>
  <c r="S15" i="47"/>
  <c r="G172" i="43"/>
  <c r="G175" i="43"/>
  <c r="G173" i="43"/>
  <c r="G171" i="43"/>
  <c r="G170" i="43"/>
  <c r="A170" i="43"/>
  <c r="A171" i="43" s="1"/>
  <c r="A172" i="43" s="1"/>
  <c r="A173" i="43" s="1"/>
  <c r="A174" i="43" s="1"/>
  <c r="A175" i="43" s="1"/>
  <c r="A176" i="43" s="1"/>
  <c r="A177" i="43" s="1"/>
  <c r="G169" i="43"/>
  <c r="J69" i="47"/>
  <c r="I63" i="47"/>
  <c r="J63" i="47" s="1"/>
  <c r="I42" i="47"/>
  <c r="J42" i="47" s="1"/>
  <c r="I41" i="47"/>
  <c r="J41" i="47" s="1"/>
  <c r="I38" i="47"/>
  <c r="J38" i="47" s="1"/>
  <c r="G178" i="43" l="1"/>
  <c r="H180" i="43" s="1"/>
  <c r="I64" i="47" l="1"/>
  <c r="J64" i="47" s="1"/>
  <c r="I65" i="47"/>
  <c r="J65" i="47" s="1"/>
  <c r="I58" i="47"/>
  <c r="J58" i="47" s="1"/>
  <c r="I60" i="47"/>
  <c r="J60" i="47" s="1"/>
  <c r="I50" i="47"/>
  <c r="J50" i="47" s="1"/>
  <c r="I52" i="47"/>
  <c r="J52" i="47" s="1"/>
  <c r="I55" i="47"/>
  <c r="J55" i="47" s="1"/>
  <c r="I43" i="47"/>
  <c r="J43" i="47" s="1"/>
  <c r="I45" i="47"/>
  <c r="J45" i="47" s="1"/>
  <c r="I46" i="47"/>
  <c r="J46" i="47" s="1"/>
  <c r="I40" i="47" l="1"/>
  <c r="J40" i="47" s="1"/>
  <c r="I36" i="47"/>
  <c r="J36" i="47" s="1"/>
  <c r="I35" i="47"/>
  <c r="J35" i="47" s="1"/>
  <c r="I33" i="47"/>
  <c r="J33" i="47" s="1"/>
  <c r="I32" i="47"/>
  <c r="J32" i="47" s="1"/>
  <c r="I31" i="47"/>
  <c r="J31" i="47" s="1"/>
  <c r="I30" i="47"/>
  <c r="J30" i="47" s="1"/>
  <c r="I29" i="47"/>
  <c r="J29" i="47" s="1"/>
  <c r="I28" i="47"/>
  <c r="J28" i="47" s="1"/>
  <c r="I27" i="47"/>
  <c r="J27" i="47" s="1"/>
  <c r="I26" i="47"/>
  <c r="J26" i="47" s="1"/>
  <c r="I25" i="47"/>
  <c r="J25" i="47" s="1"/>
  <c r="I24" i="47"/>
  <c r="J24" i="47" s="1"/>
  <c r="I23" i="47"/>
  <c r="J23" i="47" s="1"/>
  <c r="I22" i="47"/>
  <c r="J22" i="47" s="1"/>
  <c r="I21" i="47"/>
  <c r="J21" i="47" s="1"/>
  <c r="I20" i="47"/>
  <c r="J20" i="47" s="1"/>
  <c r="I19" i="47"/>
  <c r="J19" i="47" s="1"/>
  <c r="I18" i="47"/>
  <c r="J18" i="47" s="1"/>
  <c r="I17" i="47"/>
  <c r="J17" i="47" s="1"/>
  <c r="I16" i="47"/>
  <c r="J16" i="47" s="1"/>
  <c r="I15" i="47"/>
  <c r="J15" i="47" s="1"/>
  <c r="I14" i="47"/>
  <c r="J14" i="47" s="1"/>
  <c r="I13" i="47"/>
  <c r="J13" i="47" s="1"/>
  <c r="I10" i="47"/>
  <c r="J10" i="47" s="1"/>
  <c r="I9" i="47"/>
  <c r="J9" i="47" s="1"/>
  <c r="I8" i="47"/>
  <c r="J8" i="47" s="1"/>
  <c r="I7" i="47"/>
  <c r="J7" i="47" s="1"/>
  <c r="I6" i="47"/>
  <c r="J6" i="47" s="1"/>
  <c r="I5" i="47"/>
  <c r="J5" i="47" s="1"/>
  <c r="I4" i="47"/>
  <c r="J4" i="47" s="1"/>
  <c r="I3" i="47"/>
  <c r="J3" i="47" s="1"/>
  <c r="I2" i="47"/>
  <c r="J2" i="47" l="1"/>
  <c r="E162" i="43"/>
  <c r="G160" i="43"/>
  <c r="G159" i="43"/>
  <c r="G158" i="43"/>
  <c r="G157" i="43"/>
  <c r="A157" i="43"/>
  <c r="A158" i="43" s="1"/>
  <c r="A159" i="43" s="1"/>
  <c r="A160" i="43" s="1"/>
  <c r="A161" i="43" s="1"/>
  <c r="G156" i="43"/>
  <c r="I301" i="40"/>
  <c r="I280" i="40"/>
  <c r="I300" i="40"/>
  <c r="I294" i="40"/>
  <c r="I288" i="40"/>
  <c r="I286" i="40"/>
  <c r="I298" i="40"/>
  <c r="I297" i="40"/>
  <c r="I296" i="40"/>
  <c r="I295" i="40"/>
  <c r="I293" i="40"/>
  <c r="I292" i="40"/>
  <c r="I291" i="40"/>
  <c r="I290" i="40"/>
  <c r="I289" i="40"/>
  <c r="I287" i="40"/>
  <c r="I285" i="40"/>
  <c r="I284" i="40"/>
  <c r="I283" i="40"/>
  <c r="I282" i="40"/>
  <c r="I281" i="40"/>
  <c r="I279" i="40"/>
  <c r="G162" i="43" l="1"/>
  <c r="H164" i="43" s="1"/>
  <c r="B18" i="46" l="1"/>
  <c r="B13" i="46"/>
  <c r="E5" i="46"/>
  <c r="D5" i="46"/>
  <c r="I256" i="40"/>
  <c r="E149" i="43" l="1"/>
  <c r="I145" i="43" l="1"/>
  <c r="I268" i="40"/>
  <c r="G148" i="43"/>
  <c r="G146" i="43"/>
  <c r="G145" i="43"/>
  <c r="G144" i="43"/>
  <c r="G143" i="43"/>
  <c r="A143" i="43"/>
  <c r="A144" i="43" s="1"/>
  <c r="A145" i="43" s="1"/>
  <c r="A146" i="43" s="1"/>
  <c r="A147" i="43" s="1"/>
  <c r="A148" i="43" s="1"/>
  <c r="G142" i="43"/>
  <c r="G149" i="43" l="1"/>
  <c r="I278" i="40" l="1"/>
  <c r="I265" i="40"/>
  <c r="I246" i="40"/>
  <c r="I274" i="40"/>
  <c r="I275" i="40"/>
  <c r="I273" i="40"/>
  <c r="I272" i="40"/>
  <c r="I271" i="40"/>
  <c r="I270" i="40"/>
  <c r="I269" i="40"/>
  <c r="I264" i="40"/>
  <c r="I263" i="40"/>
  <c r="I262" i="40"/>
  <c r="I260" i="40"/>
  <c r="I259" i="40"/>
  <c r="I255" i="40"/>
  <c r="I254" i="40"/>
  <c r="I248" i="40"/>
  <c r="I247" i="40"/>
  <c r="I242" i="40"/>
  <c r="G133" i="43" l="1"/>
  <c r="G129" i="43"/>
  <c r="I240" i="40"/>
  <c r="G130" i="43"/>
  <c r="I220" i="40"/>
  <c r="I224" i="40"/>
  <c r="I239" i="40"/>
  <c r="I238" i="40"/>
  <c r="I236" i="40"/>
  <c r="I235" i="40"/>
  <c r="I233" i="40"/>
  <c r="I226" i="40"/>
  <c r="I223" i="40"/>
  <c r="I218" i="40"/>
  <c r="I217" i="40"/>
  <c r="G131" i="43"/>
  <c r="G128" i="43"/>
  <c r="A128" i="43"/>
  <c r="A129" i="43" s="1"/>
  <c r="A130" i="43" s="1"/>
  <c r="A131" i="43" s="1"/>
  <c r="A132" i="43" s="1"/>
  <c r="A133" i="43" s="1"/>
  <c r="G127" i="43"/>
  <c r="G175" i="32"/>
  <c r="I232" i="40"/>
  <c r="I230" i="40"/>
  <c r="I225" i="40"/>
  <c r="I221" i="40"/>
  <c r="G134" i="43" l="1"/>
  <c r="G114" i="43"/>
  <c r="E117" i="43"/>
  <c r="G138" i="43" l="1"/>
  <c r="G139" i="43" s="1"/>
  <c r="H138" i="43" s="1"/>
  <c r="G110" i="43"/>
  <c r="G112" i="43"/>
  <c r="G113" i="43"/>
  <c r="G116" i="43"/>
  <c r="I198" i="40"/>
  <c r="A110" i="43"/>
  <c r="A111" i="43" s="1"/>
  <c r="A112" i="43" s="1"/>
  <c r="A113" i="43" s="1"/>
  <c r="A114" i="43" s="1"/>
  <c r="A115" i="43" s="1"/>
  <c r="A116" i="43" s="1"/>
  <c r="G109" i="43"/>
  <c r="G117" i="43" s="1"/>
  <c r="G122" i="43" s="1"/>
  <c r="I213" i="40" l="1"/>
  <c r="I211" i="40"/>
  <c r="I209" i="40"/>
  <c r="I208" i="40"/>
  <c r="I207" i="40"/>
  <c r="I205" i="40"/>
  <c r="I204" i="40"/>
  <c r="I203" i="40"/>
  <c r="I201" i="40"/>
  <c r="I199" i="40"/>
  <c r="I202" i="40"/>
  <c r="I197" i="40"/>
  <c r="I194" i="40"/>
  <c r="I193" i="40"/>
  <c r="I192" i="40"/>
  <c r="I190" i="40"/>
  <c r="I188" i="40"/>
  <c r="I185" i="40"/>
  <c r="I184" i="40"/>
  <c r="I182" i="40"/>
  <c r="I180" i="40"/>
  <c r="I206" i="40" l="1"/>
  <c r="I186" i="40"/>
  <c r="I187" i="40"/>
  <c r="I189" i="40"/>
  <c r="I191" i="40"/>
  <c r="I195" i="40"/>
  <c r="I196" i="40"/>
  <c r="I200" i="40"/>
  <c r="I210" i="40"/>
  <c r="I212" i="40"/>
  <c r="I214" i="40"/>
  <c r="I215" i="40"/>
  <c r="I216" i="40"/>
  <c r="I219" i="40"/>
  <c r="I222" i="40"/>
  <c r="I227" i="40"/>
  <c r="I228" i="40"/>
  <c r="I229" i="40"/>
  <c r="I231" i="40"/>
  <c r="I234" i="40"/>
  <c r="I237" i="40"/>
  <c r="I241" i="40"/>
  <c r="I243" i="40"/>
  <c r="I244" i="40"/>
  <c r="I245" i="40"/>
  <c r="I249" i="40"/>
  <c r="I252" i="40"/>
  <c r="I253" i="40"/>
  <c r="I257" i="40"/>
  <c r="I258" i="40"/>
  <c r="I261" i="40"/>
  <c r="I266" i="40"/>
  <c r="I267" i="40"/>
  <c r="I181" i="40"/>
  <c r="I179" i="40"/>
  <c r="I178" i="40"/>
  <c r="F93" i="43" l="1"/>
  <c r="H91" i="43"/>
  <c r="I91" i="43" s="1"/>
  <c r="I175" i="40"/>
  <c r="A89" i="43"/>
  <c r="A90" i="43" s="1"/>
  <c r="A91" i="43" s="1"/>
  <c r="A92" i="43" s="1"/>
  <c r="A93" i="43" s="1"/>
  <c r="A94" i="43" s="1"/>
  <c r="A95" i="43" s="1"/>
  <c r="G93" i="43"/>
  <c r="G92" i="43"/>
  <c r="G91" i="43"/>
  <c r="G90" i="43"/>
  <c r="G89" i="43"/>
  <c r="G88" i="43"/>
  <c r="I166" i="40"/>
  <c r="I159" i="40"/>
  <c r="I146" i="40"/>
  <c r="I158" i="40"/>
  <c r="I145" i="40"/>
  <c r="I144" i="40"/>
  <c r="I143" i="40"/>
  <c r="I141" i="40"/>
  <c r="I171" i="40"/>
  <c r="I161" i="40"/>
  <c r="I160" i="40"/>
  <c r="I172" i="40"/>
  <c r="I173" i="40"/>
  <c r="I174" i="40"/>
  <c r="I170" i="40"/>
  <c r="I169" i="40"/>
  <c r="I168" i="40"/>
  <c r="I167" i="40"/>
  <c r="I165" i="40"/>
  <c r="I164" i="40"/>
  <c r="I163" i="40"/>
  <c r="I162" i="40"/>
  <c r="I157" i="40"/>
  <c r="I156" i="40"/>
  <c r="I155" i="40"/>
  <c r="I154" i="40"/>
  <c r="I152" i="40"/>
  <c r="I151" i="40"/>
  <c r="I150" i="40"/>
  <c r="I142" i="40"/>
  <c r="I139" i="40"/>
  <c r="I138" i="40"/>
  <c r="I137" i="40"/>
  <c r="G96" i="43" l="1"/>
  <c r="G100" i="43" s="1"/>
  <c r="G103" i="43" s="1"/>
  <c r="E74" i="43"/>
  <c r="I78" i="43"/>
  <c r="I134" i="40"/>
  <c r="I60" i="43"/>
  <c r="G80" i="43" l="1"/>
  <c r="G79" i="43"/>
  <c r="G78" i="43"/>
  <c r="G77" i="43"/>
  <c r="G76" i="43"/>
  <c r="G75" i="43"/>
  <c r="A75" i="43"/>
  <c r="A76" i="43" s="1"/>
  <c r="A77" i="43" s="1"/>
  <c r="A78" i="43" s="1"/>
  <c r="A79" i="43" s="1"/>
  <c r="A80" i="43" s="1"/>
  <c r="A81" i="43" s="1"/>
  <c r="A82" i="43" s="1"/>
  <c r="G74" i="43"/>
  <c r="G83" i="43" s="1"/>
  <c r="I133" i="40" l="1"/>
  <c r="I132" i="40"/>
  <c r="I131" i="40"/>
  <c r="I130" i="40"/>
  <c r="I127" i="40" l="1"/>
  <c r="I128" i="40"/>
  <c r="I129" i="40"/>
  <c r="I126" i="40"/>
  <c r="I124" i="40"/>
  <c r="I120" i="40"/>
  <c r="I118" i="40"/>
  <c r="I115" i="40"/>
  <c r="E55" i="37"/>
  <c r="F57" i="43"/>
  <c r="M31" i="37"/>
  <c r="E18" i="45"/>
  <c r="G17" i="45"/>
  <c r="G18" i="45"/>
  <c r="E13" i="45"/>
  <c r="G12" i="45"/>
  <c r="G13" i="45"/>
  <c r="G8" i="45"/>
  <c r="G3" i="45"/>
  <c r="I88" i="40"/>
  <c r="E65" i="43"/>
  <c r="J113" i="40"/>
  <c r="I113" i="40"/>
  <c r="I89" i="40"/>
  <c r="G71" i="37"/>
  <c r="E123" i="37"/>
  <c r="B123" i="37"/>
  <c r="G114" i="37"/>
  <c r="G64" i="43"/>
  <c r="G63" i="43"/>
  <c r="G62" i="43"/>
  <c r="G61" i="43"/>
  <c r="G60" i="43"/>
  <c r="G59" i="43"/>
  <c r="G58" i="43"/>
  <c r="G57" i="43"/>
  <c r="A57" i="43"/>
  <c r="A58" i="43" s="1"/>
  <c r="A59" i="43" s="1"/>
  <c r="A60" i="43" s="1"/>
  <c r="A61" i="43" s="1"/>
  <c r="A62" i="43" s="1"/>
  <c r="A63" i="43" s="1"/>
  <c r="A64" i="43" s="1"/>
  <c r="G56" i="43"/>
  <c r="G65" i="43" l="1"/>
  <c r="I66" i="43" s="1"/>
  <c r="J89" i="40"/>
  <c r="J87" i="40"/>
  <c r="I87" i="40"/>
  <c r="F38" i="43" l="1"/>
  <c r="E46" i="43" l="1"/>
  <c r="G45" i="43"/>
  <c r="G44" i="43"/>
  <c r="G43" i="43"/>
  <c r="G42" i="43"/>
  <c r="G41" i="43"/>
  <c r="G40" i="43"/>
  <c r="G39" i="43"/>
  <c r="G38" i="43"/>
  <c r="A38" i="43"/>
  <c r="A39" i="43" s="1"/>
  <c r="A40" i="43" s="1"/>
  <c r="A41" i="43" s="1"/>
  <c r="A42" i="43" s="1"/>
  <c r="A43" i="43" s="1"/>
  <c r="A44" i="43" s="1"/>
  <c r="A45" i="43" s="1"/>
  <c r="G37" i="43"/>
  <c r="G46" i="43" s="1"/>
  <c r="G51" i="43" s="1"/>
  <c r="G155" i="32"/>
  <c r="A156" i="32"/>
  <c r="G156" i="32"/>
  <c r="A157" i="32"/>
  <c r="A158" i="32"/>
  <c r="G158" i="32"/>
  <c r="A159" i="32"/>
  <c r="G159" i="32"/>
  <c r="A160" i="32"/>
  <c r="G160" i="32"/>
  <c r="I67" i="40" l="1"/>
  <c r="I33" i="43"/>
  <c r="E28" i="43"/>
  <c r="G25" i="43" l="1"/>
  <c r="G26" i="43"/>
  <c r="G27" i="43"/>
  <c r="G24" i="43"/>
  <c r="G23" i="43"/>
  <c r="G22" i="43"/>
  <c r="G21" i="43"/>
  <c r="G20" i="43"/>
  <c r="A20" i="43"/>
  <c r="A21" i="43" s="1"/>
  <c r="A22" i="43" s="1"/>
  <c r="A23" i="43" s="1"/>
  <c r="A24" i="43" s="1"/>
  <c r="A25" i="43" s="1"/>
  <c r="A26" i="43" s="1"/>
  <c r="A27" i="43" s="1"/>
  <c r="G19" i="43"/>
  <c r="B52" i="37"/>
  <c r="G28" i="43" l="1"/>
  <c r="G33" i="43" s="1"/>
  <c r="I34" i="43" s="1"/>
  <c r="L45" i="40"/>
  <c r="I25" i="40" l="1"/>
  <c r="G8" i="43"/>
  <c r="E10" i="43"/>
  <c r="G7" i="43" l="1"/>
  <c r="G6" i="43"/>
  <c r="G5" i="43"/>
  <c r="G4" i="43"/>
  <c r="A4" i="43"/>
  <c r="A5" i="43" s="1"/>
  <c r="A6" i="43" s="1"/>
  <c r="A7" i="43" s="1"/>
  <c r="A8" i="43" s="1"/>
  <c r="A9" i="43" s="1"/>
  <c r="G3" i="43"/>
  <c r="G10" i="43" s="1"/>
  <c r="G12" i="43" s="1"/>
  <c r="G14" i="43" s="1"/>
  <c r="I30" i="40"/>
  <c r="J12" i="40"/>
  <c r="J9" i="40"/>
  <c r="I9" i="40"/>
  <c r="L32" i="40"/>
  <c r="I32" i="40"/>
  <c r="I159" i="32" l="1"/>
  <c r="M105" i="37" l="1"/>
  <c r="J105" i="37"/>
  <c r="O94" i="37"/>
  <c r="L14" i="40" l="1"/>
  <c r="I3" i="40" l="1"/>
  <c r="I4" i="40"/>
  <c r="J154" i="40"/>
  <c r="J153" i="40"/>
  <c r="I153" i="40"/>
  <c r="J152" i="40"/>
  <c r="J151" i="40"/>
  <c r="J150" i="40"/>
  <c r="J149" i="40"/>
  <c r="I149" i="40"/>
  <c r="J148" i="40"/>
  <c r="I148" i="40"/>
  <c r="J147" i="40"/>
  <c r="I147" i="40"/>
  <c r="J143" i="40"/>
  <c r="J142" i="40"/>
  <c r="J141" i="40"/>
  <c r="J140" i="40"/>
  <c r="I140" i="40"/>
  <c r="J139" i="40"/>
  <c r="J138" i="40"/>
  <c r="J137" i="40"/>
  <c r="J134" i="40"/>
  <c r="J133" i="40"/>
  <c r="J132" i="40"/>
  <c r="J131" i="40"/>
  <c r="J130" i="40"/>
  <c r="J107" i="40"/>
  <c r="I107" i="40"/>
  <c r="J106" i="40"/>
  <c r="I106" i="40"/>
  <c r="J105" i="40"/>
  <c r="I105" i="40"/>
  <c r="J104" i="40"/>
  <c r="J103" i="40"/>
  <c r="I103" i="40"/>
  <c r="J101" i="40"/>
  <c r="I101" i="40"/>
  <c r="J100" i="40"/>
  <c r="I100" i="40"/>
  <c r="J99" i="40"/>
  <c r="I99" i="40"/>
  <c r="J97" i="40"/>
  <c r="I97" i="40"/>
  <c r="J96" i="40"/>
  <c r="I96" i="40"/>
  <c r="J95" i="40"/>
  <c r="I95" i="40"/>
  <c r="J94" i="40"/>
  <c r="I94" i="40"/>
  <c r="J93" i="40"/>
  <c r="I93" i="40"/>
  <c r="J92" i="40"/>
  <c r="I92" i="40"/>
  <c r="J91" i="40"/>
  <c r="I91" i="40"/>
  <c r="J90" i="40"/>
  <c r="I90" i="40"/>
  <c r="J84" i="40"/>
  <c r="I84" i="40"/>
  <c r="J83" i="40"/>
  <c r="I83" i="40"/>
  <c r="J81" i="40"/>
  <c r="I81" i="40"/>
  <c r="J80" i="40"/>
  <c r="I80" i="40"/>
  <c r="J79" i="40"/>
  <c r="J78" i="40"/>
  <c r="I78" i="40"/>
  <c r="J77" i="40"/>
  <c r="I77" i="40"/>
  <c r="J76" i="40"/>
  <c r="I76" i="40"/>
  <c r="J75" i="40"/>
  <c r="I75" i="40"/>
  <c r="J74" i="40"/>
  <c r="I74" i="40"/>
  <c r="J73" i="40"/>
  <c r="I73" i="40"/>
  <c r="J72" i="40"/>
  <c r="J71" i="40"/>
  <c r="I71" i="40"/>
  <c r="J70" i="40"/>
  <c r="I70" i="40"/>
  <c r="J69" i="40"/>
  <c r="J68" i="40"/>
  <c r="J66" i="40"/>
  <c r="I66" i="40"/>
  <c r="J65" i="40"/>
  <c r="I65" i="40"/>
  <c r="J64" i="40"/>
  <c r="J62" i="40"/>
  <c r="J61" i="40"/>
  <c r="I61" i="40"/>
  <c r="J60" i="40"/>
  <c r="I60" i="40"/>
  <c r="J59" i="40"/>
  <c r="I59" i="40"/>
  <c r="J58" i="40"/>
  <c r="I58" i="40"/>
  <c r="J57" i="40"/>
  <c r="I57" i="40"/>
  <c r="J56" i="40"/>
  <c r="I56" i="40"/>
  <c r="J55" i="40"/>
  <c r="I55" i="40"/>
  <c r="J54" i="40"/>
  <c r="I54" i="40"/>
  <c r="J53" i="40"/>
  <c r="I53" i="40"/>
  <c r="J52" i="40"/>
  <c r="I52" i="40"/>
  <c r="J51" i="40"/>
  <c r="I51" i="40"/>
  <c r="J50" i="40"/>
  <c r="I50" i="40"/>
  <c r="J49" i="40"/>
  <c r="J48" i="40"/>
  <c r="I48" i="40"/>
  <c r="J47" i="40"/>
  <c r="I47" i="40"/>
  <c r="J46" i="40"/>
  <c r="I46" i="40"/>
  <c r="J44" i="40"/>
  <c r="I44" i="40"/>
  <c r="J43" i="40"/>
  <c r="I43" i="40"/>
  <c r="J42" i="40"/>
  <c r="J41" i="40"/>
  <c r="I41" i="40"/>
  <c r="J40" i="40"/>
  <c r="I40" i="40"/>
  <c r="J39" i="40"/>
  <c r="I39" i="40"/>
  <c r="J38" i="40"/>
  <c r="I38" i="40"/>
  <c r="J37" i="40"/>
  <c r="I37" i="40"/>
  <c r="J36" i="40"/>
  <c r="I36" i="40"/>
  <c r="J35" i="40"/>
  <c r="I35" i="40"/>
  <c r="J34" i="40"/>
  <c r="I34" i="40"/>
  <c r="J33" i="40"/>
  <c r="I33" i="40"/>
  <c r="J32" i="40"/>
  <c r="J31" i="40"/>
  <c r="I31" i="40"/>
  <c r="J30" i="40"/>
  <c r="J29" i="40"/>
  <c r="I29" i="40"/>
  <c r="J28" i="40"/>
  <c r="I28" i="40"/>
  <c r="J27" i="40"/>
  <c r="I27" i="40"/>
  <c r="J26" i="40"/>
  <c r="J25" i="40"/>
  <c r="J24" i="40"/>
  <c r="I24" i="40"/>
  <c r="J23" i="40"/>
  <c r="I23" i="40"/>
  <c r="J22" i="40"/>
  <c r="I22" i="40"/>
  <c r="J21" i="40"/>
  <c r="I21" i="40"/>
  <c r="J20" i="40"/>
  <c r="I20" i="40"/>
  <c r="J19" i="40"/>
  <c r="I19" i="40"/>
  <c r="J18" i="40"/>
  <c r="I18" i="40"/>
  <c r="J17" i="40"/>
  <c r="I17" i="40"/>
  <c r="J16" i="40"/>
  <c r="I16" i="40"/>
  <c r="J15" i="40"/>
  <c r="I15" i="40"/>
  <c r="J14" i="40"/>
  <c r="I14" i="40"/>
  <c r="J13" i="40"/>
  <c r="I13" i="40"/>
  <c r="I12" i="40"/>
  <c r="J11" i="40"/>
  <c r="I11" i="40"/>
  <c r="J8" i="40"/>
  <c r="I8" i="40"/>
  <c r="J6" i="40"/>
  <c r="I6" i="40"/>
  <c r="J5" i="40"/>
  <c r="I5" i="40"/>
  <c r="J4" i="40"/>
  <c r="J3" i="40"/>
  <c r="O155" i="40"/>
  <c r="O154" i="40"/>
  <c r="O153" i="40"/>
  <c r="O152" i="40"/>
  <c r="O151" i="40"/>
  <c r="O150" i="40"/>
  <c r="O149" i="40"/>
  <c r="O148" i="40"/>
  <c r="O147" i="40"/>
  <c r="O143" i="40"/>
  <c r="O142" i="40"/>
  <c r="O141" i="40"/>
  <c r="O140" i="40"/>
  <c r="O139" i="40"/>
  <c r="O138" i="40"/>
  <c r="O137" i="40"/>
  <c r="O136" i="40"/>
  <c r="O135" i="40"/>
  <c r="O134" i="40"/>
  <c r="O133" i="40"/>
  <c r="O132" i="40"/>
  <c r="O131" i="40"/>
  <c r="O130" i="40"/>
  <c r="O109" i="40"/>
  <c r="O108" i="40"/>
  <c r="O107" i="40"/>
  <c r="O106" i="40"/>
  <c r="O105" i="40"/>
  <c r="O104" i="40"/>
  <c r="O103" i="40"/>
  <c r="O101" i="40"/>
  <c r="O100" i="40"/>
  <c r="O99" i="40"/>
  <c r="O98" i="40"/>
  <c r="O97" i="40"/>
  <c r="O96" i="40"/>
  <c r="O95" i="40"/>
  <c r="O94" i="40"/>
  <c r="O93" i="40"/>
  <c r="O92" i="40"/>
  <c r="O91" i="40"/>
  <c r="O90" i="40"/>
  <c r="O89" i="40"/>
  <c r="O87" i="40"/>
  <c r="O86" i="40"/>
  <c r="O85" i="40"/>
  <c r="O84" i="40"/>
  <c r="O83" i="40"/>
  <c r="O82" i="40"/>
  <c r="O81" i="40"/>
  <c r="O80" i="40"/>
  <c r="O79" i="40"/>
  <c r="O78" i="40"/>
  <c r="O77" i="40"/>
  <c r="O76" i="40"/>
  <c r="O75" i="40"/>
  <c r="O74" i="40"/>
  <c r="O73" i="40"/>
  <c r="O72" i="40"/>
  <c r="O71" i="40"/>
  <c r="O70" i="40"/>
  <c r="O69" i="40"/>
  <c r="O68" i="40"/>
  <c r="O66" i="40"/>
  <c r="O65" i="40"/>
  <c r="O64" i="40"/>
  <c r="O62" i="40"/>
  <c r="O61" i="40"/>
  <c r="O60" i="40"/>
  <c r="O59" i="40"/>
  <c r="O58" i="40"/>
  <c r="O57" i="40"/>
  <c r="O56" i="40"/>
  <c r="O55" i="40"/>
  <c r="O54" i="40"/>
  <c r="O53" i="40"/>
  <c r="O52" i="40"/>
  <c r="O51" i="40"/>
  <c r="O50" i="40"/>
  <c r="O49" i="40"/>
  <c r="O48" i="40"/>
  <c r="O47" i="40"/>
  <c r="O46" i="40"/>
  <c r="O45" i="40"/>
  <c r="O44" i="40"/>
  <c r="O43" i="40"/>
  <c r="O42" i="40"/>
  <c r="O41" i="40"/>
  <c r="O40" i="40"/>
  <c r="O39" i="40"/>
  <c r="O38" i="40"/>
  <c r="O37" i="40"/>
  <c r="O36" i="40"/>
  <c r="O35" i="40"/>
  <c r="O34" i="40"/>
  <c r="O33" i="40"/>
  <c r="O32" i="40"/>
  <c r="O31" i="40"/>
  <c r="O30" i="40"/>
  <c r="O29" i="40"/>
  <c r="O28" i="40"/>
  <c r="O27" i="40"/>
  <c r="O26" i="40"/>
  <c r="O25" i="40"/>
  <c r="O24" i="40"/>
  <c r="O23" i="40"/>
  <c r="O22" i="40"/>
  <c r="O21" i="40"/>
  <c r="O20" i="40"/>
  <c r="O19" i="40"/>
  <c r="O18" i="40"/>
  <c r="O17" i="40"/>
  <c r="O16" i="40"/>
  <c r="O15" i="40"/>
  <c r="O14" i="40"/>
  <c r="O13" i="40"/>
  <c r="O12" i="40"/>
  <c r="O11" i="40"/>
  <c r="O10" i="40"/>
  <c r="O8" i="40"/>
  <c r="O7" i="40"/>
  <c r="O6" i="40"/>
  <c r="O5" i="40"/>
  <c r="O4" i="40"/>
  <c r="O3" i="40"/>
  <c r="O2" i="40"/>
  <c r="J2" i="40"/>
  <c r="I2" i="40"/>
  <c r="O129" i="40"/>
  <c r="J129" i="40"/>
  <c r="O128" i="40"/>
  <c r="J128" i="40"/>
  <c r="O127" i="40"/>
  <c r="J127" i="40"/>
  <c r="O126" i="40"/>
  <c r="J126" i="40"/>
  <c r="O125" i="40"/>
  <c r="J125" i="40"/>
  <c r="I125" i="40"/>
  <c r="O124" i="40"/>
  <c r="J124" i="40"/>
  <c r="O123" i="40"/>
  <c r="J123" i="40"/>
  <c r="O122" i="40"/>
  <c r="J122" i="40"/>
  <c r="I122" i="40"/>
  <c r="O121" i="40"/>
  <c r="J121" i="40"/>
  <c r="I121" i="40"/>
  <c r="O120" i="40"/>
  <c r="J120" i="40"/>
  <c r="O119" i="40"/>
  <c r="J119" i="40"/>
  <c r="I119" i="40"/>
  <c r="O118" i="40"/>
  <c r="J118" i="40"/>
  <c r="O117" i="40"/>
  <c r="J117" i="40"/>
  <c r="I117" i="40"/>
  <c r="O116" i="40"/>
  <c r="J116" i="40"/>
  <c r="I116" i="40"/>
  <c r="O115" i="40"/>
  <c r="J115" i="40"/>
  <c r="O114" i="40"/>
  <c r="J114" i="40"/>
  <c r="O112" i="40"/>
  <c r="J112" i="40"/>
  <c r="I112" i="40"/>
  <c r="O111" i="40"/>
  <c r="J111" i="40"/>
  <c r="I111" i="40"/>
  <c r="O110" i="40"/>
  <c r="A161" i="32"/>
  <c r="I110" i="38"/>
  <c r="J110" i="38"/>
  <c r="L110" i="38"/>
  <c r="O110" i="38"/>
  <c r="I117" i="38"/>
  <c r="J117" i="38"/>
  <c r="L117" i="38"/>
  <c r="O117" i="38"/>
  <c r="O128" i="38" l="1"/>
  <c r="E163" i="32"/>
  <c r="G161" i="32"/>
  <c r="G162" i="32"/>
  <c r="A162" i="32"/>
  <c r="G163" i="32"/>
  <c r="G170" i="32" s="1"/>
  <c r="I130" i="38" l="1"/>
  <c r="I131" i="38"/>
  <c r="J130" i="38"/>
  <c r="J131" i="38"/>
  <c r="O130" i="38"/>
  <c r="O131" i="38"/>
  <c r="I129" i="38"/>
  <c r="J129" i="38"/>
  <c r="O129" i="38"/>
  <c r="J127" i="38"/>
  <c r="O127" i="38"/>
  <c r="I126" i="38" l="1"/>
  <c r="J126" i="38"/>
  <c r="O126" i="38"/>
  <c r="I125" i="38" l="1"/>
  <c r="J125" i="38"/>
  <c r="O125" i="38"/>
  <c r="I124" i="38"/>
  <c r="J124" i="38"/>
  <c r="O124" i="38"/>
  <c r="I123" i="38"/>
  <c r="J123" i="38"/>
  <c r="O123" i="38"/>
  <c r="I122" i="38"/>
  <c r="J122" i="38"/>
  <c r="O122" i="38"/>
  <c r="I121" i="38"/>
  <c r="J121" i="38"/>
  <c r="O121" i="38"/>
  <c r="O119" i="38"/>
  <c r="O120" i="38"/>
  <c r="I119" i="38"/>
  <c r="I120" i="38"/>
  <c r="J119" i="38"/>
  <c r="J120" i="38"/>
  <c r="I118" i="38"/>
  <c r="J118" i="38"/>
  <c r="O118" i="38"/>
  <c r="I116" i="38"/>
  <c r="J116" i="38"/>
  <c r="O116" i="38"/>
  <c r="I115" i="38"/>
  <c r="J115" i="38"/>
  <c r="O115" i="38"/>
  <c r="I114" i="38"/>
  <c r="J114" i="38"/>
  <c r="O114" i="38"/>
  <c r="I113" i="38"/>
  <c r="J113" i="38"/>
  <c r="O113" i="38"/>
  <c r="I112" i="38"/>
  <c r="J112" i="38"/>
  <c r="O112" i="38"/>
  <c r="I111" i="38"/>
  <c r="J111" i="38"/>
  <c r="O111" i="38"/>
  <c r="I109" i="38"/>
  <c r="J109" i="38"/>
  <c r="O109" i="38"/>
  <c r="I108" i="38"/>
  <c r="J108" i="38"/>
  <c r="O108" i="38"/>
  <c r="G145" i="32"/>
  <c r="I82" i="38" l="1"/>
  <c r="J82" i="38"/>
  <c r="L82" i="38"/>
  <c r="O82" i="38"/>
  <c r="I91" i="38"/>
  <c r="J91" i="38"/>
  <c r="O91" i="38"/>
  <c r="G143" i="32" l="1"/>
  <c r="G144" i="32"/>
  <c r="G142" i="32"/>
  <c r="G141" i="32"/>
  <c r="A141" i="32"/>
  <c r="A142" i="32" s="1"/>
  <c r="A143" i="32" s="1"/>
  <c r="A144" i="32" s="1"/>
  <c r="A145" i="32" s="1"/>
  <c r="A146" i="32" s="1"/>
  <c r="G140" i="32"/>
  <c r="G147" i="32" s="1"/>
  <c r="L102" i="38"/>
  <c r="L100" i="38"/>
  <c r="I96" i="38" l="1"/>
  <c r="I97" i="38"/>
  <c r="L77" i="38"/>
  <c r="M77" i="38"/>
  <c r="L76" i="38"/>
  <c r="E135" i="32" l="1"/>
  <c r="G134" i="32" l="1"/>
  <c r="G133" i="32"/>
  <c r="I133" i="32" s="1"/>
  <c r="G132" i="32"/>
  <c r="G130" i="32"/>
  <c r="A130" i="32"/>
  <c r="A132" i="32" s="1"/>
  <c r="A133" i="32" s="1"/>
  <c r="A134" i="32" s="1"/>
  <c r="G131" i="32"/>
  <c r="G135" i="32" s="1"/>
  <c r="I72" i="38"/>
  <c r="J72" i="38"/>
  <c r="L72" i="38"/>
  <c r="O72" i="38"/>
  <c r="I71" i="38"/>
  <c r="J71" i="38"/>
  <c r="L71" i="38"/>
  <c r="O71" i="38"/>
  <c r="I70" i="38"/>
  <c r="J70" i="38"/>
  <c r="L70" i="38"/>
  <c r="O70" i="38"/>
  <c r="I73" i="38" l="1"/>
  <c r="I74" i="38"/>
  <c r="I75" i="38"/>
  <c r="I76" i="38"/>
  <c r="I78" i="38"/>
  <c r="I69" i="38"/>
  <c r="L66" i="38"/>
  <c r="O66" i="38" s="1"/>
  <c r="J66" i="38"/>
  <c r="I66" i="38"/>
  <c r="I67" i="38"/>
  <c r="I68" i="38"/>
  <c r="I79" i="38"/>
  <c r="I80" i="38"/>
  <c r="I81" i="38"/>
  <c r="I83" i="38"/>
  <c r="I84" i="38"/>
  <c r="I85" i="38"/>
  <c r="I86" i="38"/>
  <c r="I87" i="38"/>
  <c r="I89" i="38"/>
  <c r="I92" i="38"/>
  <c r="I93" i="38"/>
  <c r="I94" i="38"/>
  <c r="I95" i="38"/>
  <c r="I98" i="38"/>
  <c r="I99" i="38"/>
  <c r="I100" i="38"/>
  <c r="I101" i="38"/>
  <c r="I102" i="38"/>
  <c r="I103" i="38"/>
  <c r="I106" i="38"/>
  <c r="J67" i="38"/>
  <c r="J68" i="38"/>
  <c r="J69" i="38"/>
  <c r="J73" i="38"/>
  <c r="J74" i="38"/>
  <c r="J75" i="38"/>
  <c r="J76" i="38"/>
  <c r="J78" i="38"/>
  <c r="J79" i="38"/>
  <c r="J80" i="38"/>
  <c r="J81" i="38"/>
  <c r="J83" i="38"/>
  <c r="J84" i="38"/>
  <c r="J85" i="38"/>
  <c r="J86" i="38"/>
  <c r="J87" i="38"/>
  <c r="J88" i="38"/>
  <c r="J89" i="38"/>
  <c r="J90" i="38"/>
  <c r="J92" i="38"/>
  <c r="J93" i="38"/>
  <c r="J94" i="38"/>
  <c r="J95" i="38"/>
  <c r="J96" i="38"/>
  <c r="J97" i="38"/>
  <c r="J98" i="38"/>
  <c r="J99" i="38"/>
  <c r="J100" i="38"/>
  <c r="J101" i="38"/>
  <c r="J102" i="38"/>
  <c r="J103" i="38"/>
  <c r="J106" i="38"/>
  <c r="J107" i="38"/>
  <c r="O68" i="38"/>
  <c r="O73" i="38"/>
  <c r="O75" i="38"/>
  <c r="O77" i="38"/>
  <c r="O79" i="38"/>
  <c r="O81" i="38"/>
  <c r="O84" i="38"/>
  <c r="O86" i="38"/>
  <c r="O88" i="38"/>
  <c r="O67" i="38"/>
  <c r="O69" i="38"/>
  <c r="O74" i="38"/>
  <c r="O76" i="38"/>
  <c r="O78" i="38"/>
  <c r="O80" i="38"/>
  <c r="O83" i="38"/>
  <c r="O85" i="38"/>
  <c r="O87" i="38"/>
  <c r="O89" i="38"/>
  <c r="O90" i="38"/>
  <c r="O92" i="38"/>
  <c r="O93" i="38"/>
  <c r="O94" i="38"/>
  <c r="O95" i="38"/>
  <c r="O96" i="38"/>
  <c r="O97" i="38"/>
  <c r="O98" i="38"/>
  <c r="O99" i="38"/>
  <c r="O100" i="38"/>
  <c r="O101" i="38"/>
  <c r="O102" i="38"/>
  <c r="O103" i="38"/>
  <c r="O104" i="38"/>
  <c r="O105" i="38"/>
  <c r="O106" i="38"/>
  <c r="O107" i="38"/>
  <c r="L65" i="38"/>
  <c r="O65" i="38" s="1"/>
  <c r="I65" i="38"/>
  <c r="J65" i="38"/>
  <c r="I64" i="38"/>
  <c r="J64" i="38"/>
  <c r="O64" i="38"/>
  <c r="O61" i="38" l="1"/>
  <c r="I62" i="38"/>
  <c r="I63" i="38"/>
  <c r="J62" i="38"/>
  <c r="J63" i="38"/>
  <c r="O62" i="38"/>
  <c r="O63" i="38"/>
  <c r="I61" i="38"/>
  <c r="J61" i="38"/>
  <c r="L59" i="38"/>
  <c r="I59" i="38" l="1"/>
  <c r="I60" i="38"/>
  <c r="J59" i="38"/>
  <c r="J60" i="38"/>
  <c r="O59" i="38"/>
  <c r="O60" i="38"/>
  <c r="I50" i="38"/>
  <c r="I51" i="38"/>
  <c r="I52" i="38"/>
  <c r="I53" i="38"/>
  <c r="I54" i="38"/>
  <c r="I55" i="38"/>
  <c r="I56" i="38"/>
  <c r="I57" i="38"/>
  <c r="I58" i="38"/>
  <c r="J50" i="38"/>
  <c r="J51" i="38"/>
  <c r="J52" i="38"/>
  <c r="J53" i="38"/>
  <c r="J54" i="38"/>
  <c r="J55" i="38"/>
  <c r="J56" i="38"/>
  <c r="J57" i="38"/>
  <c r="J58" i="38"/>
  <c r="O51" i="38"/>
  <c r="O53" i="38"/>
  <c r="O55" i="38"/>
  <c r="O57" i="38"/>
  <c r="O50" i="38"/>
  <c r="O52" i="38"/>
  <c r="O54" i="38"/>
  <c r="O56" i="38"/>
  <c r="O58" i="38"/>
  <c r="I49" i="38"/>
  <c r="J49" i="38"/>
  <c r="O49" i="38"/>
  <c r="L44" i="38" l="1"/>
  <c r="G125" i="32" l="1"/>
  <c r="H93" i="32"/>
  <c r="E117" i="32"/>
  <c r="I13" i="38"/>
  <c r="I14" i="38"/>
  <c r="G111" i="32"/>
  <c r="G112" i="32"/>
  <c r="G113" i="32"/>
  <c r="G115" i="32"/>
  <c r="G116" i="32"/>
  <c r="A112" i="32"/>
  <c r="A113" i="32" s="1"/>
  <c r="A114" i="32" s="1"/>
  <c r="A115" i="32" s="1"/>
  <c r="A116" i="32" s="1"/>
  <c r="I37" i="38"/>
  <c r="J37" i="38"/>
  <c r="L37" i="38"/>
  <c r="O37" i="38" s="1"/>
  <c r="I20" i="38"/>
  <c r="J20" i="38"/>
  <c r="L20" i="38"/>
  <c r="O20" i="38" s="1"/>
  <c r="I29" i="38"/>
  <c r="J29" i="38"/>
  <c r="L29" i="38"/>
  <c r="O29" i="38" s="1"/>
  <c r="G117" i="32" l="1"/>
  <c r="G124" i="32" l="1"/>
  <c r="G126" i="32" s="1"/>
  <c r="I35" i="38" l="1"/>
  <c r="I36" i="38"/>
  <c r="I38" i="38"/>
  <c r="I39" i="38"/>
  <c r="J36" i="38"/>
  <c r="L36" i="38"/>
  <c r="O36" i="38" s="1"/>
  <c r="L19" i="38" l="1"/>
  <c r="M9" i="38" l="1"/>
  <c r="L9" i="38"/>
  <c r="L7" i="38"/>
  <c r="O7" i="38" s="1"/>
  <c r="L6" i="38"/>
  <c r="O6" i="38" s="1"/>
  <c r="O2" i="38"/>
  <c r="O3" i="38"/>
  <c r="O4" i="38"/>
  <c r="O5" i="38"/>
  <c r="O8" i="38"/>
  <c r="O10" i="38"/>
  <c r="O11" i="38"/>
  <c r="O12" i="38"/>
  <c r="O13" i="38"/>
  <c r="O14" i="38"/>
  <c r="O15" i="38"/>
  <c r="O16" i="38"/>
  <c r="O17" i="38"/>
  <c r="O18" i="38"/>
  <c r="O19" i="38"/>
  <c r="O21" i="38"/>
  <c r="O22" i="38"/>
  <c r="O23" i="38"/>
  <c r="O24" i="38"/>
  <c r="O25" i="38"/>
  <c r="O26" i="38"/>
  <c r="O27" i="38"/>
  <c r="O28" i="38"/>
  <c r="O30" i="38"/>
  <c r="O31" i="38"/>
  <c r="O32" i="38"/>
  <c r="O33" i="38"/>
  <c r="O34" i="38"/>
  <c r="O38" i="38"/>
  <c r="O39" i="38"/>
  <c r="O40" i="38"/>
  <c r="O41" i="38"/>
  <c r="O42" i="38"/>
  <c r="O43" i="38"/>
  <c r="O44" i="38"/>
  <c r="O45" i="38"/>
  <c r="O46" i="38"/>
  <c r="O47" i="38"/>
  <c r="O48" i="38"/>
  <c r="J2" i="38"/>
  <c r="J3" i="38"/>
  <c r="J4" i="38"/>
  <c r="J5" i="38"/>
  <c r="J6" i="38"/>
  <c r="J7" i="38"/>
  <c r="J8" i="38"/>
  <c r="J9" i="38"/>
  <c r="J10" i="38"/>
  <c r="J11" i="38"/>
  <c r="J12" i="38"/>
  <c r="J13" i="38"/>
  <c r="J14" i="38"/>
  <c r="J15" i="38"/>
  <c r="J16" i="38"/>
  <c r="J17" i="38"/>
  <c r="J18" i="38"/>
  <c r="J19" i="38"/>
  <c r="J21" i="38"/>
  <c r="J22" i="38"/>
  <c r="J23" i="38"/>
  <c r="J24" i="38"/>
  <c r="J25" i="38"/>
  <c r="J26" i="38"/>
  <c r="J27" i="38"/>
  <c r="J28" i="38"/>
  <c r="J30" i="38"/>
  <c r="J31" i="38"/>
  <c r="J32" i="38"/>
  <c r="J33" i="38"/>
  <c r="J34" i="38"/>
  <c r="J38" i="38"/>
  <c r="J39" i="38"/>
  <c r="J40" i="38"/>
  <c r="J41" i="38"/>
  <c r="J42" i="38"/>
  <c r="J43" i="38"/>
  <c r="J44" i="38"/>
  <c r="J45" i="38"/>
  <c r="J46" i="38"/>
  <c r="J47" i="38"/>
  <c r="J48" i="38"/>
  <c r="I2" i="38"/>
  <c r="I3" i="38"/>
  <c r="I4" i="38"/>
  <c r="I5" i="38"/>
  <c r="I6" i="38"/>
  <c r="I7" i="38"/>
  <c r="I8" i="38"/>
  <c r="I9" i="38"/>
  <c r="I10" i="38"/>
  <c r="I11" i="38"/>
  <c r="I12" i="38"/>
  <c r="I15" i="38"/>
  <c r="I16" i="38"/>
  <c r="I17" i="38"/>
  <c r="I18" i="38"/>
  <c r="I21" i="38"/>
  <c r="I22" i="38"/>
  <c r="I23" i="38"/>
  <c r="I24" i="38"/>
  <c r="I25" i="38"/>
  <c r="I26" i="38"/>
  <c r="I27" i="38"/>
  <c r="I28" i="38"/>
  <c r="I30" i="38"/>
  <c r="I31" i="38"/>
  <c r="I33" i="38"/>
  <c r="I34" i="38"/>
  <c r="I40" i="38"/>
  <c r="I41" i="38"/>
  <c r="I44" i="38"/>
  <c r="I45" i="38"/>
  <c r="I46" i="38"/>
  <c r="I47" i="38"/>
  <c r="I97" i="32"/>
  <c r="G94" i="32"/>
  <c r="G95" i="32"/>
  <c r="G97" i="32"/>
  <c r="G98" i="32"/>
  <c r="E99" i="32"/>
  <c r="O9" i="38" l="1"/>
  <c r="A94" i="32"/>
  <c r="A95" i="32" s="1"/>
  <c r="A96" i="32" s="1"/>
  <c r="A97" i="32" s="1"/>
  <c r="A98" i="32" s="1"/>
  <c r="G99" i="32"/>
  <c r="G103" i="32" s="1"/>
  <c r="G106" i="32" s="1"/>
  <c r="G107" i="32" s="1"/>
  <c r="I226" i="33"/>
  <c r="I227" i="33"/>
  <c r="J226" i="33"/>
  <c r="O226" i="33"/>
  <c r="I228" i="33" l="1"/>
  <c r="I229" i="33"/>
  <c r="I230" i="33"/>
  <c r="J229" i="33"/>
  <c r="J230" i="33"/>
  <c r="O229" i="33"/>
  <c r="O230" i="33"/>
  <c r="J228" i="33"/>
  <c r="O228" i="33"/>
  <c r="J217" i="33" l="1"/>
  <c r="I215" i="33"/>
  <c r="I216" i="33"/>
  <c r="J215" i="33"/>
  <c r="O215" i="33"/>
  <c r="G82" i="32" l="1"/>
  <c r="G81" i="32"/>
  <c r="G79" i="32"/>
  <c r="G78" i="32"/>
  <c r="A78" i="32"/>
  <c r="A79" i="32" s="1"/>
  <c r="A80" i="32" s="1"/>
  <c r="A81" i="32" s="1"/>
  <c r="A82" i="32" s="1"/>
  <c r="G77" i="32"/>
  <c r="G83" i="32" l="1"/>
  <c r="G86" i="32" s="1"/>
  <c r="G89" i="32" s="1"/>
  <c r="L210" i="33" l="1"/>
  <c r="I205" i="33" l="1"/>
  <c r="I206" i="33"/>
  <c r="I207" i="33"/>
  <c r="I208" i="33"/>
  <c r="I209" i="33"/>
  <c r="I210" i="33"/>
  <c r="I211" i="33"/>
  <c r="I212" i="33"/>
  <c r="I213" i="33"/>
  <c r="I214" i="33"/>
  <c r="I217" i="33"/>
  <c r="I218" i="33"/>
  <c r="I219" i="33"/>
  <c r="I220" i="33"/>
  <c r="I221" i="33"/>
  <c r="I222" i="33"/>
  <c r="I223" i="33"/>
  <c r="I224" i="33"/>
  <c r="I225" i="33"/>
  <c r="J205" i="33"/>
  <c r="J206" i="33"/>
  <c r="J207" i="33"/>
  <c r="J208" i="33"/>
  <c r="J209" i="33"/>
  <c r="J210" i="33"/>
  <c r="J211" i="33"/>
  <c r="J212" i="33"/>
  <c r="J213" i="33"/>
  <c r="J214" i="33"/>
  <c r="J216" i="33"/>
  <c r="J218" i="33"/>
  <c r="J219" i="33"/>
  <c r="J220" i="33"/>
  <c r="J221" i="33"/>
  <c r="J222" i="33"/>
  <c r="J223" i="33"/>
  <c r="J224" i="33"/>
  <c r="J225" i="33"/>
  <c r="J227" i="33"/>
  <c r="O205" i="33"/>
  <c r="O206" i="33"/>
  <c r="O207" i="33"/>
  <c r="O208" i="33"/>
  <c r="O209" i="33"/>
  <c r="O210" i="33"/>
  <c r="O211" i="33"/>
  <c r="O212" i="33"/>
  <c r="O213" i="33"/>
  <c r="O214" i="33"/>
  <c r="O216" i="33"/>
  <c r="O217" i="33"/>
  <c r="O218" i="33"/>
  <c r="O219" i="33"/>
  <c r="O220" i="33"/>
  <c r="O221" i="33"/>
  <c r="O222" i="33"/>
  <c r="O223" i="33"/>
  <c r="O224" i="33"/>
  <c r="O225" i="33"/>
  <c r="O227" i="33"/>
  <c r="I203" i="33" l="1"/>
  <c r="I204" i="33"/>
  <c r="J204" i="33"/>
  <c r="O204" i="33"/>
  <c r="L69" i="32"/>
  <c r="L71" i="32" s="1"/>
  <c r="G67" i="32" l="1"/>
  <c r="G70" i="32"/>
  <c r="G69" i="32"/>
  <c r="G66" i="32"/>
  <c r="A66" i="32"/>
  <c r="A67" i="32" s="1"/>
  <c r="A68" i="32" s="1"/>
  <c r="A69" i="32" s="1"/>
  <c r="A70" i="32" s="1"/>
  <c r="G65" i="32"/>
  <c r="I183" i="33"/>
  <c r="J183" i="33"/>
  <c r="O183" i="33"/>
  <c r="J203" i="33"/>
  <c r="O203" i="33"/>
  <c r="I176" i="33"/>
  <c r="J176" i="33"/>
  <c r="O176" i="33"/>
  <c r="G71" i="32" l="1"/>
  <c r="I202" i="33"/>
  <c r="I178" i="33"/>
  <c r="I179" i="33"/>
  <c r="J178" i="33"/>
  <c r="O178" i="33"/>
  <c r="L182" i="33"/>
  <c r="M182" i="33"/>
  <c r="L181" i="33"/>
  <c r="J202" i="33" l="1"/>
  <c r="O181" i="33"/>
  <c r="O182" i="33"/>
  <c r="O184" i="33"/>
  <c r="O185" i="33"/>
  <c r="O186" i="33"/>
  <c r="O187" i="33"/>
  <c r="O188" i="33"/>
  <c r="O189" i="33"/>
  <c r="O190" i="33"/>
  <c r="O191" i="33"/>
  <c r="O192" i="33"/>
  <c r="O193" i="33"/>
  <c r="O194" i="33"/>
  <c r="O195" i="33"/>
  <c r="O196" i="33"/>
  <c r="O197" i="33"/>
  <c r="O198" i="33"/>
  <c r="O199" i="33"/>
  <c r="O200" i="33"/>
  <c r="O201" i="33"/>
  <c r="O202" i="33"/>
  <c r="J182" i="33"/>
  <c r="J184" i="33"/>
  <c r="J185" i="33"/>
  <c r="J186" i="33"/>
  <c r="J187" i="33"/>
  <c r="J188" i="33"/>
  <c r="J189" i="33"/>
  <c r="J190" i="33"/>
  <c r="J191" i="33"/>
  <c r="J192" i="33"/>
  <c r="J193" i="33"/>
  <c r="J194" i="33"/>
  <c r="J195" i="33"/>
  <c r="J196" i="33"/>
  <c r="J197" i="33"/>
  <c r="J198" i="33"/>
  <c r="J199" i="33"/>
  <c r="J200" i="33"/>
  <c r="J201" i="33"/>
  <c r="I181" i="33"/>
  <c r="I182" i="33"/>
  <c r="I184" i="33"/>
  <c r="I185" i="33"/>
  <c r="I186" i="33"/>
  <c r="I187" i="33"/>
  <c r="I188" i="33"/>
  <c r="I189" i="33"/>
  <c r="I190" i="33"/>
  <c r="I191" i="33"/>
  <c r="I192" i="33"/>
  <c r="I193" i="33"/>
  <c r="I194" i="33"/>
  <c r="I196" i="33"/>
  <c r="I197" i="33"/>
  <c r="I198" i="33"/>
  <c r="I199" i="33"/>
  <c r="I200" i="33"/>
  <c r="I201" i="33"/>
  <c r="L180" i="33"/>
  <c r="L179" i="33"/>
  <c r="O179" i="33" s="1"/>
  <c r="J181" i="33"/>
  <c r="L174" i="33"/>
  <c r="O174" i="33" s="1"/>
  <c r="O172" i="33"/>
  <c r="O173" i="33"/>
  <c r="O175" i="33"/>
  <c r="O177" i="33"/>
  <c r="O180" i="33"/>
  <c r="L171" i="33"/>
  <c r="G55" i="32" l="1"/>
  <c r="G56" i="32"/>
  <c r="G58" i="32"/>
  <c r="G59" i="32"/>
  <c r="G54" i="32"/>
  <c r="G60" i="32" l="1"/>
  <c r="I156" i="33"/>
  <c r="J156" i="33"/>
  <c r="O156" i="33"/>
  <c r="I162" i="33"/>
  <c r="J162" i="33"/>
  <c r="O162" i="33"/>
  <c r="A55" i="32"/>
  <c r="A56" i="32" s="1"/>
  <c r="A57" i="32" s="1"/>
  <c r="A58" i="32" s="1"/>
  <c r="A59" i="32" s="1"/>
  <c r="O71" i="37" l="1"/>
  <c r="O42" i="37"/>
  <c r="G42" i="37"/>
  <c r="G3" i="37"/>
  <c r="I164" i="33" l="1"/>
  <c r="J164" i="33"/>
  <c r="O164" i="33"/>
  <c r="L168" i="33" l="1"/>
  <c r="O168" i="33" s="1"/>
  <c r="J167" i="33"/>
  <c r="J168" i="33"/>
  <c r="J169" i="33"/>
  <c r="J170" i="33"/>
  <c r="J171" i="33"/>
  <c r="J172" i="33"/>
  <c r="J173" i="33"/>
  <c r="J174" i="33"/>
  <c r="J175" i="33"/>
  <c r="J177" i="33"/>
  <c r="J179" i="33"/>
  <c r="J180" i="33"/>
  <c r="O169" i="33"/>
  <c r="O170" i="33"/>
  <c r="O171" i="33"/>
  <c r="I167" i="33"/>
  <c r="I168" i="33"/>
  <c r="I169" i="33"/>
  <c r="I170" i="33"/>
  <c r="I172" i="33"/>
  <c r="I173" i="33"/>
  <c r="I174" i="33"/>
  <c r="I175" i="33"/>
  <c r="I177" i="33"/>
  <c r="I180" i="33"/>
  <c r="I166" i="33"/>
  <c r="I165" i="33"/>
  <c r="I163" i="33"/>
  <c r="L158" i="33"/>
  <c r="L157" i="33"/>
  <c r="L153" i="33"/>
  <c r="L144" i="33"/>
  <c r="O163" i="33" l="1"/>
  <c r="O165" i="33"/>
  <c r="O166" i="33"/>
  <c r="J145" i="33"/>
  <c r="J146" i="33"/>
  <c r="J147" i="33"/>
  <c r="J148" i="33"/>
  <c r="J149" i="33"/>
  <c r="J150" i="33"/>
  <c r="J151" i="33"/>
  <c r="J152" i="33"/>
  <c r="J153" i="33"/>
  <c r="J154" i="33"/>
  <c r="J155" i="33"/>
  <c r="J157" i="33"/>
  <c r="J158" i="33"/>
  <c r="J159" i="33"/>
  <c r="J160" i="33"/>
  <c r="J161" i="33"/>
  <c r="J163" i="33"/>
  <c r="J165" i="33"/>
  <c r="J166" i="33"/>
  <c r="O160" i="33"/>
  <c r="O161" i="33"/>
  <c r="I145" i="33"/>
  <c r="I146" i="33"/>
  <c r="I147" i="33"/>
  <c r="I148" i="33"/>
  <c r="I149" i="33"/>
  <c r="I150" i="33"/>
  <c r="I151" i="33"/>
  <c r="I152" i="33"/>
  <c r="I153" i="33"/>
  <c r="I154" i="33"/>
  <c r="I155" i="33"/>
  <c r="I157" i="33"/>
  <c r="I158" i="33"/>
  <c r="I159" i="33"/>
  <c r="I160" i="33"/>
  <c r="I161" i="33"/>
  <c r="I144" i="33"/>
  <c r="I143" i="33"/>
  <c r="I139" i="33"/>
  <c r="E50" i="32"/>
  <c r="G49" i="32"/>
  <c r="G48" i="32"/>
  <c r="G47" i="32"/>
  <c r="G46" i="32"/>
  <c r="G45" i="32"/>
  <c r="A45" i="32"/>
  <c r="A46" i="32" s="1"/>
  <c r="A47" i="32" s="1"/>
  <c r="A48" i="32" s="1"/>
  <c r="A49" i="32" s="1"/>
  <c r="G44" i="32"/>
  <c r="J140" i="33"/>
  <c r="G50" i="32" l="1"/>
  <c r="O159" i="33"/>
  <c r="J143" i="33"/>
  <c r="J144" i="33"/>
  <c r="O141" i="33"/>
  <c r="O142" i="33"/>
  <c r="O143" i="33"/>
  <c r="O144" i="33"/>
  <c r="O145" i="33"/>
  <c r="O146" i="33"/>
  <c r="O147" i="33"/>
  <c r="O148" i="33"/>
  <c r="O149" i="33"/>
  <c r="O150" i="33"/>
  <c r="O151" i="33"/>
  <c r="O152" i="33"/>
  <c r="O153" i="33"/>
  <c r="O154" i="33"/>
  <c r="O155" i="33"/>
  <c r="O157" i="33"/>
  <c r="O158" i="33"/>
  <c r="O140" i="33"/>
  <c r="J139" i="33"/>
  <c r="O139" i="33"/>
  <c r="J138" i="33"/>
  <c r="O138" i="33"/>
  <c r="I137" i="33"/>
  <c r="I138" i="33"/>
  <c r="J137" i="33"/>
  <c r="O137" i="33"/>
  <c r="L136" i="33"/>
  <c r="I136" i="33" l="1"/>
  <c r="J136" i="33"/>
  <c r="O136" i="33"/>
  <c r="L134" i="33"/>
  <c r="O134" i="33" s="1"/>
  <c r="O5" i="33"/>
  <c r="O6" i="33"/>
  <c r="O7" i="33"/>
  <c r="O8" i="33"/>
  <c r="O12" i="33"/>
  <c r="O13" i="33"/>
  <c r="O14" i="33"/>
  <c r="O15" i="33"/>
  <c r="O16" i="33"/>
  <c r="O17" i="33"/>
  <c r="O18" i="33"/>
  <c r="O19" i="33"/>
  <c r="O20" i="33"/>
  <c r="O22" i="33"/>
  <c r="O23" i="33"/>
  <c r="O24" i="33"/>
  <c r="O25" i="33"/>
  <c r="O27" i="33"/>
  <c r="O28" i="33"/>
  <c r="O29" i="33"/>
  <c r="O30" i="33"/>
  <c r="O31" i="33"/>
  <c r="O33" i="33"/>
  <c r="O34" i="33"/>
  <c r="O35" i="33"/>
  <c r="O38" i="33"/>
  <c r="O39" i="33"/>
  <c r="O41" i="33"/>
  <c r="O43" i="33"/>
  <c r="O44" i="33"/>
  <c r="O45" i="33"/>
  <c r="O46" i="33"/>
  <c r="O47" i="33"/>
  <c r="O48" i="33"/>
  <c r="O49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66" i="33"/>
  <c r="O67" i="33"/>
  <c r="O68" i="33"/>
  <c r="O70" i="33"/>
  <c r="O71" i="33"/>
  <c r="O73" i="33"/>
  <c r="O74" i="33"/>
  <c r="O75" i="33"/>
  <c r="O76" i="33"/>
  <c r="O77" i="33"/>
  <c r="O78" i="33"/>
  <c r="O79" i="33"/>
  <c r="O81" i="33"/>
  <c r="O82" i="33"/>
  <c r="O83" i="33"/>
  <c r="O85" i="33"/>
  <c r="O86" i="33"/>
  <c r="O87" i="33"/>
  <c r="O88" i="33"/>
  <c r="O89" i="33"/>
  <c r="O91" i="33"/>
  <c r="O93" i="33"/>
  <c r="O95" i="33"/>
  <c r="O97" i="33"/>
  <c r="O100" i="33"/>
  <c r="O101" i="33"/>
  <c r="O103" i="33"/>
  <c r="O104" i="33"/>
  <c r="O105" i="33"/>
  <c r="O107" i="33"/>
  <c r="O108" i="33"/>
  <c r="O109" i="33"/>
  <c r="O110" i="33"/>
  <c r="O113" i="33"/>
  <c r="O114" i="33"/>
  <c r="O115" i="33"/>
  <c r="O116" i="33"/>
  <c r="O117" i="33"/>
  <c r="O118" i="33"/>
  <c r="O119" i="33"/>
  <c r="O120" i="33"/>
  <c r="O121" i="33"/>
  <c r="O122" i="33"/>
  <c r="O123" i="33"/>
  <c r="O127" i="33"/>
  <c r="O128" i="33"/>
  <c r="O129" i="33"/>
  <c r="O130" i="33"/>
  <c r="O132" i="33"/>
  <c r="O133" i="33"/>
  <c r="O135" i="33"/>
  <c r="L131" i="33"/>
  <c r="O131" i="33" s="1"/>
  <c r="L126" i="33" l="1"/>
  <c r="O126" i="33" s="1"/>
  <c r="L125" i="33"/>
  <c r="O125" i="33" s="1"/>
  <c r="L124" i="33"/>
  <c r="O124" i="33" s="1"/>
  <c r="I122" i="33" l="1"/>
  <c r="I123" i="33"/>
  <c r="E39" i="32" l="1"/>
  <c r="G38" i="32"/>
  <c r="G37" i="32"/>
  <c r="G36" i="32"/>
  <c r="G35" i="32"/>
  <c r="G34" i="32"/>
  <c r="G33" i="32"/>
  <c r="G32" i="32"/>
  <c r="G31" i="32"/>
  <c r="A31" i="32"/>
  <c r="A32" i="32" s="1"/>
  <c r="A33" i="32" s="1"/>
  <c r="A34" i="32" s="1"/>
  <c r="A35" i="32" s="1"/>
  <c r="A36" i="32" s="1"/>
  <c r="A37" i="32" s="1"/>
  <c r="A38" i="32" s="1"/>
  <c r="G30" i="32"/>
  <c r="I119" i="33"/>
  <c r="I121" i="33"/>
  <c r="I124" i="33"/>
  <c r="I125" i="33"/>
  <c r="I126" i="33"/>
  <c r="I127" i="33"/>
  <c r="I128" i="33"/>
  <c r="I129" i="33"/>
  <c r="I130" i="33"/>
  <c r="I131" i="33"/>
  <c r="I132" i="33"/>
  <c r="I133" i="33"/>
  <c r="I134" i="33"/>
  <c r="I135" i="33"/>
  <c r="J116" i="33"/>
  <c r="I116" i="33"/>
  <c r="I113" i="33"/>
  <c r="I114" i="33"/>
  <c r="I115" i="33"/>
  <c r="J115" i="33"/>
  <c r="J113" i="33"/>
  <c r="J114" i="33"/>
  <c r="L112" i="33"/>
  <c r="O112" i="33" s="1"/>
  <c r="M111" i="33"/>
  <c r="L111" i="33"/>
  <c r="I110" i="33"/>
  <c r="L106" i="33"/>
  <c r="O106" i="33" s="1"/>
  <c r="O111" i="33" l="1"/>
  <c r="G39" i="32"/>
  <c r="H105" i="33"/>
  <c r="L102" i="33"/>
  <c r="O102" i="33" s="1"/>
  <c r="M99" i="33"/>
  <c r="O99" i="33" s="1"/>
  <c r="L98" i="33"/>
  <c r="O98" i="33" s="1"/>
  <c r="M96" i="33"/>
  <c r="L96" i="33"/>
  <c r="L94" i="33"/>
  <c r="O94" i="33" s="1"/>
  <c r="O96" i="33" l="1"/>
  <c r="I83" i="33"/>
  <c r="I84" i="33"/>
  <c r="J83" i="33"/>
  <c r="I63" i="33"/>
  <c r="I71" i="33"/>
  <c r="J79" i="33"/>
  <c r="J80" i="33"/>
  <c r="G11" i="32"/>
  <c r="G10" i="32"/>
  <c r="G9" i="32"/>
  <c r="G7" i="32"/>
  <c r="G6" i="32"/>
  <c r="G5" i="32"/>
  <c r="G4" i="32"/>
  <c r="A4" i="32"/>
  <c r="A5" i="32" s="1"/>
  <c r="A6" i="32" s="1"/>
  <c r="A7" i="32" s="1"/>
  <c r="A8" i="32" s="1"/>
  <c r="A9" i="32" s="1"/>
  <c r="A10" i="32" s="1"/>
  <c r="A11" i="32" s="1"/>
  <c r="G3" i="32"/>
  <c r="G17" i="32"/>
  <c r="A18" i="32"/>
  <c r="G18" i="32"/>
  <c r="J59" i="33"/>
  <c r="I62" i="33"/>
  <c r="J62" i="33"/>
  <c r="I64" i="33"/>
  <c r="J63" i="33"/>
  <c r="J60" i="33"/>
  <c r="G12" i="32" l="1"/>
  <c r="J61" i="33" l="1"/>
  <c r="L92" i="33" l="1"/>
  <c r="O92" i="33" s="1"/>
  <c r="J91" i="33"/>
  <c r="J92" i="33"/>
  <c r="J93" i="33"/>
  <c r="J94" i="33"/>
  <c r="I91" i="33"/>
  <c r="I92" i="33"/>
  <c r="I93" i="33"/>
  <c r="I94" i="33"/>
  <c r="L90" i="33"/>
  <c r="O90" i="33" s="1"/>
  <c r="L84" i="33" l="1"/>
  <c r="O84" i="33" s="1"/>
  <c r="L80" i="33"/>
  <c r="O80" i="33" s="1"/>
  <c r="I79" i="33" l="1"/>
  <c r="I80" i="33"/>
  <c r="I81" i="33"/>
  <c r="I82" i="33"/>
  <c r="M72" i="33" l="1"/>
  <c r="L72" i="33"/>
  <c r="O72" i="33" l="1"/>
  <c r="M69" i="33"/>
  <c r="L69" i="33"/>
  <c r="O69" i="33" l="1"/>
  <c r="I47" i="33"/>
  <c r="J47" i="33" l="1"/>
  <c r="G23" i="32" l="1"/>
  <c r="G22" i="32"/>
  <c r="I45" i="33" l="1"/>
  <c r="I2" i="1"/>
  <c r="J2" i="1"/>
  <c r="O2" i="1"/>
  <c r="I3" i="1"/>
  <c r="J3" i="1"/>
  <c r="O3" i="1"/>
  <c r="I4" i="1"/>
  <c r="J4" i="1"/>
  <c r="O4" i="1"/>
  <c r="I5" i="1"/>
  <c r="J5" i="1"/>
  <c r="O5" i="1"/>
  <c r="I6" i="1"/>
  <c r="J6" i="1"/>
  <c r="O6" i="1"/>
  <c r="I7" i="1"/>
  <c r="J7" i="1"/>
  <c r="O7" i="1"/>
  <c r="I8" i="1"/>
  <c r="J8" i="1"/>
  <c r="O8" i="1"/>
  <c r="I9" i="1"/>
  <c r="J9" i="1"/>
  <c r="O9" i="1"/>
  <c r="I10" i="1"/>
  <c r="J10" i="1"/>
  <c r="O10" i="1"/>
  <c r="I11" i="1"/>
  <c r="J11" i="1"/>
  <c r="O11" i="1"/>
  <c r="I12" i="1"/>
  <c r="J12" i="1"/>
  <c r="O12" i="1"/>
  <c r="I13" i="1"/>
  <c r="J13" i="1"/>
  <c r="O13" i="1"/>
  <c r="I14" i="1"/>
  <c r="J14" i="1"/>
  <c r="M14" i="1"/>
  <c r="O14" i="1" s="1"/>
  <c r="I15" i="1"/>
  <c r="J15" i="1"/>
  <c r="O15" i="1"/>
  <c r="I16" i="1"/>
  <c r="J16" i="1"/>
  <c r="O16" i="1"/>
  <c r="I17" i="1"/>
  <c r="J17" i="1"/>
  <c r="O17" i="1"/>
  <c r="I18" i="1"/>
  <c r="J18" i="1"/>
  <c r="O18" i="1"/>
  <c r="I19" i="1"/>
  <c r="J19" i="1"/>
  <c r="O19" i="1"/>
  <c r="I20" i="1"/>
  <c r="J20" i="1"/>
  <c r="M20" i="1"/>
  <c r="O20" i="1" s="1"/>
  <c r="I21" i="1"/>
  <c r="J21" i="1"/>
  <c r="O21" i="1"/>
  <c r="I22" i="1"/>
  <c r="J22" i="1"/>
  <c r="O22" i="1"/>
  <c r="I23" i="1"/>
  <c r="J23" i="1"/>
  <c r="O23" i="1"/>
  <c r="I24" i="1"/>
  <c r="J24" i="1"/>
  <c r="O24" i="1"/>
  <c r="I25" i="1"/>
  <c r="J25" i="1"/>
  <c r="L25" i="1"/>
  <c r="M25" i="1"/>
  <c r="O25" i="1"/>
  <c r="I26" i="1"/>
  <c r="J26" i="1"/>
  <c r="M26" i="1"/>
  <c r="O26" i="1"/>
  <c r="I27" i="1"/>
  <c r="J27" i="1"/>
  <c r="O27" i="1"/>
  <c r="I28" i="1"/>
  <c r="J28" i="1"/>
  <c r="L28" i="1"/>
  <c r="M28" i="1"/>
  <c r="O28" i="1"/>
  <c r="J29" i="1"/>
  <c r="O29" i="1"/>
  <c r="I30" i="1"/>
  <c r="J30" i="1"/>
  <c r="O30" i="1"/>
  <c r="I31" i="1"/>
  <c r="J31" i="1"/>
  <c r="O31" i="1"/>
  <c r="I32" i="1"/>
  <c r="J32" i="1"/>
  <c r="O32" i="1"/>
  <c r="I33" i="1"/>
  <c r="J33" i="1"/>
  <c r="O33" i="1"/>
  <c r="I34" i="1"/>
  <c r="J34" i="1"/>
  <c r="O34" i="1"/>
  <c r="I35" i="1"/>
  <c r="J35" i="1"/>
  <c r="O35" i="1"/>
  <c r="I36" i="1"/>
  <c r="J36" i="1"/>
  <c r="O36" i="1"/>
  <c r="I37" i="1"/>
  <c r="J37" i="1"/>
  <c r="O37" i="1"/>
  <c r="I38" i="1"/>
  <c r="J38" i="1"/>
  <c r="O38" i="1"/>
  <c r="I39" i="1"/>
  <c r="J39" i="1"/>
  <c r="O39" i="1"/>
  <c r="I40" i="1"/>
  <c r="J40" i="1"/>
  <c r="O40" i="1"/>
  <c r="I41" i="1"/>
  <c r="J41" i="1"/>
  <c r="O41" i="1"/>
  <c r="I42" i="1"/>
  <c r="J42" i="1"/>
  <c r="O42" i="1"/>
  <c r="I43" i="1"/>
  <c r="J43" i="1"/>
  <c r="O43" i="1"/>
  <c r="I44" i="1"/>
  <c r="J44" i="1"/>
  <c r="O44" i="1"/>
  <c r="I45" i="1"/>
  <c r="J45" i="1"/>
  <c r="M45" i="1"/>
  <c r="O45" i="1" s="1"/>
  <c r="I46" i="1"/>
  <c r="J46" i="1"/>
  <c r="O46" i="1"/>
  <c r="I47" i="1"/>
  <c r="J47" i="1"/>
  <c r="O47" i="1"/>
  <c r="I48" i="1"/>
  <c r="J48" i="1"/>
  <c r="O48" i="1"/>
  <c r="I49" i="1"/>
  <c r="J49" i="1"/>
  <c r="L49" i="1"/>
  <c r="M49" i="1"/>
  <c r="I50" i="1"/>
  <c r="J50" i="1"/>
  <c r="L50" i="1"/>
  <c r="M50" i="1"/>
  <c r="I51" i="1"/>
  <c r="J51" i="1"/>
  <c r="L51" i="1"/>
  <c r="O51" i="1" s="1"/>
  <c r="I52" i="1"/>
  <c r="J52" i="1"/>
  <c r="O52" i="1"/>
  <c r="I53" i="1"/>
  <c r="J53" i="1"/>
  <c r="O53" i="1"/>
  <c r="I54" i="1"/>
  <c r="J54" i="1"/>
  <c r="O54" i="1"/>
  <c r="I55" i="1"/>
  <c r="J55" i="1"/>
  <c r="O55" i="1"/>
  <c r="I56" i="1"/>
  <c r="J56" i="1"/>
  <c r="O56" i="1"/>
  <c r="I57" i="1"/>
  <c r="J57" i="1"/>
  <c r="O57" i="1"/>
  <c r="I58" i="1"/>
  <c r="J58" i="1"/>
  <c r="I59" i="1"/>
  <c r="J59" i="1"/>
  <c r="O59" i="1"/>
  <c r="I60" i="1"/>
  <c r="J60" i="1"/>
  <c r="O60" i="1"/>
  <c r="I61" i="1"/>
  <c r="J61" i="1"/>
  <c r="M61" i="1"/>
  <c r="O61" i="1"/>
  <c r="I62" i="1"/>
  <c r="J62" i="1"/>
  <c r="O62" i="1"/>
  <c r="I63" i="1"/>
  <c r="J63" i="1"/>
  <c r="O63" i="1"/>
  <c r="J64" i="1"/>
  <c r="O64" i="1"/>
  <c r="I65" i="1"/>
  <c r="J65" i="1"/>
  <c r="O65" i="1"/>
  <c r="I66" i="1"/>
  <c r="J66" i="1"/>
  <c r="O66" i="1"/>
  <c r="I67" i="1"/>
  <c r="J67" i="1"/>
  <c r="O67" i="1"/>
  <c r="I68" i="1"/>
  <c r="J68" i="1"/>
  <c r="O68" i="1"/>
  <c r="I69" i="1"/>
  <c r="J69" i="1"/>
  <c r="O69" i="1"/>
  <c r="I70" i="1"/>
  <c r="J70" i="1"/>
  <c r="O70" i="1"/>
  <c r="I71" i="1"/>
  <c r="J71" i="1"/>
  <c r="O71" i="1"/>
  <c r="I72" i="1"/>
  <c r="J72" i="1"/>
  <c r="O72" i="1"/>
  <c r="I73" i="1"/>
  <c r="J73" i="1"/>
  <c r="L73" i="1"/>
  <c r="O73" i="1"/>
  <c r="I74" i="1"/>
  <c r="J74" i="1"/>
  <c r="L74" i="1"/>
  <c r="O74" i="1"/>
  <c r="I75" i="1"/>
  <c r="J75" i="1"/>
  <c r="O75" i="1"/>
  <c r="I76" i="1"/>
  <c r="J76" i="1"/>
  <c r="O76" i="1"/>
  <c r="H77" i="1"/>
  <c r="J77" i="1" s="1"/>
  <c r="I77" i="1"/>
  <c r="O77" i="1"/>
  <c r="I78" i="1"/>
  <c r="J78" i="1"/>
  <c r="O78" i="1"/>
  <c r="I79" i="1"/>
  <c r="J79" i="1"/>
  <c r="O79" i="1"/>
  <c r="I80" i="1"/>
  <c r="J80" i="1"/>
  <c r="O80" i="1"/>
  <c r="J81" i="1"/>
  <c r="O81" i="1"/>
  <c r="I82" i="1"/>
  <c r="J82" i="1"/>
  <c r="O82" i="1"/>
  <c r="I83" i="1"/>
  <c r="J83" i="1"/>
  <c r="O83" i="1"/>
  <c r="I84" i="1"/>
  <c r="J84" i="1"/>
  <c r="O84" i="1"/>
  <c r="I85" i="1"/>
  <c r="J85" i="1"/>
  <c r="O85" i="1"/>
  <c r="I86" i="1"/>
  <c r="J86" i="1"/>
  <c r="L86" i="1"/>
  <c r="O86" i="1" s="1"/>
  <c r="I87" i="1"/>
  <c r="J87" i="1"/>
  <c r="O87" i="1"/>
  <c r="I88" i="1"/>
  <c r="J88" i="1"/>
  <c r="O88" i="1"/>
  <c r="I89" i="1"/>
  <c r="J89" i="1"/>
  <c r="O89" i="1"/>
  <c r="I90" i="1"/>
  <c r="J90" i="1"/>
  <c r="O90" i="1"/>
  <c r="I91" i="1"/>
  <c r="J91" i="1"/>
  <c r="O91" i="1"/>
  <c r="I92" i="1"/>
  <c r="J92" i="1"/>
  <c r="O92" i="1"/>
  <c r="J93" i="1"/>
  <c r="O93" i="1"/>
  <c r="I94" i="1"/>
  <c r="J94" i="1"/>
  <c r="L94" i="1"/>
  <c r="O94" i="1" s="1"/>
  <c r="I95" i="1"/>
  <c r="J95" i="1"/>
  <c r="L95" i="1"/>
  <c r="O95" i="1" s="1"/>
  <c r="I96" i="1"/>
  <c r="J96" i="1"/>
  <c r="O96" i="1"/>
  <c r="I97" i="1"/>
  <c r="J97" i="1"/>
  <c r="O97" i="1"/>
  <c r="I98" i="1"/>
  <c r="J98" i="1"/>
  <c r="O98" i="1"/>
  <c r="I99" i="1"/>
  <c r="J99" i="1"/>
  <c r="O99" i="1"/>
  <c r="I100" i="1"/>
  <c r="J100" i="1"/>
  <c r="O100" i="1"/>
  <c r="I101" i="1"/>
  <c r="J101" i="1"/>
  <c r="O101" i="1"/>
  <c r="O102" i="1"/>
  <c r="I103" i="1"/>
  <c r="J103" i="1"/>
  <c r="O103" i="1"/>
  <c r="I104" i="1"/>
  <c r="J104" i="1"/>
  <c r="O104" i="1"/>
  <c r="I105" i="1"/>
  <c r="J105" i="1"/>
  <c r="O105" i="1"/>
  <c r="I106" i="1"/>
  <c r="J106" i="1"/>
  <c r="O106" i="1"/>
  <c r="I107" i="1"/>
  <c r="J107" i="1"/>
  <c r="O107" i="1"/>
  <c r="I108" i="1"/>
  <c r="J108" i="1"/>
  <c r="M108" i="1"/>
  <c r="O108" i="1" s="1"/>
  <c r="I109" i="1"/>
  <c r="J109" i="1"/>
  <c r="O109" i="1"/>
  <c r="I110" i="1"/>
  <c r="J110" i="1"/>
  <c r="O110" i="1"/>
  <c r="I111" i="1"/>
  <c r="J111" i="1"/>
  <c r="O111" i="1"/>
  <c r="I112" i="1"/>
  <c r="J112" i="1"/>
  <c r="O112" i="1"/>
  <c r="J113" i="1"/>
  <c r="L113" i="1"/>
  <c r="O113" i="1" s="1"/>
  <c r="I114" i="1"/>
  <c r="J114" i="1"/>
  <c r="O114" i="1"/>
  <c r="I115" i="1"/>
  <c r="J115" i="1"/>
  <c r="O115" i="1"/>
  <c r="I116" i="1"/>
  <c r="J116" i="1"/>
  <c r="O116" i="1"/>
  <c r="O117" i="1"/>
  <c r="I118" i="1"/>
  <c r="J118" i="1"/>
  <c r="O118" i="1"/>
  <c r="J119" i="1"/>
  <c r="O119" i="1"/>
  <c r="J120" i="1"/>
  <c r="O120" i="1"/>
  <c r="I121" i="1"/>
  <c r="J121" i="1"/>
  <c r="O121" i="1"/>
  <c r="I122" i="1"/>
  <c r="J122" i="1"/>
  <c r="O122" i="1"/>
  <c r="I123" i="1"/>
  <c r="J123" i="1"/>
  <c r="O123" i="1"/>
  <c r="I124" i="1"/>
  <c r="J124" i="1"/>
  <c r="O124" i="1"/>
  <c r="I125" i="1"/>
  <c r="J125" i="1"/>
  <c r="O125" i="1"/>
  <c r="I126" i="1"/>
  <c r="J126" i="1"/>
  <c r="O126" i="1"/>
  <c r="I127" i="1"/>
  <c r="J127" i="1"/>
  <c r="O127" i="1"/>
  <c r="I128" i="1"/>
  <c r="J128" i="1"/>
  <c r="O128" i="1"/>
  <c r="I129" i="1"/>
  <c r="J129" i="1"/>
  <c r="O129" i="1"/>
  <c r="I130" i="1"/>
  <c r="J130" i="1"/>
  <c r="O130" i="1"/>
  <c r="I131" i="1"/>
  <c r="J131" i="1"/>
  <c r="O131" i="1"/>
  <c r="I132" i="1"/>
  <c r="J132" i="1"/>
  <c r="L132" i="1"/>
  <c r="M132" i="1"/>
  <c r="O132" i="1" s="1"/>
  <c r="I133" i="1"/>
  <c r="J133" i="1"/>
  <c r="O133" i="1"/>
  <c r="J134" i="1"/>
  <c r="O134" i="1"/>
  <c r="I135" i="1"/>
  <c r="J135" i="1"/>
  <c r="O135" i="1"/>
  <c r="I136" i="1"/>
  <c r="J136" i="1"/>
  <c r="O136" i="1"/>
  <c r="I137" i="1"/>
  <c r="J137" i="1"/>
  <c r="O137" i="1"/>
  <c r="I138" i="1"/>
  <c r="J138" i="1"/>
  <c r="O138" i="1"/>
  <c r="J139" i="1"/>
  <c r="M139" i="1"/>
  <c r="O139" i="1" s="1"/>
  <c r="I140" i="1"/>
  <c r="J140" i="1"/>
  <c r="O140" i="1"/>
  <c r="I141" i="1"/>
  <c r="J141" i="1"/>
  <c r="L141" i="1"/>
  <c r="O141" i="1" s="1"/>
  <c r="I142" i="1"/>
  <c r="J142" i="1"/>
  <c r="O142" i="1"/>
  <c r="I143" i="1"/>
  <c r="J143" i="1"/>
  <c r="O143" i="1"/>
  <c r="I144" i="1"/>
  <c r="J144" i="1"/>
  <c r="L144" i="1"/>
  <c r="O144" i="1" s="1"/>
  <c r="I145" i="1"/>
  <c r="J145" i="1"/>
  <c r="O145" i="1"/>
  <c r="I146" i="1"/>
  <c r="J146" i="1"/>
  <c r="O146" i="1"/>
  <c r="I147" i="1"/>
  <c r="J147" i="1"/>
  <c r="L147" i="1"/>
  <c r="O147" i="1" s="1"/>
  <c r="I148" i="1"/>
  <c r="J148" i="1"/>
  <c r="O148" i="1"/>
  <c r="I149" i="1"/>
  <c r="J149" i="1"/>
  <c r="O149" i="1"/>
  <c r="I150" i="1"/>
  <c r="J150" i="1"/>
  <c r="O150" i="1"/>
  <c r="I151" i="1"/>
  <c r="J151" i="1"/>
  <c r="O151" i="1"/>
  <c r="I152" i="1"/>
  <c r="J152" i="1"/>
  <c r="O152" i="1"/>
  <c r="I153" i="1"/>
  <c r="J153" i="1"/>
  <c r="O153" i="1"/>
  <c r="I154" i="1"/>
  <c r="J154" i="1"/>
  <c r="O154" i="1"/>
  <c r="I155" i="1"/>
  <c r="J155" i="1"/>
  <c r="L155" i="1"/>
  <c r="O155" i="1" s="1"/>
  <c r="I156" i="1"/>
  <c r="J156" i="1"/>
  <c r="O156" i="1"/>
  <c r="I157" i="1"/>
  <c r="J157" i="1"/>
  <c r="O157" i="1"/>
  <c r="I158" i="1"/>
  <c r="J158" i="1"/>
  <c r="L158" i="1"/>
  <c r="M158" i="1"/>
  <c r="O158" i="1" s="1"/>
  <c r="I159" i="1"/>
  <c r="J159" i="1"/>
  <c r="O159" i="1"/>
  <c r="I160" i="1"/>
  <c r="J160" i="1"/>
  <c r="O160" i="1"/>
  <c r="J135" i="33"/>
  <c r="J134" i="33"/>
  <c r="J133" i="33"/>
  <c r="J132" i="33"/>
  <c r="J131" i="33"/>
  <c r="J130" i="33"/>
  <c r="J129" i="33"/>
  <c r="J128" i="33"/>
  <c r="J127" i="33"/>
  <c r="J126" i="33"/>
  <c r="J125" i="33"/>
  <c r="J124" i="33"/>
  <c r="J123" i="33"/>
  <c r="J122" i="33"/>
  <c r="J121" i="33"/>
  <c r="J120" i="33"/>
  <c r="J119" i="33"/>
  <c r="J118" i="33"/>
  <c r="J112" i="33"/>
  <c r="I112" i="33"/>
  <c r="J111" i="33"/>
  <c r="I111" i="33"/>
  <c r="J110" i="33"/>
  <c r="J109" i="33"/>
  <c r="I109" i="33"/>
  <c r="J108" i="33"/>
  <c r="I108" i="33"/>
  <c r="J107" i="33"/>
  <c r="I107" i="33"/>
  <c r="J106" i="33"/>
  <c r="I106" i="33"/>
  <c r="J105" i="33"/>
  <c r="I105" i="33"/>
  <c r="J104" i="33"/>
  <c r="I104" i="33"/>
  <c r="J103" i="33"/>
  <c r="I103" i="33"/>
  <c r="J102" i="33"/>
  <c r="I102" i="33"/>
  <c r="J101" i="33"/>
  <c r="I101" i="33"/>
  <c r="J100" i="33"/>
  <c r="I100" i="33"/>
  <c r="J99" i="33"/>
  <c r="I99" i="33"/>
  <c r="J98" i="33"/>
  <c r="I98" i="33"/>
  <c r="J97" i="33"/>
  <c r="I97" i="33"/>
  <c r="J96" i="33"/>
  <c r="I96" i="33"/>
  <c r="J95" i="33"/>
  <c r="I95" i="33"/>
  <c r="J90" i="33"/>
  <c r="I90" i="33"/>
  <c r="J89" i="33"/>
  <c r="I89" i="33"/>
  <c r="J88" i="33"/>
  <c r="I88" i="33"/>
  <c r="J86" i="33"/>
  <c r="I86" i="33"/>
  <c r="J85" i="33"/>
  <c r="I85" i="33"/>
  <c r="J84" i="33"/>
  <c r="J82" i="33"/>
  <c r="J81" i="33"/>
  <c r="J87" i="33"/>
  <c r="I87" i="33"/>
  <c r="J78" i="33"/>
  <c r="I78" i="33"/>
  <c r="J77" i="33"/>
  <c r="I77" i="33"/>
  <c r="J76" i="33"/>
  <c r="I76" i="33"/>
  <c r="J75" i="33"/>
  <c r="I75" i="33"/>
  <c r="J74" i="33"/>
  <c r="I74" i="33"/>
  <c r="J73" i="33"/>
  <c r="I73" i="33"/>
  <c r="J72" i="33"/>
  <c r="I72" i="33"/>
  <c r="J71" i="33"/>
  <c r="J70" i="33"/>
  <c r="I70" i="33"/>
  <c r="J69" i="33"/>
  <c r="I69" i="33"/>
  <c r="J68" i="33"/>
  <c r="J67" i="33"/>
  <c r="I67" i="33"/>
  <c r="J66" i="33"/>
  <c r="I66" i="33"/>
  <c r="J65" i="33"/>
  <c r="I65" i="33"/>
  <c r="J64" i="33"/>
  <c r="J58" i="33"/>
  <c r="I58" i="33"/>
  <c r="J57" i="33"/>
  <c r="I57" i="33"/>
  <c r="J56" i="33"/>
  <c r="I56" i="33"/>
  <c r="J55" i="33"/>
  <c r="I55" i="33"/>
  <c r="J54" i="33"/>
  <c r="I54" i="33"/>
  <c r="J53" i="33"/>
  <c r="I53" i="33"/>
  <c r="J52" i="33"/>
  <c r="I52" i="33"/>
  <c r="J51" i="33"/>
  <c r="I51" i="33"/>
  <c r="L50" i="33"/>
  <c r="O50" i="33" s="1"/>
  <c r="J50" i="33"/>
  <c r="I50" i="33"/>
  <c r="J48" i="33"/>
  <c r="I48" i="33"/>
  <c r="J46" i="33"/>
  <c r="I46" i="33"/>
  <c r="J45" i="33"/>
  <c r="J44" i="33"/>
  <c r="I44" i="33"/>
  <c r="J43" i="33"/>
  <c r="I43" i="33"/>
  <c r="M42" i="33"/>
  <c r="J42" i="33"/>
  <c r="I42" i="33"/>
  <c r="J41" i="33"/>
  <c r="I41" i="33"/>
  <c r="M40" i="33"/>
  <c r="L40" i="33"/>
  <c r="J40" i="33"/>
  <c r="I40" i="33"/>
  <c r="J39" i="33"/>
  <c r="I39" i="33"/>
  <c r="J38" i="33"/>
  <c r="I38" i="33"/>
  <c r="L37" i="33"/>
  <c r="J37" i="33"/>
  <c r="I37" i="33"/>
  <c r="L36" i="33"/>
  <c r="J36" i="33"/>
  <c r="I36" i="33"/>
  <c r="J35" i="33"/>
  <c r="I35" i="33"/>
  <c r="J34" i="33"/>
  <c r="I34" i="33"/>
  <c r="J33" i="33"/>
  <c r="I33" i="33"/>
  <c r="L32" i="33"/>
  <c r="J32" i="33"/>
  <c r="I32" i="33"/>
  <c r="J31" i="33"/>
  <c r="I31" i="33"/>
  <c r="J30" i="33"/>
  <c r="I30" i="33"/>
  <c r="J29" i="33"/>
  <c r="I29" i="33"/>
  <c r="J28" i="33"/>
  <c r="I28" i="33"/>
  <c r="J27" i="33"/>
  <c r="I27" i="33"/>
  <c r="M26" i="33"/>
  <c r="J26" i="33"/>
  <c r="I26" i="33"/>
  <c r="J25" i="33"/>
  <c r="I25" i="33"/>
  <c r="J24" i="33"/>
  <c r="I24" i="33"/>
  <c r="J23" i="33"/>
  <c r="I23" i="33"/>
  <c r="J22" i="33"/>
  <c r="I22" i="33"/>
  <c r="L21" i="33"/>
  <c r="J21" i="33"/>
  <c r="I21" i="33"/>
  <c r="J20" i="33"/>
  <c r="I20" i="33"/>
  <c r="J19" i="33"/>
  <c r="J18" i="33"/>
  <c r="I18" i="33"/>
  <c r="J17" i="33"/>
  <c r="I17" i="33"/>
  <c r="J16" i="33"/>
  <c r="I16" i="33"/>
  <c r="J15" i="33"/>
  <c r="I15" i="33"/>
  <c r="J14" i="33"/>
  <c r="I14" i="33"/>
  <c r="J13" i="33"/>
  <c r="I13" i="33"/>
  <c r="J12" i="33"/>
  <c r="I12" i="33"/>
  <c r="L11" i="33"/>
  <c r="J11" i="33"/>
  <c r="I11" i="33"/>
  <c r="M10" i="33"/>
  <c r="L10" i="33"/>
  <c r="J10" i="33"/>
  <c r="I10" i="33"/>
  <c r="L9" i="33"/>
  <c r="J9" i="33"/>
  <c r="I9" i="33"/>
  <c r="J8" i="33"/>
  <c r="I8" i="33"/>
  <c r="J7" i="33"/>
  <c r="J6" i="33"/>
  <c r="J5" i="33"/>
  <c r="I5" i="33"/>
  <c r="M4" i="33"/>
  <c r="L4" i="33"/>
  <c r="J4" i="33"/>
  <c r="I4" i="33"/>
  <c r="L3" i="33"/>
  <c r="J3" i="33"/>
  <c r="I3" i="33"/>
  <c r="M2" i="33"/>
  <c r="L2" i="33"/>
  <c r="J2" i="33"/>
  <c r="I2" i="33"/>
  <c r="O9" i="33" l="1"/>
  <c r="O26" i="33"/>
  <c r="O36" i="33"/>
  <c r="O42" i="33"/>
  <c r="O3" i="33"/>
  <c r="O11" i="33"/>
  <c r="O21" i="33"/>
  <c r="O32" i="33"/>
  <c r="O37" i="33"/>
  <c r="O2" i="33"/>
  <c r="O10" i="33"/>
  <c r="O4" i="33"/>
  <c r="O40" i="33"/>
  <c r="O49" i="1"/>
  <c r="O50" i="1"/>
  <c r="M185" i="1" l="1"/>
  <c r="L180" i="1" l="1"/>
  <c r="G25" i="32" l="1"/>
  <c r="G24" i="32"/>
  <c r="G21" i="32"/>
  <c r="G20" i="32"/>
  <c r="G19" i="32"/>
  <c r="A19" i="32"/>
  <c r="A20" i="32" s="1"/>
  <c r="A21" i="32" s="1"/>
  <c r="A22" i="32" s="1"/>
  <c r="A23" i="32" s="1"/>
  <c r="A24" i="32" s="1"/>
  <c r="A25" i="32" s="1"/>
  <c r="G26" i="32" l="1"/>
  <c r="I177" i="1"/>
  <c r="I171" i="1"/>
  <c r="J177" i="1"/>
  <c r="O177" i="1"/>
  <c r="J171" i="1"/>
  <c r="O171" i="1"/>
  <c r="I174" i="1"/>
  <c r="J174" i="1"/>
  <c r="O174" i="1"/>
  <c r="I173" i="1"/>
  <c r="J173" i="1"/>
  <c r="O173" i="1"/>
  <c r="J165" i="1"/>
  <c r="O165" i="1"/>
  <c r="J166" i="1"/>
  <c r="O166" i="1"/>
  <c r="I172" i="1"/>
  <c r="J172" i="1"/>
  <c r="O172" i="1"/>
  <c r="L170" i="1" l="1"/>
  <c r="M169" i="1"/>
  <c r="L169" i="1"/>
  <c r="L168" i="1"/>
  <c r="B42" i="8"/>
  <c r="M163" i="1" l="1"/>
  <c r="L163" i="1"/>
  <c r="L162" i="1" l="1"/>
  <c r="L161" i="1"/>
  <c r="M161" i="1"/>
  <c r="E15" i="25" l="1"/>
  <c r="E27" i="25"/>
  <c r="E40" i="25"/>
  <c r="E49" i="25"/>
  <c r="G11" i="25" l="1"/>
  <c r="G14" i="25" l="1"/>
  <c r="G13" i="25"/>
  <c r="G12" i="25"/>
  <c r="G10" i="25"/>
  <c r="G9" i="25"/>
  <c r="G8" i="25"/>
  <c r="G7" i="25"/>
  <c r="A7" i="25"/>
  <c r="A8" i="25" s="1"/>
  <c r="A9" i="25" s="1"/>
  <c r="A10" i="25" s="1"/>
  <c r="A11" i="25" s="1"/>
  <c r="A12" i="25" s="1"/>
  <c r="A13" i="25" s="1"/>
  <c r="A14" i="25" s="1"/>
  <c r="G6" i="25"/>
  <c r="B14" i="24" l="1"/>
  <c r="B16" i="24" s="1"/>
  <c r="G13" i="24"/>
  <c r="F35" i="8" l="1"/>
  <c r="G24" i="25" l="1"/>
  <c r="G39" i="25"/>
  <c r="G38" i="25"/>
  <c r="G36" i="25"/>
  <c r="G35" i="25"/>
  <c r="G34" i="25"/>
  <c r="G33" i="25"/>
  <c r="A33" i="25"/>
  <c r="A34" i="25" s="1"/>
  <c r="A35" i="25" s="1"/>
  <c r="A36" i="25" s="1"/>
  <c r="A37" i="25" s="1"/>
  <c r="A38" i="25" s="1"/>
  <c r="A39" i="25" s="1"/>
  <c r="G32" i="25"/>
  <c r="G40" i="25" l="1"/>
  <c r="O161" i="1" l="1"/>
  <c r="O162" i="1"/>
  <c r="O163" i="1"/>
  <c r="O164" i="1"/>
  <c r="O167" i="1"/>
  <c r="O168" i="1"/>
  <c r="O169" i="1"/>
  <c r="O170" i="1"/>
  <c r="O175" i="1"/>
  <c r="O176" i="1"/>
  <c r="O178" i="1"/>
  <c r="O179" i="1"/>
  <c r="O180" i="1"/>
  <c r="O181" i="1"/>
  <c r="O182" i="1"/>
  <c r="O183" i="1"/>
  <c r="O184" i="1"/>
  <c r="O185" i="1"/>
  <c r="O186" i="1"/>
  <c r="O187" i="1"/>
  <c r="C27" i="24" l="1"/>
  <c r="C6" i="24"/>
  <c r="G26" i="25" l="1"/>
  <c r="G25" i="25"/>
  <c r="G23" i="25"/>
  <c r="G22" i="25"/>
  <c r="G21" i="25"/>
  <c r="G20" i="25"/>
  <c r="A20" i="25"/>
  <c r="A21" i="25" s="1"/>
  <c r="A22" i="25" s="1"/>
  <c r="G19" i="25"/>
  <c r="G48" i="25"/>
  <c r="G47" i="25"/>
  <c r="G46" i="25"/>
  <c r="G45" i="25"/>
  <c r="G44" i="25"/>
  <c r="G43" i="25"/>
  <c r="A23" i="25" l="1"/>
  <c r="A24" i="25" s="1"/>
  <c r="A25" i="25" s="1"/>
  <c r="A26" i="25" s="1"/>
  <c r="C33" i="24"/>
  <c r="A29" i="24"/>
  <c r="C29" i="24"/>
  <c r="D8" i="24"/>
  <c r="B33" i="24"/>
  <c r="C12" i="24"/>
  <c r="A8" i="24"/>
  <c r="D29" i="24"/>
  <c r="C8" i="24" l="1"/>
  <c r="B37" i="24"/>
  <c r="J161" i="1" l="1"/>
  <c r="J162" i="1"/>
  <c r="J163" i="1"/>
  <c r="J164" i="1"/>
  <c r="J167" i="1"/>
  <c r="J168" i="1"/>
  <c r="J169" i="1"/>
  <c r="J170" i="1"/>
  <c r="J175" i="1"/>
  <c r="J176" i="1"/>
  <c r="J178" i="1"/>
  <c r="J179" i="1"/>
  <c r="J180" i="1"/>
  <c r="J181" i="1"/>
  <c r="J182" i="1"/>
  <c r="J183" i="1"/>
  <c r="J184" i="1"/>
  <c r="J185" i="1"/>
  <c r="J186" i="1"/>
  <c r="J187" i="1"/>
  <c r="I161" i="1" l="1"/>
  <c r="I162" i="1"/>
  <c r="I163" i="1"/>
  <c r="I164" i="1"/>
  <c r="I167" i="1"/>
  <c r="I168" i="1"/>
  <c r="I169" i="1"/>
  <c r="I170" i="1"/>
  <c r="I175" i="1"/>
  <c r="I176" i="1"/>
  <c r="I179" i="1"/>
  <c r="I180" i="1"/>
  <c r="I181" i="1"/>
  <c r="I182" i="1"/>
  <c r="I183" i="1"/>
  <c r="I184" i="1"/>
  <c r="I185" i="1"/>
  <c r="I186" i="1"/>
  <c r="I187" i="1"/>
  <c r="O3" i="37" l="1"/>
</calcChain>
</file>

<file path=xl/sharedStrings.xml><?xml version="1.0" encoding="utf-8"?>
<sst xmlns="http://schemas.openxmlformats.org/spreadsheetml/2006/main" count="20727" uniqueCount="4437">
  <si>
    <t>FECHA</t>
  </si>
  <si>
    <t>NUMERO DE FACTURA</t>
  </si>
  <si>
    <t>MODELO</t>
  </si>
  <si>
    <t>PLACA</t>
  </si>
  <si>
    <t>DETALLES</t>
  </si>
  <si>
    <t>TOTAL FACTURA</t>
  </si>
  <si>
    <t>PORCENTAJE A CANCELAR</t>
  </si>
  <si>
    <t>REPUESTOS USADOS</t>
  </si>
  <si>
    <t>MONTO DE COMPRA</t>
  </si>
  <si>
    <t>RECIBO DE PAGO</t>
  </si>
  <si>
    <t>SAMIR VASQUEZ</t>
  </si>
  <si>
    <t>Servicios Especializados en Frenos Hidráulico de Aire ABS Electrónico- Frenos de Ahogo - Mecánica en General  Full Inyección-Electricidad -  Latonería y Pintura - Autolavado - Cambio de Aceite - Servicio de Escáner</t>
  </si>
  <si>
    <t>MECANICA</t>
  </si>
  <si>
    <t>Etiquetas de fila</t>
  </si>
  <si>
    <t>Total general</t>
  </si>
  <si>
    <t>AREA</t>
  </si>
  <si>
    <t>ELECTRICIDAD</t>
  </si>
  <si>
    <t>FRENOS Y SUSPENSION</t>
  </si>
  <si>
    <t>LATONERIA Y PINTURA</t>
  </si>
  <si>
    <t>LUIS BRITO</t>
  </si>
  <si>
    <t>CAMBIO DE PASTILLAS DELANTERAS</t>
  </si>
  <si>
    <t>GRADUAR FRENOS</t>
  </si>
  <si>
    <t>RENAULT</t>
  </si>
  <si>
    <t>PEUGEOT</t>
  </si>
  <si>
    <t>ESTATUS</t>
  </si>
  <si>
    <t>CANCELADO</t>
  </si>
  <si>
    <t>POR CANCELAR</t>
  </si>
  <si>
    <t>Suma de PORCENTAJE A CANCELAR</t>
  </si>
  <si>
    <t>CORSA</t>
  </si>
  <si>
    <t>FIAT</t>
  </si>
  <si>
    <t>DIEGO TORRES</t>
  </si>
  <si>
    <t>AYUDANTE</t>
  </si>
  <si>
    <t>Suma de TOTAL FACTURA</t>
  </si>
  <si>
    <t>FRANCISCO PEREZ</t>
  </si>
  <si>
    <t>ALEJANDRO DIAZ</t>
  </si>
  <si>
    <t>CAMBIO DE PERA DEL VENTILADOR</t>
  </si>
  <si>
    <t>BDY-618</t>
  </si>
  <si>
    <t xml:space="preserve">CAMBIO DE RODAMIENTOS </t>
  </si>
  <si>
    <t>MONTO DE LA VENTA</t>
  </si>
  <si>
    <t>RBM-093</t>
  </si>
  <si>
    <t>REVISAR FRENOS</t>
  </si>
  <si>
    <t>CSE-257</t>
  </si>
  <si>
    <t xml:space="preserve">MANTENIMIENTO RUEDAS TRASERAS </t>
  </si>
  <si>
    <t>RENAULT MEGAN</t>
  </si>
  <si>
    <t>NAD-805</t>
  </si>
  <si>
    <t>REVISAR TRASERA DERECHA</t>
  </si>
  <si>
    <t>MITSUBISHI</t>
  </si>
  <si>
    <t>SQD-230</t>
  </si>
  <si>
    <t>FOTON</t>
  </si>
  <si>
    <t>EXX-268</t>
  </si>
  <si>
    <t>MANTENIMIENTO DE FRENOS COMPLETO</t>
  </si>
  <si>
    <t>BANDAS</t>
  </si>
  <si>
    <t>NPR</t>
  </si>
  <si>
    <t>USC-456</t>
  </si>
  <si>
    <t>CHEVROLET</t>
  </si>
  <si>
    <t>BDE-370</t>
  </si>
  <si>
    <t>ARREGLO TUBO TRASERO Y CAMBIO DE LIQUIDO</t>
  </si>
  <si>
    <t>LIQUIDO</t>
  </si>
  <si>
    <t>FE-3</t>
  </si>
  <si>
    <t>JAC</t>
  </si>
  <si>
    <t>ERL-515</t>
  </si>
  <si>
    <t>RECTIFAR CAMPANA, MANTENIMIENTO</t>
  </si>
  <si>
    <t>RECTIFICAR CAMPANA</t>
  </si>
  <si>
    <t>KSP-167</t>
  </si>
  <si>
    <t>JMC</t>
  </si>
  <si>
    <t>TOYOTA</t>
  </si>
  <si>
    <t>DHZ-935</t>
  </si>
  <si>
    <t>CAMBIO DE PASTILLAS TRASERAS-DISCO DE FRENOS</t>
  </si>
  <si>
    <t>JUGO DE PASTILLAS Y DISCOS DE FRENOS</t>
  </si>
  <si>
    <t>FIAT SIENA</t>
  </si>
  <si>
    <t>UCW-460</t>
  </si>
  <si>
    <t>PASTILLAS DELANTERAS</t>
  </si>
  <si>
    <t>FE-5</t>
  </si>
  <si>
    <t>RJP-935</t>
  </si>
  <si>
    <t>ARREGLO DE LUCES</t>
  </si>
  <si>
    <t>FE-8</t>
  </si>
  <si>
    <t>MAZDA</t>
  </si>
  <si>
    <t>CJH-414</t>
  </si>
  <si>
    <t>CAMBIO DE LIQUIDO- REVISAR FRENOS</t>
  </si>
  <si>
    <t>FE-6</t>
  </si>
  <si>
    <t>BGM-688</t>
  </si>
  <si>
    <t>INSTALAR VENTILADOR</t>
  </si>
  <si>
    <t>FUSIBLE</t>
  </si>
  <si>
    <t>FV-7</t>
  </si>
  <si>
    <t>NHR</t>
  </si>
  <si>
    <t>UPS-855</t>
  </si>
  <si>
    <t>CAMBIO DE CAMPANAS Y BANDAS</t>
  </si>
  <si>
    <t>CAMPANA, BANDAS, GRASA Y PINES</t>
  </si>
  <si>
    <t>MEGAN</t>
  </si>
  <si>
    <t>CJH-613</t>
  </si>
  <si>
    <t>CAMBIO DE CULATA</t>
  </si>
  <si>
    <t>JUEGO DE VALVULAS, GUIAS EN BRONCE, JUEGO RETENEDORES DE VALAVULA, KIT DE REPARTICION, SENDOR, PIÑON, EJE DE LEVA, TAPONES EJE DE LEVAS</t>
  </si>
  <si>
    <t>FE-9</t>
  </si>
  <si>
    <t>JKV-331</t>
  </si>
  <si>
    <t>CAMBIO DE BANDAS RUEDA TRASERA</t>
  </si>
  <si>
    <t xml:space="preserve">GRASA, JUEGO DE BLOQUES, GASOLINA, SILICONA </t>
  </si>
  <si>
    <t>RENAULT CLIO</t>
  </si>
  <si>
    <t>BRT-104</t>
  </si>
  <si>
    <t>MANTENIMIENTO ELECTRICO</t>
  </si>
  <si>
    <t>BRU-582</t>
  </si>
  <si>
    <t>PEGEOT</t>
  </si>
  <si>
    <t>BAJAR CAJA</t>
  </si>
  <si>
    <t>RMP-776</t>
  </si>
  <si>
    <t>RENAULT SANDERO</t>
  </si>
  <si>
    <t>CORREGIR FUGA</t>
  </si>
  <si>
    <t>KIT GP-EJE IZQ COMP ORIGINAL</t>
  </si>
  <si>
    <t>FE-12</t>
  </si>
  <si>
    <t>DODGE</t>
  </si>
  <si>
    <t>ARRANQUE</t>
  </si>
  <si>
    <t>AKG-375</t>
  </si>
  <si>
    <t>CAMBIAR ARRANQUE</t>
  </si>
  <si>
    <t>F-11</t>
  </si>
  <si>
    <t>CHEVY</t>
  </si>
  <si>
    <t>BCB-542</t>
  </si>
  <si>
    <t>CAMBIO DE DISCOS DELANTEROS</t>
  </si>
  <si>
    <t>DISCOS</t>
  </si>
  <si>
    <t>FE-10</t>
  </si>
  <si>
    <t>WGZ-517</t>
  </si>
  <si>
    <t>BZH-047</t>
  </si>
  <si>
    <t>CAMBIO DE BASE Y TERMOSTATO</t>
  </si>
  <si>
    <t>BASE Y TERMOSTATO</t>
  </si>
  <si>
    <t>F-373</t>
  </si>
  <si>
    <t>NISSAN</t>
  </si>
  <si>
    <t>RLN-289</t>
  </si>
  <si>
    <t>AJUSTAR ESTRIBO</t>
  </si>
  <si>
    <t>TFT-701</t>
  </si>
  <si>
    <t>DCY-637</t>
  </si>
  <si>
    <t>BMWX3</t>
  </si>
  <si>
    <t>CAMBIO DE BOMBILLO</t>
  </si>
  <si>
    <t>METALCARGOS</t>
  </si>
  <si>
    <t>GANANCIA POR SERVICIOS</t>
  </si>
  <si>
    <t>GANANCIA POR REPUESTOS</t>
  </si>
  <si>
    <t>Suma de MONTO DE COMPRA</t>
  </si>
  <si>
    <t>Suma de MONTO DE LA VENTA</t>
  </si>
  <si>
    <t>F-16</t>
  </si>
  <si>
    <t>HVK-612</t>
  </si>
  <si>
    <t>SANDERO</t>
  </si>
  <si>
    <t>REVISIO DE FRENOS</t>
  </si>
  <si>
    <t>SERVICIO DE ESCANER</t>
  </si>
  <si>
    <t>HKM-899</t>
  </si>
  <si>
    <t>MANTENIMIENTO DE FRENOS</t>
  </si>
  <si>
    <t>F-374</t>
  </si>
  <si>
    <t>DAEWOO</t>
  </si>
  <si>
    <t>BIZ-866</t>
  </si>
  <si>
    <t>MANTENIMIENTO DE ARRANQUE</t>
  </si>
  <si>
    <t>TGU-963</t>
  </si>
  <si>
    <t>F-318</t>
  </si>
  <si>
    <t>REPARACION DE CHASIS Y SOPORTE DE CAVA</t>
  </si>
  <si>
    <t>FDJ-497</t>
  </si>
  <si>
    <t>ARREGLO FRENO DE MANO</t>
  </si>
  <si>
    <t>F-19</t>
  </si>
  <si>
    <t>NQR</t>
  </si>
  <si>
    <t>WOS-474</t>
  </si>
  <si>
    <t>REVISION  DE FRENOS DE AHOGO</t>
  </si>
  <si>
    <t>CAMBIAR COCUYOS</t>
  </si>
  <si>
    <t>ROTACION DE BATERIAS</t>
  </si>
  <si>
    <t xml:space="preserve">CABLE, TERMINALES, </t>
  </si>
  <si>
    <t>INSTALACION DE REMACHES</t>
  </si>
  <si>
    <t>REMACHES</t>
  </si>
  <si>
    <t>SOLDAR GUABARROS Y ESTRIBOS</t>
  </si>
  <si>
    <t>F-20</t>
  </si>
  <si>
    <t>FRR</t>
  </si>
  <si>
    <t>WOS-477</t>
  </si>
  <si>
    <t>INSTALACION LUCES DE FURGON</t>
  </si>
  <si>
    <t>REPARACION DE BORNE</t>
  </si>
  <si>
    <t>CABLE, BORNES, ABRAZADERAS</t>
  </si>
  <si>
    <t>F-17</t>
  </si>
  <si>
    <t>MANTENIMIENTO RUEDAS DELANTERAS DE RACHES Y MARTILLOS</t>
  </si>
  <si>
    <t>TWINGO</t>
  </si>
  <si>
    <t>RAX-199</t>
  </si>
  <si>
    <t>CAMBIAR GUAYA</t>
  </si>
  <si>
    <t>GUAYA DE CLOHS</t>
  </si>
  <si>
    <t>F-23</t>
  </si>
  <si>
    <t>CIT-955</t>
  </si>
  <si>
    <t>CAMBIO DE RODAMIENTOS</t>
  </si>
  <si>
    <t>RODAMIENTOS, SERVICIO DE PRENSA, JUEGO DE BANDAS</t>
  </si>
  <si>
    <t>F-22</t>
  </si>
  <si>
    <t>BXM-740</t>
  </si>
  <si>
    <t>BANDAS, GRADUACIONES</t>
  </si>
  <si>
    <t>CEDULA</t>
  </si>
  <si>
    <t>NOMBRE DEL TRABAJADOR</t>
  </si>
  <si>
    <t>SEMANA DE PAGO:</t>
  </si>
  <si>
    <t>ASIGNACION</t>
  </si>
  <si>
    <t>TOTAL A PAGAR:</t>
  </si>
  <si>
    <t>DEDUCCION</t>
  </si>
  <si>
    <t>ANGHELO CUICA</t>
  </si>
  <si>
    <t xml:space="preserve">JAVIER PRIÑE </t>
  </si>
  <si>
    <t>NOMBRE</t>
  </si>
  <si>
    <t>FRENOS Y SUPENSION</t>
  </si>
  <si>
    <t>INGRESE EL NUMERO DEL TRABAJADOR</t>
  </si>
  <si>
    <t>RESUMEN SEMANA</t>
  </si>
  <si>
    <t xml:space="preserve"> DEL 31/12/2021 AL 07/01/2022</t>
  </si>
  <si>
    <t>TOTAL</t>
  </si>
  <si>
    <t>REVISION DE TRASERAS</t>
  </si>
  <si>
    <t>RENAULT LOGAN</t>
  </si>
  <si>
    <t>DCZ-452</t>
  </si>
  <si>
    <t>CAMBIO DE BASE DE AMORTIGUADORES, BUJES, BUJES BARRA ESTABILIZADORA</t>
  </si>
  <si>
    <t>DESVARO: CHEQUEO ELECTRICO</t>
  </si>
  <si>
    <t>F-25</t>
  </si>
  <si>
    <t>RBV-506</t>
  </si>
  <si>
    <t>FORD</t>
  </si>
  <si>
    <t>HIUNDAY</t>
  </si>
  <si>
    <t>NKR</t>
  </si>
  <si>
    <t>F-26</t>
  </si>
  <si>
    <t>CHANA</t>
  </si>
  <si>
    <t>WRL-545</t>
  </si>
  <si>
    <t>REVISION DE FRENOS</t>
  </si>
  <si>
    <t>F-24</t>
  </si>
  <si>
    <t>WILLYS</t>
  </si>
  <si>
    <t>HZJ-233</t>
  </si>
  <si>
    <t>LIQUIDO, CHUPAS</t>
  </si>
  <si>
    <t>CAMBIO DE PASTILLAS</t>
  </si>
  <si>
    <t>CAMBIO DE ARRANQUE</t>
  </si>
  <si>
    <t>HYUNDAI</t>
  </si>
  <si>
    <t>REPARACION DE ARRANQUE</t>
  </si>
  <si>
    <t>VICENTE PATARROYO</t>
  </si>
  <si>
    <t>FUSIBLES, RELAY GPM, CABLE, ABRAZADERAS</t>
  </si>
  <si>
    <t>PASTILLAS</t>
  </si>
  <si>
    <t>VOLKSWAGEN</t>
  </si>
  <si>
    <t>BLU-521</t>
  </si>
  <si>
    <t>CAMBIO DE BUJES, PUNTA DE EJE LADO DERECHO DELANTERO, SERVICIO DE PRENSA, ROTULAS</t>
  </si>
  <si>
    <t>BUJES, PÚNTA EJE, ROTULAS, SERVICIO DE PRENSA</t>
  </si>
  <si>
    <t>CHVROLET NHR</t>
  </si>
  <si>
    <t>JOW-086</t>
  </si>
  <si>
    <t>CHEVROLET NHR</t>
  </si>
  <si>
    <t>NAE-302</t>
  </si>
  <si>
    <t>CAMBIAR SPLINDER Y TERMINALES DE DIRECCION</t>
  </si>
  <si>
    <t>NISSAN MARCH</t>
  </si>
  <si>
    <t>HST-590</t>
  </si>
  <si>
    <t>REVISION DE FRENOS Y CAMBIO DE ANTIRUIDOS</t>
  </si>
  <si>
    <t>ANTIRUIDOS</t>
  </si>
  <si>
    <t>NISSAN VERSA</t>
  </si>
  <si>
    <t>HKK-746</t>
  </si>
  <si>
    <t>CAMBIO DE DISCOS Y PASTILLAS</t>
  </si>
  <si>
    <t>PASTILLAS Y DISCOS</t>
  </si>
  <si>
    <t xml:space="preserve">ISUZU </t>
  </si>
  <si>
    <t>SPM-575</t>
  </si>
  <si>
    <t>CAMBIO DE CHUPAS Y LIQUIDO</t>
  </si>
  <si>
    <t>CHUPAS, LIQUIDO, GRASA</t>
  </si>
  <si>
    <t>WPS-178</t>
  </si>
  <si>
    <t>HINO</t>
  </si>
  <si>
    <t>F-3-36</t>
  </si>
  <si>
    <t>RENAULT SYMBOL</t>
  </si>
  <si>
    <t>BLT-604</t>
  </si>
  <si>
    <t>CAMBIO DE RETENEDOR DE REPARTICION</t>
  </si>
  <si>
    <t>RETENEDOR, TORNILLOS</t>
  </si>
  <si>
    <t>F-3-35</t>
  </si>
  <si>
    <t xml:space="preserve">CHEVROLET </t>
  </si>
  <si>
    <t>QGZ-617</t>
  </si>
  <si>
    <t>CAMBIO DE TERMINAL, GUARDAPOLVO</t>
  </si>
  <si>
    <t>CAMBIO DE BOMBILLOS</t>
  </si>
  <si>
    <t>BOMBILLOS</t>
  </si>
  <si>
    <t>EMPAQUETADURA, TERMINAL, GUARDAPOLVO</t>
  </si>
  <si>
    <t>F-3-37</t>
  </si>
  <si>
    <t>FLK-249</t>
  </si>
  <si>
    <t>GRADUACION Y CAMBIO DE CHUPAS</t>
  </si>
  <si>
    <t>CHUPAS, LIQUIDO</t>
  </si>
  <si>
    <t>CAMION KENWORD</t>
  </si>
  <si>
    <t>ARREGLO TAPA THERMO</t>
  </si>
  <si>
    <t>F-40</t>
  </si>
  <si>
    <t>RUNNER</t>
  </si>
  <si>
    <t>IIV-261</t>
  </si>
  <si>
    <t xml:space="preserve">MANTENIMIENTO DE FRENOS </t>
  </si>
  <si>
    <t>EXX-566</t>
  </si>
  <si>
    <t>CAMBIAR SPLINDER DELANTERO</t>
  </si>
  <si>
    <t>SPLINDER, ABRAZADERAS, GASOLINA</t>
  </si>
  <si>
    <t>WPS-773</t>
  </si>
  <si>
    <t>F-379</t>
  </si>
  <si>
    <t>DUSTER</t>
  </si>
  <si>
    <t>WCZ-712</t>
  </si>
  <si>
    <t>CAMBIO DE ALTERNADOR</t>
  </si>
  <si>
    <t>RENAULT BUSETA</t>
  </si>
  <si>
    <t>MANTENIMIENTO DE FRENO TRASERO</t>
  </si>
  <si>
    <t>ERK-645</t>
  </si>
  <si>
    <t>CAMBIO DE RETENEDOR Y CHUPAS</t>
  </si>
  <si>
    <t>F-41</t>
  </si>
  <si>
    <t>CTB-623</t>
  </si>
  <si>
    <t>BANDAS, CHUPAS</t>
  </si>
  <si>
    <t>TORNILLO, GRASA, CHUPAS, GASOLINA, SILICONA</t>
  </si>
  <si>
    <t xml:space="preserve"> DEL 08/01/2021 AL 14/01/2022</t>
  </si>
  <si>
    <t>MARIA ALCANTARA</t>
  </si>
  <si>
    <t>ADMINISTRACION</t>
  </si>
  <si>
    <t>YERIBETH ANDUEZA</t>
  </si>
  <si>
    <t xml:space="preserve">  F-3-27</t>
  </si>
  <si>
    <t>BKY-244</t>
  </si>
  <si>
    <t xml:space="preserve"> CORSA</t>
  </si>
  <si>
    <t>CAMBIO DE AMORTIGUADOR, REPARACION DE TEMPLETE, CAMBIO DE BANDAS Y CHUPAS</t>
  </si>
  <si>
    <t>FIAT PALIO</t>
  </si>
  <si>
    <t>REVISION DE RUEDA TRASERA</t>
  </si>
  <si>
    <t>f-380</t>
  </si>
  <si>
    <t>FORD 4*4</t>
  </si>
  <si>
    <t>GBM-671</t>
  </si>
  <si>
    <t>MANTENIMIENTO DE FRENO, CAMBIO DE PASTILLAS, ALINEACION, AJUSTE DE SUSPENSION</t>
  </si>
  <si>
    <t>EXCEDENTE DE BANDAS</t>
  </si>
  <si>
    <t>RGU-936</t>
  </si>
  <si>
    <t>CAMBIO DE BOMBA DE FRENO Y LIQUIDO</t>
  </si>
  <si>
    <t>BOMBA DE FRENO Y LIQUIDO</t>
  </si>
  <si>
    <t>HYUNDAI TUCSON</t>
  </si>
  <si>
    <t>CAMBIO DE PASTILLAS Y DISCOS / ARREGLO FUGA MORDAZA DELANTERAS</t>
  </si>
  <si>
    <t>BANDAS Y DISCOS</t>
  </si>
  <si>
    <t>F-381</t>
  </si>
  <si>
    <t>EGZ-958</t>
  </si>
  <si>
    <t>ETM-604</t>
  </si>
  <si>
    <t>MAZDA 323</t>
  </si>
  <si>
    <t>HJI-515</t>
  </si>
  <si>
    <t>ARREGLO DE CARBURADOR</t>
  </si>
  <si>
    <t>F-3-44</t>
  </si>
  <si>
    <t>BTA-457</t>
  </si>
  <si>
    <t>CHEQUEO ELECTRICO</t>
  </si>
  <si>
    <t>HTS-113</t>
  </si>
  <si>
    <t>MANTENIMEINTO RUEDA TRASERA</t>
  </si>
  <si>
    <t>GRAN VITARA</t>
  </si>
  <si>
    <t>BC-441</t>
  </si>
  <si>
    <t>MANTENIMIENTO DE FRENOS TRASEROS</t>
  </si>
  <si>
    <t>CAMBIO DE TERMINALES, GUARDAPOLVO</t>
  </si>
  <si>
    <t>TERMINALES/GUARDAPOLVO/GRASA/GASOLINA</t>
  </si>
  <si>
    <t>JDR-513</t>
  </si>
  <si>
    <t>CAMBIO DE FUSIBLES Y TERMINALES</t>
  </si>
  <si>
    <t>TERMINALES/PORTA FUSIBLE/FUSIBLE</t>
  </si>
  <si>
    <t>F-48</t>
  </si>
  <si>
    <t>CKE-173</t>
  </si>
  <si>
    <t>CALIBRACION DE VALVULAS</t>
  </si>
  <si>
    <t>EMPAQUETADURA TAPA VALVULA, GASOLINA, SILICONA</t>
  </si>
  <si>
    <t>F-345</t>
  </si>
  <si>
    <t>F-47</t>
  </si>
  <si>
    <t>MANTENIMIENTO DE ADMISION, MANTENIMIENTO DE VALVULA EGR</t>
  </si>
  <si>
    <t>CORREA DE ACCESORIO, SODA CAUSTICA, LIQUIDO ACPM, TORNILLOS</t>
  </si>
  <si>
    <t>F-386</t>
  </si>
  <si>
    <t>JKZ-160</t>
  </si>
  <si>
    <t>CAMBIO DE ESPARRAGOS</t>
  </si>
  <si>
    <t>ESPARRAGOS</t>
  </si>
  <si>
    <t>RZJ-269</t>
  </si>
  <si>
    <t>F-3-49</t>
  </si>
  <si>
    <t>CHVROLET  SAIL</t>
  </si>
  <si>
    <t>MHS-478</t>
  </si>
  <si>
    <t>CAMBIAR AMORTIGUADOR DELANTERO DERECHO</t>
  </si>
  <si>
    <t>TORRE DE AMORTIGUADOR</t>
  </si>
  <si>
    <t>BMX-676</t>
  </si>
  <si>
    <t>SINCRONIZACION</t>
  </si>
  <si>
    <t>JMC ISUZU</t>
  </si>
  <si>
    <t>TSM-580</t>
  </si>
  <si>
    <t>GRADUACION DE FRENOS</t>
  </si>
  <si>
    <t>BSZ-607</t>
  </si>
  <si>
    <t>SINCRONIZADA</t>
  </si>
  <si>
    <t>F-3-50</t>
  </si>
  <si>
    <t>JIC-984</t>
  </si>
  <si>
    <t>CAMBIO DE EMPAQUETADURA DE LA BOMBA DE GASOLINA</t>
  </si>
  <si>
    <t>EMPAQUETADURA BOMBA DE GASOLINA, CHICLERES</t>
  </si>
  <si>
    <t>CAMBIO DE MANGUERA DE ALTERNADOR</t>
  </si>
  <si>
    <t>MANGUERA</t>
  </si>
  <si>
    <t>TGK-040</t>
  </si>
  <si>
    <t>F-3-52</t>
  </si>
  <si>
    <t>CHEVROLET CHEVY</t>
  </si>
  <si>
    <t>BSB-542</t>
  </si>
  <si>
    <t xml:space="preserve">CAMBIO DE RESORTE DE BANDAS </t>
  </si>
  <si>
    <t>JUEGO DE RESORTES DE BANDAS, PIN</t>
  </si>
  <si>
    <t>DODGE JOURNEY</t>
  </si>
  <si>
    <t>HHZ-781</t>
  </si>
  <si>
    <t>CAMBIO DE BRAZOS AXIALES Y TERMINALE DE DIRECCION</t>
  </si>
  <si>
    <t>BRAZOS AXIALES Y TERMINAL</t>
  </si>
  <si>
    <t>F-3-53</t>
  </si>
  <si>
    <t>F-3-54</t>
  </si>
  <si>
    <t>WFG-235</t>
  </si>
  <si>
    <t>F-387</t>
  </si>
  <si>
    <t>SPX-665</t>
  </si>
  <si>
    <t>INSTALACION DE LUCES FURGON</t>
  </si>
  <si>
    <t>CINTA LED BLANCA</t>
  </si>
  <si>
    <t>(Varios elementos)</t>
  </si>
  <si>
    <t>RCJ-448</t>
  </si>
  <si>
    <t xml:space="preserve">REVISION DE RUEDAS </t>
  </si>
  <si>
    <t>RETEN, CHUPAS, GASOLINA, GRASA</t>
  </si>
  <si>
    <t>CAMBIO DE TAPA VALVULA</t>
  </si>
  <si>
    <t>Firma</t>
  </si>
  <si>
    <t>TRABAJO LOGAN</t>
  </si>
  <si>
    <t>ADELANTO</t>
  </si>
  <si>
    <t xml:space="preserve">COTIZACION </t>
  </si>
  <si>
    <t>BJL-826</t>
  </si>
  <si>
    <t xml:space="preserve">CAMBIAR KIT DE REPARTICION </t>
  </si>
  <si>
    <t>CAMBIO DE PASTILLAS DELANTERAS Y LIQUIDO</t>
  </si>
  <si>
    <t>FACTURA 56</t>
  </si>
  <si>
    <t>ERL-333</t>
  </si>
  <si>
    <t>CAMBIO DE BANDAS</t>
  </si>
  <si>
    <t>EL CLIENTE TRAJO LAS BANDAS</t>
  </si>
  <si>
    <t xml:space="preserve"> KIT DE REPARTICION</t>
  </si>
  <si>
    <t>TRABAJO ERTICA</t>
  </si>
  <si>
    <t>SPARK</t>
  </si>
  <si>
    <t>SKK-862</t>
  </si>
  <si>
    <t>CYV-936</t>
  </si>
  <si>
    <t>CAMBIO DE AMORTIGUADORES Y CAUCHO COPA CAJA</t>
  </si>
  <si>
    <t>NISSAN SENTRA</t>
  </si>
  <si>
    <t>CXV-980</t>
  </si>
  <si>
    <t>CAMBIO BOMBA DE FRENO Y CAMBIO DE LIQUIDO</t>
  </si>
  <si>
    <t>TOYOTA HILUX</t>
  </si>
  <si>
    <t>RGX-896</t>
  </si>
  <si>
    <t>BAJAR CAJA DE DIRECCION Y REVISAR FRENOS</t>
  </si>
  <si>
    <t>WNY-929</t>
  </si>
  <si>
    <t>TFQ-819</t>
  </si>
  <si>
    <t>BAJAR CAJA DE CARTER</t>
  </si>
  <si>
    <t>NISSAN D21</t>
  </si>
  <si>
    <t>DYQ-134</t>
  </si>
  <si>
    <t>CAMBIO DE GUAYAS</t>
  </si>
  <si>
    <t>REPARACION DE ALTERNADOR</t>
  </si>
  <si>
    <t>FORD 150</t>
  </si>
  <si>
    <t>FAK-163</t>
  </si>
  <si>
    <t>WNO-408</t>
  </si>
  <si>
    <t>TURBO NPR</t>
  </si>
  <si>
    <t>SKH-709</t>
  </si>
  <si>
    <t>CAMBIO DE MANGUERA Y GRADUAR FRENOS</t>
  </si>
  <si>
    <t>SAID VASQUEZ</t>
  </si>
  <si>
    <t>IIT-735</t>
  </si>
  <si>
    <t>CHEVROLET SPARK</t>
  </si>
  <si>
    <t>AJUSTE DE RODAMIENTOS</t>
  </si>
  <si>
    <t>MAZDA 3</t>
  </si>
  <si>
    <t>IYN-045</t>
  </si>
  <si>
    <t>CAMBIO DE RODAMIENTOS Y GUARDAPOLVO</t>
  </si>
  <si>
    <t>RODAMIENTOS, GUARDAPOLVO</t>
  </si>
  <si>
    <t>CT-23</t>
  </si>
  <si>
    <t>CT- 21</t>
  </si>
  <si>
    <t>CT-25</t>
  </si>
  <si>
    <t>CT-18</t>
  </si>
  <si>
    <t>CT- 22</t>
  </si>
  <si>
    <t>CT-27</t>
  </si>
  <si>
    <t>CT- 27</t>
  </si>
  <si>
    <t>BAJAR RUEDAS TRASERAS</t>
  </si>
  <si>
    <t>AEF-028</t>
  </si>
  <si>
    <t>CHEVROLET ONIX</t>
  </si>
  <si>
    <t>JIO-052</t>
  </si>
  <si>
    <t>CT-26</t>
  </si>
  <si>
    <t>FACT-56</t>
  </si>
  <si>
    <t>CAMBIO DE SPLINDER</t>
  </si>
  <si>
    <t>PASTILLAS DELANTERAS, RETENEDOR, BANDAS, GRADUACIONES</t>
  </si>
  <si>
    <t>GUAYA</t>
  </si>
  <si>
    <t>PORTADIODO Y CARBONERA</t>
  </si>
  <si>
    <t>CAJA DE DIRECCION</t>
  </si>
  <si>
    <t>DESVARE</t>
  </si>
  <si>
    <t>KIA</t>
  </si>
  <si>
    <t>DCN-248</t>
  </si>
  <si>
    <t>CAMBIO DE MANGUERA</t>
  </si>
  <si>
    <t>BDV-427</t>
  </si>
  <si>
    <t>CHERY</t>
  </si>
  <si>
    <t>TTO-157</t>
  </si>
  <si>
    <t>SIMCRONIZACION Y LAVADO DE INYECTORES</t>
  </si>
  <si>
    <t>BJC-966</t>
  </si>
  <si>
    <t>CAMBIO KIT DE CLOSH Y GUARDAPOLVO</t>
  </si>
  <si>
    <t>JOX-062</t>
  </si>
  <si>
    <t>AMORTIGUADORES, GUARDAPOLVO</t>
  </si>
  <si>
    <t>CAMBIO DE AMORTIGUADORES Y LIQUIDO</t>
  </si>
  <si>
    <t>KIT DE CLOSH</t>
  </si>
  <si>
    <t>BUJIAS, FILTRO DE GASOLINA</t>
  </si>
  <si>
    <t>CIF-574</t>
  </si>
  <si>
    <t>CAMION</t>
  </si>
  <si>
    <r>
      <rPr>
        <sz val="11"/>
        <color rgb="FFFF0000"/>
        <rFont val="Calibri"/>
        <family val="2"/>
        <scheme val="minor"/>
      </rPr>
      <t>MANGUERA DE FRENOS</t>
    </r>
    <r>
      <rPr>
        <sz val="11"/>
        <color theme="1"/>
        <rFont val="Calibri"/>
        <family val="2"/>
        <scheme val="minor"/>
      </rPr>
      <t>, BANDAS, GRADUACIONES,</t>
    </r>
  </si>
  <si>
    <t>NISSAN FRONTIER</t>
  </si>
  <si>
    <t>FWX-911</t>
  </si>
  <si>
    <t>ESCANER</t>
  </si>
  <si>
    <t>F-68</t>
  </si>
  <si>
    <t>CVL-925</t>
  </si>
  <si>
    <t>CAMBIAR GRADUACION DE FRENOS Y CILINDRO TRASERO IZQ</t>
  </si>
  <si>
    <t>GRADUACION DE FRENOS, CILINDRO DE FRENOS</t>
  </si>
  <si>
    <t>F-67</t>
  </si>
  <si>
    <t>CHEYENNE</t>
  </si>
  <si>
    <t>BJT-038</t>
  </si>
  <si>
    <t>FREIGHTLINER</t>
  </si>
  <si>
    <t>SXW-201</t>
  </si>
  <si>
    <t>CHEQUEO DE RUADAS TRASERAS</t>
  </si>
  <si>
    <t>F-65 / R-2</t>
  </si>
  <si>
    <t>CHEVROLET SAIL</t>
  </si>
  <si>
    <t>UEY-770</t>
  </si>
  <si>
    <t xml:space="preserve">CAMBIO DE TIJERAS, MUÑECO LADO IZQ </t>
  </si>
  <si>
    <t>(2) TIJERAS, MUÑECO LADO IZQ</t>
  </si>
  <si>
    <t>WOS-908</t>
  </si>
  <si>
    <t>CAMBIO DE PASTIILAS DELANTERAS Y REVISAR TRASERAS, CAMBIAR BANDAS Y GRADUACIONES</t>
  </si>
  <si>
    <t>F69 /R-1-3</t>
  </si>
  <si>
    <t>CLIO 1ERA SERIE</t>
  </si>
  <si>
    <t>BUL-826</t>
  </si>
  <si>
    <t>CAMBIO DE KIT DE CLOSH, INYECTOR Y SOPORTE IZQ</t>
  </si>
  <si>
    <t>KIT DE CLOSH, EMPAQUE, INYECTOR, SOPORTE DE CAJA , VALVULINA</t>
  </si>
  <si>
    <t>CT-31</t>
  </si>
  <si>
    <t>SYK-627</t>
  </si>
  <si>
    <t>CAMBIO DE BUJES DE MORDAZA</t>
  </si>
  <si>
    <t>BUJES DE MORDAZA</t>
  </si>
  <si>
    <t xml:space="preserve"> DEL 15/01/2022 AL 21/01/2022</t>
  </si>
  <si>
    <t xml:space="preserve"> DEL 22/01/2022 AL 28/01/2022</t>
  </si>
  <si>
    <t>MANTENIMIENTO DE SENSOR DE POSICION</t>
  </si>
  <si>
    <t>CHERY TIGO</t>
  </si>
  <si>
    <t>CHEVROLET NPR</t>
  </si>
  <si>
    <t>SQW-799</t>
  </si>
  <si>
    <t>CAMION DE V PATARROYO</t>
  </si>
  <si>
    <t>F-71 /R-4</t>
  </si>
  <si>
    <t>KGE-941</t>
  </si>
  <si>
    <t>REVISION  DE FRENOS</t>
  </si>
  <si>
    <t>RODAMIENTOS DELANTEROS Y TRASEROS</t>
  </si>
  <si>
    <t>F-74 / R -5</t>
  </si>
  <si>
    <t>RENAULT TRAFICT</t>
  </si>
  <si>
    <t>WCZ-799</t>
  </si>
  <si>
    <t>CAMBIO DE PASTILLAS Y DISCOS, SERVICIO DE PRENSA Y LIQUIDO</t>
  </si>
  <si>
    <t>PASTILLAS, DISCOS, LIQUIDO, SERVICIO DE PRENSA</t>
  </si>
  <si>
    <t>CRY-950</t>
  </si>
  <si>
    <t>CAMBIO DE MANGUETA</t>
  </si>
  <si>
    <t>F-78 / R1-8</t>
  </si>
  <si>
    <t>RENAULT TWINGO</t>
  </si>
  <si>
    <t>CKF-173</t>
  </si>
  <si>
    <t>CAMBIO DE MANGUERA DE FRENOS</t>
  </si>
  <si>
    <t>LIQUIDO DOT 3 240CM</t>
  </si>
  <si>
    <t>GDW-136</t>
  </si>
  <si>
    <t>SUZUKI VITARA</t>
  </si>
  <si>
    <t>CAMBIO DE PASTILLAS DELANTERAS Y TRASERAS, CAMBIO DE LIQUIDO, REVISION DE FRENOS</t>
  </si>
  <si>
    <t>PASTILLAS DELANTERAS, TRASERAS, LIQUIDO</t>
  </si>
  <si>
    <t>F-75 / R1-6</t>
  </si>
  <si>
    <t>RM-1-9</t>
  </si>
  <si>
    <t>CYN-936</t>
  </si>
  <si>
    <t>BAJAR CAJA, CAMBIO DE KIT DE EMBRAGUE, CAMBIO EMPAQUE DE CARTER</t>
  </si>
  <si>
    <t>F-3-77</t>
  </si>
  <si>
    <t>LAND CRUSER</t>
  </si>
  <si>
    <t>CZI-909</t>
  </si>
  <si>
    <t>CAMBIO DE AMORTIGUADORES TRASEROS</t>
  </si>
  <si>
    <t>AMORTIGUADORES TRASEROS</t>
  </si>
  <si>
    <t>F-380</t>
  </si>
  <si>
    <t>RMT-940</t>
  </si>
  <si>
    <t>CAMBIO DE RODAMIENTOS TRASERO IZQ</t>
  </si>
  <si>
    <t>RODAMIENTOS, BOMBILLO</t>
  </si>
  <si>
    <t>LAND ROVER</t>
  </si>
  <si>
    <t>ANG-006</t>
  </si>
  <si>
    <t>CAMBIO DE CACHO</t>
  </si>
  <si>
    <t>CACHO, TUERCA, PIN CACHO</t>
  </si>
  <si>
    <t>CAMBIO DE RODAMIENTOS TRASEROS, BANDAS, EMPAQUETADURA DE BOOSTER</t>
  </si>
  <si>
    <t>GASOLINA, RODAMIENTOS TRASEROS, RETENEDORES, JUEGO DE BANDAS, SILICONA, PIN CACHO, LIQUIDO DOT3, ABRAZADERAS, EMP BOOSTER</t>
  </si>
  <si>
    <t>PULIR RINES</t>
  </si>
  <si>
    <t>RM-1-14</t>
  </si>
  <si>
    <t>CHEVROLET BLAZER</t>
  </si>
  <si>
    <t>DBA-195</t>
  </si>
  <si>
    <t>ARREGLO DE ALTERNADOR</t>
  </si>
  <si>
    <t>F-384 / R-15</t>
  </si>
  <si>
    <t>SINCORNIZACION, CAMBIO DE MANGUERA Y RETENEDOR DEL DAMPER</t>
  </si>
  <si>
    <t>LIMPIEZA INYECTORES, ABRAZADERAS, BUJIAS</t>
  </si>
  <si>
    <t>F-3-82</t>
  </si>
  <si>
    <t>DQM-739</t>
  </si>
  <si>
    <t xml:space="preserve">CAMBIO DE PASADORES DE MORDAZA </t>
  </si>
  <si>
    <t>JUEGO DE PASADORES, BOMBILLO H4, BOMBILLO 1034</t>
  </si>
  <si>
    <t>F-3-83</t>
  </si>
  <si>
    <t>VOLQUETA</t>
  </si>
  <si>
    <t>FTJ-542</t>
  </si>
  <si>
    <t>BAJAR RUEDAS DELANTERAS</t>
  </si>
  <si>
    <t>GASOLINA, GRASA</t>
  </si>
  <si>
    <t>R-1-17</t>
  </si>
  <si>
    <t xml:space="preserve">JEEP </t>
  </si>
  <si>
    <t>BIO-488</t>
  </si>
  <si>
    <t>R-1-16</t>
  </si>
  <si>
    <t>CHEVROLET SAMURAI</t>
  </si>
  <si>
    <t>FLO-194</t>
  </si>
  <si>
    <t>MANTENIMIENTO DE RUEDAS TRASERAS, SUAVIZAR FRENO DE MANO, CORREGIR RUIDO DE CAMPANA DERECHA</t>
  </si>
  <si>
    <t>ARANDELAS</t>
  </si>
  <si>
    <t>CORREGIR FUGA DE VALVULINA</t>
  </si>
  <si>
    <t>CAMBIO DE TERMINAL DE DIRECCION</t>
  </si>
  <si>
    <t>BTQ-649</t>
  </si>
  <si>
    <t>BAJAR CULATA/ CAMBIO DE TIJERAS/ CAMBIO DE SOPORTE MOTOR</t>
  </si>
  <si>
    <t>CAMBIO DE MUELLES</t>
  </si>
  <si>
    <t>MANTENIMIENTO EGR- INTERCOOLER</t>
  </si>
  <si>
    <t>CYL-560</t>
  </si>
  <si>
    <t>SANYONG</t>
  </si>
  <si>
    <t>CAMBIO DE SOPORTE DE MOTOR</t>
  </si>
  <si>
    <t>GOL</t>
  </si>
  <si>
    <t>CAMBIO CABLE DE ALTA</t>
  </si>
  <si>
    <t>LUV98</t>
  </si>
  <si>
    <t>BJW-839</t>
  </si>
  <si>
    <t>CAMBIO DE ANTIRUIDOS</t>
  </si>
  <si>
    <t>MB</t>
  </si>
  <si>
    <t>BOL-902</t>
  </si>
  <si>
    <t>CAMBIO DE TIJERAS, BARRA ESTAB, BUJES DE DIRECCION</t>
  </si>
  <si>
    <t>MANTENIMIENTO VALVULA EGR</t>
  </si>
  <si>
    <t>LAVADO DE INYECTORES</t>
  </si>
  <si>
    <t>WHR-195</t>
  </si>
  <si>
    <t>CAMBIO DE EMPAQUE EXOSTO</t>
  </si>
  <si>
    <t>ELE-893</t>
  </si>
  <si>
    <t>JEEP</t>
  </si>
  <si>
    <t>F-88 / R-1-21</t>
  </si>
  <si>
    <t>RENAULT KANGOO</t>
  </si>
  <si>
    <t>WPQ-752</t>
  </si>
  <si>
    <t xml:space="preserve">PASTILLAS </t>
  </si>
  <si>
    <t>F-89 /RM-1-22</t>
  </si>
  <si>
    <t>CHEVROLET AVEO</t>
  </si>
  <si>
    <t>RZL-937</t>
  </si>
  <si>
    <t>SOPORTE DE MOTOR</t>
  </si>
  <si>
    <t>RM-1-24</t>
  </si>
  <si>
    <t>CHEVROLET CAPTIVA</t>
  </si>
  <si>
    <t>RZU-740</t>
  </si>
  <si>
    <t>CAMBIO DE CAJA DE DIRECCION</t>
  </si>
  <si>
    <t>F-1-392 / RM 1-25</t>
  </si>
  <si>
    <t>LLO-194</t>
  </si>
  <si>
    <t>CAMBIO DE RODAMIENTOS Y CRUCETAS DE CARDAN</t>
  </si>
  <si>
    <t>RODAMIENTOS Y CRUCETAS</t>
  </si>
  <si>
    <t>GASOLINA, EMP DE CULTA, SILICONA, BUJIAS, CORREA DE ACCESORIO, PINES PLASTICOS, ABRAZADERAS</t>
  </si>
  <si>
    <t>F-3-90</t>
  </si>
  <si>
    <t>CABLE DE ALTA</t>
  </si>
  <si>
    <t>BMY-215</t>
  </si>
  <si>
    <t>REPARAR ARRANQUE</t>
  </si>
  <si>
    <t>R-1-27</t>
  </si>
  <si>
    <t>CLIENTE</t>
  </si>
  <si>
    <t>OCATI</t>
  </si>
  <si>
    <t>REPARAR 4 SOPORTE GUARDABARRO</t>
  </si>
  <si>
    <t>DISCO DE CORTE</t>
  </si>
  <si>
    <t>ADAN TINJANCA</t>
  </si>
  <si>
    <t>MQM-520</t>
  </si>
  <si>
    <t>ANGHELO CUICAS</t>
  </si>
  <si>
    <t>CAMBIO DE CAMARA</t>
  </si>
  <si>
    <t>LUIS BUITRIAGO</t>
  </si>
  <si>
    <t>BGG-491</t>
  </si>
  <si>
    <t>CAMBIO DE EMPAQUETADURA BOMBA DE FRENO</t>
  </si>
  <si>
    <t>CHUPAS, LIQUIDO, TORNILLOS BLAZER, PINTA DE LIQUIDO</t>
  </si>
  <si>
    <t>CESAR IZASA</t>
  </si>
  <si>
    <t>REVISION DE RUEDA TRASERA IZQ</t>
  </si>
  <si>
    <t>GASOLINA, CHUPAS</t>
  </si>
  <si>
    <t>JHONNY TENJO</t>
  </si>
  <si>
    <t>FV-94</t>
  </si>
  <si>
    <t>RM-28</t>
  </si>
  <si>
    <t>ALEJANDRO MARTIN</t>
  </si>
  <si>
    <t>RMN-506</t>
  </si>
  <si>
    <t>F-95 / RM-1-30</t>
  </si>
  <si>
    <t>YAMURY SIMACO</t>
  </si>
  <si>
    <t>BYU-890</t>
  </si>
  <si>
    <t>CAMBIO DE BOCIN Y RODAMIENTOS TRASEROS DERECHO</t>
  </si>
  <si>
    <t>BOCIN, RODAMIENTOS, ESPARRAGOS</t>
  </si>
  <si>
    <t>RM-29</t>
  </si>
  <si>
    <t>ANA ROMERO</t>
  </si>
  <si>
    <t>RENAULT STEWAY</t>
  </si>
  <si>
    <t>FV-96/RM-31</t>
  </si>
  <si>
    <t>JAIME GARCIA</t>
  </si>
  <si>
    <t>MAZDA 2004</t>
  </si>
  <si>
    <t>GTL-424</t>
  </si>
  <si>
    <t>MANTENIMEINTO DE RUEDAS TRASERAS</t>
  </si>
  <si>
    <t>BNT-159</t>
  </si>
  <si>
    <t>BAJAR TIJERAS Y TEMPLETES</t>
  </si>
  <si>
    <t>RETENEDOR EJE DE LEVA, RETENEDOR DE CAJA</t>
  </si>
  <si>
    <t>UFT-931</t>
  </si>
  <si>
    <t>BUS</t>
  </si>
  <si>
    <t>RM-1-32</t>
  </si>
  <si>
    <t>ROBERTO JAIME</t>
  </si>
  <si>
    <t>HONDA</t>
  </si>
  <si>
    <t>BFM-230</t>
  </si>
  <si>
    <t>CAMBIO DE BUJES DE TIJERAS</t>
  </si>
  <si>
    <t>SERVICIO DE PRENSA</t>
  </si>
  <si>
    <t>F-98</t>
  </si>
  <si>
    <t>AUTORALLY</t>
  </si>
  <si>
    <t>ZXT-837</t>
  </si>
  <si>
    <t>SERVICIO DE ESCANER, REVISION DE TESTIGO</t>
  </si>
  <si>
    <t>F-97</t>
  </si>
  <si>
    <t>CAROLINA OCHOA</t>
  </si>
  <si>
    <t>MITSUBISHI ECLIPSE</t>
  </si>
  <si>
    <t>RAI-561</t>
  </si>
  <si>
    <t>CAMBIO DE PERNOS, BAJAR TIJERAS</t>
  </si>
  <si>
    <t>JOSE LUIS TRIALA</t>
  </si>
  <si>
    <t>FV-101</t>
  </si>
  <si>
    <t>ALEXANDER GUIZA</t>
  </si>
  <si>
    <t>EQZ-261</t>
  </si>
  <si>
    <t>CAMBIO DE BANDAS Y RODAMIENTOS</t>
  </si>
  <si>
    <t>-</t>
  </si>
  <si>
    <t>FE-102 / RM:1-34</t>
  </si>
  <si>
    <t>DAMARYS GONZALES</t>
  </si>
  <si>
    <t>RBQ-698</t>
  </si>
  <si>
    <t>CAMBIO DE PASTILLAS DELANTERAS, CAMBIO DE LIQUIDO</t>
  </si>
  <si>
    <t>PASTILLAS, LIQUIDO</t>
  </si>
  <si>
    <t>RM-1-33</t>
  </si>
  <si>
    <t>CAROLINA ROCHA</t>
  </si>
  <si>
    <t>UFY-425</t>
  </si>
  <si>
    <t>CHEQUEO DE DIRECCIONALES Y ESTACIONARIAS</t>
  </si>
  <si>
    <t>JEEP GRAN CHEROKY</t>
  </si>
  <si>
    <t>CFG-298</t>
  </si>
  <si>
    <t>CAMBIO DE PASTILLAS DELANTERAS Y TRASERAS, ARREGLO FRENO DE MANO</t>
  </si>
  <si>
    <t>CAMBIO DE RETENEDOR CAJA DE DIRECCION</t>
  </si>
  <si>
    <t>BOP-852</t>
  </si>
  <si>
    <t>PINTURA</t>
  </si>
  <si>
    <t>PERNOS, BUJES</t>
  </si>
  <si>
    <t>SEMANA DEL 05-02 AL 11-02-2022</t>
  </si>
  <si>
    <t xml:space="preserve">GRADUACION </t>
  </si>
  <si>
    <t>BDN-052</t>
  </si>
  <si>
    <t>CAMBIO DE EMPAQUE TAPA VALVULA Y CORREGIR FUGA DE TAIMER</t>
  </si>
  <si>
    <t>EMPAQUE</t>
  </si>
  <si>
    <t>FORD EXPLORER</t>
  </si>
  <si>
    <t>MKX-392</t>
  </si>
  <si>
    <t>CAMBIO DE PASTILLAS DELANTERAS Y TRASERAS</t>
  </si>
  <si>
    <t>PASTILLAS DELANTERAS Y TRASERAS</t>
  </si>
  <si>
    <t>FE-106</t>
  </si>
  <si>
    <t>YOVANNY AUSIQUE</t>
  </si>
  <si>
    <t>LOGAN SYMBOL</t>
  </si>
  <si>
    <t>MNT-961</t>
  </si>
  <si>
    <t>REVISION DE FRENOS, GRADUACION, BAJAR TIJERAS</t>
  </si>
  <si>
    <t>TIJERA COMPLETA, TAPA TARRO AGUA</t>
  </si>
  <si>
    <t>CHEQUEO DE LUCES</t>
  </si>
  <si>
    <t>CLIO</t>
  </si>
  <si>
    <t>CXG-752</t>
  </si>
  <si>
    <t>AJUSTE DE RADIO</t>
  </si>
  <si>
    <t>REPARAR RADIADOR</t>
  </si>
  <si>
    <t>RM-1-37/FV-3-109</t>
  </si>
  <si>
    <t>JUAN C FORERO</t>
  </si>
  <si>
    <t>MITSUBISHI CAMIONETA</t>
  </si>
  <si>
    <t>SSI-295</t>
  </si>
  <si>
    <t>FV-108</t>
  </si>
  <si>
    <t>COOTRACAR</t>
  </si>
  <si>
    <t>MB/AUTOBUS</t>
  </si>
  <si>
    <t>ESY-747</t>
  </si>
  <si>
    <t>CAMBIO DE CORREA DE ALTERNADOR</t>
  </si>
  <si>
    <t>SOLDAR BASE ALTERNADOR</t>
  </si>
  <si>
    <t>ESPARRAGOS, CORREA ALTERNADOR</t>
  </si>
  <si>
    <t>ALEJANDRO RIVERA</t>
  </si>
  <si>
    <t>FIAT UNO</t>
  </si>
  <si>
    <t>BRK-566</t>
  </si>
  <si>
    <t>SUBIR MINIMA</t>
  </si>
  <si>
    <t>RM-112</t>
  </si>
  <si>
    <t>JORGE MIRAMA</t>
  </si>
  <si>
    <t>SPX-710</t>
  </si>
  <si>
    <t>RM-1-40</t>
  </si>
  <si>
    <t>JULIO C GOMEZ</t>
  </si>
  <si>
    <t>ANG-154</t>
  </si>
  <si>
    <t>CAMBIO DE PASTILLAS DE FRENOS Y CHUPAS</t>
  </si>
  <si>
    <t>PASTILLAS, CHUPAS</t>
  </si>
  <si>
    <t>XIE-128</t>
  </si>
  <si>
    <t>JAVIER DIAGAMA</t>
  </si>
  <si>
    <t>MULA</t>
  </si>
  <si>
    <t>INICIADA</t>
  </si>
  <si>
    <t>RM-1-39</t>
  </si>
  <si>
    <t>MANUEL RODRIGUEZ</t>
  </si>
  <si>
    <t>CAMBIO DE DIAFRAGMA Y RESORTE 7 GRADUAR FRENOS</t>
  </si>
  <si>
    <t>DIAFRAGMA Y RESORTE</t>
  </si>
  <si>
    <t xml:space="preserve">REPARACION DE RADIADOR (MONTAR RADIADOR) </t>
  </si>
  <si>
    <t>REPARACION DE PUERTAS</t>
  </si>
  <si>
    <t>PERFOTECH INGENIERIA</t>
  </si>
  <si>
    <t>DIMAX</t>
  </si>
  <si>
    <t>TZY-870</t>
  </si>
  <si>
    <t>SOLDAR BASE BARILLA TENSORA</t>
  </si>
  <si>
    <t>FE-113</t>
  </si>
  <si>
    <t>RM-1-42</t>
  </si>
  <si>
    <t>WILSON BELTRAN</t>
  </si>
  <si>
    <t>ETM-576</t>
  </si>
  <si>
    <t>FE-114 / RM-43</t>
  </si>
  <si>
    <t>CARLOS PEDROZA</t>
  </si>
  <si>
    <t>KAT-796</t>
  </si>
  <si>
    <t>CAMBIO DE CORREA DE ACCESORIO Y MUÑECO</t>
  </si>
  <si>
    <t>CORREA DE ACCESORIO Y MUÑECOS</t>
  </si>
  <si>
    <t>FE-116</t>
  </si>
  <si>
    <t>MONGUIBELLO</t>
  </si>
  <si>
    <t>BHX-773</t>
  </si>
  <si>
    <t xml:space="preserve">
BAJAR CAJA /BAJAR CULATA / CAMBIAR CORREA DE REPARTICION</t>
  </si>
  <si>
    <t>RM-144</t>
  </si>
  <si>
    <t>JAUN SANTANA</t>
  </si>
  <si>
    <t>CAMBIO DE LIQUIDO</t>
  </si>
  <si>
    <t>FE-117 / RM-45</t>
  </si>
  <si>
    <t>UTF-931</t>
  </si>
  <si>
    <t>CAMBIO DE BLOQUES RUEDA TRASERA</t>
  </si>
  <si>
    <t>JUEGO DE BLOQUES, LIQUIDO, GASOLINA</t>
  </si>
  <si>
    <t>FE-118</t>
  </si>
  <si>
    <t>ALVARO GIRALDO</t>
  </si>
  <si>
    <t>BWB-518</t>
  </si>
  <si>
    <t>CAMBIO DE TIJERAS</t>
  </si>
  <si>
    <t>TIJERAS DELANTERAS</t>
  </si>
  <si>
    <t>MANTENIMIENTO / GRADUACION TRASERAS</t>
  </si>
  <si>
    <t>PITER LOPEZ</t>
  </si>
  <si>
    <t>EFM-758</t>
  </si>
  <si>
    <t>MANTENIMIENTO DELANTERAS</t>
  </si>
  <si>
    <t>FE-120 / RM-147</t>
  </si>
  <si>
    <t>OSCAR SANCHEZ</t>
  </si>
  <si>
    <t>CHERY TIGGO</t>
  </si>
  <si>
    <t>HTU-901</t>
  </si>
  <si>
    <t>CAMBIO DE FLOTADOR BOMBA DE GASOLINA</t>
  </si>
  <si>
    <t>BFLOTADOR BOMBA DE GASOLINA</t>
  </si>
  <si>
    <t>FE-121 / RM: 48</t>
  </si>
  <si>
    <t>BRAYAN GOMEZ</t>
  </si>
  <si>
    <t>CHVEROLET</t>
  </si>
  <si>
    <t>HPS-879</t>
  </si>
  <si>
    <t>CAMBIO DE MANGUERA DE CALEFACCION / CAMBIO DE EMPAQUES</t>
  </si>
  <si>
    <t>MANGUERA DE CALEFACCION / EMPAQUES</t>
  </si>
  <si>
    <t>RM-49</t>
  </si>
  <si>
    <t>ALVARO ROJAS</t>
  </si>
  <si>
    <t>ANA-914</t>
  </si>
  <si>
    <t>CABLE ROJO</t>
  </si>
  <si>
    <t>FE-576</t>
  </si>
  <si>
    <t>BYJ-576</t>
  </si>
  <si>
    <t>ARREGLO DE EXPLORADORA</t>
  </si>
  <si>
    <t>TERMINAL DE ENCHUFE, TERMINAL DE OJO, FUSIBLE 15AMP</t>
  </si>
  <si>
    <t>REVISION FRENOS</t>
  </si>
  <si>
    <t>CAMBIO DE VALVULA PARA LLENAR RUEDA</t>
  </si>
  <si>
    <t>RECALZAR BANDAS DELANTERA DERECHA</t>
  </si>
  <si>
    <t>JOURNEY</t>
  </si>
  <si>
    <t>CAMBIO DE MANGUERA DE AGUA Y EMPAQUE TAPA VALVULA</t>
  </si>
  <si>
    <t>SEMANA DEL 12-02 AL 18-02-2022</t>
  </si>
  <si>
    <t xml:space="preserve">JAVIER BRIÑE </t>
  </si>
  <si>
    <t>SERGIO CARDONA</t>
  </si>
  <si>
    <t>CAMBIO DE AMORTIGUADORES</t>
  </si>
  <si>
    <t>RM-55 / FE: 129</t>
  </si>
  <si>
    <t>FE: 128/  RM-54</t>
  </si>
  <si>
    <t>LUIS ROMERO</t>
  </si>
  <si>
    <t>SEA-130</t>
  </si>
  <si>
    <t>RETENDOR DE TRANSMISION, RETENEDOR EJE TRASERO, GASOLINA, GRASA, OPINTA DE LIQUIDO</t>
  </si>
  <si>
    <t>FE:127 / RM: 53</t>
  </si>
  <si>
    <t>LISSANDRO HERRERA</t>
  </si>
  <si>
    <t>RENAULT 19</t>
  </si>
  <si>
    <t>BJH-490</t>
  </si>
  <si>
    <t>CAMBIO DE PASTILLAS DELANTERAS Y SUAVIZAR MORDAZAS</t>
  </si>
  <si>
    <t>CAMBIO DE RETENDOR DEL DAMPER / LEVA Y BARILLA ESTABILIZADORA</t>
  </si>
  <si>
    <t>BOMBILLOS, FLASHER ELECTRONICO, ESCOBILLAS, BOMBILLOS 10-12W LED</t>
  </si>
  <si>
    <t>RETENDOR DEL DAMPER, RETENEDOR DE LEVA, CORREA LATERNADOR, KIT DE REPARTICION, CAUCHOS</t>
  </si>
  <si>
    <t>FE: 125 / RM-51</t>
  </si>
  <si>
    <t>CAMBIO DE TIJERAS Y BUJES DE BARRA ESTABILIZADORA</t>
  </si>
  <si>
    <t>TIJERAS, CAUCHOS</t>
  </si>
  <si>
    <t>FE: 126 / RM: 52</t>
  </si>
  <si>
    <t>SAUL ZANABRIA</t>
  </si>
  <si>
    <t>SKL-365</t>
  </si>
  <si>
    <t>CAMBIO DE PUNTA DE EJE</t>
  </si>
  <si>
    <t>PUNTA DE EJE, ABRZADERAS</t>
  </si>
  <si>
    <t>(Todas)</t>
  </si>
  <si>
    <t>F-132 / RM: 59</t>
  </si>
  <si>
    <t>CHEVROLET SONIC</t>
  </si>
  <si>
    <t>CAMBIO DE ENFRIADOR DE ACEITE</t>
  </si>
  <si>
    <t>MANGUERA DE RETORNO</t>
  </si>
  <si>
    <t>FE: 130 / RM: 57</t>
  </si>
  <si>
    <t>PEDRO SANTANA</t>
  </si>
  <si>
    <t>LOGAN</t>
  </si>
  <si>
    <t>IZM-278</t>
  </si>
  <si>
    <t>CAMBIO DE PASTILLAS, DISCOS Y LIQUIDO</t>
  </si>
  <si>
    <t>PASTILLAS DISCOS</t>
  </si>
  <si>
    <t>RM-158</t>
  </si>
  <si>
    <t>IVON MASMELA</t>
  </si>
  <si>
    <t>FE:1-31</t>
  </si>
  <si>
    <t>F-136</t>
  </si>
  <si>
    <t>VARICHEN</t>
  </si>
  <si>
    <t>THY-344</t>
  </si>
  <si>
    <t>REPARACION Y PINTURA DE BOMPER</t>
  </si>
  <si>
    <t>FE: 137 / RM: 1-63</t>
  </si>
  <si>
    <t>PEDRO GARCIA</t>
  </si>
  <si>
    <t>LUV2300</t>
  </si>
  <si>
    <t>AQB-093</t>
  </si>
  <si>
    <t>CAMBIO DE CHUPAS TRASERAS DERECHA</t>
  </si>
  <si>
    <t xml:space="preserve">LIQUIDO DE FRENO, JUEGO DE CHUPAS GUARADAPOLVOS </t>
  </si>
  <si>
    <t>RM-1-61</t>
  </si>
  <si>
    <t>SERGIO DURAN</t>
  </si>
  <si>
    <t>AVEO GT</t>
  </si>
  <si>
    <t>MSM-840</t>
  </si>
  <si>
    <t>RM-164</t>
  </si>
  <si>
    <t>RODOLFO SERRANO</t>
  </si>
  <si>
    <t>FRAN VITARA</t>
  </si>
  <si>
    <t>CQG-462</t>
  </si>
  <si>
    <t>ESCANEADA</t>
  </si>
  <si>
    <t>JHONATHAN CHACON</t>
  </si>
  <si>
    <t>THY-187</t>
  </si>
  <si>
    <t>FE-135 / RM-1-62</t>
  </si>
  <si>
    <t>CAMBIO DE BOMBA DE FRENO</t>
  </si>
  <si>
    <t>BOMBA DE FRENO, LIQUIDO</t>
  </si>
  <si>
    <t>F: 133 RM:1-60</t>
  </si>
  <si>
    <t>MARY AVELLANEDA</t>
  </si>
  <si>
    <t>SICRONIZAR Y LAVADO DE INYECTORES</t>
  </si>
  <si>
    <t>GASOLINA, BUJIAS, CABLE DE LATA, EMPAQUE, ABRZADERA</t>
  </si>
  <si>
    <t>RM-1-66</t>
  </si>
  <si>
    <t>JHON BARRADO</t>
  </si>
  <si>
    <t>FSU-423</t>
  </si>
  <si>
    <t>CAMBIO DE BATERIAS</t>
  </si>
  <si>
    <t>LUIS FERNANDO CALDERON</t>
  </si>
  <si>
    <t>REU-780</t>
  </si>
  <si>
    <t>SERVICIO  DE ESCANER</t>
  </si>
  <si>
    <t>WOX-099</t>
  </si>
  <si>
    <t>FE: 139 / RM-1-65</t>
  </si>
  <si>
    <t>MANTENIMIENTO DE RUEDAS DELANTERAS, CAMBIO DE RETENEDOR DELANTERO DERECHO</t>
  </si>
  <si>
    <t>RECONSTRUCCION PALANCA DE VELOCIDAD</t>
  </si>
  <si>
    <t>SEMANA DEL 19-02 AL 25-02-2022</t>
  </si>
  <si>
    <t>(en blanco)</t>
  </si>
  <si>
    <t>CAMBIO DE CADENA DE REPARTICION Y SINCRONIZACION</t>
  </si>
  <si>
    <t>FORD ECOESPORT</t>
  </si>
  <si>
    <t>CAMBIO DE RETENEDOR DE TRANSMISION Y RETENEDOR EJE TRASERO DERECHO</t>
  </si>
  <si>
    <t>MANTENIMIENTO RUEDAS</t>
  </si>
  <si>
    <t>DESMONTADA Y MONTADA DE CAJA DE DIRECCION</t>
  </si>
  <si>
    <t>LUV2</t>
  </si>
  <si>
    <t>CAMBIO DE CHUPAS</t>
  </si>
  <si>
    <t>MARIO AVELLANEDA</t>
  </si>
  <si>
    <t>FORD  ECOSPORT</t>
  </si>
  <si>
    <t>RBM-966</t>
  </si>
  <si>
    <t>CAMBIO DE PASTILLAS(GARANTIA)</t>
  </si>
  <si>
    <t>FE: 144 / RM: 70</t>
  </si>
  <si>
    <t>CESAR QUEKAN</t>
  </si>
  <si>
    <t>CAMBIO DE SOPORTE Y RIODAMIENTO DE AMORTIGUADOR</t>
  </si>
  <si>
    <t>AMOTIGUADOR CON RODAMIENTO</t>
  </si>
  <si>
    <t>FE:148 / RM: 73</t>
  </si>
  <si>
    <t>PEDRO JIMENEZ</t>
  </si>
  <si>
    <t xml:space="preserve">HYUNDAI ACCENT </t>
  </si>
  <si>
    <t>CYC-155</t>
  </si>
  <si>
    <t>CAMBIO DE AMORTIGUADORES Y MUÑECOS</t>
  </si>
  <si>
    <t>FUSIBLE, BOMBILLOS, AMORTIGUADORES DELANTEROS Y MUÑECO</t>
  </si>
  <si>
    <t>FE: 3-149</t>
  </si>
  <si>
    <t>JORGE GUTIERREZ</t>
  </si>
  <si>
    <t>GUAYAS, ABRAZADERAS</t>
  </si>
  <si>
    <t>FE: 150 / RM: 74</t>
  </si>
  <si>
    <t>CARLOS DUARTE</t>
  </si>
  <si>
    <t>RENAULT 9</t>
  </si>
  <si>
    <t>ATF-879</t>
  </si>
  <si>
    <t>CAMBIO DE BANDAS Y PASTILLAS Y SUAVIZAR MORDAZA</t>
  </si>
  <si>
    <t>CHUPAS, PINTA DE LIQUIDO, JUEGO DE PASTILLAS, BANDAS</t>
  </si>
  <si>
    <t>RM-1-75</t>
  </si>
  <si>
    <t>OSCAR ACERO</t>
  </si>
  <si>
    <t>CHERY TIIGO</t>
  </si>
  <si>
    <t>CAMBIO DE BANDAS FRENO DE MANO Y BUJES DE AMORTIGUADORES TRASEROS</t>
  </si>
  <si>
    <t>FE: 146 /RM: 1-72</t>
  </si>
  <si>
    <t>CARLOS SAMIENTO</t>
  </si>
  <si>
    <t>NISSAN TIIDA</t>
  </si>
  <si>
    <t>RML-816</t>
  </si>
  <si>
    <t>CAMBIO DE BUJES Y MUÑECO</t>
  </si>
  <si>
    <t>BUJE DE PUÑO, BUJE TIJERA, MUÑECO BARRA ESTABILIZADORA</t>
  </si>
  <si>
    <t>FE: 145 / RM-71</t>
  </si>
  <si>
    <t>JULIAN CRUZ</t>
  </si>
  <si>
    <t>SKODA FELICIA</t>
  </si>
  <si>
    <t>QFY-096</t>
  </si>
  <si>
    <t>CAMBIO DE RODAMIENTOS DELANTERO, MANTENIMIENTO DELANTERAS Y TRASERAS</t>
  </si>
  <si>
    <t>RODAMIENTO Y BOCIN</t>
  </si>
  <si>
    <t>ERNESTO POVER</t>
  </si>
  <si>
    <t xml:space="preserve">FE: 151 </t>
  </si>
  <si>
    <t>CAMPO ABIERTO</t>
  </si>
  <si>
    <t>WDO-126</t>
  </si>
  <si>
    <t>CAMBIO DE EMPAQUETADURA DE DIRECCION</t>
  </si>
  <si>
    <t>EMPAQUETADURA, ABRZADERAS, VALVULINA</t>
  </si>
  <si>
    <t>RM-1-76</t>
  </si>
  <si>
    <t>CRISTIAN SANCHEZ</t>
  </si>
  <si>
    <t>CHEQUEO DE RUEDAS (GARANTIA)</t>
  </si>
  <si>
    <t>FE: 153</t>
  </si>
  <si>
    <t>INSTALACION FRENO DE AHOGO / CAMBIO DE BATERIAS, REVISION DE LUCES DE FURGON, MANTENIMIENTO PACHES DE MOTOR</t>
  </si>
  <si>
    <t>BATERIAS, BORNE</t>
  </si>
  <si>
    <t>FE: 155 RM-77</t>
  </si>
  <si>
    <t>ALVEIRO VILLAMIL</t>
  </si>
  <si>
    <t>CITROEN AX</t>
  </si>
  <si>
    <t>BUK-819</t>
  </si>
  <si>
    <t>CAMBIO DE KIT DE REPARTICION, RODAMIENTOS, Y GUAYA DE CLOSH</t>
  </si>
  <si>
    <t>RODAMIENTOS, KIT DE REPARTICION, GUAYA DE CLOSH, GASOLINA, ABRZADERAS</t>
  </si>
  <si>
    <t>WALTER MORALES</t>
  </si>
  <si>
    <t>ELA-671</t>
  </si>
  <si>
    <t>DESMONTAJE Y MONTAJE DE TIJERA</t>
  </si>
  <si>
    <t>FE: 156</t>
  </si>
  <si>
    <t>CHEVROLET NQR</t>
  </si>
  <si>
    <t>CAMBIO DE RODAMIENTOS, ENGRASE RUEDAS TRASERAS, Y CAMBIO DE BANDAS</t>
  </si>
  <si>
    <t>RODAMIENTOS, BLOQUE, GRASA, GASOLINA, PINES CACHO</t>
  </si>
  <si>
    <t>ANDRES RODRIGUEZ</t>
  </si>
  <si>
    <t>KOK-228</t>
  </si>
  <si>
    <t>JESUS PEÑA DUARTE</t>
  </si>
  <si>
    <t>CVM-214</t>
  </si>
  <si>
    <t>BOMBILLOS, CINTA NEGRA</t>
  </si>
  <si>
    <t>ANDRES GAITAN</t>
  </si>
  <si>
    <t>FE:159 RM:1-80</t>
  </si>
  <si>
    <t>RM-179</t>
  </si>
  <si>
    <t>KIA PREGIO</t>
  </si>
  <si>
    <t>SKL-762</t>
  </si>
  <si>
    <t>CAMBIO DE RESORTES</t>
  </si>
  <si>
    <t>COLOCAR DOS REMACHES</t>
  </si>
  <si>
    <t>RESORTES</t>
  </si>
  <si>
    <t>RM-181</t>
  </si>
  <si>
    <t>JOSE GUTIERREZ</t>
  </si>
  <si>
    <t>USA-874</t>
  </si>
  <si>
    <t>CAMBIO DE BUJES DE TEMPLETE, TERMINALES, CAJA DE DIRECCION</t>
  </si>
  <si>
    <t>SEMANA DEL 26-02 AL 04-03-2022</t>
  </si>
  <si>
    <t>FVR</t>
  </si>
  <si>
    <t>GZZ-341</t>
  </si>
  <si>
    <t>MANTENIMIENTO INTERCOOLER EGR</t>
  </si>
  <si>
    <t>SONIC</t>
  </si>
  <si>
    <t>REPARACION DE MOTOR</t>
  </si>
  <si>
    <t>COLOCAR PIN SELECTOR DE CAMBIO</t>
  </si>
  <si>
    <t>ARREGLO FRENO DE AHOGO</t>
  </si>
  <si>
    <t xml:space="preserve">   </t>
  </si>
  <si>
    <t>FE:  164</t>
  </si>
  <si>
    <t>FRUVECOM</t>
  </si>
  <si>
    <t>DFSK</t>
  </si>
  <si>
    <t>TLO-165</t>
  </si>
  <si>
    <t>BAJAR TANQUE, SOLADARE SOPORTES FURGON, SOLDAR TANQUE</t>
  </si>
  <si>
    <t>SOLDAR SOPORTES DE FURGON</t>
  </si>
  <si>
    <t>CASQUETES DE BIELA, BOMBA D EGUA, KIT DE REPARTICION, ANILLOS, GASOLINA, SILICONA, EMPAQUETADURA, CORREA DE ACCESORIO, ACEITE, REFRIGERNATE</t>
  </si>
  <si>
    <t>FE: 162/RM: 1-83</t>
  </si>
  <si>
    <t>FANY GARZON</t>
  </si>
  <si>
    <t>HZM-447</t>
  </si>
  <si>
    <t>DISCOS, PASTILLAS</t>
  </si>
  <si>
    <t>FE: 163</t>
  </si>
  <si>
    <t>CAMBIO DE BUJES DE AMORTIGUADORES</t>
  </si>
  <si>
    <t>BUJES</t>
  </si>
  <si>
    <t>CLIENTE FINAL</t>
  </si>
  <si>
    <t>VOLSWAGEN</t>
  </si>
  <si>
    <t>PEW-924</t>
  </si>
  <si>
    <t>FE: 167</t>
  </si>
  <si>
    <t>ARREGLO DE FAROLA</t>
  </si>
  <si>
    <t>FE: 165 RM: 1-84</t>
  </si>
  <si>
    <t>YADIRA CARRO</t>
  </si>
  <si>
    <t>IJW-188</t>
  </si>
  <si>
    <t>CAMBIO DE PASTILLAS DELANTERAS Y MATTO RUEDA TRASERA</t>
  </si>
  <si>
    <t>RM-185 FE: 166</t>
  </si>
  <si>
    <t>ROBERTO SANCHEZ</t>
  </si>
  <si>
    <t>JUEGO DE SPLINDER, GASOLINA, PIN CACHO, BANDAS,</t>
  </si>
  <si>
    <t>GRADUACION DE CLOSH</t>
  </si>
  <si>
    <t>FE: 168 / RM: 1-86</t>
  </si>
  <si>
    <t>JORGE MURCIA</t>
  </si>
  <si>
    <t>KENWORTH</t>
  </si>
  <si>
    <t>APG-537</t>
  </si>
  <si>
    <t>REVISION ESCAPE DE AIRE, CAMBIO DE ESPARRAGOS,BAJAR RUEDAS TROQUE TRASERO Y RUEDAS DELANTERAS/ CAMBIO DIAFRGAMA RUEDA DERECHA TROQUE INTERMEDIO Y CAUCHO VALVULA DE ESCAPE TRASERO</t>
  </si>
  <si>
    <t>ESPARRAGOS, GRASAS, BROCA, CAUCHO VALVULA ESCAPE, DIAFRAGMA, JUEGO DE BLOQUE</t>
  </si>
  <si>
    <t>RM-1-87 /FE: 171</t>
  </si>
  <si>
    <t>MILLER MUÑOZ</t>
  </si>
  <si>
    <t>TEA-103</t>
  </si>
  <si>
    <t>CAMBIO DE RESORTE DE SEGURIDAD Y GRADUAR FRENOS</t>
  </si>
  <si>
    <t>DIAFRAGMA Y RESORTE DE SEGURIDAD</t>
  </si>
  <si>
    <t>RM-188</t>
  </si>
  <si>
    <t>JOSE RODRIGUEZ</t>
  </si>
  <si>
    <t>KPS-167</t>
  </si>
  <si>
    <t>CAMBIO DE KIT DE CLOSH</t>
  </si>
  <si>
    <t>FE: 169</t>
  </si>
  <si>
    <t>ASEGURAR BASE DE COCUYOS</t>
  </si>
  <si>
    <t>RM-90 / FE: 172</t>
  </si>
  <si>
    <t>CARLOS SARMIENTO</t>
  </si>
  <si>
    <t>RMI-816</t>
  </si>
  <si>
    <t>CAMBIO DE JUEGO DE PASADORES DE MORDAZA</t>
  </si>
  <si>
    <t>PASADORES DE MORDAZA</t>
  </si>
  <si>
    <t>RM-89</t>
  </si>
  <si>
    <t>DISNEY AMIN</t>
  </si>
  <si>
    <t>SUBARU</t>
  </si>
  <si>
    <t>CYK-558</t>
  </si>
  <si>
    <t>CAMBIO DE AMORTIGUADORES DELANTEROS</t>
  </si>
  <si>
    <t>YEBRAIL MORA</t>
  </si>
  <si>
    <t>CHUPAS</t>
  </si>
  <si>
    <t>RM-1-96</t>
  </si>
  <si>
    <t>JUAN BERMUDEZ</t>
  </si>
  <si>
    <t>ESTEEM</t>
  </si>
  <si>
    <t>CIO-865</t>
  </si>
  <si>
    <t>CAMBIO DE TUBO BOMBA DE AGUA</t>
  </si>
  <si>
    <t xml:space="preserve"> </t>
  </si>
  <si>
    <t>FE: 176/RM: 1-98</t>
  </si>
  <si>
    <t>EDWIN PRIETO</t>
  </si>
  <si>
    <t>ASIA</t>
  </si>
  <si>
    <t>BHV-650</t>
  </si>
  <si>
    <t>CAMBIO DE CHUPAS TRASERAS</t>
  </si>
  <si>
    <t>BAJAR TANQUE DE GASOLINA</t>
  </si>
  <si>
    <t>CHUPAS, PACHA</t>
  </si>
  <si>
    <t>RM-1-97</t>
  </si>
  <si>
    <t>GILBERTO RINCON</t>
  </si>
  <si>
    <t>EPICA</t>
  </si>
  <si>
    <t>BQK-766</t>
  </si>
  <si>
    <t>LIMPIEZA DE BUJIAS</t>
  </si>
  <si>
    <t>CH</t>
  </si>
  <si>
    <t>MAO--470</t>
  </si>
  <si>
    <t>ADELANTOS</t>
  </si>
  <si>
    <t>ABONOS</t>
  </si>
  <si>
    <t>SALDO</t>
  </si>
  <si>
    <t>JAVIER BRIÑE</t>
  </si>
  <si>
    <t>SEMANA DEL 04-03 AL 11-03-2022</t>
  </si>
  <si>
    <t>MATTO RUEDA REV RUEDAS DELANTERAS</t>
  </si>
  <si>
    <t>RM-195</t>
  </si>
  <si>
    <t>YANIBE GUZMAN</t>
  </si>
  <si>
    <t>KIA PICANTO</t>
  </si>
  <si>
    <t>HOA-955</t>
  </si>
  <si>
    <t>CAMBIO DE TOPES DE AMORTIGUADORES DELANTEROS</t>
  </si>
  <si>
    <t xml:space="preserve">MAZDA </t>
  </si>
  <si>
    <t>TENSIONADA DE FRENOS</t>
  </si>
  <si>
    <t>TRANSF</t>
  </si>
  <si>
    <t>FE: 181 / RM: 103</t>
  </si>
  <si>
    <t>ANDRES MAYORCA</t>
  </si>
  <si>
    <t>DISCOS Y PASTILLAS</t>
  </si>
  <si>
    <t>FE: 177 / RM: 99</t>
  </si>
  <si>
    <t>WILLIAM CANDIL</t>
  </si>
  <si>
    <t>RJT-476</t>
  </si>
  <si>
    <t xml:space="preserve">CAMBIO DE GUAYA DE FRENO DE MANO </t>
  </si>
  <si>
    <t>GUAYA DE FRENO DE MANO</t>
  </si>
  <si>
    <t>RM: 101 / FE: 179</t>
  </si>
  <si>
    <t>NELSON TAMAYO</t>
  </si>
  <si>
    <t>ECOSPORT</t>
  </si>
  <si>
    <t>MUQ-265</t>
  </si>
  <si>
    <t>CAMBIO DE PASTILLAS DELANTERAS Y MANTENIMIENTO TRASERO</t>
  </si>
  <si>
    <t xml:space="preserve">JUEGO DE PASTILLAS </t>
  </si>
  <si>
    <t>FE: 178</t>
  </si>
  <si>
    <t>ANGEL LEON</t>
  </si>
  <si>
    <t>RENAULT SIMBOL</t>
  </si>
  <si>
    <t xml:space="preserve">CAMBIO DE CORREA DE ACCESORIO </t>
  </si>
  <si>
    <t>CORREA DE ACCESORIO, ABRAZADERAS</t>
  </si>
  <si>
    <t>FE: 180 / RM: 102</t>
  </si>
  <si>
    <t>ALEXANDER SOTO</t>
  </si>
  <si>
    <t>DBR-141</t>
  </si>
  <si>
    <t>CAMBIO KIT DE EMBRAGUE Y GUAYA</t>
  </si>
  <si>
    <t>KIT DE EMBRAGUE, GUAYA, RETEN</t>
  </si>
  <si>
    <t>REVISION RUEDAS TRASERAS</t>
  </si>
  <si>
    <t>FE: 184 / RM: 108</t>
  </si>
  <si>
    <t>JESUS PEÑA</t>
  </si>
  <si>
    <t>AVEO</t>
  </si>
  <si>
    <t xml:space="preserve">CAMBIO DE AUTOMATICO Y RODAMIENTAS </t>
  </si>
  <si>
    <t>AUTOMATICO, RODAMIENTO DELANTEROS</t>
  </si>
  <si>
    <t>FE: 183 / RM: 105</t>
  </si>
  <si>
    <t>CARLOS MATEUS</t>
  </si>
  <si>
    <t>HONDA CIVICO</t>
  </si>
  <si>
    <t>BHX-931</t>
  </si>
  <si>
    <t>CAMBIO DE CALIPER DELANTERO IZQ</t>
  </si>
  <si>
    <t>PINTA DE LIQUIDO, CALIPER</t>
  </si>
  <si>
    <t>RM: 106</t>
  </si>
  <si>
    <t>MARCO OVALLE</t>
  </si>
  <si>
    <t>BIL-530</t>
  </si>
  <si>
    <t>CAMBIAR TANQUE DE GASOLINA</t>
  </si>
  <si>
    <t>ABRAZADERAS, ABRAZADERAS METALICAS</t>
  </si>
  <si>
    <t>RAFAEL MORA</t>
  </si>
  <si>
    <t>CVL-510</t>
  </si>
  <si>
    <t>CAMBIO DE TERMINAL IZQ DEL Y RODAMIENTO TRASERO EXTERNO</t>
  </si>
  <si>
    <t>TERMINAL IZQ DEL / RODAMIENTO TRASERO EXTERNO</t>
  </si>
  <si>
    <t>FE:185 / RM: 109</t>
  </si>
  <si>
    <t>FE: 187</t>
  </si>
  <si>
    <t>MUNAR INGENIERIA</t>
  </si>
  <si>
    <t>12S-365</t>
  </si>
  <si>
    <t>CAMBIO DE EMPAQ DE GOBERNADOR</t>
  </si>
  <si>
    <t>FERNANDO ROMERO</t>
  </si>
  <si>
    <t>IKX-010</t>
  </si>
  <si>
    <t>ALEXANDER AYALA</t>
  </si>
  <si>
    <t>RAT-770</t>
  </si>
  <si>
    <t>MANTENIMIENTO TRASERO</t>
  </si>
  <si>
    <t>FE: 191 / RM: 115</t>
  </si>
  <si>
    <t>BHX-650</t>
  </si>
  <si>
    <t>BOBINA</t>
  </si>
  <si>
    <t>RM-113</t>
  </si>
  <si>
    <t>URIEL HERRERA</t>
  </si>
  <si>
    <t>SZN-245</t>
  </si>
  <si>
    <t>MANTENIMIENTO VALVULA RELAY</t>
  </si>
  <si>
    <t>FREVECOM</t>
  </si>
  <si>
    <t>DESK</t>
  </si>
  <si>
    <t>CAMBIAR CRUCETA</t>
  </si>
  <si>
    <t>RM-117</t>
  </si>
  <si>
    <t>FREDY SASTOQUI</t>
  </si>
  <si>
    <t>CSM-853</t>
  </si>
  <si>
    <t>SINCRONIZADA, CAMBIO TAPA VALVULA, CAMBIO KIT DE REPARTICION</t>
  </si>
  <si>
    <t>EMPQUE CUERPO DE ACELERACION</t>
  </si>
  <si>
    <t>RM-116</t>
  </si>
  <si>
    <t>JOSE OSPINA</t>
  </si>
  <si>
    <t>BBA-677</t>
  </si>
  <si>
    <t>FE: 190</t>
  </si>
  <si>
    <t>MARA LOPEZ</t>
  </si>
  <si>
    <t>RENAULT MEGAN 1</t>
  </si>
  <si>
    <t>BSF-412</t>
  </si>
  <si>
    <t>CAMBIO DE GRADUACION DE FRENOS</t>
  </si>
  <si>
    <t>GRADUACION</t>
  </si>
  <si>
    <t>RM-118</t>
  </si>
  <si>
    <t>JOSE SIERRA</t>
  </si>
  <si>
    <t>ZIO-178</t>
  </si>
  <si>
    <t>CAMBIO DE CENTRAL</t>
  </si>
  <si>
    <t>CENTYRAL</t>
  </si>
  <si>
    <t>JHON JAIRO RAMIREZ</t>
  </si>
  <si>
    <t>BNC-815</t>
  </si>
  <si>
    <t>RM-122</t>
  </si>
  <si>
    <t>SOLDADURA CARDAN</t>
  </si>
  <si>
    <t>RM: 194</t>
  </si>
  <si>
    <t>HECTOR PINTO</t>
  </si>
  <si>
    <t>DDM-680</t>
  </si>
  <si>
    <t>CAMBIO DE PASTILLAS DELANTERAS Y MTTO. TRASERO</t>
  </si>
  <si>
    <t>JUEGO DE PASTILLAS DELANTERAS</t>
  </si>
  <si>
    <t>FE: 193</t>
  </si>
  <si>
    <t>CESAR ISAZA</t>
  </si>
  <si>
    <t>WDC-287</t>
  </si>
  <si>
    <t>CAMBIO EMP VALVULA DE ESCAPE/ MTTO BOTON PP1</t>
  </si>
  <si>
    <t>RM: 121</t>
  </si>
  <si>
    <t>ANA VELASQUE</t>
  </si>
  <si>
    <t>CYJ-239</t>
  </si>
  <si>
    <t>CAMBIO DE BOMBA DE AGUA</t>
  </si>
  <si>
    <t>REPARAR MOTOR</t>
  </si>
  <si>
    <t>TSM-266</t>
  </si>
  <si>
    <t>RM-123</t>
  </si>
  <si>
    <t>DAVID CASTELLANOS</t>
  </si>
  <si>
    <t>DXM-189</t>
  </si>
  <si>
    <t>MANTENIMIENTO, BAJAR DISCOS</t>
  </si>
  <si>
    <t>MANTENIMIENTO RUEDAS TRASERAS</t>
  </si>
  <si>
    <t>VOLSKWAGEN GOL</t>
  </si>
  <si>
    <t xml:space="preserve">GRADUACION DE FRENOS </t>
  </si>
  <si>
    <t>SEMANA DEL 11-03 AL 18-03-2022</t>
  </si>
  <si>
    <t>TRABAJOS</t>
  </si>
  <si>
    <t>PARRILLA</t>
  </si>
  <si>
    <t>DAVID ROJAS</t>
  </si>
  <si>
    <t>EOL-262</t>
  </si>
  <si>
    <t>RECTIFICACION DE DISCOS , MATTO DELA Y TRASERO</t>
  </si>
  <si>
    <t>RECTIFICACION DE DISCOS</t>
  </si>
  <si>
    <t>JOSE RIBERO</t>
  </si>
  <si>
    <t>FZQ-020</t>
  </si>
  <si>
    <t>NASAGRO</t>
  </si>
  <si>
    <t>RENAULT OROCH</t>
  </si>
  <si>
    <t>FPU-121</t>
  </si>
  <si>
    <t>FE: 196</t>
  </si>
  <si>
    <t>MANTENIMEINTO TRASERO</t>
  </si>
  <si>
    <t>FE: 198</t>
  </si>
  <si>
    <t>MONICA JAIME</t>
  </si>
  <si>
    <t>CAMION INTERNACIONAL</t>
  </si>
  <si>
    <t>SUK-068</t>
  </si>
  <si>
    <t>RM: 128</t>
  </si>
  <si>
    <t>CAMBIO DE BOMBA DE AGUA, KIT DE REPARTICION, BASE DE TERMOSTATO</t>
  </si>
  <si>
    <t>FE: 197 / RM: 127</t>
  </si>
  <si>
    <t>WENCESLAO POVEDA</t>
  </si>
  <si>
    <t>CRV-992</t>
  </si>
  <si>
    <t>CAMBIO DE PASTILLAS DELANTERAS/ RECTIFICACION DE DISCOS/ CAMBIO DE MANGUERA DE FRENOS</t>
  </si>
  <si>
    <t>MANGUERA DE FRENOS, RECTIFICACION DE DISCOS, PASTILLAS DEL.</t>
  </si>
  <si>
    <t>RM-126</t>
  </si>
  <si>
    <t>ERNESTO POVEDA</t>
  </si>
  <si>
    <t>BFH-766</t>
  </si>
  <si>
    <t>FE: 202 / RM: 131</t>
  </si>
  <si>
    <t>BHS-650</t>
  </si>
  <si>
    <t>MANTTO COMPLETOY CAMBIO NDE RODAMIENTO DELANTERO DERECHO /BAJAR BOMBA</t>
  </si>
  <si>
    <t>LIMPIAR INYECTORES / CAMBIO DE BUJIAS</t>
  </si>
  <si>
    <t>DOGGE VERDE</t>
  </si>
  <si>
    <t>SEMANA DEL 19-03 AL  25-03-2022</t>
  </si>
  <si>
    <t>RM-132</t>
  </si>
  <si>
    <t>SEBASTIAN RAMIREZ</t>
  </si>
  <si>
    <t>SYMBOL</t>
  </si>
  <si>
    <t>KGW-180</t>
  </si>
  <si>
    <t>CAMBIO BOMBA DE FRENO</t>
  </si>
  <si>
    <t>MAURICIO</t>
  </si>
  <si>
    <t>YERIBETH</t>
  </si>
  <si>
    <t>FE: 207 /RM:134</t>
  </si>
  <si>
    <t>DOZ-064</t>
  </si>
  <si>
    <t>SPARK GT</t>
  </si>
  <si>
    <t>CAMBIO DE MUÑECOS DELANTEROS</t>
  </si>
  <si>
    <t>MUÑECOS</t>
  </si>
  <si>
    <t>FE:206 / RM:133</t>
  </si>
  <si>
    <t>YOVANNY PINEDA</t>
  </si>
  <si>
    <t>USD-121</t>
  </si>
  <si>
    <t>AJUSTAR TRANSMISION</t>
  </si>
  <si>
    <t>RM:135</t>
  </si>
  <si>
    <t>RECTIFICAR DISCOS, LAVADO DE SILLAS</t>
  </si>
  <si>
    <t xml:space="preserve">RECTIFICAR DISCOS </t>
  </si>
  <si>
    <t>FE: 208</t>
  </si>
  <si>
    <t>VICTOR HERNANDEZ</t>
  </si>
  <si>
    <t>FDL-662</t>
  </si>
  <si>
    <t>CAMBIO DE KIT DE BOTA</t>
  </si>
  <si>
    <t>KIT DE BOTA</t>
  </si>
  <si>
    <t>SKK-590</t>
  </si>
  <si>
    <t>TOT</t>
  </si>
  <si>
    <t>PRADO</t>
  </si>
  <si>
    <t>LUE-983</t>
  </si>
  <si>
    <t>CAMBIO DE CAUCHO BRAZO AXIAL</t>
  </si>
  <si>
    <t>RM-137</t>
  </si>
  <si>
    <t>INL-675</t>
  </si>
  <si>
    <t>ROTAR CAUCHOS</t>
  </si>
  <si>
    <t>ABRAZADERAS</t>
  </si>
  <si>
    <t>RM-138</t>
  </si>
  <si>
    <t>OLMEDO RODRIGUEZ</t>
  </si>
  <si>
    <t>LOK-390</t>
  </si>
  <si>
    <t>CORREGIR BOTE DE ACEITE CARTER</t>
  </si>
  <si>
    <t>SILICONA WURTH</t>
  </si>
  <si>
    <t>LEONARDO PINZON</t>
  </si>
  <si>
    <t>RM-142</t>
  </si>
  <si>
    <t xml:space="preserve">PEDRO RUIZ </t>
  </si>
  <si>
    <t>RCL-744</t>
  </si>
  <si>
    <t>CAMBIO DE BUJES DE TIJERAS, BJAR SUSPENSION TRASERA</t>
  </si>
  <si>
    <t>FE: 215</t>
  </si>
  <si>
    <t>ALIMENTOS LEYLA</t>
  </si>
  <si>
    <t>CAMBIO DE KIT DE CLOSH Y GUAYA DE CAMBIOS</t>
  </si>
  <si>
    <t>RM-139</t>
  </si>
  <si>
    <t>PAOLA MONTAÑA</t>
  </si>
  <si>
    <t>HFR-311</t>
  </si>
  <si>
    <t>CAMBIO DE GUARDAPOLVO Y AMORTIGUADORES</t>
  </si>
  <si>
    <t>RM-141</t>
  </si>
  <si>
    <t>MARITZA GAMBOA</t>
  </si>
  <si>
    <t>31/3/20222</t>
  </si>
  <si>
    <t>RM-143</t>
  </si>
  <si>
    <t>SEBASTIAN OROZCO</t>
  </si>
  <si>
    <t>HCL-881</t>
  </si>
  <si>
    <t>OSWALDO MIRANDA</t>
  </si>
  <si>
    <t>KODIAK</t>
  </si>
  <si>
    <t>SUC-865</t>
  </si>
  <si>
    <t>SEMANA DEL 26-03 AL  01-04-2022</t>
  </si>
  <si>
    <t>RM-146</t>
  </si>
  <si>
    <t>JHON CANO</t>
  </si>
  <si>
    <t>IDV-079</t>
  </si>
  <si>
    <t>MANTENIMIENTO COMPLETO DE FRENOS</t>
  </si>
  <si>
    <t>RM-145</t>
  </si>
  <si>
    <t>RAFAEL CASTILLO</t>
  </si>
  <si>
    <t>VEY-770</t>
  </si>
  <si>
    <t>REVISION DE AMORTIGUADORES</t>
  </si>
  <si>
    <t>FE: 218 / RM: 147</t>
  </si>
  <si>
    <t>JUSTO ROCHA</t>
  </si>
  <si>
    <t>MQM-109</t>
  </si>
  <si>
    <t>REVISION DE FRENOS / BAJAR RUEDAS TRASERAS/ CAMBIO DE LIQUIDO GENERAL / CAMBIO DE BANDAS FRENOS DE MANO</t>
  </si>
  <si>
    <t>BANDAS FRENOS DE MANO, GASOLINA, JUEGO DE PUNTILLAS, CRUCETA, LIQUIDO, CHUPAS</t>
  </si>
  <si>
    <t>RM-150</t>
  </si>
  <si>
    <t>ALVARO DIAZ</t>
  </si>
  <si>
    <t>CHEVROLET - NPR</t>
  </si>
  <si>
    <t>WFR-003</t>
  </si>
  <si>
    <t xml:space="preserve">MANTENIMIENTO SENSOR ABS / CAMBIO DE EMPAQUE </t>
  </si>
  <si>
    <t>EMAPQUETADURA DE LA VALVULA EGR, SILICONA, SERVICIO DE ESCANER</t>
  </si>
  <si>
    <t>FE: 222/RM:148</t>
  </si>
  <si>
    <t>MARTIN ESPIFIA</t>
  </si>
  <si>
    <t>KIZ-064</t>
  </si>
  <si>
    <t>REVISION DE RUDAS TRASERAS Y DELANTERAS</t>
  </si>
  <si>
    <t>FE:224 / RM:149</t>
  </si>
  <si>
    <t>JAIME MONCADA</t>
  </si>
  <si>
    <t>REVISION DE RUEDA TRASERA DERECHA/ CAMBIO DE RETENEDOR Y RODAMIENTO</t>
  </si>
  <si>
    <t>RETENEDOR,RODAMIENTOS, GRASA, GASOLINA</t>
  </si>
  <si>
    <t>RM-151</t>
  </si>
  <si>
    <t>ANDRES ESTRADA</t>
  </si>
  <si>
    <t>RM-157</t>
  </si>
  <si>
    <t>SLJ-080</t>
  </si>
  <si>
    <t>BAJAR CAJA, BASE DE AMORTIGUADORES, MUÑECOS, BUJES DAMPER Y TIJERAS</t>
  </si>
  <si>
    <t>RM-153</t>
  </si>
  <si>
    <t>AVELARDO SOLANO</t>
  </si>
  <si>
    <t>USB-323</t>
  </si>
  <si>
    <t>MANTENIMEINTO COMPLETO</t>
  </si>
  <si>
    <t>RETENEDOR, CHUPAS, GRASAS, PINES CACHO, LIQUIDO</t>
  </si>
  <si>
    <t>FE: 225 / RM:152</t>
  </si>
  <si>
    <t>RICARDO HERNANDEZ</t>
  </si>
  <si>
    <t>RENAULT ROJO</t>
  </si>
  <si>
    <t>FCC-465</t>
  </si>
  <si>
    <t>SUSPENSION DELANTERA</t>
  </si>
  <si>
    <t>FE: 226 RM: 154</t>
  </si>
  <si>
    <t>PEDRO CANO</t>
  </si>
  <si>
    <t>CCN-593</t>
  </si>
  <si>
    <t>CAMBIO DE BANDAS TRASERAS Y CHUPAS</t>
  </si>
  <si>
    <t>BANDAS FRENOS, CHUPAS</t>
  </si>
  <si>
    <t>RM-161</t>
  </si>
  <si>
    <t>CHEVROLET-AVEO</t>
  </si>
  <si>
    <t>RAL-384</t>
  </si>
  <si>
    <t>ARREGLO FUGA DE ACEITE</t>
  </si>
  <si>
    <t>LAND CRUCER</t>
  </si>
  <si>
    <t>FNV-416</t>
  </si>
  <si>
    <t>PASTILLAS TRASERAS</t>
  </si>
  <si>
    <t>DFR-841</t>
  </si>
  <si>
    <t>MANTENIMEINTO COMPELTO DE FRENOS, CAMBIO DE LIQUIDO, ESCANER</t>
  </si>
  <si>
    <t>LIQUIDO DOT4, ANTIRUIDO</t>
  </si>
  <si>
    <t>ALEXANDER NUÑEZ</t>
  </si>
  <si>
    <t>ALIRIO SANTA</t>
  </si>
  <si>
    <t>FE: 228 / RM: 158</t>
  </si>
  <si>
    <t>ZIW-085</t>
  </si>
  <si>
    <t>AMORTIGUADORES TRASEROS, CALIPER, JUEGO DE PASTILLAS, PINTA DE LIQUIDO</t>
  </si>
  <si>
    <t>RM-159</t>
  </si>
  <si>
    <t>KATERIN MORALES</t>
  </si>
  <si>
    <t>SKODA</t>
  </si>
  <si>
    <t>BEV-321</t>
  </si>
  <si>
    <t>PLEXIMUNDO</t>
  </si>
  <si>
    <t>BRP-560</t>
  </si>
  <si>
    <t>FE:231</t>
  </si>
  <si>
    <t xml:space="preserve">BAJAR Y MONTAR CAJA </t>
  </si>
  <si>
    <t>JAIRO ALONSO GONZALES</t>
  </si>
  <si>
    <t>UPQ-573</t>
  </si>
  <si>
    <t>CAMBIO DE AMORTIGUADORES TRASEROS, CALIPER, JUEGO DE PASTILLAS, PINTA DE LIQUIDO</t>
  </si>
  <si>
    <t>RM-162</t>
  </si>
  <si>
    <t>RODRIGO ROJAS</t>
  </si>
  <si>
    <t>BFV-954</t>
  </si>
  <si>
    <t xml:space="preserve">CAMBIO DE PUNTA DELANTERA DERECHA Y GUARDAPOLVO </t>
  </si>
  <si>
    <t>FE: 235</t>
  </si>
  <si>
    <t>VOLSKWAGEN</t>
  </si>
  <si>
    <t>JKV-447</t>
  </si>
  <si>
    <t xml:space="preserve">REVISION DE RUEDAS DELANTERAS </t>
  </si>
  <si>
    <t xml:space="preserve">ADAPTACION DE MANGUERA SOPLA CABINA Y MANGUERA INFLA LLANTAS </t>
  </si>
  <si>
    <t>NESTOR RINCON</t>
  </si>
  <si>
    <t>MERCEDEZ BENZ</t>
  </si>
  <si>
    <t>HKK-453</t>
  </si>
  <si>
    <t>MANTENIMIENTO DE FRENOS COMPLETO / CAMBIO DE  PASTILLAS DELANTERAS Y TRASERAS</t>
  </si>
  <si>
    <t>RM-163</t>
  </si>
  <si>
    <t>LORENA PATARROYO</t>
  </si>
  <si>
    <t>BWE-859</t>
  </si>
  <si>
    <t>FE: 232</t>
  </si>
  <si>
    <t>KYZ INGENIERIA Y TRANSPORTE</t>
  </si>
  <si>
    <t>RENAULT ALASKA</t>
  </si>
  <si>
    <t>KNZ-531</t>
  </si>
  <si>
    <t>MANTENIMIENTO DE FRENOS / CAMBIO DE PASTILLAS DELANTERAS</t>
  </si>
  <si>
    <t>PASTILLAS DE FRENOS</t>
  </si>
  <si>
    <t>FE: 233 / RM: 165</t>
  </si>
  <si>
    <t>JAUN CARLOS DIAZ</t>
  </si>
  <si>
    <t>MAZDA CX5</t>
  </si>
  <si>
    <t>DNL-683</t>
  </si>
  <si>
    <t>REVISION DE FRENOS TRASEROS / CAMBIO DE PASTILLAS</t>
  </si>
  <si>
    <t>FE: 234</t>
  </si>
  <si>
    <t>MARIO ALMONASIC</t>
  </si>
  <si>
    <t>CHEVROLET CHEYENNE</t>
  </si>
  <si>
    <t>CRY-082</t>
  </si>
  <si>
    <t>FE: 236</t>
  </si>
  <si>
    <t>EXPLORER</t>
  </si>
  <si>
    <t>BIK</t>
  </si>
  <si>
    <t>AJUSTE DE CARDAN</t>
  </si>
  <si>
    <t>SMB-542</t>
  </si>
  <si>
    <t>PULGAR CLOSH</t>
  </si>
  <si>
    <t>RM-169</t>
  </si>
  <si>
    <t>CESAR CASERES</t>
  </si>
  <si>
    <t>KEX-298</t>
  </si>
  <si>
    <t xml:space="preserve">GARDUAR FRENOS </t>
  </si>
  <si>
    <t>RM-155</t>
  </si>
  <si>
    <t>PAUL ANDRES CONTRERAS</t>
  </si>
  <si>
    <t>EKH-222</t>
  </si>
  <si>
    <t>CAMBIO DE BUJES DE LA BARRA ESTABILIZADORA Y SELECTOR DE CAMBIO</t>
  </si>
  <si>
    <t xml:space="preserve">FE: 229 </t>
  </si>
  <si>
    <t>REVISION DE FRENOS DELANTEROS</t>
  </si>
  <si>
    <t>TEP-622</t>
  </si>
  <si>
    <t>GRADUAR FRENOS DE MANO</t>
  </si>
  <si>
    <t>HERNANDO MORALES</t>
  </si>
  <si>
    <t>BEV-393</t>
  </si>
  <si>
    <t>SEMANA DEL 02-04 AL  08-04-2022</t>
  </si>
  <si>
    <t>CHEVROLET SPRINT</t>
  </si>
  <si>
    <t xml:space="preserve">CAMBIO DE EMPAQUE DE CULATA </t>
  </si>
  <si>
    <t>EFRAIN</t>
  </si>
  <si>
    <t>YERI PRESTAMO</t>
  </si>
  <si>
    <t>FE: 239 /RM: 170</t>
  </si>
  <si>
    <t>DANIELA RODRIGUEZ</t>
  </si>
  <si>
    <t>EGN-663</t>
  </si>
  <si>
    <t>CAMBIO DE SOPORTES Y GIARDAPOLVOS</t>
  </si>
  <si>
    <t>ASOPORTES Y GUARDAPOLVO</t>
  </si>
  <si>
    <t>MAURICIO ROA</t>
  </si>
  <si>
    <t>CWO-124</t>
  </si>
  <si>
    <t>AJUSTAR CUNA, CAMBIO DE MUÑECOS</t>
  </si>
  <si>
    <t>TSN-167</t>
  </si>
  <si>
    <t>CAMBIO DE DIAFRAGMA, PASTA CHIVONA</t>
  </si>
  <si>
    <t>DIAFRAGMA-PASTA CHIYONA</t>
  </si>
  <si>
    <t>OLIMPIA HERNANDEZ</t>
  </si>
  <si>
    <t>TGK-439</t>
  </si>
  <si>
    <t>SOLDADURA CUADRO REPUESTO</t>
  </si>
  <si>
    <t>VAK-117</t>
  </si>
  <si>
    <t>F-242</t>
  </si>
  <si>
    <t>FRESKIFRUTA</t>
  </si>
  <si>
    <t>CAMBIO DE SPLINDER, AMORTIGUADORES</t>
  </si>
  <si>
    <t>RM-172</t>
  </si>
  <si>
    <t>JOSE MONCADA</t>
  </si>
  <si>
    <t>IOV-661</t>
  </si>
  <si>
    <t>RM-171 / FE: 241</t>
  </si>
  <si>
    <t>PAULO GERENAS</t>
  </si>
  <si>
    <t>MKL-874</t>
  </si>
  <si>
    <t>CAMBIO KIT DE EMBRAGUE</t>
  </si>
  <si>
    <t>RM-174</t>
  </si>
  <si>
    <t>CAROLINA RAMIREZ</t>
  </si>
  <si>
    <t>CAPTIVA SPORT</t>
  </si>
  <si>
    <t>UBW-979</t>
  </si>
  <si>
    <t>MANTENIMEINTO DE SENSORES ABS</t>
  </si>
  <si>
    <t>FE:246</t>
  </si>
  <si>
    <t>VITARA</t>
  </si>
  <si>
    <t>AJUSTE DE CORREA E INSTALACION DE CUCHILLAS LIMPIA PARABRISAS</t>
  </si>
  <si>
    <t>FE: 224 / RM: 177</t>
  </si>
  <si>
    <t>HERNANDO JIMENEZ</t>
  </si>
  <si>
    <t>TROOPER</t>
  </si>
  <si>
    <t>BAW-200</t>
  </si>
  <si>
    <t>CAMBIO DE GUARADAPOLVO LADO CAJA Y LADO RUEDA</t>
  </si>
  <si>
    <t>GRADAPOLVOS, ABRAZADERA, PIN CACHO</t>
  </si>
  <si>
    <t>JAROL VILLAMIL</t>
  </si>
  <si>
    <t>ZNN-375</t>
  </si>
  <si>
    <t>CAMBIO DE BANDAS-ENGRASE DE RODAMIENTOS</t>
  </si>
  <si>
    <t>GRASAS, BANDAS, GASOLINA, ESPARRAGOS</t>
  </si>
  <si>
    <t>FE: 243 / RM: 175</t>
  </si>
  <si>
    <t>JUSTO DEL TORO</t>
  </si>
  <si>
    <t>CHEVROLET N-300</t>
  </si>
  <si>
    <t>MPU-552</t>
  </si>
  <si>
    <t xml:space="preserve"> CAMBIO DE BUJES DE LA BARRA ESTABILIZADORA, Y MUÑECOS</t>
  </si>
  <si>
    <t>CAMBIO DE COBINA</t>
  </si>
  <si>
    <t>BOBINA, BUJES DE LA BARRA ESYABILIZADORA, MUÑECOS</t>
  </si>
  <si>
    <t>RM: 176</t>
  </si>
  <si>
    <t>HUMMER</t>
  </si>
  <si>
    <t>HBN-909</t>
  </si>
  <si>
    <t>CAMBIO DE PASTILLAS DELANTERAS Y TRASERAS, CAMBIO DE TEMPLETES</t>
  </si>
  <si>
    <t>FE:245 RM: 180</t>
  </si>
  <si>
    <t>MIGUEL ROMERO</t>
  </si>
  <si>
    <t>MITSUBIHI MONTERO</t>
  </si>
  <si>
    <t>GPO-381</t>
  </si>
  <si>
    <t>CAMBIO DE PASTILLAS TRASERAS Y DELANTERAS</t>
  </si>
  <si>
    <t>AUTORRALLY</t>
  </si>
  <si>
    <t>FJW-106</t>
  </si>
  <si>
    <t>COLOCAR PERNO LLANTA TRASERA Y ROTAR LLANTAS</t>
  </si>
  <si>
    <t>PERNO Y ARANDELA</t>
  </si>
  <si>
    <t>CORREGIR FUGA DE AGUA</t>
  </si>
  <si>
    <t>RM-178</t>
  </si>
  <si>
    <t>REVISAR TRASERAS</t>
  </si>
  <si>
    <t>FE: 249 /  RM: 185</t>
  </si>
  <si>
    <t>MANUEL ABRIL</t>
  </si>
  <si>
    <t>RENAULT DUSTER</t>
  </si>
  <si>
    <t>HJS-421</t>
  </si>
  <si>
    <t>REVISION DE TRASERAS / CAMBIO DE CILINDRO TRASERO</t>
  </si>
  <si>
    <t>ANTIRUIDO, BUJIAS, CILNDRO</t>
  </si>
  <si>
    <t>SINCRONIZACION / LAVADO DE INYECTORES</t>
  </si>
  <si>
    <t>RM-183 FE: 247</t>
  </si>
  <si>
    <t>FE:248 RM: 184</t>
  </si>
  <si>
    <t>GUILLERMO JARA</t>
  </si>
  <si>
    <t>TENAULT TWINGO</t>
  </si>
  <si>
    <t>KGU-053</t>
  </si>
  <si>
    <t>CAMBIO DE PASTILLAS DELANTERAS Y MANTENIMIENTO TRASERO/ CAMBIO DE SOPORTE AMORTIGUADOR</t>
  </si>
  <si>
    <t>SOPORTE AMORTIGUADOR/PASTILLAS DEL</t>
  </si>
  <si>
    <t>LUIS CALDERON</t>
  </si>
  <si>
    <t>FORD ESCOSPORT</t>
  </si>
  <si>
    <t>REV-780</t>
  </si>
  <si>
    <t>CAMBIAR BASE DE TERMOSTASTO</t>
  </si>
  <si>
    <t>CAMBIO DE ROTULAS Y TERMINALES</t>
  </si>
  <si>
    <t>RKO-741</t>
  </si>
  <si>
    <t>CHYENNE</t>
  </si>
  <si>
    <t>CAMBIO DE BANDAS, CILINDRO Y REVISION</t>
  </si>
  <si>
    <t>SANYON</t>
  </si>
  <si>
    <t>SEMANA DEL 09-04 AL  15-04-2022</t>
  </si>
  <si>
    <t>RM-187 FE:253</t>
  </si>
  <si>
    <t>LUIS GUITAGO</t>
  </si>
  <si>
    <t>REVISION DELANTERAS Y TRASERAS/ CAMBIO DE PASTILLAS DELANTERAS Y BANDAS TRASERAS</t>
  </si>
  <si>
    <t>GASOLINA, JUEGIO DE BNADAS, PASTILLAS PIN R</t>
  </si>
  <si>
    <t>FE: 255 / RM: 190</t>
  </si>
  <si>
    <t>CARLOS CASAYA</t>
  </si>
  <si>
    <t>KEB-952</t>
  </si>
  <si>
    <t xml:space="preserve">CAMBIO DE ESPARRAGOS, CHUPAS </t>
  </si>
  <si>
    <t>CHUPAS / ESPARRAGOS/ ABRAZADERAS, LIQUIDO DOT3</t>
  </si>
  <si>
    <t>FE:254 / RM:188</t>
  </si>
  <si>
    <t>ANDERSON DE LA NOI</t>
  </si>
  <si>
    <t>BZU-005</t>
  </si>
  <si>
    <t xml:space="preserve">CAMBIO TOPES DE AMORTIGUADORES Y DISCOS </t>
  </si>
  <si>
    <t>TOPES AMORTIGUADORES Y DISCOS/ PASTILLAS</t>
  </si>
  <si>
    <t>RM-186</t>
  </si>
  <si>
    <t>RENAULT 12</t>
  </si>
  <si>
    <t>CAMBIO DE SOPORTE DE LA CAJA</t>
  </si>
  <si>
    <t>SOLDADURA SOPORTE</t>
  </si>
  <si>
    <t>OSWALDO PEREZ</t>
  </si>
  <si>
    <t>ZAFIRA</t>
  </si>
  <si>
    <t>GYM-011</t>
  </si>
  <si>
    <t>CAMBIO DE MANGUERA DE AGUA</t>
  </si>
  <si>
    <t>MANGUERA DE AGUA</t>
  </si>
  <si>
    <t>CAMBIO DE INFLALLANTAS</t>
  </si>
  <si>
    <t>FE: 256</t>
  </si>
  <si>
    <t>GRADUACION DE CLOSH Y FRENOS</t>
  </si>
  <si>
    <t>FE: 257</t>
  </si>
  <si>
    <t>REPARACION DE CAVA</t>
  </si>
  <si>
    <t>FE:259</t>
  </si>
  <si>
    <t>ADRIANA CALDERON</t>
  </si>
  <si>
    <t>CH SPARK</t>
  </si>
  <si>
    <t>DBX-028</t>
  </si>
  <si>
    <t>CAMBIO DE MANGUERA - CAMBIO EMPAQUE TAPA VALVULA-RETENEDORES</t>
  </si>
  <si>
    <t>RM:191</t>
  </si>
  <si>
    <t>JORGE MATEUS</t>
  </si>
  <si>
    <t>MONZA</t>
  </si>
  <si>
    <t>CHB-385</t>
  </si>
  <si>
    <t>CAMBIO DE ROTULA DELANTERA Y LIQUIDO</t>
  </si>
  <si>
    <t>RM-192</t>
  </si>
  <si>
    <t>SAUL BETANCOURT</t>
  </si>
  <si>
    <t>BEU-479</t>
  </si>
  <si>
    <t>SOLDAR CHASSI</t>
  </si>
  <si>
    <t>CORREGIR FUGA DE LIQUIDO</t>
  </si>
  <si>
    <t>HINO500</t>
  </si>
  <si>
    <t>GZZ-228</t>
  </si>
  <si>
    <t>CORREGIR FUGA DE AIRE</t>
  </si>
  <si>
    <t>BWP-890</t>
  </si>
  <si>
    <t>MANTENIMIENTO TRASERO (REVISION)</t>
  </si>
  <si>
    <t>RM: 196</t>
  </si>
  <si>
    <t>ADOLFO PINILLA</t>
  </si>
  <si>
    <t>UPS-523</t>
  </si>
  <si>
    <t>REVISION DE RUEDA TRASERA Y CAMBIO DE RETENEDOR</t>
  </si>
  <si>
    <t>GRASA</t>
  </si>
  <si>
    <t>RM: 195 / FE: 260</t>
  </si>
  <si>
    <t>JOSE DIAZ</t>
  </si>
  <si>
    <t>BZX-793</t>
  </si>
  <si>
    <t>CAMBIO DE BUJES DE TEMPLETE Y BUJES DE LA BARRA ESTABILIZADORA</t>
  </si>
  <si>
    <t>FE:262 / 198</t>
  </si>
  <si>
    <t>BANDAS, RETENEDORES, GRASA, GASOLINA, VALVULA RELAY</t>
  </si>
  <si>
    <t>CAMBIO DE VALVULA RELAY</t>
  </si>
  <si>
    <t>RM-197</t>
  </si>
  <si>
    <t>ALEJANDRO GOMEZ</t>
  </si>
  <si>
    <t>ETU-721</t>
  </si>
  <si>
    <t>DESARMAR MOTOR</t>
  </si>
  <si>
    <t>WCT-458</t>
  </si>
  <si>
    <t xml:space="preserve">REVISION </t>
  </si>
  <si>
    <t>RM:199</t>
  </si>
  <si>
    <t>KIT DE CLOSH , GASOLINA</t>
  </si>
  <si>
    <t>FE:263 / RM:200</t>
  </si>
  <si>
    <t>JOSE ORDOÑEZ</t>
  </si>
  <si>
    <t>HYUNDAI STARES</t>
  </si>
  <si>
    <t>UPQ-923</t>
  </si>
  <si>
    <t>CAMBIO DE CHUPAS, LIQUIDO Y MANGUERA DE FRENOS</t>
  </si>
  <si>
    <t>MANGUERA DE FRENOS, LIQUIDO, CHUPAS</t>
  </si>
  <si>
    <t>RM:202</t>
  </si>
  <si>
    <t>RODRIGO LOZANO</t>
  </si>
  <si>
    <t>BM-320</t>
  </si>
  <si>
    <t>BZX-498</t>
  </si>
  <si>
    <t>CAMBIO DE DISCOS Y PASTILLAS DELANTERAS</t>
  </si>
  <si>
    <t>JUEGO DE DISCOS Y PASTILLAS DELANTERAS</t>
  </si>
  <si>
    <t>FE:265 / RM:204</t>
  </si>
  <si>
    <t>CAMBIO DE RADIADOR Y MANGUERA</t>
  </si>
  <si>
    <t>MANGUERA, RADIADOR</t>
  </si>
  <si>
    <t>SEMANA DEL 16-04 AL  22-04-2022</t>
  </si>
  <si>
    <t>RM_205</t>
  </si>
  <si>
    <t>GUILLERMO OCHOA</t>
  </si>
  <si>
    <t>CHEVROLET N300</t>
  </si>
  <si>
    <t>WPO-827</t>
  </si>
  <si>
    <t>SILICONA, GASOLINA</t>
  </si>
  <si>
    <t>CAMBIO DE KIT DE REPARTICION,  RETENEDORE, CORREA DE ACCESORIO</t>
  </si>
  <si>
    <t>REPARACION PUERTA</t>
  </si>
  <si>
    <t>RM: 210</t>
  </si>
  <si>
    <t>COMERCIALIZAR GILSAN</t>
  </si>
  <si>
    <t>SKN-751</t>
  </si>
  <si>
    <t>MAZDA3</t>
  </si>
  <si>
    <t xml:space="preserve"> REVISION DE RUEDAS</t>
  </si>
  <si>
    <t>IEM-243</t>
  </si>
  <si>
    <t>CAMBIO DE TERMOSTATO</t>
  </si>
  <si>
    <t>GUSTAVO GONZALES</t>
  </si>
  <si>
    <t>BYG-136</t>
  </si>
  <si>
    <t>PULGAR</t>
  </si>
  <si>
    <t>RENAULT9</t>
  </si>
  <si>
    <t xml:space="preserve">CAMBIO DE TAPONES DE VASO </t>
  </si>
  <si>
    <t>RM-215</t>
  </si>
  <si>
    <t>LIQUIDO, TAPONES</t>
  </si>
  <si>
    <t>JOSE GARRIDO</t>
  </si>
  <si>
    <t>WLS-061</t>
  </si>
  <si>
    <t>REVISAR FRENO DE AHOGO, CAMBIO DE TORNILLO Y EMPAQUE</t>
  </si>
  <si>
    <t>EMPAQUE, TORNILLO</t>
  </si>
  <si>
    <t>FE:269 / RM:219</t>
  </si>
  <si>
    <t>MANUEL GENECO</t>
  </si>
  <si>
    <t>BKZ-254</t>
  </si>
  <si>
    <t>JUEGO DE PASTILLAS</t>
  </si>
  <si>
    <t>ANDRES SOCHA</t>
  </si>
  <si>
    <t>FE:271</t>
  </si>
  <si>
    <t>TMEGOLF</t>
  </si>
  <si>
    <t>KGH-591</t>
  </si>
  <si>
    <t>JOSE LUIS</t>
  </si>
  <si>
    <t>REPARACION ELECTRICIDAD</t>
  </si>
  <si>
    <t>RM:218</t>
  </si>
  <si>
    <t>MAZDA2</t>
  </si>
  <si>
    <t>CAMBIO DE PASTILLAS DE FRENOS Y SOPORTE CAJA</t>
  </si>
  <si>
    <t>PASTILLAS, SOPORTE CAJA</t>
  </si>
  <si>
    <t>UFZ-846</t>
  </si>
  <si>
    <t>RM-221</t>
  </si>
  <si>
    <t>CE RED LOGISTICA</t>
  </si>
  <si>
    <t>WLS-227</t>
  </si>
  <si>
    <t>CORREGIR FUGA DE COMBUSTIBLE</t>
  </si>
  <si>
    <t>FE:272</t>
  </si>
  <si>
    <t>TECNIPROYECTOS</t>
  </si>
  <si>
    <t>WFT-028</t>
  </si>
  <si>
    <t>SUAVIZAR MORDAZA, ENGRASE DE RODAMIENTOS</t>
  </si>
  <si>
    <t>GASOLINA, GRASA, ANTIRUIDO, PN CACHO, RETEN</t>
  </si>
  <si>
    <t>RM:223</t>
  </si>
  <si>
    <t>IVX-949</t>
  </si>
  <si>
    <t>PAGO CON GATOS</t>
  </si>
  <si>
    <t>FE:227</t>
  </si>
  <si>
    <t>MAO-470</t>
  </si>
  <si>
    <t>SINCRONIZADA /LAVADA DE INYECTORES/ ULTRASONIDO</t>
  </si>
  <si>
    <t>RM-225</t>
  </si>
  <si>
    <t>JAIME AVELLANEDA</t>
  </si>
  <si>
    <t>CAMBIO DE MANGUERA DE CLOSH, CAMBIO KIT DE CLOSH, BAJAR VOLANTE / REVISION DE FRENOS, CAMBIO DE BASE DE AMORTIGUADORES, BRAZOS AXIALES Y MUÑECO</t>
  </si>
  <si>
    <t>SEMANA DEL 23-04 AL  30-04-2022</t>
  </si>
  <si>
    <t xml:space="preserve">MARIA </t>
  </si>
  <si>
    <t>ADMON</t>
  </si>
  <si>
    <t>MAZDA626</t>
  </si>
  <si>
    <t>GRADUAR TRASERAS, PULGAR</t>
  </si>
  <si>
    <t>REVISION DE FUGA DE LIQUIDO</t>
  </si>
  <si>
    <t>SAID</t>
  </si>
  <si>
    <t>GREGORI</t>
  </si>
  <si>
    <t>OZUNA</t>
  </si>
  <si>
    <t>SLE-858</t>
  </si>
  <si>
    <t>USE-572</t>
  </si>
  <si>
    <t>REVISION FRENO DE AIRE</t>
  </si>
  <si>
    <t>MAURICIO CORREDOR</t>
  </si>
  <si>
    <t>BZE-255</t>
  </si>
  <si>
    <t>TFP-394</t>
  </si>
  <si>
    <t>CAMBIO DE HOJA  BUJES DE MUELLE</t>
  </si>
  <si>
    <t>GARDUACION DE FRENOS Y CAMBIO DE BUJES</t>
  </si>
  <si>
    <t>ADAPTACION FRENO DE AHOGO</t>
  </si>
  <si>
    <t>CAMBIO DE DIAFRAGMAS TIPO 20</t>
  </si>
  <si>
    <t>2- DIAFRAGMAS</t>
  </si>
  <si>
    <t>LUIS CARLOS GAMBOA</t>
  </si>
  <si>
    <t>KNX-975</t>
  </si>
  <si>
    <t>CAMBIO DE RADIADOR</t>
  </si>
  <si>
    <t>RADIADOR</t>
  </si>
  <si>
    <t>RM-237</t>
  </si>
  <si>
    <t>CAMBIO DE BALI BOMBA</t>
  </si>
  <si>
    <t>RM-234</t>
  </si>
  <si>
    <t>BAJAR TYRASERAS IZQ/ CAMBIO DE RODAMIENTO INTERNO</t>
  </si>
  <si>
    <t>CHEVROLET TRUPPER</t>
  </si>
  <si>
    <t>REVISION DE RUEDA DELANTERA</t>
  </si>
  <si>
    <t>FE:277 / RM: 236</t>
  </si>
  <si>
    <t>RAUL MENDOZA</t>
  </si>
  <si>
    <t>EKM-795</t>
  </si>
  <si>
    <t>CAMBIO DE PASTILLAS DE FRENOS TARSERAS Y CAMBIO DE LIQUIDO</t>
  </si>
  <si>
    <t>JUEGO DE PASTILLAS Y LIQUIDO</t>
  </si>
  <si>
    <t>JOSE ALFONSO MONCADA</t>
  </si>
  <si>
    <t>TFR-572</t>
  </si>
  <si>
    <t xml:space="preserve">FE: 279 </t>
  </si>
  <si>
    <t>AQUILES VILLANUEVA</t>
  </si>
  <si>
    <t>CH TRAVERSE</t>
  </si>
  <si>
    <t>NEN-691</t>
  </si>
  <si>
    <t>AMORTIGUADORES, MUÑECOS</t>
  </si>
  <si>
    <t>FE: 282 / RM: 142</t>
  </si>
  <si>
    <t>VERONICA GIL</t>
  </si>
  <si>
    <t>KLY-075</t>
  </si>
  <si>
    <t>CAMBIO DE PASTILLAS DEL CORREGIR FUGA DE LIQUIDO</t>
  </si>
  <si>
    <t>RENAULT KWID</t>
  </si>
  <si>
    <t>GSZ-977</t>
  </si>
  <si>
    <t>PASTILAS DEL</t>
  </si>
  <si>
    <t>fe:281 -RM:241</t>
  </si>
  <si>
    <t>ASTRIZ DIAZ</t>
  </si>
  <si>
    <t>RM:245</t>
  </si>
  <si>
    <t>MARCELA DAVILA</t>
  </si>
  <si>
    <t>QGW-258</t>
  </si>
  <si>
    <t>ADPATACION DE BOOTER</t>
  </si>
  <si>
    <t xml:space="preserve">HIDRO BOOTER/TEFLON/ RACORES/ ABRAZADERAS , LIQUIDO DOT3 </t>
  </si>
  <si>
    <t>JULIO AMAYA</t>
  </si>
  <si>
    <t>RMV-876</t>
  </si>
  <si>
    <t>CAMBIO DE CILINDRO TRASEROS</t>
  </si>
  <si>
    <t>CILINDROS</t>
  </si>
  <si>
    <t>HEY-067</t>
  </si>
  <si>
    <t>REVISAR SOPORTE DE CAJA</t>
  </si>
  <si>
    <t>AQUILESVILLANUEVA</t>
  </si>
  <si>
    <t>RM:244</t>
  </si>
  <si>
    <t>CHEVROLET TRAVERSE</t>
  </si>
  <si>
    <t>CAMBIO DE ROTULAS</t>
  </si>
  <si>
    <t>ROTULAS</t>
  </si>
  <si>
    <t>KEX-032</t>
  </si>
  <si>
    <t>CAMBIO DE TIJERAS DELANTERAS</t>
  </si>
  <si>
    <t>TIJERAS</t>
  </si>
  <si>
    <t>AJUSTE DE MANGUERA</t>
  </si>
  <si>
    <t>BAJAR VILLARET</t>
  </si>
  <si>
    <t>FE:289</t>
  </si>
  <si>
    <t>FE: 287</t>
  </si>
  <si>
    <t xml:space="preserve">CAMBIAR CUERPO DE ACELERACION </t>
  </si>
  <si>
    <t>RM:246</t>
  </si>
  <si>
    <t>CAMBIO ENVASE DE REFRIGERANTE Y MANGUERA SUPERIOR RADIADOR (GARANTIA)</t>
  </si>
  <si>
    <t>ENVASE, ABRAZADERAS</t>
  </si>
  <si>
    <t>XGJ-109</t>
  </si>
  <si>
    <t>CAMBIO DE ACOPLE</t>
  </si>
  <si>
    <t>CKF-176</t>
  </si>
  <si>
    <t>CAMBIO DE VALVULA IAC</t>
  </si>
  <si>
    <t>CAMBIO DE MUELLES TRASEROS Y DELANTEROS Y BUJES</t>
  </si>
  <si>
    <t>HOJA, TORNILLO</t>
  </si>
  <si>
    <t>JAVIER SASTOQUI</t>
  </si>
  <si>
    <t>VFZ-846</t>
  </si>
  <si>
    <t>CAMBIO EMPAQUETADURA AUXILAR</t>
  </si>
  <si>
    <t>RAFAEL POLO</t>
  </si>
  <si>
    <t>FE:291</t>
  </si>
  <si>
    <t>HVO-927</t>
  </si>
  <si>
    <t>CAMBIO DE BUJES, Y BANDAS</t>
  </si>
  <si>
    <t>BANDAS, BUJES</t>
  </si>
  <si>
    <t>RM-248</t>
  </si>
  <si>
    <t>CAMBIO DE CRUCETA</t>
  </si>
  <si>
    <t>BAJAR TANQUE DE COMBUSTIBLE</t>
  </si>
  <si>
    <t>YEISON PEREZ</t>
  </si>
  <si>
    <t>REMNAULT TWINGO</t>
  </si>
  <si>
    <t>BNS-450</t>
  </si>
  <si>
    <t>CAMBIO DE COPA CAJA</t>
  </si>
  <si>
    <t>COPA CAJA</t>
  </si>
  <si>
    <t>GREGORY RODRIGUEZ</t>
  </si>
  <si>
    <t>DDE-386</t>
  </si>
  <si>
    <t>RM-253</t>
  </si>
  <si>
    <t>JUAN DAVID HERNANDEZ</t>
  </si>
  <si>
    <t>TTX-503</t>
  </si>
  <si>
    <t>RM-254</t>
  </si>
  <si>
    <t>JHON CRUZ RAMIREZ</t>
  </si>
  <si>
    <t xml:space="preserve">CAMBIO DE PUNTA DE LA CAJA </t>
  </si>
  <si>
    <t>HOJA, TORNILLO, ESPARRAGOS, BOMBILLOS, SILICONA, PIN CACHO</t>
  </si>
  <si>
    <t xml:space="preserve">PUNTA DE CAJA </t>
  </si>
  <si>
    <t>RM-255</t>
  </si>
  <si>
    <t>ANDRES TIRA</t>
  </si>
  <si>
    <t>BDY-574</t>
  </si>
  <si>
    <t>MANTENIMIENTO RUEDAS DELANTERAS CAMBIAR ROTULAS SUPERIOR, BUJES DE TIJERAS TRASERAS</t>
  </si>
  <si>
    <t>SOLDADURA DE TIJERAS</t>
  </si>
  <si>
    <t>BLO-452</t>
  </si>
  <si>
    <t>CAMBIO DE DISCO, PRENSA Y BALINERA</t>
  </si>
  <si>
    <t>MANUEL TOZORIA</t>
  </si>
  <si>
    <t>SFF-954</t>
  </si>
  <si>
    <t>CAMBIO DE RODAMIENTO TRASEROS</t>
  </si>
  <si>
    <t>FE: 295</t>
  </si>
  <si>
    <t>ARKATEC</t>
  </si>
  <si>
    <t>WOO-547</t>
  </si>
  <si>
    <t>CAMBIO DE BANDAS, CAMBIO DE RODAMIENTOS</t>
  </si>
  <si>
    <t>JUEGO DE BLOQUE, GRASAS, GASOLINA, SILICONA, RESORTE, RETEN</t>
  </si>
  <si>
    <t xml:space="preserve">REMACHE DE CAVA </t>
  </si>
  <si>
    <t>FE:297 / RM: 258</t>
  </si>
  <si>
    <t>JUAN CARLOS REMOLINA</t>
  </si>
  <si>
    <t>CH CRUZE</t>
  </si>
  <si>
    <t>INZ-672</t>
  </si>
  <si>
    <t>fe:298</t>
  </si>
  <si>
    <t>FTO-372</t>
  </si>
  <si>
    <t>CAMBIAR EMPAQUE DE CARTER</t>
  </si>
  <si>
    <t>GASOLINA, SILICONA, EMPAQUES DE CARTER</t>
  </si>
  <si>
    <t>BUSETA</t>
  </si>
  <si>
    <t>TSX-986</t>
  </si>
  <si>
    <t>BDY-763</t>
  </si>
  <si>
    <t>CAMBIO EMPAQUE DE CULATA, CAMBIO CORREA DE REPARTICION, RETENEDORES DE MOTOR, PUNTA DE EJE, CAMBIA EMPAQUE TAPA VALVULA</t>
  </si>
  <si>
    <t>CAMBIO DE PASTILLAS DE FRENOS</t>
  </si>
  <si>
    <t>SEMANA DEL 30-04 AL 06-05-2022</t>
  </si>
  <si>
    <t>SEMANA DEL 06-05 AL 13-05-2022</t>
  </si>
  <si>
    <t>FORD ESCAPE</t>
  </si>
  <si>
    <t>JORGE MORALES</t>
  </si>
  <si>
    <t>CJH-276</t>
  </si>
  <si>
    <t xml:space="preserve">ILVAR </t>
  </si>
  <si>
    <t>MQI-302</t>
  </si>
  <si>
    <t>MONTAR BOMBA</t>
  </si>
  <si>
    <t>DCZ-930</t>
  </si>
  <si>
    <t>CAMBIAR EMPAQUE DE TAPA VCALVULA</t>
  </si>
  <si>
    <t>APR-520</t>
  </si>
  <si>
    <t>SOLDADURA SOPORTE TUBO ESCAPE</t>
  </si>
  <si>
    <t>USE-940</t>
  </si>
  <si>
    <t>ALFONSO MONCADA</t>
  </si>
  <si>
    <t>BAJAR FRENO DE AHOGO, EMBUJAR</t>
  </si>
  <si>
    <t>EMBUJAR</t>
  </si>
  <si>
    <t>DANIEL POVEDA</t>
  </si>
  <si>
    <t>ZIP-501</t>
  </si>
  <si>
    <t>CHEVROLET-STEEM</t>
  </si>
  <si>
    <t>CAMBIO DE BRAZO AXIALES</t>
  </si>
  <si>
    <t>FE: 302</t>
  </si>
  <si>
    <t>RM: 264</t>
  </si>
  <si>
    <t>RM-266</t>
  </si>
  <si>
    <t>FERMIN TRUJILLO</t>
  </si>
  <si>
    <t>JAC NHR</t>
  </si>
  <si>
    <t>TTY-134</t>
  </si>
  <si>
    <t>CAMBIAR BOMBA PRINCIPAL DE CLOSH</t>
  </si>
  <si>
    <t>BOMBA PRINCIPAL DE CLOSH</t>
  </si>
  <si>
    <t>BAJAR RUEDA</t>
  </si>
  <si>
    <t>GERMAN PARRA</t>
  </si>
  <si>
    <t>BYV-949</t>
  </si>
  <si>
    <t>CAMBIO DE KIT DE CLOSH, SENSOR CKP, ROTULAS Y AMORTIGUADORES</t>
  </si>
  <si>
    <t>FE:304 / RM: 271</t>
  </si>
  <si>
    <t>CAMBIO DE ORQUILLA</t>
  </si>
  <si>
    <t>HDK-316</t>
  </si>
  <si>
    <t>FE:303 / RM: 267</t>
  </si>
  <si>
    <t>MAICOL RODRIGUEZ</t>
  </si>
  <si>
    <t>WEW-059</t>
  </si>
  <si>
    <t xml:space="preserve">CAMBIO DE BANDAS TRASERAS, CHUPAS </t>
  </si>
  <si>
    <t>MARCOS</t>
  </si>
  <si>
    <t>SOLDADURA</t>
  </si>
  <si>
    <t>RM-273</t>
  </si>
  <si>
    <t>FREDDY VILLALOBOS</t>
  </si>
  <si>
    <t>RJT-090</t>
  </si>
  <si>
    <t>JOSE LUIS DURAN</t>
  </si>
  <si>
    <t xml:space="preserve">TOYOTA RUNNER </t>
  </si>
  <si>
    <t>CAMBIO DE PASTILLAS DEL Y TRASERAS</t>
  </si>
  <si>
    <t>RM:269</t>
  </si>
  <si>
    <t>RM-275</t>
  </si>
  <si>
    <t>JOSE ALFONZO MEZA</t>
  </si>
  <si>
    <t>SKO-507</t>
  </si>
  <si>
    <t>CAMBIO DE GUAYA DE CAMBIOS</t>
  </si>
  <si>
    <t>RM-272</t>
  </si>
  <si>
    <t>NADIA PINILLA</t>
  </si>
  <si>
    <t>MFT-339</t>
  </si>
  <si>
    <t>CAMBIO DE LIQUIDO / MATTO DE FRENOS</t>
  </si>
  <si>
    <t>REPARACION BARRA ESTABILIZADORA</t>
  </si>
  <si>
    <t>CAMBIO Y SOLDADURA DE HOJA DE BALLESTA</t>
  </si>
  <si>
    <t>BSM-697</t>
  </si>
  <si>
    <t>RM-274</t>
  </si>
  <si>
    <t>FERRETERIA LA ESMERALDA</t>
  </si>
  <si>
    <t>WNX-179</t>
  </si>
  <si>
    <t>CAMBIO DE ESPLINDER</t>
  </si>
  <si>
    <t>REVISION DE RUDAS</t>
  </si>
  <si>
    <t>RM:276</t>
  </si>
  <si>
    <t>MIGUEL BATISTA</t>
  </si>
  <si>
    <t>XJA-514</t>
  </si>
  <si>
    <t>CAMBIO DE MANGUERA DE FRENOS Y EMPAQUETADURA AUXILIAR</t>
  </si>
  <si>
    <t>RM-277</t>
  </si>
  <si>
    <t>JESUS LARA</t>
  </si>
  <si>
    <t>BFL-099</t>
  </si>
  <si>
    <t>CAMBIO DE GUARDAPOLVO EJE</t>
  </si>
  <si>
    <t>FE:209 / RM: 279</t>
  </si>
  <si>
    <t>CARLOS MARCHAN</t>
  </si>
  <si>
    <t>CHEVROLET AVEO 2066</t>
  </si>
  <si>
    <t>ZIV-086</t>
  </si>
  <si>
    <t>CAMBIO DE LIQUIDO, CAMBIO DE BUJES DE TIJERAS Y PASTILLAS DELANTERAS</t>
  </si>
  <si>
    <t>RM: 278 / FE: 397</t>
  </si>
  <si>
    <t>IWZ-007</t>
  </si>
  <si>
    <t>EDWIN ESPINOZA</t>
  </si>
  <si>
    <t>CAMBIO DE MUÑECOS</t>
  </si>
  <si>
    <t>ANDRES RUIZ</t>
  </si>
  <si>
    <t>KJQ-895</t>
  </si>
  <si>
    <t>KIAT CADENZA</t>
  </si>
  <si>
    <t xml:space="preserve">CAMBIO DE TERMINALES </t>
  </si>
  <si>
    <t>RZF-114</t>
  </si>
  <si>
    <t>CAMBIO DE TERMINAL DEL IZQ</t>
  </si>
  <si>
    <t>MARCOS OCATI</t>
  </si>
  <si>
    <t>SUBIR SUSPENSION</t>
  </si>
  <si>
    <t>SEMANA DEL 14-05 AL 20-05-2022</t>
  </si>
  <si>
    <t>ILVAR</t>
  </si>
  <si>
    <t>RM:283 /FE: 311</t>
  </si>
  <si>
    <t>OSCAR ALEXANDER RODRIGUEZ</t>
  </si>
  <si>
    <t>CH AVEO</t>
  </si>
  <si>
    <t>MNY-524</t>
  </si>
  <si>
    <t xml:space="preserve">CAMBIO DE AMORTIGUADORES-BUJES DE TJERAS-MUÑECOS-CAMBIO DE SOPORTE DE MOTOR-GUARDAPOLVO Y EMPAQUE TAPA VALVULA </t>
  </si>
  <si>
    <t>FE:312 / RM: 286</t>
  </si>
  <si>
    <t>ANDRES SANZ</t>
  </si>
  <si>
    <t>BND-149</t>
  </si>
  <si>
    <t>CAMBIO DE AMORTIGUADORES DEL, MUÑECOS, TERMINALES, CAUCHOS LADO RUEDA, BUJES BARRA ESTAB, TIJERAS DELAN, SOPORTE AMORTIG</t>
  </si>
  <si>
    <t>RM-284</t>
  </si>
  <si>
    <t>MIGUEL BAUTISTA</t>
  </si>
  <si>
    <t>RM-285</t>
  </si>
  <si>
    <t>MAURICIO GIL</t>
  </si>
  <si>
    <t>TBK-039</t>
  </si>
  <si>
    <t>RM: 287</t>
  </si>
  <si>
    <t xml:space="preserve">CHRISTIAN BALLEN </t>
  </si>
  <si>
    <t>BWQ-407</t>
  </si>
  <si>
    <t>CAMBIO DE DISCOS Y CAMBIO DE LIQUIDO</t>
  </si>
  <si>
    <t>FE: 313</t>
  </si>
  <si>
    <t>RM: 288</t>
  </si>
  <si>
    <t>CITROEN</t>
  </si>
  <si>
    <t>CAMBIO DE PASTILLAS  DEL.</t>
  </si>
  <si>
    <t>RM:292</t>
  </si>
  <si>
    <t>IGNACIO RODRIGUEZ</t>
  </si>
  <si>
    <t>WLQ-621</t>
  </si>
  <si>
    <t>CAMBIO DE RETENEDOR DE DAMPER</t>
  </si>
  <si>
    <t>RM293</t>
  </si>
  <si>
    <t>SUZUKI</t>
  </si>
  <si>
    <t>GUE-822</t>
  </si>
  <si>
    <t>CAMBIO DE RETENEDORES TRASEROS</t>
  </si>
  <si>
    <t>WDC-566</t>
  </si>
  <si>
    <t>CAMBIO DE VALVULA SECADORA</t>
  </si>
  <si>
    <t>RM-295</t>
  </si>
  <si>
    <t>WILSON MORENO</t>
  </si>
  <si>
    <t xml:space="preserve">CHEVROLET AVEO </t>
  </si>
  <si>
    <t>RGT-916</t>
  </si>
  <si>
    <t xml:space="preserve">CAMBIO DE EMPAQUE DE CULATA / CORREA DE REPARTICION Y BOMBA DE AGUA </t>
  </si>
  <si>
    <t>RM-296</t>
  </si>
  <si>
    <t>NESTOR MAURICIO ROA GUTIERREZ</t>
  </si>
  <si>
    <t>GMC</t>
  </si>
  <si>
    <t>KBJ-983</t>
  </si>
  <si>
    <t>REVISION DE FRENOS /SUAVIZAR MORDAZAS Y CAMBIO DE GUAYA DE FRENO DE MANO</t>
  </si>
  <si>
    <t>ARREGLO MEUELLES/ ARREGLO SOPORTE DE CAJA</t>
  </si>
  <si>
    <t>FE: 315</t>
  </si>
  <si>
    <t>WOU-451</t>
  </si>
  <si>
    <t xml:space="preserve">ADAPTACION DE CORNETA </t>
  </si>
  <si>
    <t>COA-451</t>
  </si>
  <si>
    <t>RM:297</t>
  </si>
  <si>
    <t>CTW-928</t>
  </si>
  <si>
    <t>CAMBIO DE LIQUIDO/ MTTO DE FRENOS</t>
  </si>
  <si>
    <t>CAMBIO VALVULA SECADORA</t>
  </si>
  <si>
    <t>SOLDADURA DE PEDAL</t>
  </si>
  <si>
    <t>EBV-326</t>
  </si>
  <si>
    <t>CAMBIO DE RODAMIENTO DELANTEROS IZQ. TERMINALES BUJES</t>
  </si>
  <si>
    <t>ARREGLO SOPORTE CABINA</t>
  </si>
  <si>
    <t>SOLDADURA SOPORTE CABINA</t>
  </si>
  <si>
    <t>RM-301</t>
  </si>
  <si>
    <t>CAMBIO DE EMPAQUE DE CULATA, TERMOSTATO, RETENEDOIR DE LEVA, BUJIAS, CABLES DE ALTA</t>
  </si>
  <si>
    <t>WILLIAM GRANJA</t>
  </si>
  <si>
    <t>CKD-019</t>
  </si>
  <si>
    <t>REVISION DE RODAMIENTOS</t>
  </si>
  <si>
    <t>SEMANA DEL 21-05 AL 27-05-2022</t>
  </si>
  <si>
    <t>HILUX</t>
  </si>
  <si>
    <t>MURICIO PIRAGUA</t>
  </si>
  <si>
    <t>SINCRONIZADA/ CAMBIO DE RADIADOR / ESCANEADA</t>
  </si>
  <si>
    <t>PATRICIA</t>
  </si>
  <si>
    <t>REMACHAR BANDAS</t>
  </si>
  <si>
    <t>RM:304</t>
  </si>
  <si>
    <t>CESAR FLORES</t>
  </si>
  <si>
    <t>GREAT WALL</t>
  </si>
  <si>
    <t>HYP-349</t>
  </si>
  <si>
    <t>CAMBIO DE PASTILLAS DELANTERAS, RETENEDOR.</t>
  </si>
  <si>
    <t>RM: 302</t>
  </si>
  <si>
    <t>MARCELA AVILA</t>
  </si>
  <si>
    <t>ARMANDO ELECTRICISTA</t>
  </si>
  <si>
    <t>CAMBIO ENVASE DE AGUA, FLOTADOR, PERA DE FRENO DE AHOGO</t>
  </si>
  <si>
    <t>LAVADO DE INYECTORES/ SINCRONIZADA</t>
  </si>
  <si>
    <t>DAIHATSU</t>
  </si>
  <si>
    <t>AJF-937</t>
  </si>
  <si>
    <t>RM-305</t>
  </si>
  <si>
    <t>MITSIUBISHI</t>
  </si>
  <si>
    <t>SKK-812</t>
  </si>
  <si>
    <t>ARO-681</t>
  </si>
  <si>
    <t xml:space="preserve">CAMBIO DE TUBO DE RENO DEL, DERECHO </t>
  </si>
  <si>
    <t>RM-306</t>
  </si>
  <si>
    <t>ENNER GARCIA</t>
  </si>
  <si>
    <t>ISUZU</t>
  </si>
  <si>
    <t>FSQ-710</t>
  </si>
  <si>
    <t>CAMBIO DE DIAFRAGMA FRENO DE AHOGO/ GRADUAR FRENOS Y TENSAR CORREAS</t>
  </si>
  <si>
    <t>MANTENIMIENTO DE FRENOS (GARANTIA)</t>
  </si>
  <si>
    <t>RM-309</t>
  </si>
  <si>
    <t>CAMBIO DE TOPES DE AMORTIGUADORES/ BRAZOS AXIALES Y MUÑECOS</t>
  </si>
  <si>
    <t>PABLO RINCON</t>
  </si>
  <si>
    <t>SQX-078</t>
  </si>
  <si>
    <t>AAJ-348</t>
  </si>
  <si>
    <t>CAMBIO DE RETENEDOR RUEDA TRASERA IZQ</t>
  </si>
  <si>
    <t>FE: 319</t>
  </si>
  <si>
    <t>CEGA SAS</t>
  </si>
  <si>
    <t>GKW-107</t>
  </si>
  <si>
    <t>MAZDA 2</t>
  </si>
  <si>
    <t>HSP-280</t>
  </si>
  <si>
    <t>YESSID RODRIGUEZ</t>
  </si>
  <si>
    <t>SAIL</t>
  </si>
  <si>
    <t>HXW-468</t>
  </si>
  <si>
    <t>CAMBIO DE CARTER</t>
  </si>
  <si>
    <t>RM:314</t>
  </si>
  <si>
    <t>JAIRO ESCOBAR</t>
  </si>
  <si>
    <t>KHT-423</t>
  </si>
  <si>
    <t>CAMBIO DE BRAZO AXIAL, SINCRONIZAR</t>
  </si>
  <si>
    <t>GABRIEL TOVAR</t>
  </si>
  <si>
    <t>SQW-666</t>
  </si>
  <si>
    <t>GRADUAR FRENO Y FRENO DE MANO</t>
  </si>
  <si>
    <t>SEMANA DEL 28-05 AL 03-06-2022</t>
  </si>
  <si>
    <t>FRANCISCO SASTOQUE</t>
  </si>
  <si>
    <t>JKJ-296</t>
  </si>
  <si>
    <t>REVISION DE FRENO COMPLETO, REVISION DE MUELLES Y BUJES</t>
  </si>
  <si>
    <t>CAMBIAR BOMBA Y GRADUACION</t>
  </si>
  <si>
    <t>MAYO</t>
  </si>
  <si>
    <t>EUGENIA CASTILLO</t>
  </si>
  <si>
    <t>CHEVROLET SPRING</t>
  </si>
  <si>
    <t>BMA-685</t>
  </si>
  <si>
    <t>ALEXANDER SPULVEDA</t>
  </si>
  <si>
    <t>CAMBIO DE CILINDRO DE FRENOS TRASEROS / REVISION DE TRASERAS</t>
  </si>
  <si>
    <t>BST-815</t>
  </si>
  <si>
    <t xml:space="preserve">SOLDAR TAPA BATERIA Y COLOCAR PLACAS </t>
  </si>
  <si>
    <t>PEGEOUT</t>
  </si>
  <si>
    <t>BHB-245</t>
  </si>
  <si>
    <t>CAMBIO DE CHUPAS Y REVISION DE TRASERAS</t>
  </si>
  <si>
    <t>ZGC-026</t>
  </si>
  <si>
    <t>LINA GUZMAN</t>
  </si>
  <si>
    <t>DQL-105</t>
  </si>
  <si>
    <t>MANTENIMIENTO DE FRENOS, CAMBIO DE LIQUIDO</t>
  </si>
  <si>
    <t>RM:321</t>
  </si>
  <si>
    <t>JOSE PICO</t>
  </si>
  <si>
    <t>BEA-126</t>
  </si>
  <si>
    <t>JOSE VICENTE COJO</t>
  </si>
  <si>
    <t>FSH-849</t>
  </si>
  <si>
    <t>RM:327</t>
  </si>
  <si>
    <t>ANDRES RAMIREZ</t>
  </si>
  <si>
    <t>DDW-254</t>
  </si>
  <si>
    <t>STEEPWAY</t>
  </si>
  <si>
    <t>RKT-150</t>
  </si>
  <si>
    <t>MBL-513</t>
  </si>
  <si>
    <t>FABIAN GARCIA</t>
  </si>
  <si>
    <t>RM:331</t>
  </si>
  <si>
    <t>MAM-961</t>
  </si>
  <si>
    <t>JORGE RODRIGUEZ</t>
  </si>
  <si>
    <t>FORD LASER</t>
  </si>
  <si>
    <t>CAMBIO DE BUJIAS INSTALACION DE ALTA</t>
  </si>
  <si>
    <t>NISAN</t>
  </si>
  <si>
    <t>CAMBIO E CHUPAS, GP</t>
  </si>
  <si>
    <t>MANTENIMIENTO DE LAS MORDAZAS DELANTERAS</t>
  </si>
  <si>
    <t>CAMBIO DE RODAMIENTO DELANTERO DER</t>
  </si>
  <si>
    <t>REVISION DE AMORT/BAJAR AMORTIGUADOR</t>
  </si>
  <si>
    <t>CAMBIO DE MUÑECOS Y SOPORTE</t>
  </si>
  <si>
    <t>CAMBIO DE MUÑECOS-BUJES BARRA ESTA/ BUJES DE TIJERA-BUJES DE MUELLE/ BUJES DE CABINA</t>
  </si>
  <si>
    <t>LUIS PENAGO</t>
  </si>
  <si>
    <t>CAMBIO DE GP / PUNTA DE EJE LADO RUEDA LADO CAJA / BAJAR TIJERAS/ CAMBIO DE ROTULAS/ REVISION DE FRENOS</t>
  </si>
  <si>
    <t>RM: 330</t>
  </si>
  <si>
    <t>CAMBIO DE BUJES DE TIJERA CAMBIO KIT DE INYECTOR</t>
  </si>
  <si>
    <t>CAMBIO DE MANGUERAS-CALIPER-MEÑECOS-CAMBIO DE BUJES DE TIJERA-BUJES BARRA ESTA</t>
  </si>
  <si>
    <t>SPRINT</t>
  </si>
  <si>
    <t>RM:333</t>
  </si>
  <si>
    <t>AREPAS EL CARRIEL</t>
  </si>
  <si>
    <t>WNR-195</t>
  </si>
  <si>
    <t>CAMBIO DE CORREA DE ACCESORIO</t>
  </si>
  <si>
    <t>ELECTRICISTA</t>
  </si>
  <si>
    <t>CAMBIO DE BENDIX</t>
  </si>
  <si>
    <t>REVISION ELECTRICA</t>
  </si>
  <si>
    <t>ARREGLO PUERTA</t>
  </si>
  <si>
    <t>ARREGLO TUBIO</t>
  </si>
  <si>
    <t>RM:335</t>
  </si>
  <si>
    <t>JESSY RODRIGUEZ</t>
  </si>
  <si>
    <t>CAMBIO DE BOMBA DE FRENOS</t>
  </si>
  <si>
    <t>RM:337</t>
  </si>
  <si>
    <t>JHON LOPEZ</t>
  </si>
  <si>
    <t>HJW-941</t>
  </si>
  <si>
    <t>JETTA</t>
  </si>
  <si>
    <t>MANTENIMEINTO DE FRENOS TRASEROS</t>
  </si>
  <si>
    <t>XO-RECICLAJE</t>
  </si>
  <si>
    <t>TSM-562</t>
  </si>
  <si>
    <t>TRANSPOCARGA</t>
  </si>
  <si>
    <t>KSP-624</t>
  </si>
  <si>
    <t>MARCAO EQUIPOS</t>
  </si>
  <si>
    <t>SWP-745</t>
  </si>
  <si>
    <t>GMC GRUA</t>
  </si>
  <si>
    <t>CAMBIO DE FUSIBLES, CAMBIO DE BOMBILLOS DELANTEROS</t>
  </si>
  <si>
    <t>MARIO ALMONACITA</t>
  </si>
  <si>
    <t>CAMBIO DE BASE TERMOSTATO</t>
  </si>
  <si>
    <t>AGC-159</t>
  </si>
  <si>
    <t>LUV 2300</t>
  </si>
  <si>
    <t>CAMBIO EMP. DEL BOOTER</t>
  </si>
  <si>
    <t>CAMILO BUITRIAGO</t>
  </si>
  <si>
    <t>ROL-254</t>
  </si>
  <si>
    <t>REVISION DE FRENOS COMPLETO-CAMBIO DE LIQUIDO-CAMBIO DE BRAZO AXIAL</t>
  </si>
  <si>
    <t>ALBERTO FORERO</t>
  </si>
  <si>
    <t>JFN-502</t>
  </si>
  <si>
    <t>REPARACION DE GOTERA</t>
  </si>
  <si>
    <t>REVISION DE FRENOS, CAMBIO DE PASTILLAS Y DISCOS</t>
  </si>
  <si>
    <t>FREKIFRUTA</t>
  </si>
  <si>
    <t>TLD-165</t>
  </si>
  <si>
    <t>CAMBIO DE BUJIAS, BOBINA E INYECTORES</t>
  </si>
  <si>
    <t>CAMBIO DE GUARDAPOLVO LADO CAJA</t>
  </si>
  <si>
    <t>MANTENIMIENTO DE FRENOS COMPLETO/ CAMBIO DE LIQUIDO</t>
  </si>
  <si>
    <t>SERVICIO DE ESCANER Y CHEQUEO ELECTRICO</t>
  </si>
  <si>
    <t>REVISION/ CAMBIO DE TRICETAS</t>
  </si>
  <si>
    <t>CARLOS A TRIANA</t>
  </si>
  <si>
    <t xml:space="preserve">BAJAR CULATA-CAMBIO EMPAQUE DE CULATA-TUBERIA DE AGUA Y CORREA DE REPARTICION </t>
  </si>
  <si>
    <t>SEMANA DEL 04-06 AL 10-06-2022</t>
  </si>
  <si>
    <t>ANDRES TIRIA</t>
  </si>
  <si>
    <t>GONZALO GARCIA</t>
  </si>
  <si>
    <t xml:space="preserve">CAMBIO DE PUNTA DE EJE </t>
  </si>
  <si>
    <t>JULIAN BUITRIAGO</t>
  </si>
  <si>
    <t>VALE YERIBETH</t>
  </si>
  <si>
    <t>JOSE LEON</t>
  </si>
  <si>
    <t>KIAT PICANTO</t>
  </si>
  <si>
    <t>IVX-095</t>
  </si>
  <si>
    <t>BAJAR CAJA -REPARACION CAJA</t>
  </si>
  <si>
    <t>BEA-803</t>
  </si>
  <si>
    <t>CAMBIO DE BOMBILLOS Y PACHAS</t>
  </si>
  <si>
    <t>Columna1</t>
  </si>
  <si>
    <t>RM:342</t>
  </si>
  <si>
    <t>EDGAR LAGO</t>
  </si>
  <si>
    <t>SQI-851</t>
  </si>
  <si>
    <t>CAMBIO DE DISCO DE CLOSH</t>
  </si>
  <si>
    <t>FE: 331</t>
  </si>
  <si>
    <t>DOMICILIO DESVARE</t>
  </si>
  <si>
    <t>CAMBIO DE GUAYA DE CLOSH</t>
  </si>
  <si>
    <t>RM:345</t>
  </si>
  <si>
    <t>SPRINT CITROEN</t>
  </si>
  <si>
    <t>CAMBIO DE DISCOS -PUNTAS-RODAMIENTOS</t>
  </si>
  <si>
    <t>RM:344</t>
  </si>
  <si>
    <t>EBER OSORIO</t>
  </si>
  <si>
    <t>BAY-545</t>
  </si>
  <si>
    <t>CAMBIO DE PASTILLAS DELANTERAS, REVISAR TRASERAS, CAMBIO DE MANGUERA DELANTERA DERECHA</t>
  </si>
  <si>
    <t>RM: 346</t>
  </si>
  <si>
    <t>FE: 314</t>
  </si>
  <si>
    <t>FE:333</t>
  </si>
  <si>
    <t>VOLKWAGEN</t>
  </si>
  <si>
    <t>CAMBIO DE RETENEDOR EXTERNO</t>
  </si>
  <si>
    <t>FE:334</t>
  </si>
  <si>
    <t>BBL-523</t>
  </si>
  <si>
    <t>RM:348</t>
  </si>
  <si>
    <t>ARREGLO MARCO DE PUERTA</t>
  </si>
  <si>
    <t>RM:347</t>
  </si>
  <si>
    <t>VICTOR DELGADO</t>
  </si>
  <si>
    <t>MANTENIMIENTO RACHE DE FRENOS</t>
  </si>
  <si>
    <t>PEDRO</t>
  </si>
  <si>
    <t>AIRPLUS</t>
  </si>
  <si>
    <t>TTZ-926</t>
  </si>
  <si>
    <t>CLEMENTO SIERRA</t>
  </si>
  <si>
    <t>TJX-795</t>
  </si>
  <si>
    <t xml:space="preserve">GRADUAR FRENOS </t>
  </si>
  <si>
    <t>JUAN SARMIENTO</t>
  </si>
  <si>
    <t>SCH-028</t>
  </si>
  <si>
    <t>CAMBIO DE DIAFRAGMA DE FRENOS</t>
  </si>
  <si>
    <t>WILLIAN CASTRO</t>
  </si>
  <si>
    <t>MERCEDEZ</t>
  </si>
  <si>
    <t>SKP-121</t>
  </si>
  <si>
    <t>JULIO SOLANO</t>
  </si>
  <si>
    <t>LAF-512</t>
  </si>
  <si>
    <t>REVISION RUEDA DEL. DERECHA</t>
  </si>
  <si>
    <t xml:space="preserve">ESCANEO RENY </t>
  </si>
  <si>
    <t>CARLOS DAZA</t>
  </si>
  <si>
    <t>BMW</t>
  </si>
  <si>
    <t>CYI-951</t>
  </si>
  <si>
    <t>REVISION</t>
  </si>
  <si>
    <t>MATTO CAMARA COMPRESOR</t>
  </si>
  <si>
    <t>DANIEL ROJA</t>
  </si>
  <si>
    <t>TDL-313</t>
  </si>
  <si>
    <t>GRADUAR FRENOS, CAMBIO RACHE</t>
  </si>
  <si>
    <t>BAJAR FRENO DE AHOGO</t>
  </si>
  <si>
    <t>CALIBRAR VALVULAS / BAJAR INYECTORES</t>
  </si>
  <si>
    <t>FREDY CANTOR</t>
  </si>
  <si>
    <t>TLZ-486</t>
  </si>
  <si>
    <t>DOMICILIO, SERVICIO DE ESCANER</t>
  </si>
  <si>
    <t>BUI-036</t>
  </si>
  <si>
    <t>CAMBIO DE PASTILLAS DELANTERAS Y TRASERAS/KIT DE LIGAS/RETENEDORES/LIQUIDO/EMPAQUETADURA SUAVIZADOR</t>
  </si>
  <si>
    <t>VICTOR MANUEL NIÑO</t>
  </si>
  <si>
    <t>CH-STEEM</t>
  </si>
  <si>
    <t>BLQ-578</t>
  </si>
  <si>
    <t>CAMBIO DE KIT DE RESPARTICION Y CORREA DE ACCESORIO</t>
  </si>
  <si>
    <t>REVISION COMPLETA DE FRENOS. SUAVIZAR MORDAZAS-CAMBIO DE LIQUIDO</t>
  </si>
  <si>
    <t>TATIANA ZAMUDIO</t>
  </si>
  <si>
    <t>PEGEOUT 106</t>
  </si>
  <si>
    <t>REPARACION MOTOR</t>
  </si>
  <si>
    <t>CAROLINA</t>
  </si>
  <si>
    <t>BAJAR TIJERAS Y AXIAL</t>
  </si>
  <si>
    <t>EMELSON HENAO</t>
  </si>
  <si>
    <t>BFO-815</t>
  </si>
  <si>
    <t>SINCRONIZADA, CAMBIO DE PATIN, BUJIAS, CORREA Y TAPON MOTOR</t>
  </si>
  <si>
    <t>YESI RODRIGUEZ</t>
  </si>
  <si>
    <t>CH SAIL</t>
  </si>
  <si>
    <t>CAMBIO DE BRAZOS AXIALES</t>
  </si>
  <si>
    <t>OSCAR RODRIGUEZ</t>
  </si>
  <si>
    <t>CAMBIO DE BOMBA DE AGUA, CAMBIO DE CORREA DE REP</t>
  </si>
  <si>
    <t>ANGELA CORREDOR</t>
  </si>
  <si>
    <t>RM-1-6</t>
  </si>
  <si>
    <t>FE: 10</t>
  </si>
  <si>
    <t>INTERCON</t>
  </si>
  <si>
    <t>KENWOERTH</t>
  </si>
  <si>
    <t>XLD-472</t>
  </si>
  <si>
    <t>MEDIR COMPRESION</t>
  </si>
  <si>
    <t>RM:1-8</t>
  </si>
  <si>
    <t>PIEDAD OSORIO</t>
  </si>
  <si>
    <t>CHEVROLET CORSA</t>
  </si>
  <si>
    <t>BHP-482</t>
  </si>
  <si>
    <t>RM 1-9</t>
  </si>
  <si>
    <t>NICOLAS AVENDAÑO</t>
  </si>
  <si>
    <t>MFT-152</t>
  </si>
  <si>
    <t>FORD SPACE</t>
  </si>
  <si>
    <t xml:space="preserve">REVISION DE FRENOS </t>
  </si>
  <si>
    <t>YONATHAN ERAZO</t>
  </si>
  <si>
    <t>CAMBIO DEPASTILLAS DE FRENOS</t>
  </si>
  <si>
    <t>RM: 10</t>
  </si>
  <si>
    <t>FAS: 11</t>
  </si>
  <si>
    <t>CAMBIO DE CORREA</t>
  </si>
  <si>
    <t>RNS-176</t>
  </si>
  <si>
    <t>REVISION DE FRENOS COMPLETO, CAMBIO DE LIQUIDO, CAMBIO DE BOMBILLO</t>
  </si>
  <si>
    <t>RM:1-14</t>
  </si>
  <si>
    <t>PAOLA CALDERON</t>
  </si>
  <si>
    <t>CVR-058</t>
  </si>
  <si>
    <t>RM: 16</t>
  </si>
  <si>
    <t>CAPTIVA</t>
  </si>
  <si>
    <t>DHP-439</t>
  </si>
  <si>
    <t>CAMBIO DE RODAMIENTOS DELANTERO IZQ</t>
  </si>
  <si>
    <t>FE:12 RM: 15</t>
  </si>
  <si>
    <t>LUIS FERNANDO OLARTE</t>
  </si>
  <si>
    <t>AGD-224</t>
  </si>
  <si>
    <t>CAMBIO DE LIQUIDO, REVISION COMPLETO, CAMBIO DE PASTILALS DELANTERAS Y TRASERAS</t>
  </si>
  <si>
    <t>OMAIRA RINCON</t>
  </si>
  <si>
    <t>CHINA</t>
  </si>
  <si>
    <t>SPL-874</t>
  </si>
  <si>
    <t>NCM-147</t>
  </si>
  <si>
    <t>REVISION DE TRASERAS Y CAMBIO DE GRADUACION DE FRENOS</t>
  </si>
  <si>
    <t>WILLIAMS TORREZ</t>
  </si>
  <si>
    <t>RM:17</t>
  </si>
  <si>
    <t>BIJ-394</t>
  </si>
  <si>
    <t>REPARACION PARCIAL DE MOTOR</t>
  </si>
  <si>
    <t>RIT-880</t>
  </si>
  <si>
    <t xml:space="preserve">SINCRONIZADA </t>
  </si>
  <si>
    <t>INSTALACION DE PITOS</t>
  </si>
  <si>
    <t>JOVANNY AYALA</t>
  </si>
  <si>
    <t>EUGENIO CASTILLO</t>
  </si>
  <si>
    <t>BMR-478</t>
  </si>
  <si>
    <t>MITSUBISHI MONTERO</t>
  </si>
  <si>
    <t>RM:18</t>
  </si>
  <si>
    <t>JULIO CARO</t>
  </si>
  <si>
    <t>HIUNDAY TUCSON</t>
  </si>
  <si>
    <t>CWK-872</t>
  </si>
  <si>
    <t xml:space="preserve">MATTO GENERAL DE FRENOS </t>
  </si>
  <si>
    <t>GSZ-853</t>
  </si>
  <si>
    <t xml:space="preserve">CAMBIO DE PASTILLAS DELANTERAS Y GRADUACION </t>
  </si>
  <si>
    <t>INDELCO</t>
  </si>
  <si>
    <t>STX-753</t>
  </si>
  <si>
    <t>SEMANA DEL 18-06 AL 24-06-2022</t>
  </si>
  <si>
    <t>RAFAEL BUENO</t>
  </si>
  <si>
    <t xml:space="preserve">MITSUBISHI </t>
  </si>
  <si>
    <t>GND-172</t>
  </si>
  <si>
    <t>CAMBIO DE CAUCHO -BARILLA ESTABILIZADORA/ AJUSTE DE TIJERAS</t>
  </si>
  <si>
    <t>RDT-290</t>
  </si>
  <si>
    <t>KIAT SORENTO</t>
  </si>
  <si>
    <t>RICARDO CORREA</t>
  </si>
  <si>
    <t>SUSPENSION DEL Y TRASERA</t>
  </si>
  <si>
    <t>CAMBIO DE SUAVIZADOR</t>
  </si>
  <si>
    <t>CMF-783</t>
  </si>
  <si>
    <t>MONTAR CAJA DE DIRECCION</t>
  </si>
  <si>
    <t>RM:19  FE-:13</t>
  </si>
  <si>
    <t>HERNAN RODRIGUEZ</t>
  </si>
  <si>
    <t>KLK-079</t>
  </si>
  <si>
    <t>CAMBIO DE PASTILLAS DELANTERAS Y TRASERAS / CAMBIO DE DISCOS TRASEROS-CAMBIO DE LIQUIDO</t>
  </si>
  <si>
    <t>MADERAS Y EQUIPOS CHIA</t>
  </si>
  <si>
    <t>SSX-919</t>
  </si>
  <si>
    <t>BAJAR RUEDA TRASERA-CAMBIO DE ESPARRAGO</t>
  </si>
  <si>
    <t>BSF</t>
  </si>
  <si>
    <t>RM:22</t>
  </si>
  <si>
    <t>JULIO DUARTE</t>
  </si>
  <si>
    <t>BVW-614</t>
  </si>
  <si>
    <t>REVISION DE FRENOS, CAMBIO DE LIQUIDO</t>
  </si>
  <si>
    <t>BZI-440</t>
  </si>
  <si>
    <t>CAMBIO DE PASTILLAS Y CHUPAS</t>
  </si>
  <si>
    <t>TOYOTA98</t>
  </si>
  <si>
    <t>CHEVROLET -SPARK</t>
  </si>
  <si>
    <t>NELSON CALDERON</t>
  </si>
  <si>
    <t>FIAAT-750</t>
  </si>
  <si>
    <t>ALI-167</t>
  </si>
  <si>
    <t>AJUSTE DE SUSPENSION</t>
  </si>
  <si>
    <t>SERVICIO DE MONTALLANTA</t>
  </si>
  <si>
    <t>GRADUAR FRENOS1</t>
  </si>
  <si>
    <t>JHON LEAL</t>
  </si>
  <si>
    <t>VFE-665</t>
  </si>
  <si>
    <t>BAJAR RUEDA, GRADUAR FRENOS, CAMBIO DE BANDAS</t>
  </si>
  <si>
    <t>NELSON REYES</t>
  </si>
  <si>
    <t>ABQ-648</t>
  </si>
  <si>
    <t>GRADUAR TRASERAS</t>
  </si>
  <si>
    <t>MARCO OVALLES</t>
  </si>
  <si>
    <t>CH ISUZU</t>
  </si>
  <si>
    <t>CAMBIO DE DIAFRAGMA /GRADUAR FRENOS</t>
  </si>
  <si>
    <t>GABRIEL RODRIGUEZ</t>
  </si>
  <si>
    <t>RKL-893</t>
  </si>
  <si>
    <t>CAMBIO DE TOPES DE AMORTIGUADOR CON RODAMIENTOS</t>
  </si>
  <si>
    <t>NELSON CASTILLO</t>
  </si>
  <si>
    <t>VOLKSWAGEN AMARO</t>
  </si>
  <si>
    <t>HJV-493</t>
  </si>
  <si>
    <t>CAMBIO DE BANDAS TRASERAS</t>
  </si>
  <si>
    <t>IJL-688</t>
  </si>
  <si>
    <t>BORIS LEON</t>
  </si>
  <si>
    <t>WLQ-582</t>
  </si>
  <si>
    <t xml:space="preserve">BAJAR TANQUE DE COMBUSTIBLE </t>
  </si>
  <si>
    <t>CAMBIO DE CAUCHO BARRA ESTABILIZADORA</t>
  </si>
  <si>
    <t>YANURI SIMACO</t>
  </si>
  <si>
    <t>CAMBIO DE AMORTIGUADORES DELANTEROS  Y SOPORTES CON ROD.</t>
  </si>
  <si>
    <t>ALMACENES LISTA</t>
  </si>
  <si>
    <t>RENAULT KANGU</t>
  </si>
  <si>
    <t>CYA-044</t>
  </si>
  <si>
    <t>REPARAR CAJA</t>
  </si>
  <si>
    <t>SPARK VERDE</t>
  </si>
  <si>
    <t>REPARAR CAJA Y CAMBIO DE GUAYA SELECRTORA</t>
  </si>
  <si>
    <t>GNO-136</t>
  </si>
  <si>
    <t>REVISAR REPARTICION/ AJUSTE DE VALVULAS/BAJAR CARTER</t>
  </si>
  <si>
    <t>FE:22</t>
  </si>
  <si>
    <t>INVERSIONES RED</t>
  </si>
  <si>
    <t>SKK-778</t>
  </si>
  <si>
    <t>CAMBIO DE CAMARA TRASERA</t>
  </si>
  <si>
    <t>/ AJUSTE SOPORTE DE MOTOR</t>
  </si>
  <si>
    <t>RM:38</t>
  </si>
  <si>
    <t>ORLANDO MORENO</t>
  </si>
  <si>
    <t>BVC-887</t>
  </si>
  <si>
    <t>DISTRIELEC</t>
  </si>
  <si>
    <t>TSW-067</t>
  </si>
  <si>
    <t>ARREGLO DE FRENO DE AHOGO Y RETENEDOR DE CUPLIN</t>
  </si>
  <si>
    <t>RM:37</t>
  </si>
  <si>
    <t>DARIO SOLER</t>
  </si>
  <si>
    <t>ZYW-305</t>
  </si>
  <si>
    <t>GRUAS JB</t>
  </si>
  <si>
    <t>RJX-226</t>
  </si>
  <si>
    <t>MIGUEL BASTISTA</t>
  </si>
  <si>
    <t>SAPRK</t>
  </si>
  <si>
    <t>DCP-334</t>
  </si>
  <si>
    <t>CAMBIO DE AMORTIGUADOR Y GUARDAPOLVO  Y CAMBIO DE PERA</t>
  </si>
  <si>
    <t>OPTRA</t>
  </si>
  <si>
    <t>BAJAR CULATA</t>
  </si>
  <si>
    <t>HENRY BENAVIDEZ</t>
  </si>
  <si>
    <t>BLT-506</t>
  </si>
  <si>
    <t>CAMBIO DE RETENEDOR COPA CAJA</t>
  </si>
  <si>
    <t>SEMANA DEL 25-06 AL 02-07-2022</t>
  </si>
  <si>
    <t>CHEQUEO</t>
  </si>
  <si>
    <t xml:space="preserve">DESCUENTO </t>
  </si>
  <si>
    <t>CAMBIO DE BUJIAS</t>
  </si>
  <si>
    <t>MANUEL BARRIGA</t>
  </si>
  <si>
    <t>RM-44</t>
  </si>
  <si>
    <t>SAC-324</t>
  </si>
  <si>
    <t>CAMBIO DE ESPARRAGOS TRASERO DER.</t>
  </si>
  <si>
    <t>RM:45</t>
  </si>
  <si>
    <t>EDELMIRA BRIJALDO</t>
  </si>
  <si>
    <t>UGT-472</t>
  </si>
  <si>
    <t>YOVANNY AYALA</t>
  </si>
  <si>
    <t>FORD EDGE</t>
  </si>
  <si>
    <t>MANTENIMIENTO DE RUEDAS TRASERAS</t>
  </si>
  <si>
    <t>RM:48</t>
  </si>
  <si>
    <t>LUV84</t>
  </si>
  <si>
    <t>CAMBIO DE BUJES DE TIJERA, ROTULAS Y CALIPER</t>
  </si>
  <si>
    <t>KIQ-477</t>
  </si>
  <si>
    <t>FE:28</t>
  </si>
  <si>
    <t>BAJAR DELANTERAS, GRADUAR FRENOS</t>
  </si>
  <si>
    <t>RM:51</t>
  </si>
  <si>
    <t>JAIME CASALLAS</t>
  </si>
  <si>
    <t>FAR-619</t>
  </si>
  <si>
    <t>RM:50</t>
  </si>
  <si>
    <t>VICTOR NIÑO</t>
  </si>
  <si>
    <t>CHEVROLET STEEM</t>
  </si>
  <si>
    <t>ALEJANDRO ALONSO</t>
  </si>
  <si>
    <t>BWK-081</t>
  </si>
  <si>
    <t>SPARK CRONOS</t>
  </si>
  <si>
    <t>RM:49</t>
  </si>
  <si>
    <t>CID-675</t>
  </si>
  <si>
    <t>CAMBIO DE KIT DE CLOSH, BASE SOPORTE MOTOR Y CAJA/ BRAZOS AXIALES</t>
  </si>
  <si>
    <t>NELSON ROBAYO</t>
  </si>
  <si>
    <t>RHV-707</t>
  </si>
  <si>
    <t>REVISION DE RUEDAS TRASERAS</t>
  </si>
  <si>
    <t>CRISTIAN DIAZ</t>
  </si>
  <si>
    <t>CAMBIO DE BUJES DE AMORTIGUADORES Y PASADORES DE MORDAZA</t>
  </si>
  <si>
    <t>GRD-869</t>
  </si>
  <si>
    <t>JUAN CARLOS GORDO</t>
  </si>
  <si>
    <t>CIF-839</t>
  </si>
  <si>
    <t>RECALZAR BANDAS</t>
  </si>
  <si>
    <t>JUAN SANTANA</t>
  </si>
  <si>
    <t>CAMBIO DE BUJES DE MUÑECO</t>
  </si>
  <si>
    <t>RM: 55</t>
  </si>
  <si>
    <t xml:space="preserve">LICETH TRIANA </t>
  </si>
  <si>
    <t>RDR-398</t>
  </si>
  <si>
    <t>JAIRO GALVIS</t>
  </si>
  <si>
    <t>ARJ-539</t>
  </si>
  <si>
    <t>REVISION DE RUEDAS TRASERAS Y CAMBIO DE BANDAS FRENO DE MANO</t>
  </si>
  <si>
    <t>CHE-148</t>
  </si>
  <si>
    <t>ROTACION D RUEDA</t>
  </si>
  <si>
    <t>RM:43</t>
  </si>
  <si>
    <t>VICTOR ESCOBAR</t>
  </si>
  <si>
    <t>CIC-079</t>
  </si>
  <si>
    <t xml:space="preserve">CAMBIO DE KIT DE EMBRAGUE Y PUNTA DE JE </t>
  </si>
  <si>
    <t>BAJAR CAJA -REPARACION CAJA- CAMBIO DE KIT DE EMBRAGUE</t>
  </si>
  <si>
    <t>SEMANA DEL 02-07 AL 08-07-2022</t>
  </si>
  <si>
    <t>LUIS RAMOS</t>
  </si>
  <si>
    <t>QFW-226</t>
  </si>
  <si>
    <t>GARDUAR FRENOS/ PULGAR</t>
  </si>
  <si>
    <t>FE: 37</t>
  </si>
  <si>
    <t>MONGIBELLO</t>
  </si>
  <si>
    <t>HGT-339</t>
  </si>
  <si>
    <t>CAMBIO DE LIMITADOR DE FRENOS</t>
  </si>
  <si>
    <t>REVISION RUEDA DELANTERA IZQ/ CAMBIO DE BUJES MARTILLO</t>
  </si>
  <si>
    <t>KIA RIO</t>
  </si>
  <si>
    <t>HSO-369</t>
  </si>
  <si>
    <t>CAMBIO DE BOBINA</t>
  </si>
  <si>
    <t>RODRIGO MANTILLA</t>
  </si>
  <si>
    <t>FE: 36</t>
  </si>
  <si>
    <t>GRUPO RED</t>
  </si>
  <si>
    <t>FBF-843</t>
  </si>
  <si>
    <t>BAJAR RUEDA TRASERA DERECHA Y REMACHAR BANDAS</t>
  </si>
  <si>
    <t>FE:34</t>
  </si>
  <si>
    <t>COMERCIALIZADORA AKESAN</t>
  </si>
  <si>
    <t>JKV-527</t>
  </si>
  <si>
    <t>CAMBIO DE BANDAS DELANTERAS Y TRASERAS /GRADUAR FRENOS/ELECTRICIDAD</t>
  </si>
  <si>
    <t>EDWIN SABALA</t>
  </si>
  <si>
    <t>BKM-861</t>
  </si>
  <si>
    <t>ENCENDIDO DE ARRANQUE, CAMBIO DE FUSIBLE DE ALTA (SR JOSE LUIS)</t>
  </si>
  <si>
    <t>GRUAS CHIA</t>
  </si>
  <si>
    <t>GRUAS</t>
  </si>
  <si>
    <t>SPM-361</t>
  </si>
  <si>
    <t>MANTENIMIENTO CONVERTIDOR DE FRENO</t>
  </si>
  <si>
    <t>BAJAR CAJA DE DIRECCION/ SINCRONIZACION/ CAMBIO DE MUÑECOS/ BUJES DE MUELLES/ CAMBIO DE TIJERA DELANTERA IZQ/ CAMBIO DE GUARADA POLVO DE AMORTIGUADORES/ CAMBIO DE CORREA DE ACCESORIO</t>
  </si>
  <si>
    <t>ALFONSO IRREA</t>
  </si>
  <si>
    <t xml:space="preserve">NISSAN </t>
  </si>
  <si>
    <t>APA-345</t>
  </si>
  <si>
    <t xml:space="preserve">CAMBIO DE CILINDRO TRASERO IZQ Y RODAMIENTO </t>
  </si>
  <si>
    <t>LUIS MORA</t>
  </si>
  <si>
    <t>FXU-768</t>
  </si>
  <si>
    <t>RM: 67</t>
  </si>
  <si>
    <t>MANTENIMEINTO DE FRENOS COMPLETO / CAMBIO DE BUJES PUENTE TRASERO</t>
  </si>
  <si>
    <t>RM: 68</t>
  </si>
  <si>
    <t>REVISION DE FRENOS /ARREGLO FRENO DE MANO</t>
  </si>
  <si>
    <t>DANIEL AGUDELO</t>
  </si>
  <si>
    <t>SKN-801</t>
  </si>
  <si>
    <t>MANTENIMIENTO DELANTERO IZQ Y TRASERO</t>
  </si>
  <si>
    <t>JUAN MANUEL RODRIGUEZ</t>
  </si>
  <si>
    <t>IJP-664</t>
  </si>
  <si>
    <t>CAMBIO DE ESPARRAGO DELANTERO</t>
  </si>
  <si>
    <t>CES RED</t>
  </si>
  <si>
    <t>NNR</t>
  </si>
  <si>
    <t>WOT-313</t>
  </si>
  <si>
    <t>NICOLA SUAREZ</t>
  </si>
  <si>
    <t>KEW-765</t>
  </si>
  <si>
    <t>REVISION DE FRENOS/ CAMBIO DE GRADUACION DE FRENOS</t>
  </si>
  <si>
    <t>BJW-299</t>
  </si>
  <si>
    <t>REVISION DE PASTILLAS</t>
  </si>
  <si>
    <t>OMAR PÈREZ</t>
  </si>
  <si>
    <t>CEM-910</t>
  </si>
  <si>
    <t>CAMBIO DE RODAMIENTOS DELANTEROS</t>
  </si>
  <si>
    <t>REVISION DE RUEDAS DELANTERAS/ BAJAR RUEDAS</t>
  </si>
  <si>
    <t>CAMBIO DE BUJES DE TEMPLETES/ AJUSTE BARRA DE CAMBIOS</t>
  </si>
  <si>
    <t>MIGUEL ARANGO</t>
  </si>
  <si>
    <t>ZZT-645</t>
  </si>
  <si>
    <t>FE:39 / RM:71</t>
  </si>
  <si>
    <t>ROCIO VELOSA</t>
  </si>
  <si>
    <t>CIV-349</t>
  </si>
  <si>
    <t xml:space="preserve">MANTENIMIENTO COMPLETO / CAMBIO DE LIQUIDO </t>
  </si>
  <si>
    <t>HENRRY BENVIDEZ</t>
  </si>
  <si>
    <t>CH ALTO</t>
  </si>
  <si>
    <t>REPARACION DE COMPACTO</t>
  </si>
  <si>
    <t>RM:72</t>
  </si>
  <si>
    <t>EDWIN BALLESTEROS</t>
  </si>
  <si>
    <t>FORD 350</t>
  </si>
  <si>
    <t>ZIH-549</t>
  </si>
  <si>
    <t>ENGRASE DE RODAMIENTOS DELANTEROS  Y TRASEROS</t>
  </si>
  <si>
    <t>LUIS FORERO</t>
  </si>
  <si>
    <t>JSL-848</t>
  </si>
  <si>
    <t>APAGAR BOMBILLO ABS</t>
  </si>
  <si>
    <t>JOSE BENITEZ</t>
  </si>
  <si>
    <t>TDK-899</t>
  </si>
  <si>
    <t>CAMBIO DE CAMARA DE FRENOS</t>
  </si>
  <si>
    <t>CAMBIO DE SOPORTE DE LA CAJA Y CAMBIO DE TIJERA</t>
  </si>
  <si>
    <t>CAMBIO DE GUAYA DE ACELERACION</t>
  </si>
  <si>
    <t>SEMANA DEL 09-07 AL 15-07-2022</t>
  </si>
  <si>
    <t>WGA-523</t>
  </si>
  <si>
    <t>INSTALACION DE CORNETA DE AIRE</t>
  </si>
  <si>
    <t>CVZ-365</t>
  </si>
  <si>
    <t>ARREGLO CABLE DE BATERIA</t>
  </si>
  <si>
    <t xml:space="preserve">DIFERENCIA IVA </t>
  </si>
  <si>
    <t>IV COMPRA</t>
  </si>
  <si>
    <t xml:space="preserve">VENTA </t>
  </si>
  <si>
    <t xml:space="preserve">IVA VENTA </t>
  </si>
  <si>
    <t>GANACIA  REPUESTOS</t>
  </si>
  <si>
    <t xml:space="preserve">CAMBIO DE SOPORTE </t>
  </si>
  <si>
    <t>RM:85</t>
  </si>
  <si>
    <t>JORGE CAMERO</t>
  </si>
  <si>
    <t>QAJ-383</t>
  </si>
  <si>
    <t>MATTO TRASERO-CAMBIO DE CHUPAS</t>
  </si>
  <si>
    <t>CAMBIO DE SWICHERA</t>
  </si>
  <si>
    <t>CAMBIO DE CHUPAS BOMBA</t>
  </si>
  <si>
    <t>CHUPAS /CHUPAS BOMBA</t>
  </si>
  <si>
    <t>JULIO MARTINEZ</t>
  </si>
  <si>
    <t>KFW-978</t>
  </si>
  <si>
    <t>LUIS BRITO / SAID VASQUEZ</t>
  </si>
  <si>
    <t>CAMBIO DE BUJES DE TIJERA Y MUÑECO</t>
  </si>
  <si>
    <t>OSCAR RANGEL</t>
  </si>
  <si>
    <t>LUIS BRITO/SAID VASQUEZ</t>
  </si>
  <si>
    <t>MUÑECO</t>
  </si>
  <si>
    <t>RM-87</t>
  </si>
  <si>
    <t>YOLMAN RAMIREZ</t>
  </si>
  <si>
    <t>IHK-998</t>
  </si>
  <si>
    <t>LUIS B/ SAID VASQUEZ</t>
  </si>
  <si>
    <t>CAMBIO DE LIQUIDO / MATTO DE FRENOS COMPLETO</t>
  </si>
  <si>
    <t>REFRIGERANTE, LIQUIDO DOT4, TPA TANQUE DE AGUA</t>
  </si>
  <si>
    <t>ALFONSO SUAREZ</t>
  </si>
  <si>
    <t>IVR-442</t>
  </si>
  <si>
    <t>AJUSTE FRENO DE MANO</t>
  </si>
  <si>
    <t>ANGHELO CUICAS /JAVIER BRIÑE</t>
  </si>
  <si>
    <t>OHK-3580</t>
  </si>
  <si>
    <t>OLIVIOLETA ALIERDO</t>
  </si>
  <si>
    <t>NER-493</t>
  </si>
  <si>
    <t xml:space="preserve">CAMBIO DE BOMBA DE AGUA </t>
  </si>
  <si>
    <t>ARR-520</t>
  </si>
  <si>
    <t>BAJAR TANQUE DE GASOLINA/* CAMBIAR PILA</t>
  </si>
  <si>
    <t>JOSE IGNACIO OSPINA</t>
  </si>
  <si>
    <t>FE:45</t>
  </si>
  <si>
    <t>BR MULTIGROUP</t>
  </si>
  <si>
    <t>TGK-884</t>
  </si>
  <si>
    <t>LUIS BRITO/ SAID VASQUEZ</t>
  </si>
  <si>
    <t>CAMBIO DE PASTILLAS / BANDAS Y MUÑECOS/ MTTO DE RODAMIENTOS/ CAMBIO DE LIQUIDO</t>
  </si>
  <si>
    <t xml:space="preserve">BANDAS, JUEGO DE BANDAS, MUÑECOS, LIQUIDO </t>
  </si>
  <si>
    <t>Columna2</t>
  </si>
  <si>
    <t>FE:44 / RM: 89</t>
  </si>
  <si>
    <t>PAULA CALDERON</t>
  </si>
  <si>
    <t>BUJES DE TIJERA , GP, MUÑECOS, ROTULAS, BARRA , TERMINALES, GRASA , GSAOLINA</t>
  </si>
  <si>
    <t>CQU-295</t>
  </si>
  <si>
    <t>KLN-923</t>
  </si>
  <si>
    <t>CAMBIO CAUCHO AMORTIGUADOR</t>
  </si>
  <si>
    <t>CAMBIO DE AMORTIGUADOR</t>
  </si>
  <si>
    <t>LUIS ALBERTO FORERO</t>
  </si>
  <si>
    <t>KUS-158</t>
  </si>
  <si>
    <t xml:space="preserve">VARIOS </t>
  </si>
  <si>
    <t>DEPOSITOS MADERA</t>
  </si>
  <si>
    <t>ISUZU NPR</t>
  </si>
  <si>
    <t>JOSE LUIS ELECTRICISTA</t>
  </si>
  <si>
    <t>ANGHELO</t>
  </si>
  <si>
    <t>JAVIER SASTOQUE</t>
  </si>
  <si>
    <t>BAJAR BOMBA</t>
  </si>
  <si>
    <t>CAMBIO DE VALVULA RELAY DE FRENOS</t>
  </si>
  <si>
    <t>EMPAQUETADURA RELAY</t>
  </si>
  <si>
    <t>SAID VASQUEZ/ LUIS BRITO</t>
  </si>
  <si>
    <t>MTTO DE RUEDAS</t>
  </si>
  <si>
    <t>ANGHELO CUICAS/JAVIER BRIÑE</t>
  </si>
  <si>
    <t>ANA MARIA ARIAS</t>
  </si>
  <si>
    <t>SWITCH</t>
  </si>
  <si>
    <t>BJE-733</t>
  </si>
  <si>
    <t>PILA DE GASOLINA/FILTRO DE GASOLINA</t>
  </si>
  <si>
    <t>PILA DE GASOLINA, FILTRO</t>
  </si>
  <si>
    <t>DAVID SARMIENTO</t>
  </si>
  <si>
    <t>BKD-264</t>
  </si>
  <si>
    <t>CAMBIO DE PASADOR DE MORDAZA</t>
  </si>
  <si>
    <t>CLAUDIA ANDERSON</t>
  </si>
  <si>
    <t>RLT-994</t>
  </si>
  <si>
    <t>ALTERNADOR</t>
  </si>
  <si>
    <t>SEMANA DEL 16-07 AL 22-07-2022</t>
  </si>
  <si>
    <t>REPARACION DE MOTOR, CEPILLAR CULATA</t>
  </si>
  <si>
    <t>CAMBIO BUJES MUELLES Y REVISAR CARDANES</t>
  </si>
  <si>
    <t>ASESORES EN SEGUROS</t>
  </si>
  <si>
    <t>SOPORTE DE MUELLES</t>
  </si>
  <si>
    <t>BJV-293</t>
  </si>
  <si>
    <t>FORD 97</t>
  </si>
  <si>
    <t>CEN-995</t>
  </si>
  <si>
    <t>CAMBIO DE TAPON</t>
  </si>
  <si>
    <t>GARANTIA</t>
  </si>
  <si>
    <t>ANTONIO VACA</t>
  </si>
  <si>
    <t>JOW-000</t>
  </si>
  <si>
    <t>4 BUJIAS</t>
  </si>
  <si>
    <t>RM-95</t>
  </si>
  <si>
    <t>RM-98</t>
  </si>
  <si>
    <t>JOSE AREVALO</t>
  </si>
  <si>
    <t>CAMBIO DE CILINDRO TRASERO DER</t>
  </si>
  <si>
    <t>CILINDRO</t>
  </si>
  <si>
    <t>EDWIN FINO</t>
  </si>
  <si>
    <t>FURGON</t>
  </si>
  <si>
    <t>WPR-693</t>
  </si>
  <si>
    <t>COLOCAR UNION</t>
  </si>
  <si>
    <t>UNION</t>
  </si>
  <si>
    <t>FE:47</t>
  </si>
  <si>
    <t>JUAN ANDRES CAMERO</t>
  </si>
  <si>
    <t>MPQ-345</t>
  </si>
  <si>
    <t>CAMBIO DE AMORTIGUADORES/ BUJES DE TIJERA/ TERMINAL DE DIRECCION, SOPORTE DE AMORTIGUADOR</t>
  </si>
  <si>
    <t>TERMINALES DE DIRECCION, AMORTIGUADORES, RODAMIENTO DE SOPORTE, BUJES DE TIJERA, GRASA, TEXAMATI</t>
  </si>
  <si>
    <t>WOW-425</t>
  </si>
  <si>
    <t>GRADUACION DE FRENOS/GRADUACION FRENO DE MANO</t>
  </si>
  <si>
    <t>KNC-593</t>
  </si>
  <si>
    <t>VOLSWGEN</t>
  </si>
  <si>
    <t>RM_100</t>
  </si>
  <si>
    <t>WILLIAM VCASTAÑEDA</t>
  </si>
  <si>
    <t>BZX-814</t>
  </si>
  <si>
    <t>SINCRONIZACION/ MTTO FRENOS/ CAMBIO DE DISCOS</t>
  </si>
  <si>
    <t>FE:48</t>
  </si>
  <si>
    <t>CORRECICABLE LTDA</t>
  </si>
  <si>
    <t>REVISION DE FRENOS, MTTO DE FRENOS</t>
  </si>
  <si>
    <t>BANDAS, CHUPAS, LIQUIDO</t>
  </si>
  <si>
    <t>EDISON ROBAYO</t>
  </si>
  <si>
    <t>GNU-483</t>
  </si>
  <si>
    <t>CZN-000</t>
  </si>
  <si>
    <t>FSX-102</t>
  </si>
  <si>
    <t>JHON CUADRADO</t>
  </si>
  <si>
    <t>MATTO DE FRENOS COMPLETO-CAMBIO DE PASTILLAS DEL/ CAMBIO DE LIQUIDO</t>
  </si>
  <si>
    <t>PASTILLAS DEL, LIQUIDO</t>
  </si>
  <si>
    <t>CXK-558</t>
  </si>
  <si>
    <t>CAMBIO DE SOPORTE DE CAJA</t>
  </si>
  <si>
    <t>FAVER NOVOA</t>
  </si>
  <si>
    <t>GRADUAR FRENOS/FRENO DE MANO</t>
  </si>
  <si>
    <t>CAMILO SOTELDO</t>
  </si>
  <si>
    <t>HBO-673</t>
  </si>
  <si>
    <t>TRE-439</t>
  </si>
  <si>
    <t>SEBASTIAN GUTIERREZ</t>
  </si>
  <si>
    <t>MPM-200</t>
  </si>
  <si>
    <t>GRADUACION FRENOS</t>
  </si>
  <si>
    <t>MATTO DE FRENOS / CAMBIO DE PASTILLAS DEL/ CAMBIO DE AMORTIGUADORES</t>
  </si>
  <si>
    <t>JAIME RUEDA</t>
  </si>
  <si>
    <t>TOYOTA TX</t>
  </si>
  <si>
    <t>UCU-083</t>
  </si>
  <si>
    <t>CAMBIO DE PASTILLAS Y DISCOS DEL Y TRASEROS</t>
  </si>
  <si>
    <t>FE: 53</t>
  </si>
  <si>
    <t>BAJAR RUEDA/GRADUACION DE FRENO</t>
  </si>
  <si>
    <t>FRANCISCO MENDOZA</t>
  </si>
  <si>
    <t>YEDDIS ACUÑA</t>
  </si>
  <si>
    <t>SEMANA DEL 23-07 AL 29-07-2022</t>
  </si>
  <si>
    <t>USB-874</t>
  </si>
  <si>
    <t>REVISION DE FRENOS COMPLETO</t>
  </si>
  <si>
    <t>VIOLETA ALIERDO</t>
  </si>
  <si>
    <t>CORREA DE AIRE ACOND</t>
  </si>
  <si>
    <t>FRANCISCO AZCARATE</t>
  </si>
  <si>
    <t>RZN-555</t>
  </si>
  <si>
    <t>ARREGLO DE SUBE VIDRIO</t>
  </si>
  <si>
    <t>TERMINALES, FUSIBLES, CABLE</t>
  </si>
  <si>
    <t>EMILIO PAEZ</t>
  </si>
  <si>
    <t>DAITHASU</t>
  </si>
  <si>
    <t>AKG-853</t>
  </si>
  <si>
    <t>DESVARE/ CHEQUEO DE ARRANQUE</t>
  </si>
  <si>
    <t>RM-109</t>
  </si>
  <si>
    <t>HUGO MARIÑO</t>
  </si>
  <si>
    <t>WCW-648</t>
  </si>
  <si>
    <t>CAMBIO DE MANGUERA Y SENSOR DE OXIGENO</t>
  </si>
  <si>
    <t>JUAN CAMERO</t>
  </si>
  <si>
    <t>GUARDAPOLVO</t>
  </si>
  <si>
    <t>RM:110 / FE: 58</t>
  </si>
  <si>
    <t>WILMER HERNANDEZ</t>
  </si>
  <si>
    <t>FNK-342</t>
  </si>
  <si>
    <t>CAMBIO DE GUAYA</t>
  </si>
  <si>
    <t xml:space="preserve">GUAYA </t>
  </si>
  <si>
    <t>ALEJANDRO ROJAS</t>
  </si>
  <si>
    <t>CAMBIO DE PASTILLAS TRASERAS</t>
  </si>
  <si>
    <t xml:space="preserve">JYR CENTRO DE ENSEÑANZA </t>
  </si>
  <si>
    <t>JEQ-870</t>
  </si>
  <si>
    <t>GZZ-2280</t>
  </si>
  <si>
    <t>CAMBIO DE FUSIBLE</t>
  </si>
  <si>
    <t>RIGOBERTO ALVARADO</t>
  </si>
  <si>
    <t>BKN-911</t>
  </si>
  <si>
    <t>CAMBIO DE PASTILLAS Y DISCO</t>
  </si>
  <si>
    <t>JUAN ACEVEDO</t>
  </si>
  <si>
    <t>EFX-747</t>
  </si>
  <si>
    <t>PATRICIA CONTRERAS</t>
  </si>
  <si>
    <t>RJS-738</t>
  </si>
  <si>
    <t>CAMBIO DE SDISCOS, PASTILLAS, BUJES, AMORTIGUADORES, BRAZOS AXIALES, MUÑECOS, TERMINALES DE DIRECCION</t>
  </si>
  <si>
    <t>DISCOS, PASTILLAS, TIJERAS, BUJES, AMORTIGUADORES, BRAZOS AXIALES, MUÑECOS, TERMINALES DE DIRECCION</t>
  </si>
  <si>
    <t>JHON CERVANTES</t>
  </si>
  <si>
    <t>REVISION DE FRENOS COMPLETO- CAMBIO DE CAMPANAS-CAMBIO DE ESPARRAGOS</t>
  </si>
  <si>
    <t>ESPARRAGOS Y TUERCA</t>
  </si>
  <si>
    <t>CH-SONIC</t>
  </si>
  <si>
    <t>HCN-571</t>
  </si>
  <si>
    <t>JUAN MANUEL RESTREPO</t>
  </si>
  <si>
    <t>IBX-943</t>
  </si>
  <si>
    <t>CAMBIO DE DISCOS DEL</t>
  </si>
  <si>
    <t>RICARDO SALGADO</t>
  </si>
  <si>
    <t>MAZDA5</t>
  </si>
  <si>
    <t>KDR-175</t>
  </si>
  <si>
    <t>MONTAR ALTERNADOR</t>
  </si>
  <si>
    <t>YEISON MARTINEZ</t>
  </si>
  <si>
    <t>RENAULT KWIO</t>
  </si>
  <si>
    <t>GSQ-417</t>
  </si>
  <si>
    <t>MATTO COMPLETO/ CAMBIO DE DISCOS, PASTILLAS, TIJERAS SOPORTE DE CAJA</t>
  </si>
  <si>
    <t xml:space="preserve">JOSE TRIANA </t>
  </si>
  <si>
    <t>PASTILLAS, DISCOS, SOPORTE DE CAJA, TIJERAS</t>
  </si>
  <si>
    <t>AGUSTIN ESPINOZA</t>
  </si>
  <si>
    <t>BANZ</t>
  </si>
  <si>
    <t>SMD-478</t>
  </si>
  <si>
    <t>CAMBIO DE RETENEDOR DE CUPLIN</t>
  </si>
  <si>
    <t>VICENTE COJO</t>
  </si>
  <si>
    <t>DXD-905</t>
  </si>
  <si>
    <t>RECALZAR BNADAS TRASERAS</t>
  </si>
  <si>
    <t>JUEGO DE BLOQUES</t>
  </si>
  <si>
    <t>IVAN LOPEZ</t>
  </si>
  <si>
    <t>RCR-206</t>
  </si>
  <si>
    <t>RM:119</t>
  </si>
  <si>
    <t>DISNY AMIN</t>
  </si>
  <si>
    <t>CAMBIO DE BUJES DE TIJERAS DEL/ CAMBIO BUJES BARRA ESTABILIZADORA</t>
  </si>
  <si>
    <t>ANDRES NIVIAYO</t>
  </si>
  <si>
    <t>XGD-673</t>
  </si>
  <si>
    <t>CAMBIO DE PASTILLAS DEL</t>
  </si>
  <si>
    <t>JAIME RODRIGUEZ</t>
  </si>
  <si>
    <t>NDQ-997</t>
  </si>
  <si>
    <t xml:space="preserve">CAMBIO DE BUJES DE TIJERA/ CAMBIO DE BRAZOS A AXIALES/ TERMINALES/ CAMBIO DE COPA CAJA </t>
  </si>
  <si>
    <t>ALEJANDRO ROMERO</t>
  </si>
  <si>
    <t>MAZDA 5</t>
  </si>
  <si>
    <t>UDL-913</t>
  </si>
  <si>
    <t>REPARACION PARCIAL MOTOR</t>
  </si>
  <si>
    <t>SEMANA DEL 30-07 AL 06/08/2022</t>
  </si>
  <si>
    <t>VICENTE OPATARROYO</t>
  </si>
  <si>
    <t>GRADAUCION DE FRENOS</t>
  </si>
  <si>
    <t>BUW-614</t>
  </si>
  <si>
    <t>YEDDIS (CADENA)</t>
  </si>
  <si>
    <t>MATTO DE ALTERNADOR Y ARRANQUE</t>
  </si>
  <si>
    <t>DBT-851</t>
  </si>
  <si>
    <t>ALVARO VARGAS</t>
  </si>
  <si>
    <t>WNN-834</t>
  </si>
  <si>
    <t>MATTO FRENO DE AHOGO</t>
  </si>
  <si>
    <t>RM:124</t>
  </si>
  <si>
    <t xml:space="preserve">CAMBIO DE PASTILLAS FRENOS DE MANO Y PASTILLAS </t>
  </si>
  <si>
    <t>RM:125</t>
  </si>
  <si>
    <t>RM:128</t>
  </si>
  <si>
    <t>FE:  63</t>
  </si>
  <si>
    <t>BAJAR MUELLES DEL IZQ, CAMBIO DE BUJES DE AMORTIGUADOR Y TIJERAS</t>
  </si>
  <si>
    <t>EDUARDO GAMBOA</t>
  </si>
  <si>
    <t>BLU-451</t>
  </si>
  <si>
    <t>CAMBIO DE PASADORES DE MORDAZA</t>
  </si>
  <si>
    <t>LORENZO FRANCO</t>
  </si>
  <si>
    <t>FJW-543</t>
  </si>
  <si>
    <t>CAMBIO DE PASTILLAS Y RECTIFICACION DE DISCOS</t>
  </si>
  <si>
    <t xml:space="preserve">RYD JARDINEROS </t>
  </si>
  <si>
    <t>TSM-325</t>
  </si>
  <si>
    <t>FE: 634</t>
  </si>
  <si>
    <t>RM: 129</t>
  </si>
  <si>
    <t>INDUSTRIAL DE ACEROS JV SAS</t>
  </si>
  <si>
    <t>TLO-471</t>
  </si>
  <si>
    <t xml:space="preserve">BUSETA </t>
  </si>
  <si>
    <t>CAMBIO DE TIJERAS-CAMBIO DE BUJES BARRA ESTABILIZADORA-BUJES DE TEMPLETES-MUÑECOS-CAMBIO DE CILINDRO DE FRENOS-LIQUIDO DE FRENO- MTTO DE FRENOS</t>
  </si>
  <si>
    <t>MANTENIMIENTO DE ARRANQUE-- MATTO DE LUCES</t>
  </si>
  <si>
    <t>CAMILO JARAMILLO</t>
  </si>
  <si>
    <t>CAMBIO DE KIT DE REPARTICION / EMPAQUE DE ADMISION /MANGUERA PURIFICADOR DE AIRE/ TAPONES DE LEVA</t>
  </si>
  <si>
    <t>KIT DE REPARTICION-EMPAQUE DE ADMISION-MANGUERA PURIFICADOR DE AIRE-TAPONES DE LEVA-GASOLINA</t>
  </si>
  <si>
    <t>PASADORES</t>
  </si>
  <si>
    <t>JIMMY GALINDO</t>
  </si>
  <si>
    <t>DBI-490</t>
  </si>
  <si>
    <t>MANTENIMEINTO COMPLETO DE FRENOS /CAMBIO DE LIQUIDO</t>
  </si>
  <si>
    <t>SKI-838</t>
  </si>
  <si>
    <t>KIT BOMBA EMBRAGUE</t>
  </si>
  <si>
    <t>SZP-145</t>
  </si>
  <si>
    <t>REVISION DE LUCES</t>
  </si>
  <si>
    <t>REVISION GENERAL DE FRENOS/ CAMBIO DE CILINDRO TRASERO IZQ/ REVISAR MANGUERA PRESION ACEITE</t>
  </si>
  <si>
    <t>CAMBIO SOPORTE CARDAN</t>
  </si>
  <si>
    <t>RM:136</t>
  </si>
  <si>
    <t>PINTA DE LIQUIDO</t>
  </si>
  <si>
    <t>RNN-506</t>
  </si>
  <si>
    <t>CAMBIO DE TIJERAS- Y BUJES DE LA BARRA ESTABILIZADORA</t>
  </si>
  <si>
    <t>CAMBIO DE BOMBA DE AGUA / CORREGIR FUGA DE ACEITE</t>
  </si>
  <si>
    <t xml:space="preserve">RODRRIGO CALA </t>
  </si>
  <si>
    <t>HJX-938</t>
  </si>
  <si>
    <t>CAMBIO DE LIQUIDO/ REVISION DE FRENOS/ FRENO DE MANO/ CAMBIO DE AMORTIGUADORE/PASTILLAS</t>
  </si>
  <si>
    <t>PASTILLAS / AMORTIGUADORES</t>
  </si>
  <si>
    <t>CAMBIO DE TOPES DE AMORTIGUADOR</t>
  </si>
  <si>
    <t>RM: 139</t>
  </si>
  <si>
    <t>SERGIO CASTANO</t>
  </si>
  <si>
    <t>DRR-627</t>
  </si>
  <si>
    <t>BOMBILLO</t>
  </si>
  <si>
    <t>PEDRO HERNANDEZ</t>
  </si>
  <si>
    <t>RM: 143</t>
  </si>
  <si>
    <t>RM: 141</t>
  </si>
  <si>
    <t>VEM-246</t>
  </si>
  <si>
    <t>CAMBIO DE PASTILLAS DEL Y BANDAS</t>
  </si>
  <si>
    <t>RM: 142</t>
  </si>
  <si>
    <t>BAJAR PLATO TRASERO IZQ</t>
  </si>
  <si>
    <t>RM:144</t>
  </si>
  <si>
    <t>COLOCAR MUELLE CENTRAL</t>
  </si>
  <si>
    <t>LUV</t>
  </si>
  <si>
    <t>CAMBIO KIT  BOMBA EMBRAGUE</t>
  </si>
  <si>
    <t>SEMANA DEL 30-07 AL 05/08/2022</t>
  </si>
  <si>
    <t>COLOCAR TABLA CHASSIS</t>
  </si>
  <si>
    <t>FE:66</t>
  </si>
  <si>
    <t>GERMAN NARANJO</t>
  </si>
  <si>
    <t>DAJ-905</t>
  </si>
  <si>
    <t>PASTILLAS DEL</t>
  </si>
  <si>
    <t>EWJ-306</t>
  </si>
  <si>
    <t>AJUSTE TRASERO</t>
  </si>
  <si>
    <t>SANTIAGO CUBILLOS</t>
  </si>
  <si>
    <t>JIQ-443</t>
  </si>
  <si>
    <t>CAMBIO DE BOMBA PRINCIPAL</t>
  </si>
  <si>
    <t>BOMBA PRINCIPAL</t>
  </si>
  <si>
    <t>GILBERTO ZAPATA</t>
  </si>
  <si>
    <t>HKK-865</t>
  </si>
  <si>
    <t>REVISION DE TRASERAS-CAMBIO DE BANDAS Y CILINDRO</t>
  </si>
  <si>
    <t>IDUSTRIAS JEC</t>
  </si>
  <si>
    <t>IXY-239</t>
  </si>
  <si>
    <t>CAMBIO DE CRUCETAS</t>
  </si>
  <si>
    <t>JAME RODRIGUEZ</t>
  </si>
  <si>
    <t xml:space="preserve">LIQUIDO </t>
  </si>
  <si>
    <t>CAMBIO DE ASPIRALES</t>
  </si>
  <si>
    <t>JOSE DAVID BERRNAL</t>
  </si>
  <si>
    <t>BSZ-571</t>
  </si>
  <si>
    <t>FORD -350</t>
  </si>
  <si>
    <t>SE COMPLETO LIQUIDO Y CAMBIO DE TABACO</t>
  </si>
  <si>
    <t>GUSTAVO MARTINEZ</t>
  </si>
  <si>
    <t>CVO-961</t>
  </si>
  <si>
    <t>VIRTUAL WARE LTDA</t>
  </si>
  <si>
    <t>RENAULT SCENIC</t>
  </si>
  <si>
    <t>CZF-259</t>
  </si>
  <si>
    <t>CAMBIO DE AMORTIGUADORES DELANTEROS/ MUÑECOS/ TERMINAL DE DIRECCION IZQ</t>
  </si>
  <si>
    <t>AMORTIGUADORES DELANTEROS/ MUÑECOS/ TERMINAL DE DIRECCION IZQ</t>
  </si>
  <si>
    <t>FE: 69</t>
  </si>
  <si>
    <t>TRANSPORTE METROPLUS</t>
  </si>
  <si>
    <t>SVB-673</t>
  </si>
  <si>
    <t>CAMBIO DE ESPARRAGOS/ RETENEDOR TRASERO/ RODAJA DE FRENOS</t>
  </si>
  <si>
    <t>ESPARRAGOS/ RETENEDOR TRASERO/ RODAJA DE FRENOS/GRASAS/GASOLINA</t>
  </si>
  <si>
    <t>FE: 68</t>
  </si>
  <si>
    <t>FE: 75</t>
  </si>
  <si>
    <t>SERVICIOS AGRICOLAS</t>
  </si>
  <si>
    <t>WNM-202</t>
  </si>
  <si>
    <t>REVISION DE FRENOS COMPLETO-CAMBIO DE BANDAS TRASERAS Y DEL. RELIJAR CILINDROS TRASEROS</t>
  </si>
  <si>
    <t>CARLOS ACERO</t>
  </si>
  <si>
    <t>OZD-087</t>
  </si>
  <si>
    <t>CAMBIO DE BENDIX Y DIAFRAGMA</t>
  </si>
  <si>
    <t>JORGE MORELO</t>
  </si>
  <si>
    <t>ETM-858</t>
  </si>
  <si>
    <t>PERVIVIR</t>
  </si>
  <si>
    <t>TBZ-979</t>
  </si>
  <si>
    <t>CAMBIO DE SPEED Y CORONA</t>
  </si>
  <si>
    <t>ANDREA CORREDOR</t>
  </si>
  <si>
    <t>SUSPENSION TRASERA</t>
  </si>
  <si>
    <t>BOMBA DE ACEITE/ TEMPLETES SUPERIOR E INFERIOR/ BUJES DE LA BARRA ESTABILIZADORA</t>
  </si>
  <si>
    <t>SPEED CORONA Y RODAMIENTOS</t>
  </si>
  <si>
    <t>RM: 157</t>
  </si>
  <si>
    <t>CAMBIO DE BOMBA DE ACEITE</t>
  </si>
  <si>
    <t>ETT-299</t>
  </si>
  <si>
    <t>BAJAR FRENO DE AHOGO Y CORREGIR FUGA DE AIRE</t>
  </si>
  <si>
    <t>MATEO PINTO</t>
  </si>
  <si>
    <t>RCW-547</t>
  </si>
  <si>
    <t>BAJAR RADEADOR</t>
  </si>
  <si>
    <t>CAMBIO EMPAQUE DE CARTER Y RADIADOR</t>
  </si>
  <si>
    <t>17/8/2022 (SEGURO)</t>
  </si>
  <si>
    <t>INTER</t>
  </si>
  <si>
    <t>RM:158</t>
  </si>
  <si>
    <t>FRANKLIN QUINTERO</t>
  </si>
  <si>
    <t>CLA-281</t>
  </si>
  <si>
    <t>CAMBIO DE TOPES DE AMORTIGUADORES</t>
  </si>
  <si>
    <t>CAUCHOS DE AMORTIGUADORES</t>
  </si>
  <si>
    <t>ALEJANDRO CASTILLO</t>
  </si>
  <si>
    <t>BTQ-287</t>
  </si>
  <si>
    <t>MANTENIMIENTO COMPLETO-CAMBIO DE PASTILLAS DEL</t>
  </si>
  <si>
    <t>PASTILLAS DEL-CILINDROS -BANDAS</t>
  </si>
  <si>
    <t>FE: 78 /RM:159</t>
  </si>
  <si>
    <t>CHEVROLET ALTO</t>
  </si>
  <si>
    <t>GUAYA DE ACELERACION</t>
  </si>
  <si>
    <t>FE:79</t>
  </si>
  <si>
    <t>JUAN PABLO CASTELLANOS</t>
  </si>
  <si>
    <t>RZJ-555</t>
  </si>
  <si>
    <t>REVISION DE FRENOS/ CAMBIO DE PASTILLAS DEL Y LIQUIDO</t>
  </si>
  <si>
    <t>LIQUIDO/ PASTILLAS DEL Y TRASERAS</t>
  </si>
  <si>
    <t xml:space="preserve">CAMBIO DE KIT DE CLOSH Y SOPORTE CENTRAL Y SOPORTE IZQ </t>
  </si>
  <si>
    <t>FE: 80/ RM: 161</t>
  </si>
  <si>
    <t xml:space="preserve">SOPORTE CAJA CENTRAL / SOPORTE CAJA IZQ/ KIT DE CLOSH </t>
  </si>
  <si>
    <t>RM: 162</t>
  </si>
  <si>
    <t>CARLOS ARTURO NARIÑO</t>
  </si>
  <si>
    <t>SILICONA</t>
  </si>
  <si>
    <t>Suma de GANANCIA POR SERVICIOS</t>
  </si>
  <si>
    <t>Suma de GANACIA  REPUESTOS</t>
  </si>
  <si>
    <t>FE:81/ RM:163</t>
  </si>
  <si>
    <t>CESAR QUECAN</t>
  </si>
  <si>
    <t>CAMBIO DE PASTILLAS DELANTERAS/ ARREGLO DE BABEROS</t>
  </si>
  <si>
    <t>JUEGO DE PASTILLAS DEL. Y ANTIRUIDOS</t>
  </si>
  <si>
    <t>RM:164</t>
  </si>
  <si>
    <t>ARREGLO BABERO</t>
  </si>
  <si>
    <t>CAMELO PARRA</t>
  </si>
  <si>
    <t>BWN-203</t>
  </si>
  <si>
    <t>RM:167</t>
  </si>
  <si>
    <t>OLGA SANDOVAL</t>
  </si>
  <si>
    <t>50E-589</t>
  </si>
  <si>
    <t>CAMBIO DE GUAYA DE CAMBIO</t>
  </si>
  <si>
    <t>RM:168</t>
  </si>
  <si>
    <t>JUAN RODRIGUEZ</t>
  </si>
  <si>
    <t>SWK-745</t>
  </si>
  <si>
    <t>RM:166</t>
  </si>
  <si>
    <t>ALEJANDRO ALONZO</t>
  </si>
  <si>
    <t>KNZ-523</t>
  </si>
  <si>
    <t>CAMBIO DE BANDAS TRASERAS Y BUJE DE AMORTIGUADOR</t>
  </si>
  <si>
    <t>BUJE DE AMORTIGUADOR</t>
  </si>
  <si>
    <t>OMAR FIGUEROA</t>
  </si>
  <si>
    <t>LAND CRUISER</t>
  </si>
  <si>
    <t>MMI-915</t>
  </si>
  <si>
    <t>MATTO DELANTERO DE RUEDA LIBRE</t>
  </si>
  <si>
    <t>INVERSIONES SANTANDER SABOGAL</t>
  </si>
  <si>
    <t>FE: 170</t>
  </si>
  <si>
    <t>UFX-367</t>
  </si>
  <si>
    <t>REVISION DE FRENOS/BAJAR CILINDROS /CAMBIO DE BUJES</t>
  </si>
  <si>
    <t>BANDAS, CHUPAS, GUARDAPOLVO, LIQUIDO, GASOLINA, GRASA, PINES, BUJES DE MUELLE</t>
  </si>
  <si>
    <t>EMEB TECNOLOGIA</t>
  </si>
  <si>
    <t>INTER 470</t>
  </si>
  <si>
    <t>UIG-883</t>
  </si>
  <si>
    <t>FE:83</t>
  </si>
  <si>
    <t>GASOLINA. GRASA, RETEN, RODAJAS, EMPQUE DE EJE, SILICONA, JUEGO DE BLOQUE TRASERA</t>
  </si>
  <si>
    <t>NISSAN TIDA</t>
  </si>
  <si>
    <t>RNY-683</t>
  </si>
  <si>
    <t>CAMBIO DE AMORTIGUADORES, GUARDAPOLVO DE AMORTI, SINCRONIZADA</t>
  </si>
  <si>
    <t>AMORTIGUADORES</t>
  </si>
  <si>
    <t>TERMINALES, VARILLA LARGA, AMORTIGUADORES DE DIRECCION, ROTULAS, MUÑECOS</t>
  </si>
  <si>
    <t>RM: 165</t>
  </si>
  <si>
    <t>REPARACION SUSPENSION DELANTERA</t>
  </si>
  <si>
    <t>Cuenta de MODELO</t>
  </si>
  <si>
    <t>MPV-552</t>
  </si>
  <si>
    <t>CAMBIO DE DISCOS / PASTILLAS/ BANDAS</t>
  </si>
  <si>
    <t>PEDRO RAMIREZ</t>
  </si>
  <si>
    <t>LAND CROUSER</t>
  </si>
  <si>
    <t>INQ-280</t>
  </si>
  <si>
    <t>REVISION DE FRENOS/ CAMBIO DE PASTILLAS TRASERAS</t>
  </si>
  <si>
    <t>DAVID VARON</t>
  </si>
  <si>
    <t>BEZ-276</t>
  </si>
  <si>
    <t>RM:177</t>
  </si>
  <si>
    <t>SQW-062</t>
  </si>
  <si>
    <t>ARREGLO CONTROL FRENO DE AHOGO</t>
  </si>
  <si>
    <t>FE:85 / RM: 178</t>
  </si>
  <si>
    <t>ALEJANDRO MORENO</t>
  </si>
  <si>
    <t>MQK-040</t>
  </si>
  <si>
    <t>CAMBIO DE DISCOS, PASTILLAS, BANDAS</t>
  </si>
  <si>
    <t>DISCOS, PASTILLAS, ANTIRUIDO, BANDAS</t>
  </si>
  <si>
    <t>RM:179</t>
  </si>
  <si>
    <t>JESUS DE LA CRUZ</t>
  </si>
  <si>
    <t>BME-357</t>
  </si>
  <si>
    <t>SINCRONIZACION-CAMBIO SOPORTE DE MOTOR Y CAJA-CAMBIO DE BUJES BARRA ESTABILIZADORA</t>
  </si>
  <si>
    <t>YEFERSON GONZALES</t>
  </si>
  <si>
    <t>WOU-006</t>
  </si>
  <si>
    <t>ALEJANDRO DIZ</t>
  </si>
  <si>
    <t>CAMBIO DE CAJA DE DIRECCION Y BUJES DE TIJERAS</t>
  </si>
  <si>
    <t>RM:180</t>
  </si>
  <si>
    <t>MARTIN ESPITIA</t>
  </si>
  <si>
    <t>LIQUIDO DOT 3</t>
  </si>
  <si>
    <t>ANDRES BENITEZ</t>
  </si>
  <si>
    <t>ZXS-193</t>
  </si>
  <si>
    <t>FE: 86</t>
  </si>
  <si>
    <t>REPARACION DE BOMBA PRINCIPAL</t>
  </si>
  <si>
    <t>RM:182</t>
  </si>
  <si>
    <t>CXX-558</t>
  </si>
  <si>
    <t>CAMBIO EMPAQUE TAPA VALVULA-SINCRONIZACION-CAMBIO DE BUJES BARRA ESTAB- RETENEDORES DE MOTOR</t>
  </si>
  <si>
    <t>RM:183</t>
  </si>
  <si>
    <t>CAMBIO DE PERA PRESION DE AIRE</t>
  </si>
  <si>
    <t>RM:184</t>
  </si>
  <si>
    <t>CARLOS MERCHAN</t>
  </si>
  <si>
    <t xml:space="preserve">REVISION DE RUEDAS TRASERAS </t>
  </si>
  <si>
    <t>DAJ-627</t>
  </si>
  <si>
    <t xml:space="preserve"> SANDERO</t>
  </si>
  <si>
    <t>FORD LASSER</t>
  </si>
  <si>
    <t>SEMANA DEL 13-08 AL 19-08-2022</t>
  </si>
  <si>
    <t>SEMANA DEL 06-08 AL 12-08-2022</t>
  </si>
  <si>
    <t>SEMANA DEL 20-08 AL 26-08-2022</t>
  </si>
  <si>
    <t>JHON CETINA</t>
  </si>
  <si>
    <t>MAZDA323</t>
  </si>
  <si>
    <t>BBA-003</t>
  </si>
  <si>
    <t>CAMBIO DE BOMBA HIDRAULICA PRINCIPAL DE CLOSH</t>
  </si>
  <si>
    <t>FE:87/RM:185</t>
  </si>
  <si>
    <t>RM:187</t>
  </si>
  <si>
    <t>RM:186</t>
  </si>
  <si>
    <t>ERNESTO POVEDO</t>
  </si>
  <si>
    <t>SKOFA FELICIA</t>
  </si>
  <si>
    <t>FTN-439</t>
  </si>
  <si>
    <t>MATTO TARSERO</t>
  </si>
  <si>
    <t>MANTENIMIENTO CARBURADOR</t>
  </si>
  <si>
    <t>KIT CARBURADOR</t>
  </si>
  <si>
    <t>RM:188</t>
  </si>
  <si>
    <t>ANGEL CHINCHILLA</t>
  </si>
  <si>
    <t>TRL-693</t>
  </si>
  <si>
    <t>CAMBIO EMPAQ PRINCIPAL DE CLOSH</t>
  </si>
  <si>
    <t>EMPAQUETADURA PRINCIPAL DE CLOSH, LIQUIDO</t>
  </si>
  <si>
    <t>RM:190</t>
  </si>
  <si>
    <t>SILVANA MESA</t>
  </si>
  <si>
    <t>HKN-663</t>
  </si>
  <si>
    <t>REVISION DE FRENOS Y CAMBIO DE LIQUIDO</t>
  </si>
  <si>
    <t>BKL-537</t>
  </si>
  <si>
    <t>CAMBIO DE RACORD</t>
  </si>
  <si>
    <t>RACORD</t>
  </si>
  <si>
    <t>MARTA  CONTRERA</t>
  </si>
  <si>
    <t>JVN-492</t>
  </si>
  <si>
    <t>JGV-778</t>
  </si>
  <si>
    <t>JORGE BARRERA</t>
  </si>
  <si>
    <t>GGO-665</t>
  </si>
  <si>
    <t>CAMBIO DE TUBO DE CALEFACCION</t>
  </si>
  <si>
    <t>TUBO DE CALEFACCION</t>
  </si>
  <si>
    <t>HIUNDAY ACCENT</t>
  </si>
  <si>
    <t>SGY-273</t>
  </si>
  <si>
    <t>SERVICIO DE ESCANER Y REVISION</t>
  </si>
  <si>
    <t>NISAN URBAN</t>
  </si>
  <si>
    <t>REPARACION DE SUSPENSION</t>
  </si>
  <si>
    <t>BUJES DE TIJERA, MUÑECOS, TERMINALES, BUJES DE AMORTI, BUJES DE TEMPLETES, PASTILLAS, BANDAS, ANTIRUIDO, JUEGO DE CALIPER</t>
  </si>
  <si>
    <t>FE: 89</t>
  </si>
  <si>
    <t>REPARACION CARDAN</t>
  </si>
  <si>
    <t>CRUCETA DE CARDAN</t>
  </si>
  <si>
    <t>FE:91</t>
  </si>
  <si>
    <t>FE:90</t>
  </si>
  <si>
    <t>PROVALCOR</t>
  </si>
  <si>
    <t>INTERNATIONAL</t>
  </si>
  <si>
    <t>UPP-942</t>
  </si>
  <si>
    <t>CAMBIO DE RODAMIENTO, RETENEDOR,</t>
  </si>
  <si>
    <t>RODAMIENTO, ETENEDOR, GRASAS</t>
  </si>
  <si>
    <t>RAUL AREVALO</t>
  </si>
  <si>
    <t>F-815</t>
  </si>
  <si>
    <t>WTM-631</t>
  </si>
  <si>
    <t>MANTENIMIENTO DE LUCES</t>
  </si>
  <si>
    <t>CABLE, FUSIBLES, BOMBILLOS MULE, TERMINALES DE OJO</t>
  </si>
  <si>
    <t>RM: 192</t>
  </si>
  <si>
    <t>JHON SALAMANGA</t>
  </si>
  <si>
    <t>JSL-820</t>
  </si>
  <si>
    <t>CAMBIO DE BANDAS DEL</t>
  </si>
  <si>
    <t>BANDAS, PIN CACHO, GASOLINA, GUARADAPOLVOS</t>
  </si>
  <si>
    <t>Cuenta de AREA</t>
  </si>
  <si>
    <t>GANANCIAS POR SERVICIO</t>
  </si>
  <si>
    <t xml:space="preserve">FRENOS Y SUSPENSION </t>
  </si>
  <si>
    <t>MES : AGOSTO-2022</t>
  </si>
  <si>
    <t>RM:194</t>
  </si>
  <si>
    <t>BTK-619</t>
  </si>
  <si>
    <t>CAMBIO DE CAUCHOS SOPORTE AMORTI TRASERO/ CAMBIO EMAPQUE TAPA VALVUL/ CAMBIO DE RETENEDORES DE REPARTICION COPA CAJA/ KIT DE REP</t>
  </si>
  <si>
    <t>EMPAQUE TAPA VALVULA/ RETENEDORES DE LEVA Y POLEA/ TOPES DE AMORTI/ GURDA POLVO COPA CAJA/ KIT DE REPARTICION/ SILICONA</t>
  </si>
  <si>
    <t>FE:93</t>
  </si>
  <si>
    <t>VERDECERES MS SAS</t>
  </si>
  <si>
    <t>SPL-963</t>
  </si>
  <si>
    <t xml:space="preserve">
BAJAR CAMPANA DELANTERAs, GRADUAR FRENOS / RECTIFICAR GRAMPA</t>
  </si>
  <si>
    <t>CHUPA, GP, LIQUIDO PIN CACHO</t>
  </si>
  <si>
    <t>RM:196</t>
  </si>
  <si>
    <t>JUAN DANIEL HERNANDEZ</t>
  </si>
  <si>
    <t>RM:195</t>
  </si>
  <si>
    <t>CAMBIO DE DIAFRAGMA</t>
  </si>
  <si>
    <t>DIAFRAGMA</t>
  </si>
  <si>
    <t>RM:197</t>
  </si>
  <si>
    <t>CLIENT PLANET</t>
  </si>
  <si>
    <t>WPS-181</t>
  </si>
  <si>
    <t>CAMBIO DE BANDAS DELANTERAS Y TRASERAS, CAMBIO DE CHUPAS, CAMBIO DE LIQUIDOS</t>
  </si>
  <si>
    <t>JUEGO DE BANDAS/ CHUPAS</t>
  </si>
  <si>
    <t>JUAN CARLOS QUIJANO</t>
  </si>
  <si>
    <t>BLK-537</t>
  </si>
  <si>
    <t>RM:198</t>
  </si>
  <si>
    <t>SINCRONIZACION Y CAMBIO EMP TAPA VALVULA</t>
  </si>
  <si>
    <t>PASTILLAS DEL Y TRASERAS, LIQUIDO, GASOLINA</t>
  </si>
  <si>
    <t>BUJIAS, EMPAQUE TAPA VALVULA Y RETENEDORES</t>
  </si>
  <si>
    <t>SEMANA DEL 27-08 AL 02-09-2022</t>
  </si>
  <si>
    <t>BAJAR AMORTIGUADORES</t>
  </si>
  <si>
    <t>RM:201</t>
  </si>
  <si>
    <t>JUAN CARLOS ROJA</t>
  </si>
  <si>
    <t>USD-206</t>
  </si>
  <si>
    <t xml:space="preserve">MANTENIMIENTO COMPLETO DE FRENOS </t>
  </si>
  <si>
    <t>AUTOMATICO Y RESORTE</t>
  </si>
  <si>
    <t>JHON UREA</t>
  </si>
  <si>
    <t>CHV OPTRA</t>
  </si>
  <si>
    <t>BYE-036</t>
  </si>
  <si>
    <t>SERVICIO DE SCANER-CAMBIO DE SENSOR</t>
  </si>
  <si>
    <t>ABRAZADERA</t>
  </si>
  <si>
    <t>RM:200</t>
  </si>
  <si>
    <t>FERNANDO SANCHEZ</t>
  </si>
  <si>
    <t>MAZDA ALEGRO</t>
  </si>
  <si>
    <t>BIT-835</t>
  </si>
  <si>
    <t>MATTO COMPELTO-CAMBIO DE PASTILLAS DEL</t>
  </si>
  <si>
    <t>JUEGO DE PASTILLAS DEL.</t>
  </si>
  <si>
    <t>FE:94 / RM:202</t>
  </si>
  <si>
    <t>JEEP 93</t>
  </si>
  <si>
    <t>ARTURO LADINO</t>
  </si>
  <si>
    <t>IOQ-514</t>
  </si>
  <si>
    <t>CAMBIO DE AMORTIGUADORES DEL / SOPORTE AMORTIGUADOR CON RODAMIENTOS</t>
  </si>
  <si>
    <t>AMORTIGUADORES/SOPORTES CON RODAMIENTOS</t>
  </si>
  <si>
    <t>FE: 96/RM:203</t>
  </si>
  <si>
    <t>RM:204/FE:97</t>
  </si>
  <si>
    <t>CAMBIO DE BANDAS Y MUÑECO</t>
  </si>
  <si>
    <t>JUEGO DE BANDAS</t>
  </si>
  <si>
    <t>TSW-976</t>
  </si>
  <si>
    <t>RM:205</t>
  </si>
  <si>
    <t>SILVERADO</t>
  </si>
  <si>
    <t>PEU-686</t>
  </si>
  <si>
    <t>DESVARE, REPARACION ALTERNADOR</t>
  </si>
  <si>
    <t>DESVARE, REPARACION DE ARRANQUE</t>
  </si>
  <si>
    <t>HGS-065</t>
  </si>
  <si>
    <t>FE: 99</t>
  </si>
  <si>
    <t>VARICHEM</t>
  </si>
  <si>
    <t>UVL-706</t>
  </si>
  <si>
    <t>BOMBILLO DOS CONTACTO</t>
  </si>
  <si>
    <t>RM:208</t>
  </si>
  <si>
    <t>WILSON RODRIGUEZ</t>
  </si>
  <si>
    <t>CCP-487</t>
  </si>
  <si>
    <t>RM:209</t>
  </si>
  <si>
    <t>PLUMILLAS</t>
  </si>
  <si>
    <t>RM:212</t>
  </si>
  <si>
    <t>CAMBIO TORNILLO CARDAN</t>
  </si>
  <si>
    <t>RM:211</t>
  </si>
  <si>
    <t>JORGE LOPEZ</t>
  </si>
  <si>
    <t>TIGUAN</t>
  </si>
  <si>
    <t>KIY-528</t>
  </si>
  <si>
    <t>CAMBIO DE BUJES DE TIJERA/ BUJES DE TEMPLETES/ ASPIRALES/ MUÑECOS</t>
  </si>
  <si>
    <t>BUJES DE TIJERA/ BUJES DE TEMPLETES/ ASPIRALES/ MUÑECOS</t>
  </si>
  <si>
    <t>RM:213</t>
  </si>
  <si>
    <t>RM: 216</t>
  </si>
  <si>
    <t>CARLOS PINILLA</t>
  </si>
  <si>
    <t>BRU-640</t>
  </si>
  <si>
    <t>KIT EMBRAGUE</t>
  </si>
  <si>
    <t>RM:215</t>
  </si>
  <si>
    <t>RICARDO MENDILVEGO</t>
  </si>
  <si>
    <t>AHD-810</t>
  </si>
  <si>
    <t>REPARACION ARRANQUE</t>
  </si>
  <si>
    <t>GRUA</t>
  </si>
  <si>
    <t>CAMBIO DE ACOPLE, INSERTO Y ANILLO</t>
  </si>
  <si>
    <t>GERMAN FONSECA</t>
  </si>
  <si>
    <t>RM:217/FE: 105</t>
  </si>
  <si>
    <t>NAF-630</t>
  </si>
  <si>
    <t>REVISION DE RUEDAS TRASERAS, CAMBIO DE CHUPAS</t>
  </si>
  <si>
    <t>JUEGO DE BANDAS, CHUPAS</t>
  </si>
  <si>
    <t>RM:214</t>
  </si>
  <si>
    <t>LUIS FERNANDO OLEARTE</t>
  </si>
  <si>
    <t xml:space="preserve">EMPAQUE DE CULTA, EMPAQUES DE CARTER, CAUCHOS, ANILLOS, CASQUETE DE BIELA, </t>
  </si>
  <si>
    <t>CAMBIO TERMINAL DE DIRECCION Y CRUCETA/ CAMBIO SOPORTE DE MOTOR</t>
  </si>
  <si>
    <t>TERMINALES, CRUCETA CARDAN, SOPORTE DE MOTOR</t>
  </si>
  <si>
    <t>rm:218</t>
  </si>
  <si>
    <t>CAMBIO TUBO DE LIQUIDO</t>
  </si>
  <si>
    <t>RM:220</t>
  </si>
  <si>
    <t>CZG-381</t>
  </si>
  <si>
    <t>CAMBIO DE BANDAS TRASERAS/ CAMBIO DE CILINDROS DE FRENOS</t>
  </si>
  <si>
    <t>BANDAS, CILINDRO DE FRENOS TRAS</t>
  </si>
  <si>
    <t>RM:219</t>
  </si>
  <si>
    <t>VICTOR JULIO LEAL</t>
  </si>
  <si>
    <t>CAMBIO DE ROTULA, CAMBIO CAUCHO COPA CAJA</t>
  </si>
  <si>
    <t>ROTULA DEL. IZQ</t>
  </si>
  <si>
    <t>REVISION DE FRENOS/ SUSPENSION DE LIMITADOR</t>
  </si>
  <si>
    <t>SEMANA DEL 03-09 AL 09-09-2022</t>
  </si>
  <si>
    <t>FORD ECOSPORT</t>
  </si>
  <si>
    <t>EKM-793</t>
  </si>
  <si>
    <t>NISSAN PATROL</t>
  </si>
  <si>
    <t>MANGUERA DE FRENOS</t>
  </si>
  <si>
    <t>FE:107 / RM:223</t>
  </si>
  <si>
    <t>FORD-150</t>
  </si>
  <si>
    <t>CAMBIO DE PASTILLAS/ REVISION DE FRENOS COMPLETO</t>
  </si>
  <si>
    <t>EXX-586</t>
  </si>
  <si>
    <t>RM:227</t>
  </si>
  <si>
    <t>HECTOR MAHECHA</t>
  </si>
  <si>
    <t>DODGE RAM</t>
  </si>
  <si>
    <t>JEZ-317</t>
  </si>
  <si>
    <t>CAMBIO DE CILINDRO</t>
  </si>
  <si>
    <t>PISTON DE MORDAZA</t>
  </si>
  <si>
    <t>FE:110 / RM:205</t>
  </si>
  <si>
    <t>ANDRES PEREZ</t>
  </si>
  <si>
    <t>BMY-8440</t>
  </si>
  <si>
    <t>REVISION DE FRENOS COMPLETO/ CAMBIO DE GUAYA DE CLOSH Y ALAMBRES</t>
  </si>
  <si>
    <t>GUAYA DE CLOSH, ALAMBRES</t>
  </si>
  <si>
    <t>F-CARGO 815</t>
  </si>
  <si>
    <t>FE:109</t>
  </si>
  <si>
    <t>CAMBIO DE VALVULINA/ SERVICIO DE ESCANER</t>
  </si>
  <si>
    <t>VALVULINA</t>
  </si>
  <si>
    <t>RM:226</t>
  </si>
  <si>
    <t>PDRO PABLO MARTINEZ</t>
  </si>
  <si>
    <t>MPB-890</t>
  </si>
  <si>
    <t>CAMBIO DE PASTILLAS DE FRENOS DEL / REVISION DE FRENOS</t>
  </si>
  <si>
    <t>RM:229</t>
  </si>
  <si>
    <t>CLARA QUINTIN</t>
  </si>
  <si>
    <t>RKV-033</t>
  </si>
  <si>
    <t>CAMBIO CAUCHO COPA CAJA IZQ / CAMBIO DE VALVULINA</t>
  </si>
  <si>
    <t>COPA CAJA IZQ</t>
  </si>
  <si>
    <t>CAMBIO REGISTRO DE COMBUSTIBLE</t>
  </si>
  <si>
    <t>SNR-047</t>
  </si>
  <si>
    <t>CHUPAS 1 5/16, GASOLINA, GRASA</t>
  </si>
  <si>
    <t>RM:230</t>
  </si>
  <si>
    <t>TFQ-813</t>
  </si>
  <si>
    <t>BMY-844</t>
  </si>
  <si>
    <t>CAMBIO KIT DE CLOSH</t>
  </si>
  <si>
    <t>RM:232</t>
  </si>
  <si>
    <t>MARTHA MORALES</t>
  </si>
  <si>
    <t>HKM-167</t>
  </si>
  <si>
    <t>RM:235</t>
  </si>
  <si>
    <t>JHON FREDDY</t>
  </si>
  <si>
    <t>IJW-370</t>
  </si>
  <si>
    <t>CAMBIO DE TIJERA / SOLDAR TORNILLO</t>
  </si>
  <si>
    <t>RM:237</t>
  </si>
  <si>
    <t>FABIO CHACON</t>
  </si>
  <si>
    <t>KBM-615</t>
  </si>
  <si>
    <t>REVISION DE FRENOS Y FRENO DE MANO</t>
  </si>
  <si>
    <t>PASTILLAS FRENO TRASERA</t>
  </si>
  <si>
    <t>RM:234</t>
  </si>
  <si>
    <t>ADOLFO DIAZ ROJAS</t>
  </si>
  <si>
    <t>ZYQ-971</t>
  </si>
  <si>
    <t>CAMBIO KIT DE REPARTICION , CORREA DE ACCESORIO, BUJIAS, PUNTA DE EJE LADO RUEDA, RODAMIENTO, SERVICIO DE PRENSA</t>
  </si>
  <si>
    <t>RODOLFO BARRERA</t>
  </si>
  <si>
    <t>HSV-263</t>
  </si>
  <si>
    <t xml:space="preserve">CAMBIO DE PASTILLAS TRASERAS/ DELANTERAS Y AMORTIGUADORES </t>
  </si>
  <si>
    <t>FE: 114/RM:233</t>
  </si>
  <si>
    <t xml:space="preserve">PASTILLAS TRASERAS/ DELANTERAS Y AMORTIGUADORES </t>
  </si>
  <si>
    <t>MBO-301</t>
  </si>
  <si>
    <t>RM:240</t>
  </si>
  <si>
    <t>CAMBIO DE ESPARRAGOS/ GRADUACION DE FRENOS</t>
  </si>
  <si>
    <t>RM:239</t>
  </si>
  <si>
    <t>MAGDA VELOZA</t>
  </si>
  <si>
    <t>MEGANE I</t>
  </si>
  <si>
    <t>BWM-262</t>
  </si>
  <si>
    <t>CAMBIO DE PASTILLA DELANTERAS</t>
  </si>
  <si>
    <t>RM:241</t>
  </si>
  <si>
    <t xml:space="preserve">
REVISION DE FRENOS / ADPATACION DE TORNILLO MORDAZA DEL DERECHA</t>
  </si>
  <si>
    <t>TRANSPORTE LOGISTICO CYG</t>
  </si>
  <si>
    <t>SPQ-698</t>
  </si>
  <si>
    <t>HBN-198</t>
  </si>
  <si>
    <t>REVISION ELECTRICA /ESCANER</t>
  </si>
  <si>
    <t>BJO-522</t>
  </si>
  <si>
    <t>RM:242</t>
  </si>
  <si>
    <t>JAVIER MARTIN</t>
  </si>
  <si>
    <t>USB-807</t>
  </si>
  <si>
    <t>CAMBIO DE GUAYA FRENO DE MANO/ GUAYA DE FRENO DE MANO/ RESORTE</t>
  </si>
  <si>
    <t>GUAYA FRENO DE MANO/ GUAYA DE FRENO DE MANO/ RESORTE</t>
  </si>
  <si>
    <t>FE:115/RM:243</t>
  </si>
  <si>
    <t>FABIAN VAJONERO</t>
  </si>
  <si>
    <t>BMK-782</t>
  </si>
  <si>
    <t>REVISION DE FRENOS/ CAMBIO SOPORTE AMORTIGUADOR Y MUÑECOS</t>
  </si>
  <si>
    <t>SOPORTE AMORTIGUADOR Y MUÑECOS</t>
  </si>
  <si>
    <t>MARCOS AMAYA</t>
  </si>
  <si>
    <t>BLV-454</t>
  </si>
  <si>
    <t>CAMBIO SOPORTE IZQ/ DELANTERO/ TRASERO</t>
  </si>
  <si>
    <t>SOPORTE IZQ/ DELANTERO/ TRASERO</t>
  </si>
  <si>
    <t>CUM-340</t>
  </si>
  <si>
    <t>CAMBIO BUJES BARRA ESTABILIZADORA/ CORREAS DE ACCESORIO</t>
  </si>
  <si>
    <t>BUJES BARRA ESTABILIZADORA/ CORREAS DE ACCESORIO</t>
  </si>
  <si>
    <t>TOYOTA PRADO</t>
  </si>
  <si>
    <t>BSB-546</t>
  </si>
  <si>
    <t>SEMANA DEL 09-09 AL 16-09-2022</t>
  </si>
  <si>
    <t>CAMBIO DE BOMBA DE GASOLINA Y BOMBA DE AGUA</t>
  </si>
  <si>
    <t>FE:116</t>
  </si>
  <si>
    <t>RM:247</t>
  </si>
  <si>
    <t>RM: 206</t>
  </si>
  <si>
    <t>RM: 248 / FE: 117</t>
  </si>
  <si>
    <t>RM:249 / FE: 118</t>
  </si>
  <si>
    <t>CAMBIO DE SOPORTE DE CAJA, SOPORTE MOTOR IZQ, BRAZO AXILANTE DEL DERECHO</t>
  </si>
  <si>
    <t>SOPORTE DE CAJA, SOPORTE MOTOR IZQ, BRAZO AXILANTE DEL DERECHO</t>
  </si>
  <si>
    <t>CAMBIO DE PUNTA EJE LADO CAJA</t>
  </si>
  <si>
    <t>PUNTA DE EJE</t>
  </si>
  <si>
    <t>SND-423</t>
  </si>
  <si>
    <t>CAMBIO DE INSERTO, ANILLO Y ACOPLE</t>
  </si>
  <si>
    <t>RCT-822</t>
  </si>
  <si>
    <t>CAMBIO SOPORTE DE CAJA CENTRAL</t>
  </si>
  <si>
    <t>SOPORTE CENTRAL LOGAN</t>
  </si>
  <si>
    <t>RM:250</t>
  </si>
  <si>
    <t>JOAQUIN VARON</t>
  </si>
  <si>
    <t xml:space="preserve">MANTENIMIENTO DE BUJIAS/ CAMBIO VARILLA DE ACEITE </t>
  </si>
  <si>
    <t>FE:119/RM:251</t>
  </si>
  <si>
    <t>TRUPPER</t>
  </si>
  <si>
    <t>CAMBIO DE BUJES DE TIJERA</t>
  </si>
  <si>
    <t>BUJES DE TIJERA SUP</t>
  </si>
  <si>
    <t>KHR-650</t>
  </si>
  <si>
    <t>RM:254</t>
  </si>
  <si>
    <t>REPARACION DE SUPENSION DEL Y TRASERA</t>
  </si>
  <si>
    <t>FE:120</t>
  </si>
  <si>
    <t>MAURICIO GUIA</t>
  </si>
  <si>
    <t>S59035</t>
  </si>
  <si>
    <t>BAJAR RUEDAS</t>
  </si>
  <si>
    <t>GPG-415</t>
  </si>
  <si>
    <t>CAMBIO DE RODAMIENTOS PUNTA DE EJE</t>
  </si>
  <si>
    <t>FE:121/RM:256</t>
  </si>
  <si>
    <t>RODRIGO MONCADA</t>
  </si>
  <si>
    <t>WDG-431</t>
  </si>
  <si>
    <t>BAJAR BOMBA DE CLOSH</t>
  </si>
  <si>
    <t>KIT BOMBA DE CLOSH</t>
  </si>
  <si>
    <t>REPARACION DE CORTO ELCTRICO</t>
  </si>
  <si>
    <t>ABRAZADERAS, CABLE, CORAZA, CINTA, LIQUIDO DE FRENOS, PINES PLAST</t>
  </si>
  <si>
    <t>FE:122/RM:257</t>
  </si>
  <si>
    <t>YENY PULGARIN</t>
  </si>
  <si>
    <t>SNZ-697</t>
  </si>
  <si>
    <t>MATTO RUEDA DELANTERA / CAMBIO DE CHUPAS</t>
  </si>
  <si>
    <t>CHUPAS  1 7/16</t>
  </si>
  <si>
    <t>FE:123/ RM:258</t>
  </si>
  <si>
    <t>MARIO CARDOZO</t>
  </si>
  <si>
    <t>BJX-839</t>
  </si>
  <si>
    <t>CAMBIO DE RODAMIENTO TRASERO</t>
  </si>
  <si>
    <t>FE:124 / RM:259</t>
  </si>
  <si>
    <t>ANDRES SIERRA</t>
  </si>
  <si>
    <t>BPG-413</t>
  </si>
  <si>
    <t>ROTULA Y MUÑECOS</t>
  </si>
  <si>
    <t>CAMBIO DE ROTULA IZQ. Y MUÑECOS</t>
  </si>
  <si>
    <t>BHO-428</t>
  </si>
  <si>
    <t>CAMBIO DE BUJES Y MUÑECOS</t>
  </si>
  <si>
    <t>JOSE BARRERA</t>
  </si>
  <si>
    <t>RM:261</t>
  </si>
  <si>
    <t>MARCOS AURELIO DIAZ</t>
  </si>
  <si>
    <t>EIS-544</t>
  </si>
  <si>
    <t>CAMBIO DE PASTILLAS /MTTO DE FRENOS GENERAL</t>
  </si>
  <si>
    <t>PASTILLAS FRENO DEL.</t>
  </si>
  <si>
    <t>RM:260</t>
  </si>
  <si>
    <t>UYK-286</t>
  </si>
  <si>
    <t>CAMBIO DE BANDAS RUEDA TRASERA/ MTTO RACHE</t>
  </si>
  <si>
    <t>CAMBIO DE PASTILLAS DELANTERAS Y TRASERAS, BAJAR SUAVIZADOR</t>
  </si>
  <si>
    <t>RM: 262</t>
  </si>
  <si>
    <t>JUAN CARLOS CASTELLANOS</t>
  </si>
  <si>
    <t>HAY-978</t>
  </si>
  <si>
    <t>CAMBIO DE LIQUIDO / REV. DE FRENOS GENERAL</t>
  </si>
  <si>
    <t>RM: 267</t>
  </si>
  <si>
    <t>MIGUEL MORENO</t>
  </si>
  <si>
    <t xml:space="preserve">BFV-298 </t>
  </si>
  <si>
    <t>REVISION DE FREMOS/ CAMBIO MANGUERA DE FRENOS</t>
  </si>
  <si>
    <t>LIQUIDO /MANGUERA DE FRENOS</t>
  </si>
  <si>
    <t>RM:264</t>
  </si>
  <si>
    <t>CAMBIO EMP BOMBA DE CLOSH/ BAJAR PEDALERA/ GRADUACION DE FRENOS</t>
  </si>
  <si>
    <t>EMPAQUE KIT BOMBA DE CLOSH / LIQUIDO / PIN R</t>
  </si>
  <si>
    <t>KATHERIN MORALES</t>
  </si>
  <si>
    <t>BEU-321</t>
  </si>
  <si>
    <t>ESCODA</t>
  </si>
  <si>
    <t>CAMBIO BUJES DE TIJERAS</t>
  </si>
  <si>
    <t>FE:127/RM:265</t>
  </si>
  <si>
    <t>LOGAN DYNAMIC</t>
  </si>
  <si>
    <t xml:space="preserve"> KIT DE CLOSH</t>
  </si>
  <si>
    <t>FE:129/RM:266</t>
  </si>
  <si>
    <t>CAMBIO DE BOMBA DE AGUA, EMP TAPA VALVULAS</t>
  </si>
  <si>
    <t>BOMBA DE AGUA/ EMPAQUE TAPA VALVULA</t>
  </si>
  <si>
    <t>FE:126/RM:263</t>
  </si>
  <si>
    <t>LIMNYS GACHARNA</t>
  </si>
  <si>
    <t>CAMBIO DE AMORTIGUADORES DEL/ BUJES DE TIJERA /GP EJE LADO CAJA</t>
  </si>
  <si>
    <t>AMORTIGUADORES DEL/ BUJES DE TIJERA /GP EJE LADO CAJA</t>
  </si>
  <si>
    <t>SEMANA DEL 17-09 AL 23-09-2022</t>
  </si>
  <si>
    <t>FE:130 / RM: 271</t>
  </si>
  <si>
    <t>OTERO GERARDO</t>
  </si>
  <si>
    <t>TGN-516</t>
  </si>
  <si>
    <t>RENAULT TRAFIC</t>
  </si>
  <si>
    <t>CAMBIO DE RODAMIENTO DELANTERO Y ROTULA</t>
  </si>
  <si>
    <t>ROD, DEL/ ROTULA</t>
  </si>
  <si>
    <t>TERM,INALES DE DIREECCION, MUÑECOS DEL Y TRASEROS, BUJES DE LA BARRA ESTAB, BUJES DE TEMPLETES DEL Y TRASE, BUJES DE AMORTUGUADOR,GASOLINA, SERVICIO DE PRENSA, SILICONA</t>
  </si>
  <si>
    <t>FE:132/RM:272</t>
  </si>
  <si>
    <t>CAMBIO PILA BOMBA DE GASOLINA</t>
  </si>
  <si>
    <t>PILA GASOLINA/ABRAZADERA METAL</t>
  </si>
  <si>
    <t>FE:135/RM:276</t>
  </si>
  <si>
    <t>LUIS BELTRAN</t>
  </si>
  <si>
    <t>BJJ-688</t>
  </si>
  <si>
    <t>CHEVROLET RODEO</t>
  </si>
  <si>
    <t>ANILLOS, CASQUETE DE BIELA, EMPQUE DE CULTA, EMPAQUE MULTIPLE DE ADMISION, SOPORTE DE MOTOR IZQ, BUJIAS</t>
  </si>
  <si>
    <t>BANDAS, LIQUIDO FRENO  DOT3</t>
  </si>
  <si>
    <t>CAMBIO DE BANDAS Y LIQUIDO</t>
  </si>
  <si>
    <t>RM:277</t>
  </si>
  <si>
    <t>CAMBIO CRUCETA CARDAN</t>
  </si>
  <si>
    <t>RM:274</t>
  </si>
  <si>
    <t>DDX-778</t>
  </si>
  <si>
    <t>LIQUIDO DOT4</t>
  </si>
  <si>
    <t>RM:278</t>
  </si>
  <si>
    <t>RICARDO QUITIAN</t>
  </si>
  <si>
    <t>SAX-195</t>
  </si>
  <si>
    <t>CAMBIO DE MANGUERA DE FRENOS/ MANTENIMIENTO MORDAZA</t>
  </si>
  <si>
    <t>MANTENIMIENTO FRENO DE AHOGO</t>
  </si>
  <si>
    <t xml:space="preserve">                                                                                                                   </t>
  </si>
  <si>
    <t>MXV-040</t>
  </si>
  <si>
    <t>BJAR TANQUE DE COMBUSTIBLE</t>
  </si>
  <si>
    <t>BMZ-260</t>
  </si>
  <si>
    <t>WILLIAM A CARDENAS</t>
  </si>
  <si>
    <t>IRW-663</t>
  </si>
  <si>
    <t>SINCRONIZACION / CAMBIO DE INYECTOR/ CAMBIO DE VALVULA RETENCION</t>
  </si>
  <si>
    <t>FE: 137 /RM: 283</t>
  </si>
  <si>
    <t>INYECTOR, EMPAQUE DE INYECTOR, BUJIAS, VALVULA, PACHA DE INYECTOR</t>
  </si>
  <si>
    <t>FE:136</t>
  </si>
  <si>
    <t>QHK-358</t>
  </si>
  <si>
    <t xml:space="preserve">
SINCRONIZACION / CABIO DE AMORTIGUADORES DEL Y TRASEROS/ GUARDA POLVO LADO RUEDA</t>
  </si>
  <si>
    <t>FILTROS DE INYECTORES, AMORTIGUADORES DEL Y TRASEROS, BUJES DE TIJERA, SOPORTE DE AMORTIGUADORES, ABRAZADERAS, GP LADO RUEDA, KIT DE REPARTICION, RODAMIENTO SOPORTE AMORTIG, CHUPAS 11/16</t>
  </si>
  <si>
    <t>VICTOR VELAZQUEZ</t>
  </si>
  <si>
    <t>WTM-959</t>
  </si>
  <si>
    <t xml:space="preserve"> 
SINCRONIZACION / REPARACION DE SUSPENSION/ MANTENIMIENTO DE FRENOS/ CAMBIO DE LIQUIDO</t>
  </si>
  <si>
    <t>JHON RODRIGUEZ</t>
  </si>
  <si>
    <t>DDR-574</t>
  </si>
  <si>
    <t>REPARACION DE SUSPENSION DELANTERA / MANTENIMIENTO DE FRENOS/ CAMBIO DE LIQUIDO / CORRECCION FUGA DE MOTOR</t>
  </si>
  <si>
    <t>BUJE DE TIJERAS, BRAZO AXIAL DER, POASTILLAS DEL, MANGUERA ENFRIADOR, DOT4, SILICONA, GASOLINA, MUÑECO, ROTULAS</t>
  </si>
  <si>
    <t>SEMANA DEL 24-09 AL 30/09/2022</t>
  </si>
  <si>
    <t>SEGURO SEP</t>
  </si>
  <si>
    <t>ALIMENTOS LAYLA</t>
  </si>
  <si>
    <t>FZR-739</t>
  </si>
  <si>
    <t>FE:143/RM:287</t>
  </si>
  <si>
    <t>YALILA MONCAYA</t>
  </si>
  <si>
    <t>FE:144</t>
  </si>
  <si>
    <t>GERMAN PIRANEQUE</t>
  </si>
  <si>
    <t>MUS-526</t>
  </si>
  <si>
    <t>FORD ESPACE</t>
  </si>
  <si>
    <t>PETROSERVICES</t>
  </si>
  <si>
    <t>SWR-662</t>
  </si>
  <si>
    <t xml:space="preserve"> REVISION ELECTRICO </t>
  </si>
  <si>
    <t>FE:138/CT:35</t>
  </si>
  <si>
    <t>FE:140</t>
  </si>
  <si>
    <t>CAMBIO DE PUNTAS DE EJE</t>
  </si>
  <si>
    <t>TIJERA, SOPORTE MOTOR Y CAJA, PASTILLAS DELANTERAS, AMORTIGUADORES TRASEROS, LIQUIDO DOT3, GP LADO RUDEA, GP LADO CAJA, KIT CALIPER, BRAZO AXUIAL, INYECTOR, BUJIAS, ABRAZADERAS PLAST , PUNTAS DE EJE</t>
  </si>
  <si>
    <t xml:space="preserve">Suma de VENTA </t>
  </si>
  <si>
    <t>FACTURADO SERVICIOS</t>
  </si>
  <si>
    <t>FACTURADO REPUESTOS</t>
  </si>
  <si>
    <t>GANANCIA SERVICIOS</t>
  </si>
  <si>
    <t>GANANCIA REPUESTOS</t>
  </si>
  <si>
    <t>JOSE ORLANDO LADINO</t>
  </si>
  <si>
    <t>UFX-880</t>
  </si>
  <si>
    <t>FE:145</t>
  </si>
  <si>
    <t>PRODUCTOS FAMILIA</t>
  </si>
  <si>
    <t>BAJAR RUEDA TRASERA DERECHA</t>
  </si>
  <si>
    <t>4 CHUPAS Y GUARDAPOLVOS</t>
  </si>
  <si>
    <t>FE:146</t>
  </si>
  <si>
    <t>DISCOS DELANTEROS</t>
  </si>
  <si>
    <t>FE:147</t>
  </si>
  <si>
    <t>MARIANA ROMERO</t>
  </si>
  <si>
    <t>ZIX-975</t>
  </si>
  <si>
    <t>RODAMIENTO TRASERO</t>
  </si>
  <si>
    <t>RM:289</t>
  </si>
  <si>
    <t>OSCASR RANGEL</t>
  </si>
  <si>
    <t>BAJAR MANGUERA DEL HIDRAULICO</t>
  </si>
  <si>
    <t>RM:288</t>
  </si>
  <si>
    <t>JULIAN VICENTE</t>
  </si>
  <si>
    <t>SYM-628</t>
  </si>
  <si>
    <t>GRADUACION DE FRENOS/ REVISION</t>
  </si>
  <si>
    <t>6 CHUPAS</t>
  </si>
  <si>
    <t>FE: 149</t>
  </si>
  <si>
    <t>VERDECERES</t>
  </si>
  <si>
    <t>CAMBIO DE BANDAS FRENO DE MANO</t>
  </si>
  <si>
    <t>CAMBIAR CRUCETA DE CARDAN / BALINERA</t>
  </si>
  <si>
    <t>MANTENIMIENTO ELECTRICO / CAMBIO DE PITOS</t>
  </si>
  <si>
    <t>RM:290</t>
  </si>
  <si>
    <t>SINCRONIZACION, BAJAR RUEDA</t>
  </si>
  <si>
    <t>UNION 3/16</t>
  </si>
  <si>
    <t>FE:152/RM:291</t>
  </si>
  <si>
    <t>IVAN BOORGE</t>
  </si>
  <si>
    <t>IRM-601</t>
  </si>
  <si>
    <t>KIA CARENS</t>
  </si>
  <si>
    <t>CAMBIO DE PASTILLAS DEL, CAMBIO DE ESPARRAGO</t>
  </si>
  <si>
    <t>PASTILLAS DEL, ESPARRAGO</t>
  </si>
  <si>
    <t>SKZ-264</t>
  </si>
  <si>
    <t>VOLKSWAGEN TRANSPORTE</t>
  </si>
  <si>
    <t>ERL-529</t>
  </si>
  <si>
    <t>SASTOQUE</t>
  </si>
  <si>
    <t xml:space="preserve">CAMBIO DE TUBO </t>
  </si>
  <si>
    <t>SCR-</t>
  </si>
  <si>
    <t>F-350</t>
  </si>
  <si>
    <t>MEDIR PRESION DE COMBUSTIBLE</t>
  </si>
  <si>
    <t>RAFAEL VASQUEZ</t>
  </si>
  <si>
    <t>FE:154</t>
  </si>
  <si>
    <t>GMR-143</t>
  </si>
  <si>
    <t>JOHAN ALVEIRO GUZMAN</t>
  </si>
  <si>
    <t>BLN-256</t>
  </si>
  <si>
    <t>FE:158/FE:160</t>
  </si>
  <si>
    <t>RNS-177</t>
  </si>
  <si>
    <t>FE:40</t>
  </si>
  <si>
    <t>VW GOL</t>
  </si>
  <si>
    <t>CAMBIO DE RODAMIENTOS TRASEROS</t>
  </si>
  <si>
    <t>RODAMIENTOS TRASEROS</t>
  </si>
  <si>
    <t>BRX-793</t>
  </si>
  <si>
    <t>CAMBIO E SOPORTE DE CAJA / CAUCHO / COPA CAJA / CAMBIO DE TRICETA</t>
  </si>
  <si>
    <t>FE:155/RM:293</t>
  </si>
  <si>
    <t>ANGEL MALANGA</t>
  </si>
  <si>
    <t>KEVIN MONTAÑEZ</t>
  </si>
  <si>
    <t>RNV-662</t>
  </si>
  <si>
    <t>SINCRONIZACION/ BAJAR CAJA DE REPARTICION</t>
  </si>
  <si>
    <t>REVISION DE FRENOS /CAMBIO DE LIQUIDO/ CAMBIO DE BUJES PUENTE TRASERO</t>
  </si>
  <si>
    <t>EXOSTO</t>
  </si>
  <si>
    <t>LIQUIDO/ FUSIBLES-RETENEDOR VOLANTE/ KIT DE CLOSH/ EMPAQUES DEL CARTER/ CORREA DE REPARTICION/ GP LADO CAJA/ MUÑECOS/ BUJE PUENTES TRASERO</t>
  </si>
  <si>
    <t>PRESILENCIADOR</t>
  </si>
  <si>
    <t>RM:295</t>
  </si>
  <si>
    <t>BUJIAS</t>
  </si>
  <si>
    <t>SINCRONIZACION-REVISION GUAYA VELOCIMETRO-MATTO RUEDAS LIBRES</t>
  </si>
  <si>
    <t>CLARA</t>
  </si>
  <si>
    <t>BAJAR KIT DE CLOSH</t>
  </si>
  <si>
    <t>LICETH TRIANA</t>
  </si>
  <si>
    <t>RM:296</t>
  </si>
  <si>
    <t>CAMBIAR GUAYA DE CLOSH</t>
  </si>
  <si>
    <t>GUAYA DE CLOSH</t>
  </si>
  <si>
    <t>SEMANA DEL 01-10 AL 08/10/2022</t>
  </si>
  <si>
    <t>RM:301/FE:161</t>
  </si>
  <si>
    <t>CYP-308</t>
  </si>
  <si>
    <t>CAMBIO SOPORTE DE CAJA /MTTO TRASERO</t>
  </si>
  <si>
    <t xml:space="preserve">SOPORTE DE CAJA </t>
  </si>
  <si>
    <t>HB-909</t>
  </si>
  <si>
    <t>SXZ-171</t>
  </si>
  <si>
    <t>PEDRO GUATAME</t>
  </si>
  <si>
    <t>FVR-612</t>
  </si>
  <si>
    <t>CAMBIAR MUÑECOS</t>
  </si>
  <si>
    <t>RM:298</t>
  </si>
  <si>
    <t>DANIEL GALEANO</t>
  </si>
  <si>
    <t>LFV-521</t>
  </si>
  <si>
    <t>CAMBIAR DIAFRAGMA DE FRENOS</t>
  </si>
  <si>
    <t>DIFRAGMA DE FRENO DE AHOHO</t>
  </si>
  <si>
    <t>RM:299</t>
  </si>
  <si>
    <t>JHON RUIZ</t>
  </si>
  <si>
    <t>HBK-013</t>
  </si>
  <si>
    <t>PULGAR FRENOS/ REVISION RUEDA/ CAMBIO DE LIQUIDO</t>
  </si>
  <si>
    <t>LIQUIDODOT3</t>
  </si>
  <si>
    <t>FE:260</t>
  </si>
  <si>
    <t>GUSTAVO DIAZ</t>
  </si>
  <si>
    <t>HTS-557</t>
  </si>
  <si>
    <t>TRAILBLAZEER</t>
  </si>
  <si>
    <t>CAMBIO DE PASTILLAS DEL. Y TRASERAS</t>
  </si>
  <si>
    <t>PASTILLAS DEL /PASTILLAS TRASERAS</t>
  </si>
  <si>
    <t>FE:164/RM:304</t>
  </si>
  <si>
    <t>WILLIAM DIAZ</t>
  </si>
  <si>
    <t>MBZ-195</t>
  </si>
  <si>
    <t xml:space="preserve">CAMBIO DE AMORTIGUADORES DEL./ MUÑECOS/TOPES DE AMORTIGUADORES /RODAMIENTO DE TOPES </t>
  </si>
  <si>
    <t xml:space="preserve">AMORTIGUADORES DEL./ MUÑECOS/TOPES DE AMORTIGUADORES /RODAMIENTO DE TOPES </t>
  </si>
  <si>
    <t>FE:163/RM:302</t>
  </si>
  <si>
    <t>JOSE MADRID</t>
  </si>
  <si>
    <t>BSZ-595</t>
  </si>
  <si>
    <t>CAMBIO DE TIJERA, BRAZO AXIAL, LIQUIDO, CHUPAS</t>
  </si>
  <si>
    <t>CAMBIO DE TIJERA, BRAZO AXIAL, LIQUIDO, CHUPAS, ABRAZADERA PLASTICA</t>
  </si>
  <si>
    <t>RM:303</t>
  </si>
  <si>
    <t>SINCRONIZACION/ CAMBIO SOPORTE DE CAJA</t>
  </si>
  <si>
    <t>CAMBIO DE BRAZO DE DIRECCION/ GRADUACION DE FRENOS</t>
  </si>
  <si>
    <t>EDWIN EXOSTO</t>
  </si>
  <si>
    <t>CAMBIO SOPORTE EXOSTO</t>
  </si>
  <si>
    <t>SZQ-332</t>
  </si>
  <si>
    <t>FE:167/RM:309</t>
  </si>
  <si>
    <t>HERNAN TRIANA</t>
  </si>
  <si>
    <t>SZQ-165</t>
  </si>
  <si>
    <t>BAJAR RUEDA TRASERA Y CAMBIO DE BANDA</t>
  </si>
  <si>
    <t>BANDA, LIQUIDO</t>
  </si>
  <si>
    <t>PILAR GARCIA</t>
  </si>
  <si>
    <t>RM:307</t>
  </si>
  <si>
    <t>DNS-557</t>
  </si>
  <si>
    <t>MATTO DE FRENOS</t>
  </si>
  <si>
    <t>DBV-804</t>
  </si>
  <si>
    <t>FE:166/RM:306</t>
  </si>
  <si>
    <t>CESAR BERRIOS</t>
  </si>
  <si>
    <t>CXH-338</t>
  </si>
  <si>
    <t>CAMBIO PUNTA EJE LADO RUEDA</t>
  </si>
  <si>
    <t xml:space="preserve">PUNTA DE EJE </t>
  </si>
  <si>
    <t>RM:310</t>
  </si>
  <si>
    <t>ALIRIO VARGAS</t>
  </si>
  <si>
    <t>DAH-440</t>
  </si>
  <si>
    <t>REVISION DE RUEDAS/SERVICIO DE ESCANER</t>
  </si>
  <si>
    <t>WHZ-462</t>
  </si>
  <si>
    <t>KIAT</t>
  </si>
  <si>
    <t>REPARACION DE EXOSTO</t>
  </si>
  <si>
    <t>FE:170</t>
  </si>
  <si>
    <t>FRUTOS GRAN FRUVAR LOS CHILACOS</t>
  </si>
  <si>
    <t>WPQ-760</t>
  </si>
  <si>
    <t>CAMBIO DE SWITCH VIDRIO Y CINTA LED/ REVISION ELECTRICA</t>
  </si>
  <si>
    <t>SWITCH VIDRIO Y CINTA LED</t>
  </si>
  <si>
    <t>CLA-201</t>
  </si>
  <si>
    <t>RPARACION DE RADIADOR/ CAMBIO PUNTA DE LUJO EXOSTO</t>
  </si>
  <si>
    <t>WCZ-636</t>
  </si>
  <si>
    <t>CAMBIAR PASTILLAS DEL</t>
  </si>
  <si>
    <t>HKQ-711</t>
  </si>
  <si>
    <t>REVISION DE RUEDAS DEL</t>
  </si>
  <si>
    <t>DANILO SANABRIA</t>
  </si>
  <si>
    <t>FE:173/ RM:211</t>
  </si>
  <si>
    <t>DXN-712</t>
  </si>
  <si>
    <t>VAO-191</t>
  </si>
  <si>
    <t>CAMBI EMP EXOSTO</t>
  </si>
  <si>
    <t>BKY-608</t>
  </si>
  <si>
    <t>CAMBIO CAUCHOS EXOSTO</t>
  </si>
  <si>
    <t>CONTANZA RODRIGUEZ</t>
  </si>
  <si>
    <t>DCM-196</t>
  </si>
  <si>
    <t>ZOTYE</t>
  </si>
  <si>
    <t>FE:176/RM:315</t>
  </si>
  <si>
    <t>FABIO ZAMBRANO</t>
  </si>
  <si>
    <t>BDP-676</t>
  </si>
  <si>
    <t>MATTO DE FRENOS/ CAMBIO DE PASTILLAS DEL</t>
  </si>
  <si>
    <t>DBT-358</t>
  </si>
  <si>
    <t>RM:317</t>
  </si>
  <si>
    <t>FE:175/RM:315</t>
  </si>
  <si>
    <t>JACKSON DIAZ</t>
  </si>
  <si>
    <t>DZX-793</t>
  </si>
  <si>
    <t>CAMBIO ENVASE DE AGUA</t>
  </si>
  <si>
    <t>ENVASE DE AGUA</t>
  </si>
  <si>
    <t>RM:318</t>
  </si>
  <si>
    <t>CHS-304</t>
  </si>
  <si>
    <t>FE:177</t>
  </si>
  <si>
    <t>CECILIA PAYON SA</t>
  </si>
  <si>
    <t>UFS-769</t>
  </si>
  <si>
    <t>CAMBIAR EMP AXILIAR DE CLOSH</t>
  </si>
  <si>
    <t>LIQUIDO , EMPAQUETADURA</t>
  </si>
  <si>
    <t>CYJ-874</t>
  </si>
  <si>
    <t>BJN-892</t>
  </si>
  <si>
    <t>MOTO</t>
  </si>
  <si>
    <t>IOA-190</t>
  </si>
  <si>
    <t>CAMBIO DE BUJE RUEDA AMORTIGUADOR</t>
  </si>
  <si>
    <t>SYM-531</t>
  </si>
  <si>
    <t>SEMANA DEL 08/10 AL 14/10/2022</t>
  </si>
  <si>
    <t>EDWIN ORTIZ</t>
  </si>
  <si>
    <t>GUSTAVO MONTAÑO</t>
  </si>
  <si>
    <t>RM:320</t>
  </si>
  <si>
    <t>REPARACION EXOSTO</t>
  </si>
  <si>
    <t>MKP-814</t>
  </si>
  <si>
    <t>MATTO DE FRENOS COMPLETO</t>
  </si>
  <si>
    <t>IAP-236</t>
  </si>
  <si>
    <t>CAMBIO DE RODAMIENTO DEL</t>
  </si>
  <si>
    <t>RODAMIENTO DEL</t>
  </si>
  <si>
    <t>SOLDADURA  DE PIEZA</t>
  </si>
  <si>
    <t>VKK-719</t>
  </si>
  <si>
    <t>CSC-343</t>
  </si>
  <si>
    <t>TUERCA</t>
  </si>
  <si>
    <t>CVL-671</t>
  </si>
  <si>
    <t>MARIA VEGA</t>
  </si>
  <si>
    <t>RM:322</t>
  </si>
  <si>
    <t>CAMBIAR SENSOR TEMPERATURA</t>
  </si>
  <si>
    <t>SENSOR TEMP</t>
  </si>
  <si>
    <t xml:space="preserve">MARCOS AMAYA </t>
  </si>
  <si>
    <t>RM:323</t>
  </si>
  <si>
    <t>PEDRO LIZARAZO</t>
  </si>
  <si>
    <t>HBK-400</t>
  </si>
  <si>
    <t>REVISION TRASERAS</t>
  </si>
  <si>
    <t>CLAUDIA FERRER</t>
  </si>
  <si>
    <t>CTW-920</t>
  </si>
  <si>
    <t>REPARACION DE SUSPENSION Y ALINEACION</t>
  </si>
  <si>
    <t>ALINEACIO, ABRAZADERA PLAST</t>
  </si>
  <si>
    <t xml:space="preserve">FE:181 </t>
  </si>
  <si>
    <t>GLOBAL CNTAINERS LTDA</t>
  </si>
  <si>
    <t>GEV-111</t>
  </si>
  <si>
    <t>SOLDAR EXOSTO</t>
  </si>
  <si>
    <t>FE:182/RM:326</t>
  </si>
  <si>
    <t>JOSE TRIANA</t>
  </si>
  <si>
    <t>BCE-482</t>
  </si>
  <si>
    <t>RODILLO 32210</t>
  </si>
  <si>
    <t xml:space="preserve">COLOCAR UNION </t>
  </si>
  <si>
    <t>BRT-666</t>
  </si>
  <si>
    <t>ACCENT</t>
  </si>
  <si>
    <t>COLOCAR TARRO EXOSTO</t>
  </si>
  <si>
    <t>FE:187</t>
  </si>
  <si>
    <t>SPLINDER, SERVICIO DE PRENSA</t>
  </si>
  <si>
    <t>FE:188</t>
  </si>
  <si>
    <t>MT CANTER</t>
  </si>
  <si>
    <t>BAJAR RUEDA DELANTERA/ CAMBIO DE RODAMIENTO DELNATERO DER. INTERNO/ ENGRASE DE RODAMIENTOS</t>
  </si>
  <si>
    <t>MANTTO BOMBA DE FRENOS CAMBIO DE DIAFRAGMA</t>
  </si>
  <si>
    <t>RODA. DELANTERO , GASOLINA, GRASA, CHUPAS, PINES, SILICONA, JUEGO DE BANDAS</t>
  </si>
  <si>
    <t>RM:328</t>
  </si>
  <si>
    <t>JOSE ALVAREZ</t>
  </si>
  <si>
    <t>WWJ-369</t>
  </si>
  <si>
    <t>CAMBIO DE ASPIRAL Y DIAFRAGMA</t>
  </si>
  <si>
    <t>ASPIRAL, DIAFRAGMA</t>
  </si>
  <si>
    <t>ALB-204</t>
  </si>
  <si>
    <t>REPARACION RADIADOR</t>
  </si>
  <si>
    <t>MANTENIMEINTO DE FRENOS / CAMBIO DE PASTILLAS Y BANDAS TRASERA IZQ.</t>
  </si>
  <si>
    <t>FE:185</t>
  </si>
  <si>
    <t>MANTENIMIENTO RADIADOR / CAMBIAR MANGUERA / ARREGLO FUGA EXOSTO</t>
  </si>
  <si>
    <t>JUEGO DE PASTILLAS, GRASA, CHUPAS, ABRAZADERAS PLAST</t>
  </si>
  <si>
    <t>INYECTORES, EMP CUERPO ACELERACION, BOMBA DE GASOLINA</t>
  </si>
  <si>
    <t>CSR-133</t>
  </si>
  <si>
    <t xml:space="preserve"> CAMBIO DE PASTILLAS DEL/CAMBIO LIQUIDO</t>
  </si>
  <si>
    <t>SEMANA DEL 15/10 AL 21/10/2022</t>
  </si>
  <si>
    <t>BAJAR RUEDA TARSERA DERECHA</t>
  </si>
  <si>
    <t>CHEVROLET 3500</t>
  </si>
  <si>
    <t>CAMBIAR MANGUERA</t>
  </si>
  <si>
    <t>PAJARO</t>
  </si>
  <si>
    <t>BNX-294</t>
  </si>
  <si>
    <t>ANDRES VARGAS</t>
  </si>
  <si>
    <t>HBR-717</t>
  </si>
  <si>
    <t>CAMBIO DE DISCOS Y PASTILLAS DEL</t>
  </si>
  <si>
    <t>CAMBIO DE PUNTERA</t>
  </si>
  <si>
    <t>FE:191 /RM:332</t>
  </si>
  <si>
    <t>ANDRES MARTINEZ</t>
  </si>
  <si>
    <t>BNY-608</t>
  </si>
  <si>
    <t>MANTENIMIENTO DE FRENOS/ CAMBIO DE LIQUIDO</t>
  </si>
  <si>
    <t>FE:190/RM:330</t>
  </si>
  <si>
    <t>ARMANDO CASTAÑEDA</t>
  </si>
  <si>
    <t>TATIANA</t>
  </si>
  <si>
    <t>FE:189/RM:329</t>
  </si>
  <si>
    <t>PETGOEUT</t>
  </si>
  <si>
    <t>REVISION DE CORTO / CAMBIO PERA DE REVERSO/ARREGLO INSTALACION</t>
  </si>
  <si>
    <t>CINTA, PORTAFUSIBLE, TERMINALES DE ENCHUFE, PERA DE REVERSO</t>
  </si>
  <si>
    <t>CIC-388</t>
  </si>
  <si>
    <t>CAMBIO DE RESILENCIADOR</t>
  </si>
  <si>
    <t>GRADUAR FRENOS, BAJAR RUEDA DEL IZQ</t>
  </si>
  <si>
    <t>FERNANDO LONDOÑO</t>
  </si>
  <si>
    <t>RM:333/FE:193</t>
  </si>
  <si>
    <t>BLH-065</t>
  </si>
  <si>
    <t>MEGANE</t>
  </si>
  <si>
    <t xml:space="preserve"> BANDAS, GRADUACION DE FRENOS, RESORTES Y PUNTILLAS</t>
  </si>
  <si>
    <t>CAMBIO DE BANDAS, GRADUACION DE FRENOS, RESORTES Y PUNTILLAS /DESVARE</t>
  </si>
  <si>
    <t>RM:336</t>
  </si>
  <si>
    <t>MARIA A GUAVA</t>
  </si>
  <si>
    <t>REPARACION CAJA DE DIRECCION</t>
  </si>
  <si>
    <t>FE:195/RM:335</t>
  </si>
  <si>
    <t xml:space="preserve">CARLOS LOZADA </t>
  </si>
  <si>
    <t>FCL-920</t>
  </si>
  <si>
    <t>PASTILLAS Y BANDAS</t>
  </si>
  <si>
    <t>BOE-215</t>
  </si>
  <si>
    <t>ZYN--152</t>
  </si>
  <si>
    <t>SOLDAR EXOSTO Y BABERO</t>
  </si>
  <si>
    <t>RM:338</t>
  </si>
  <si>
    <t>CONSTRUCCIONES RICARDO CARO SAS</t>
  </si>
  <si>
    <t>TLM-879</t>
  </si>
  <si>
    <t>RM:339</t>
  </si>
  <si>
    <t>NANCY RODRIGUEZ</t>
  </si>
  <si>
    <t>MQK-979</t>
  </si>
  <si>
    <t>CAMILO GUZMAN</t>
  </si>
  <si>
    <t>MQM-115</t>
  </si>
  <si>
    <t>CAMBIO DE PRESILENCIADOR</t>
  </si>
  <si>
    <t>RM:340</t>
  </si>
  <si>
    <t>LUCIANO CASTELLANOS</t>
  </si>
  <si>
    <t>WOW-586</t>
  </si>
  <si>
    <t>RM:341</t>
  </si>
  <si>
    <t>CAMBIO DE BALINERA DE FANCLOSH Y CORREA</t>
  </si>
  <si>
    <t>UNIGAS</t>
  </si>
  <si>
    <t>WRL-952</t>
  </si>
  <si>
    <t>GRADUACION DE FRENO/GF DE MANO</t>
  </si>
  <si>
    <t>FE:197</t>
  </si>
  <si>
    <t>SVB-533</t>
  </si>
  <si>
    <t>CAMBIO DE DIAFRAGMA Y RESORTE DE SEGURIDAD</t>
  </si>
  <si>
    <t>SEGURO OCT</t>
  </si>
  <si>
    <t>OSCAR MELO</t>
  </si>
  <si>
    <t>CVD-959</t>
  </si>
  <si>
    <t>KIA SORENTO</t>
  </si>
  <si>
    <t>MANTENIMEITNO DE FRENOS</t>
  </si>
  <si>
    <t>JAVIER GALLO</t>
  </si>
  <si>
    <t>TAT-815</t>
  </si>
  <si>
    <t>TRANSURENCO</t>
  </si>
  <si>
    <t>TGK-845</t>
  </si>
  <si>
    <t>GTSS</t>
  </si>
  <si>
    <t>JOX-221</t>
  </si>
  <si>
    <t>GRADUACION DE FRENO Y FRENO DE MANO</t>
  </si>
  <si>
    <t>HECTOR CISNEROS</t>
  </si>
  <si>
    <t>ROK-650</t>
  </si>
  <si>
    <t>CAMBIO DE LIQUIDO MANTENIMIENTO DE FRENOS</t>
  </si>
  <si>
    <t>RM:343</t>
  </si>
  <si>
    <t>FE:199</t>
  </si>
  <si>
    <t>JGC-800</t>
  </si>
  <si>
    <t>LIQUIDO DOT3</t>
  </si>
  <si>
    <t>HACER FRENOS, CONECTAR GUAYA FRENO DE MANO</t>
  </si>
  <si>
    <t>OVE-038</t>
  </si>
  <si>
    <t>REVISAR TRASERAS/ GRADUAR LIMITADOR</t>
  </si>
  <si>
    <t>SEMANA DEL 22/10 AL 28/10/2022</t>
  </si>
  <si>
    <t>HERRERO</t>
  </si>
  <si>
    <t>REVISION DE TIJERAS/ RELLENO DE PORTA MANGUETA</t>
  </si>
  <si>
    <t>CAMBIO DE RODAMIENTO DELANTERO /MATTO TRASERO IZQ</t>
  </si>
  <si>
    <t>RM:349/FE:349</t>
  </si>
  <si>
    <t>JAIME CRUZ</t>
  </si>
  <si>
    <t xml:space="preserve">UTQ-864 </t>
  </si>
  <si>
    <t>BUJES DE TIJERA, SOPORTE DE AMORTIGUDOR</t>
  </si>
  <si>
    <t>RSA-061</t>
  </si>
  <si>
    <t>BJH-461</t>
  </si>
  <si>
    <t>SUSPENSION DE PRESILENCIADOR</t>
  </si>
  <si>
    <t>DILMER CHAVARRO</t>
  </si>
  <si>
    <t>BAE-623</t>
  </si>
  <si>
    <t>MT</t>
  </si>
  <si>
    <t xml:space="preserve">CAMBIO DE EMPAQUE DE CLOSH </t>
  </si>
  <si>
    <t>EMPAQUE /LIQUIDO</t>
  </si>
  <si>
    <t>EDWIN (EXOSTO)</t>
  </si>
  <si>
    <t>RM:351</t>
  </si>
  <si>
    <t>WILSON SUAREZ</t>
  </si>
  <si>
    <t>R-12</t>
  </si>
  <si>
    <t>CAMBIO DE TERMINALES BUJES DE TIJERA/ BUJES BARRA ESTABILIZADORA</t>
  </si>
  <si>
    <t xml:space="preserve">GRADUACION DE FRENO </t>
  </si>
  <si>
    <t>FE:204</t>
  </si>
  <si>
    <t xml:space="preserve">SERVICIOS AGRICOLA JB SAS </t>
  </si>
  <si>
    <t>REVISAR RUEDAS DEL</t>
  </si>
  <si>
    <t>WFR-439</t>
  </si>
  <si>
    <t>SERVICIOS FACTURADOS</t>
  </si>
  <si>
    <t>RM:355</t>
  </si>
  <si>
    <t>LUIS DUARTE</t>
  </si>
  <si>
    <t>BVA-572</t>
  </si>
  <si>
    <t>LUIS PINTO</t>
  </si>
  <si>
    <t>RENAULT LAGUNA</t>
  </si>
  <si>
    <t>CAMBIO DE GUAYA DE REVERSO</t>
  </si>
  <si>
    <t>RM:354</t>
  </si>
  <si>
    <t xml:space="preserve">MIGUEL MESTIZO PULIDO </t>
  </si>
  <si>
    <t>RM:353</t>
  </si>
  <si>
    <t>PULGAR SISTEMA DE FRENOS</t>
  </si>
  <si>
    <t>MTT-421</t>
  </si>
  <si>
    <t xml:space="preserve">FORD </t>
  </si>
  <si>
    <t>RM:356</t>
  </si>
  <si>
    <t>OSCAR BONILLA</t>
  </si>
  <si>
    <t>KHC-191</t>
  </si>
  <si>
    <t>LIMPIAR BUJIAS</t>
  </si>
  <si>
    <t>CZD-944</t>
  </si>
  <si>
    <t xml:space="preserve">VW </t>
  </si>
  <si>
    <t>DIEGO JAMAICA</t>
  </si>
  <si>
    <t>GUQ-699</t>
  </si>
  <si>
    <t>REVISION/CAMBIO DE BANDAS</t>
  </si>
  <si>
    <t>REVISION INYECTORES</t>
  </si>
  <si>
    <t>RM:362</t>
  </si>
  <si>
    <t>FE:211/RM:357</t>
  </si>
  <si>
    <t>LEONARDO SANTISTEBAN</t>
  </si>
  <si>
    <t>CYY-416</t>
  </si>
  <si>
    <t>TERMOSTATO, MANGUERA</t>
  </si>
  <si>
    <t>FE:213/RM:360</t>
  </si>
  <si>
    <t>SARA VARGAS</t>
  </si>
  <si>
    <t>INN-088</t>
  </si>
  <si>
    <t>3 BUJIAS</t>
  </si>
  <si>
    <t>FE:212/RM:359</t>
  </si>
  <si>
    <t>JUAN M DUQUE</t>
  </si>
  <si>
    <t>NAU-998</t>
  </si>
  <si>
    <t>CAMBIO DE DISCO Y PASTILLAS</t>
  </si>
  <si>
    <t>DISCOS/PASTILLAS</t>
  </si>
  <si>
    <t>FE:209</t>
  </si>
  <si>
    <t>JARDINEROS SAS</t>
  </si>
  <si>
    <t>SERVICIO DE TORNO Y ESPARRAGOS</t>
  </si>
  <si>
    <t xml:space="preserve">             </t>
  </si>
  <si>
    <t>WPQ-630</t>
  </si>
  <si>
    <t>ALEJANDRO PEÑA</t>
  </si>
  <si>
    <t>RM:363</t>
  </si>
  <si>
    <t>SQL-898</t>
  </si>
  <si>
    <t>CAMBIO DE MANGUERA DE FRENO DE SEGURIDAD</t>
  </si>
  <si>
    <t>SERGIO JIMENEZ</t>
  </si>
  <si>
    <t>RM:364</t>
  </si>
  <si>
    <t>HOD-108</t>
  </si>
  <si>
    <t>REVISIO DE RUEDA</t>
  </si>
  <si>
    <t>YEBRAIN MORA</t>
  </si>
  <si>
    <t>CAMBIO DE BANDAS Y CHUPAS</t>
  </si>
  <si>
    <t>FE:124/RM:365</t>
  </si>
  <si>
    <t>CAMBIO DE SOPORTE DE AMORTIGUADOR/ BUJES DE TIJERA</t>
  </si>
  <si>
    <t>FE:210 /RM: 358</t>
  </si>
  <si>
    <t>REVISION DE RUEDAS CAMBIO DE TERMOSTATO</t>
  </si>
  <si>
    <t>FE:215/RM:366</t>
  </si>
  <si>
    <t>CAMBIO DE SOPORTE AMORTIGUADOR LADO IZQ DEL/ CAMBIO ARO BOMBA DE FRENO</t>
  </si>
  <si>
    <t>ARO BOMBA DE FRENO/ RODAMIENTO DEL IZQ</t>
  </si>
  <si>
    <t>RM:367</t>
  </si>
  <si>
    <t>RUBEN VARGAS</t>
  </si>
  <si>
    <t>UDM-639</t>
  </si>
  <si>
    <t>CAMBIO DE LIQUIDO/ MANTENIMIENTO DE FRENOS</t>
  </si>
  <si>
    <t>RM:369</t>
  </si>
  <si>
    <t>ERK-45</t>
  </si>
  <si>
    <t xml:space="preserve"> 
BAJAR RUEDA DELANTERA DERECHA/ TRASERA DERECHA/ GRADUAR FRENOS</t>
  </si>
  <si>
    <t>SEMANA DEL 29/10 AL 04/112022</t>
  </si>
  <si>
    <t>CAMBIO DE TIJERAS SUPERIORES DELANTERAS</t>
  </si>
  <si>
    <t>REVISION DE RUEDA</t>
  </si>
  <si>
    <t>RM:371</t>
  </si>
  <si>
    <t>ALEXIS MOLINA</t>
  </si>
  <si>
    <t>TRG-701</t>
  </si>
  <si>
    <t>MANTENIMIENTO DE RUEDAS DELANTERAS/GRADUACION DE FRENOS</t>
  </si>
  <si>
    <t>CHUPAS, LIQUIDO, PIN CACHO</t>
  </si>
  <si>
    <t>RM:372/FE:217</t>
  </si>
  <si>
    <t>KAL-109</t>
  </si>
  <si>
    <t>MATTO COMPLETO, CAMBIO DE PASTILLAS/CAMBIO DE LIQUIDO</t>
  </si>
  <si>
    <t>BKR-808</t>
  </si>
  <si>
    <t>VW</t>
  </si>
  <si>
    <t>SOLDAR TUBO EXOSTO</t>
  </si>
  <si>
    <t>MANTENIMIENTO RADIADOR</t>
  </si>
  <si>
    <t>RM:370</t>
  </si>
  <si>
    <t>FE:222</t>
  </si>
  <si>
    <t>CARLOS BENITEZ</t>
  </si>
  <si>
    <t>REVISION RUEDAS DEL Y TRASERAS</t>
  </si>
  <si>
    <t>BANDAS, GRASA, GASOLINA</t>
  </si>
  <si>
    <t>DEP-444</t>
  </si>
  <si>
    <t>RM:373</t>
  </si>
  <si>
    <t>CAMBIO DE DIAFRGMA TRASERO IZQ</t>
  </si>
  <si>
    <t>DIAFRAGMA TIPO 30</t>
  </si>
  <si>
    <t>GABRIEL LUQUE LEANDRO</t>
  </si>
  <si>
    <t xml:space="preserve">ARR-520 </t>
  </si>
  <si>
    <t>RENY VASQUEZ</t>
  </si>
  <si>
    <t>CAMBIO KT DE REPARTICION Y RETENEDORE DE REP</t>
  </si>
  <si>
    <t xml:space="preserve"> KT DE REPARTICION Y RETENEDORE DE REP</t>
  </si>
  <si>
    <t>FE:26/RM_</t>
  </si>
  <si>
    <t>CAMBIO DE MUÑECO</t>
  </si>
  <si>
    <t>CRX-348</t>
  </si>
  <si>
    <t>FE:225/RM:374</t>
  </si>
  <si>
    <t>JAIRO ALONZO GONZALES</t>
  </si>
  <si>
    <t>UFU-588</t>
  </si>
  <si>
    <t>SUPER KARRY</t>
  </si>
  <si>
    <t>CAMBIO GUAYA DE FRENO DE MANO/PASTILLAS DELANTERAS</t>
  </si>
  <si>
    <t>GUAYA/ PASTILLAS DEL.</t>
  </si>
  <si>
    <t>RM:377</t>
  </si>
  <si>
    <t>ALFREDO SUAREZ</t>
  </si>
  <si>
    <t>CAMBIO DE AMORTIGUADORES DEL.</t>
  </si>
  <si>
    <t>FLI-814</t>
  </si>
  <si>
    <t>CAMBIO TUBO SILENCIADOR</t>
  </si>
  <si>
    <t>BVG-394</t>
  </si>
  <si>
    <t xml:space="preserve">VITARA </t>
  </si>
  <si>
    <t>RIKO POLLO</t>
  </si>
  <si>
    <t>UPP-145</t>
  </si>
  <si>
    <t>RESORTE</t>
  </si>
  <si>
    <t>RM:381</t>
  </si>
  <si>
    <t>KZY-882</t>
  </si>
  <si>
    <t>TUCSON</t>
  </si>
  <si>
    <t>FE:228/RM:379</t>
  </si>
  <si>
    <t>HUMBERTO BETANCOURT</t>
  </si>
  <si>
    <t>RGY-054</t>
  </si>
  <si>
    <t>CAMBIO DE PASTILLAS DEL. /DISCO Y LIQUIDO</t>
  </si>
  <si>
    <t>RM:382</t>
  </si>
  <si>
    <t>CAMBIO DE EXOSTO</t>
  </si>
  <si>
    <t>IIR-925</t>
  </si>
  <si>
    <t>CAMBIO DE CURVA</t>
  </si>
  <si>
    <t>BGW-834</t>
  </si>
  <si>
    <t>CAMBIO DE BUJE</t>
  </si>
  <si>
    <t>FIAT ADVENTURI</t>
  </si>
  <si>
    <t>KIA JOUL</t>
  </si>
  <si>
    <t>RM:384</t>
  </si>
  <si>
    <t>LILIANA PATARROYO</t>
  </si>
  <si>
    <t>CAMBIO DE LIQUIDO /MATTO COMPLETO</t>
  </si>
  <si>
    <t>MATTO RUEDA TRASERA /GRADUACION</t>
  </si>
  <si>
    <t>EICK PAEZ</t>
  </si>
  <si>
    <t>MANTENIMIENTO</t>
  </si>
  <si>
    <t>SEMANA DEL 05/11 AL 11/112022</t>
  </si>
  <si>
    <t>EDUARDO ARGUILA</t>
  </si>
  <si>
    <t>MKQ-047</t>
  </si>
  <si>
    <t>BUJIAS/EMPAQUE CUERO ACELERACION</t>
  </si>
  <si>
    <t>RM:387/FE:232</t>
  </si>
  <si>
    <t>FE:233</t>
  </si>
  <si>
    <t xml:space="preserve">BTZ-979 </t>
  </si>
  <si>
    <t xml:space="preserve"> HOJA DE MUELLE2 Y TERCERA/CENTRAL Y BUJE DE MUELLE</t>
  </si>
  <si>
    <t>CAMBIO DE HOJA DE MUELLE Y BUJES /GRADUACION DE FRENOS</t>
  </si>
  <si>
    <t>FE:231/RM:385</t>
  </si>
  <si>
    <t>DAVID ORDOÑEZ</t>
  </si>
  <si>
    <t>IXS-786</t>
  </si>
  <si>
    <t>ALBERTO BOJACA</t>
  </si>
  <si>
    <t xml:space="preserve">DCE-692 </t>
  </si>
  <si>
    <t>RM:386</t>
  </si>
  <si>
    <t>DCS-868</t>
  </si>
  <si>
    <t>LAVAR RADIADOR</t>
  </si>
  <si>
    <t>RM:388 / FE:234</t>
  </si>
  <si>
    <t>GERMAN BULLA</t>
  </si>
  <si>
    <t>RGN-134</t>
  </si>
  <si>
    <t xml:space="preserve">CAMBIO DE MUÑECOS, TERMINALES, AXIALES, BUJES DE TIJERA, SOPORTE DE CAJA </t>
  </si>
  <si>
    <t xml:space="preserve"> MUÑECOS, TERMINALES, AXIALES, BUJES DE TIJERA, SOPORTE DE CAJA </t>
  </si>
  <si>
    <t>RM:393</t>
  </si>
  <si>
    <t>MANUEL BARBOSA</t>
  </si>
  <si>
    <t>BVA-767</t>
  </si>
  <si>
    <t>HECTOR COLMENAREZ</t>
  </si>
  <si>
    <t>BYH-660</t>
  </si>
  <si>
    <t>REVISION / CAMBIO BRAZO AXIAL</t>
  </si>
  <si>
    <t>RM:389</t>
  </si>
  <si>
    <t>RZG-156</t>
  </si>
  <si>
    <t>PERNO Y TUERCA</t>
  </si>
  <si>
    <t>RM:392</t>
  </si>
  <si>
    <t>ALEJANDRO MEDINA</t>
  </si>
  <si>
    <t>BWD-321</t>
  </si>
  <si>
    <t>RM:391/FE:235</t>
  </si>
  <si>
    <t>REVISION DELANTERA/ CAMBIO DE ESPARRAGO DELANTERO IZQ</t>
  </si>
  <si>
    <t xml:space="preserve">CAMBIO DE MANGUERA </t>
  </si>
  <si>
    <t xml:space="preserve">CAMBIO SOPORTE CAJA </t>
  </si>
  <si>
    <t>EMPAQUE DE CULATA, EMPAQUE MULTIPLE DE ADMISION, TERMOSTATO, BASE DE TERMOSTATO, ANILLOS, CASQUETE DE BIELA, BANCADA, VALVULAS, SELLOS, KIT DE REPARTIOCION, GUIAS VALVULAS, BOBINAS</t>
  </si>
  <si>
    <t>RM:398/FE:239</t>
  </si>
  <si>
    <t>VANESA CASTRO</t>
  </si>
  <si>
    <t>NCZ-865</t>
  </si>
  <si>
    <t>FORD FIESTA</t>
  </si>
  <si>
    <t>CAMBIO DE AMORTIGUADORES DELANTEROS Y TRASEROS, RODAMIENTO DE AMORTIGUADOR</t>
  </si>
  <si>
    <t>AMORTIGUADORES DELANTEROS Y TRASEROS, RODAMIENTO DE AMORTIGUADOR</t>
  </si>
  <si>
    <t>RM:397</t>
  </si>
  <si>
    <t xml:space="preserve"> 
MANTENIMIENTO VALVULA DEL MINIMO/CAMBIO DE CHUPAS</t>
  </si>
  <si>
    <t>ANGEL LADINO</t>
  </si>
  <si>
    <t>BMX-260</t>
  </si>
  <si>
    <t>CAMBIO VALVULA IAC</t>
  </si>
  <si>
    <t>SENSOR IAC</t>
  </si>
  <si>
    <t>NELSON PARRA</t>
  </si>
  <si>
    <t>OJF-038</t>
  </si>
  <si>
    <t>MANGUERAS DE FRENOS</t>
  </si>
  <si>
    <t>CXY-873</t>
  </si>
  <si>
    <t>CAMBIO DE PRESILENCIADOR Y PUNTERA</t>
  </si>
  <si>
    <t>WLR-952</t>
  </si>
  <si>
    <t>CARLOS SUPELANO</t>
  </si>
  <si>
    <t>BSB-780</t>
  </si>
  <si>
    <t>HYUNDAI TERRACAN</t>
  </si>
  <si>
    <t>MANTENIMIENTO DE FRENOS/CAMBIO D AMORTIGUADORES/BUJES Y MUÑECOS/CAMBIO DE MANGUERA HIDRAULICA</t>
  </si>
  <si>
    <t xml:space="preserve">PASTILLAS DE FRENOS, BUJES DE TEMPLETES, MUÑECOS, LIQUIDO </t>
  </si>
  <si>
    <t>LIMPIEZA DE SENSORES/ESCANER</t>
  </si>
  <si>
    <t>RM:401</t>
  </si>
  <si>
    <t>VAROCK</t>
  </si>
  <si>
    <t>SEMANA DEL 12/11 AL 18/112022</t>
  </si>
  <si>
    <t>MANTENIMIENTO COMPLETO/CAMBIO DE MANGUERA</t>
  </si>
  <si>
    <t>ERICK PAEZ</t>
  </si>
  <si>
    <t>RENNY VASQUEZ</t>
  </si>
  <si>
    <t>RM:403</t>
  </si>
  <si>
    <t>CAMBIO DE BOMBA HIDRAULICA</t>
  </si>
  <si>
    <t>BOMBA HIDRAULICA</t>
  </si>
  <si>
    <t>YOBANY PINEDA</t>
  </si>
  <si>
    <t>CAMBIO DE BUJES /BARRA DE CAMBIO Y EMPAQUETADURA DE CLOSH</t>
  </si>
  <si>
    <t>RM:402</t>
  </si>
  <si>
    <t>BUJES BARRA DE CAMBIO Y EMPAQUETADURA DE CLOSH/ LIQUIDO</t>
  </si>
  <si>
    <t>CAMBIO DE SOPORTE DE MOTOR DEL. DER/ SOPORTE DE AMORTIGUAODR TRASERO DERE</t>
  </si>
  <si>
    <t>CJH-949</t>
  </si>
  <si>
    <t>CALIBRAR FRENOS</t>
  </si>
  <si>
    <t>RM:404</t>
  </si>
  <si>
    <t>ORLANDO LADINO</t>
  </si>
  <si>
    <t>CHEQUEO DE SENSOR</t>
  </si>
  <si>
    <t>TRABAJO RADIADOR</t>
  </si>
  <si>
    <t>ALICIA BALLESTEROS</t>
  </si>
  <si>
    <t>RM:407</t>
  </si>
  <si>
    <t>UUS-174</t>
  </si>
  <si>
    <t>CAMBIO DE DISCOS/PASTILLAS Y LIQUIDO</t>
  </si>
  <si>
    <t>DISCOS/PASTILLAS/LIQUIDO</t>
  </si>
  <si>
    <t>SMART CHOICE</t>
  </si>
  <si>
    <t>WPS-097</t>
  </si>
  <si>
    <t>CAMBIO DE TIJERA</t>
  </si>
  <si>
    <t>WILMER INFANTE</t>
  </si>
  <si>
    <t>EJN-204</t>
  </si>
  <si>
    <t>CAMBIO DE PASTILLAS DEL, MANTENIMIENTO RUEDAS TRASERAS</t>
  </si>
  <si>
    <t>CHUPAS. PASTILLAS</t>
  </si>
  <si>
    <t>RM:408/FE:246</t>
  </si>
  <si>
    <t>RM:409</t>
  </si>
  <si>
    <t>ARREGLO EXOSTO/BAJADA Y SUBIR RADEADOR</t>
  </si>
  <si>
    <t>RM:410</t>
  </si>
  <si>
    <t>MARIELA SOSA</t>
  </si>
  <si>
    <t>USE-902</t>
  </si>
  <si>
    <t>GRADUAR CLOSH</t>
  </si>
  <si>
    <t>RM:411</t>
  </si>
  <si>
    <t>FELIPE SIERRA</t>
  </si>
  <si>
    <t xml:space="preserve">EXOSTO </t>
  </si>
  <si>
    <t>RM:406</t>
  </si>
  <si>
    <t>OSCAR GARCIA</t>
  </si>
  <si>
    <t>KJQ-294</t>
  </si>
  <si>
    <t xml:space="preserve">
REPARACION DE SUSPENSION DELANTERA/ CAMBIO DE SOPORTES DE LA CAJA/ 
MANTENIMIENTO DE FRENOS/ CAMBIO DE DISCOS/ PASTILLAS/ BANDAS /CAMBIO DE LIQUIDO/ ENGRASE DE RODAMIENTOS</t>
  </si>
  <si>
    <t>GRASA, LIQUIDO, GASOLINA</t>
  </si>
  <si>
    <t>FE:248/RM:412</t>
  </si>
  <si>
    <t>ROBERTO MELLIZO</t>
  </si>
  <si>
    <t>ARG-843</t>
  </si>
  <si>
    <t>BGA-902</t>
  </si>
  <si>
    <t>ILVAR MORENO</t>
  </si>
  <si>
    <t>UFZ-594</t>
  </si>
  <si>
    <t>FE:250/RM:413</t>
  </si>
  <si>
    <t>CAMBIO TERMINAL Y ROTULA</t>
  </si>
  <si>
    <t>ROTULA (TERMINAL DERECHO POR GARANTIA)</t>
  </si>
  <si>
    <t>IVAN PARRA</t>
  </si>
  <si>
    <t>BCP-640</t>
  </si>
  <si>
    <t>CAMBIO DE PILA DE GASOLINA</t>
  </si>
  <si>
    <t xml:space="preserve"> PILA DE GASOLINA</t>
  </si>
  <si>
    <t>FE:249</t>
  </si>
  <si>
    <t>ALEJANDRO ALFONSO</t>
  </si>
  <si>
    <t>GUR-972</t>
  </si>
  <si>
    <t>LANGUI</t>
  </si>
  <si>
    <t>SUAVIZAR MORDAZAS DEL/CAMBIO DE LIQUIDO</t>
  </si>
  <si>
    <t>LIGAS CALIPER/DOT4</t>
  </si>
  <si>
    <t>RM:416/FE:251</t>
  </si>
  <si>
    <t>DVA COLOMBIA</t>
  </si>
  <si>
    <t>JLO-763</t>
  </si>
  <si>
    <t>CAMBIO DE BRAZO AXIAL IZQ</t>
  </si>
  <si>
    <t>BRAZO AXIAL IZQ</t>
  </si>
  <si>
    <t>JONATHAN ERAZO</t>
  </si>
  <si>
    <t>MSN-188</t>
  </si>
  <si>
    <t>CAMBIO DE BOMBA DE AGUA/CORREA ACCESORIO Y PATIN</t>
  </si>
  <si>
    <t>CORREA ACCESORIO/PATIN/BOMBA DE AGUA</t>
  </si>
  <si>
    <t>BEV-391</t>
  </si>
  <si>
    <t>SEMANA DEL 19/11 AL 25/112022</t>
  </si>
  <si>
    <t>FE_256/RM:418</t>
  </si>
  <si>
    <t>JULIAN RODRIGUEZ</t>
  </si>
  <si>
    <t>CMC-631</t>
  </si>
  <si>
    <t>CAMBIO DE PUNTA DELANTERA IZQ.</t>
  </si>
  <si>
    <t>BSN-920</t>
  </si>
  <si>
    <t>WCK-908</t>
  </si>
  <si>
    <t>GRADUAR FRENOS / REVISAR CLOSH</t>
  </si>
  <si>
    <t>RM:420</t>
  </si>
  <si>
    <t>KEVIN ESTIVEN</t>
  </si>
  <si>
    <t>FHL-270</t>
  </si>
  <si>
    <t>TZS-365</t>
  </si>
  <si>
    <t>INTERNACIONAL</t>
  </si>
  <si>
    <t>CAMBIO TARRO DE REFRIGERANTE</t>
  </si>
  <si>
    <t>TARRO REFRIGERANTE</t>
  </si>
  <si>
    <t>SZU-472</t>
  </si>
  <si>
    <t>FABIO CAMERO</t>
  </si>
  <si>
    <t>EIW-657</t>
  </si>
  <si>
    <t xml:space="preserve">CAMBIO DE TOPES DE AMORTIGUADOR, PUNTA DE EJE, MONTAJE Y DESMONTAJE DE MANGUERA DE AIRE ACONDICIONADO, CAMBIO DE DISCOS Y PASTILLAS </t>
  </si>
  <si>
    <t xml:space="preserve">TOPES DE AMORTIGUADOR, PUNTA DE EJE,  CAMBIO DE DISCOS Y PASTILLAS </t>
  </si>
  <si>
    <t>RM:421/FE:259</t>
  </si>
  <si>
    <t>LIBARDO JIMENEZ</t>
  </si>
  <si>
    <t>JENNIFER BAGURTO</t>
  </si>
  <si>
    <t>RM:422</t>
  </si>
  <si>
    <t>GET-132</t>
  </si>
  <si>
    <t xml:space="preserve"> 
AJUSTE DE CARDAN/ CAMBIO DE PUNTILLAS FRENO DE MANO/ GRADUACION</t>
  </si>
  <si>
    <t>PUNTILLAS</t>
  </si>
  <si>
    <t>RM:426</t>
  </si>
  <si>
    <t>FERNANDO SERRATO</t>
  </si>
  <si>
    <t>BOY-122</t>
  </si>
  <si>
    <t xml:space="preserve">
CAMBIO SOPORTES DE AMORTIGUADOR Y RODAMIENTO TRASERO IZQ</t>
  </si>
  <si>
    <t>CAMBIO DE SOPORTE AMORTIGUADOR Y RODAMIENTO TRASERO IZQ</t>
  </si>
  <si>
    <t>FE:261/RM:425</t>
  </si>
  <si>
    <t>BMS-312</t>
  </si>
  <si>
    <t>SOLDADURA EXOSTO</t>
  </si>
  <si>
    <t>ALASKA</t>
  </si>
  <si>
    <t>JUAN PABLO PINILLA</t>
  </si>
  <si>
    <t>FHB-930</t>
  </si>
  <si>
    <t>FE:264/RM:428</t>
  </si>
  <si>
    <t>RM:415</t>
  </si>
  <si>
    <t>PISTONES, ANILLOS, CASQUETE DE BIELA, BANCADA, MEDIAS LUNAS, GUIAS VALVULAS, VALVULAS, CAUCHOS, EMPAQUES DE MOTOR, KIT DE REPARTICION, GASOLINA, CAMBIO DE ACEITE, REFIRGERANTE, SILICONA, BIELA, BOMBA DE ACEITE, SOPORTE MOTOR, VALVULA PSU</t>
  </si>
  <si>
    <t>AVICOLA SAMIRA</t>
  </si>
  <si>
    <t>BNW-819</t>
  </si>
  <si>
    <t>HTX-135</t>
  </si>
  <si>
    <t>FE:265/RM:429</t>
  </si>
  <si>
    <t xml:space="preserve"> 
REPARACION DE SUSPENSION DELANTERA /MANTENIMIENTO DE FRENOS/CAMBIO DE PASTILLAS DELANTERAS Y TRASERAS/ SERVICIO DE PRENSA</t>
  </si>
  <si>
    <t>PUNTA DE EJE LADO RUEDA/ MULÑECOS DELANTEROS/PASTILLAS DELANTERAS Y TRASERAS/BUJES DE TIJERA INFERIOR Y SUPERIOR</t>
  </si>
  <si>
    <t>FE:262/RM:</t>
  </si>
  <si>
    <t>SEBASTIAN BRICEÑO</t>
  </si>
  <si>
    <t>CCP-650</t>
  </si>
  <si>
    <t>CAMBIO DE KIT DE CLOSH/ KIT DE REPARTICION</t>
  </si>
  <si>
    <t>KIT DE REPARTICION/ KIT DE EMBRAGUE</t>
  </si>
  <si>
    <t>BGK-799</t>
  </si>
  <si>
    <t>CAMBIO BUJE DE UN SOPORTE/ CAMBIO ROTULA DERECHA/TERMINAL DERECHO</t>
  </si>
  <si>
    <t>TORNO</t>
  </si>
  <si>
    <t>GRAFAR TUBO ABS/GRADUACION</t>
  </si>
  <si>
    <t>HECTOR GERMAN NAVARRO</t>
  </si>
  <si>
    <t>CAMBIO DE FLEXIBLE</t>
  </si>
  <si>
    <t>RM:433</t>
  </si>
  <si>
    <t>SIMBOL</t>
  </si>
  <si>
    <t>CAMBIO DE PUNTAS-TERMOSTATO</t>
  </si>
  <si>
    <t>KEVIN SANTANA</t>
  </si>
  <si>
    <t>CAMBIO EMPAQUE DEL CARTER</t>
  </si>
  <si>
    <t>EMPAQUE CARTER</t>
  </si>
  <si>
    <t>FAVER JIMENEZ</t>
  </si>
  <si>
    <t>RJO-317</t>
  </si>
  <si>
    <t>TIIDA</t>
  </si>
  <si>
    <t>CAMBIO DE TIJERA DEL IZQ.</t>
  </si>
  <si>
    <t>JAIRO VILLAMIL</t>
  </si>
  <si>
    <t>SBF-041</t>
  </si>
  <si>
    <t xml:space="preserve">CAMBIO DE DIAFRAGMA </t>
  </si>
  <si>
    <t>DIFRAGMA TIPO 30</t>
  </si>
  <si>
    <t>SQI-915</t>
  </si>
  <si>
    <t>ARREGLO EXOSTO</t>
  </si>
  <si>
    <t>RM:435</t>
  </si>
  <si>
    <t>REINADLO ANGULO</t>
  </si>
  <si>
    <t>DFK-156</t>
  </si>
  <si>
    <t>CAMBIO EMPAQUE TAPA VALVULA</t>
  </si>
  <si>
    <t>EMPAQUE TAPA VALVULA, SILICONA</t>
  </si>
  <si>
    <t>NASLY RIAÑO</t>
  </si>
  <si>
    <t>HGR-939</t>
  </si>
  <si>
    <t>FE:270/RM:437</t>
  </si>
  <si>
    <t>FE:269/RM:436</t>
  </si>
  <si>
    <t>MIGUEL BIGOLLA</t>
  </si>
  <si>
    <t>BON-388</t>
  </si>
  <si>
    <t>PASTILLAS DELANTERAS TITANIUM</t>
  </si>
  <si>
    <t>FE:219</t>
  </si>
  <si>
    <t>CAMBIO GUAYA DE FRENO DE MANO/BANDA/PALANCA/MONTAR RADIADOR</t>
  </si>
  <si>
    <t>SEMANA DEL 26/11 AL 02/12/2022</t>
  </si>
  <si>
    <t>FE: 271</t>
  </si>
  <si>
    <t>CAMBIO DE TERMINALES DE DIRECCION</t>
  </si>
  <si>
    <t>GRADUAR CLOSH, COLOCAR CABLE SENSOR</t>
  </si>
  <si>
    <t>SSW-412</t>
  </si>
  <si>
    <t>REVISION /CAMBIO DE RODAMIENTO</t>
  </si>
  <si>
    <t>RM:438</t>
  </si>
  <si>
    <t>LUIS F GONZALES</t>
  </si>
  <si>
    <t>KIT DE RODAMIENTOS</t>
  </si>
  <si>
    <t>TARRO FRENO DE AHOGO</t>
  </si>
  <si>
    <t>MANTENIMIENTO FRENO DE AHOGO/GF</t>
  </si>
  <si>
    <t>ALEJANDRO SEPULVEDA</t>
  </si>
  <si>
    <t>GQQ-125</t>
  </si>
  <si>
    <t xml:space="preserve">MEDIR COMPRESION </t>
  </si>
  <si>
    <t>CAMBIO DE LIGAS CALIPER</t>
  </si>
  <si>
    <t>LIGAS CALIPER/LIQUIDO</t>
  </si>
  <si>
    <t>ELABORACION CAJON DE BATERIAS</t>
  </si>
  <si>
    <t>BERTA AREVALO</t>
  </si>
  <si>
    <t>LQH-809</t>
  </si>
  <si>
    <t>PUERTAS ELECTRONICAS OSORIO</t>
  </si>
  <si>
    <t>HSY-447</t>
  </si>
  <si>
    <t>LIQUIDO/PASTILLAS DEL Y TRASERAS</t>
  </si>
  <si>
    <t>CAMBIO DE RODAMIENTO DELANTEROS DERECHO</t>
  </si>
  <si>
    <t>BAJAR CAMARA DEL IZQ</t>
  </si>
  <si>
    <t>FE:263</t>
  </si>
  <si>
    <t xml:space="preserve">
CAMBIO DE EMPAQUETADURAS BOMBA DE CLOSH/ GRADUACION DE FRENOS</t>
  </si>
  <si>
    <t>GRADUACION DE FRENO/GRADUACION FRENO DE MANO</t>
  </si>
  <si>
    <t>ERICK</t>
  </si>
  <si>
    <t>MANTENIMIENTO COMPLETO/CAMBIO DE LIQUIDO/ CAMBIO DE PASTILLAS DEL Y TRASERAS</t>
  </si>
  <si>
    <t>DIEGO SIERRA</t>
  </si>
  <si>
    <t>DCS-412</t>
  </si>
  <si>
    <t>MATTO COMPLETO / CAMBIO DE PASTILLAS DELANTERAS Y BAJAR DISCO/ RECTIFICACION DE DISCOS</t>
  </si>
  <si>
    <t>RECTIFICACION DE DISCOS/PASTILLAS DELANTERAS</t>
  </si>
  <si>
    <t>FE:274/RM:443</t>
  </si>
  <si>
    <t>AJUSTAR BRAZO COMPENSADOR</t>
  </si>
  <si>
    <t>DAVID OSORIO</t>
  </si>
  <si>
    <t>BUJES DE TIJERA</t>
  </si>
  <si>
    <t>RM:445</t>
  </si>
  <si>
    <t>DANIEL GUERRERO</t>
  </si>
  <si>
    <t>BHW-671</t>
  </si>
  <si>
    <t>PISTONES, ANILLOS, CAMISAS, CASQUETE DE BIELA, BANCADA, MEDIAS LUNAS, EMP. DE MOTOR, SERVICIO DE RECTIFICADORA, CAMBIO DE ACEITE, GASOLINA, SILICONA, REFRIGERANTE, GUAYA FRENO DE MANO, BANDA, Y PALANCA, TUBO RETORNO DE ACEITE</t>
  </si>
  <si>
    <t>Cuenta de FECHA</t>
  </si>
  <si>
    <t xml:space="preserve">LATONERIA Y PINTURA </t>
  </si>
  <si>
    <t>MES DE NOVIEMBRE</t>
  </si>
  <si>
    <t>CAMBIO DE EMPAQUE</t>
  </si>
  <si>
    <t>RM:450</t>
  </si>
  <si>
    <t>CAMBIO BARRA ESTABILIZADORA</t>
  </si>
  <si>
    <t>DCO-998</t>
  </si>
  <si>
    <t>HBZ-800</t>
  </si>
  <si>
    <t>FE:278</t>
  </si>
  <si>
    <t>COMERC. AKESAN</t>
  </si>
  <si>
    <t>CAMBIO DE PASTILLAS DEL /TRASERAS/BAJAR TIJERAS</t>
  </si>
  <si>
    <t>PASTILLAS DELANTERAS/TRASERAS</t>
  </si>
  <si>
    <t>JUAN CARLOS PEREZ</t>
  </si>
  <si>
    <t>MNR-227</t>
  </si>
  <si>
    <t>CAMBIO SOPORTE SILENCIADOR</t>
  </si>
  <si>
    <t>SOPORTE SILENCIADOR</t>
  </si>
  <si>
    <t>FE:277/RM:448</t>
  </si>
  <si>
    <t>CAMBIO DE LIQUIDO/ BANDAS</t>
  </si>
  <si>
    <t>BANDAS/LIQUIDO DOT4</t>
  </si>
  <si>
    <t>COMERCIALIZADORA AKESA SAS</t>
  </si>
  <si>
    <t xml:space="preserve">CAMBIO DE BRAZO AXIAL/TERMINAL/GUARDAPOLVO EJE </t>
  </si>
  <si>
    <t>FE:282/RM:452</t>
  </si>
  <si>
    <t>BRAZO AXIAL/TERMINAL/GP</t>
  </si>
  <si>
    <t>INVERSIONES BERMAN</t>
  </si>
  <si>
    <t>RNN-147</t>
  </si>
  <si>
    <t>SPART GT</t>
  </si>
  <si>
    <t>RM:451</t>
  </si>
  <si>
    <t>FE:284/RM:453</t>
  </si>
  <si>
    <t xml:space="preserve">CAMBIO EMPAQUETADURA TAPA VALVULA/EMPAQUETADURA CULATA/CUACHOS VALVULA/SILICONA/TREN CALEFACCION/ BOMBA DE AGUA </t>
  </si>
  <si>
    <t xml:space="preserve">EMPAQUETADURA TAPA VALVULA/EMPAQUETADURA CULATA/CUACHOS VALVULA/SILICONA/TREN CALEFACCION/ BOMBA DE AGUA </t>
  </si>
  <si>
    <t>FE:281</t>
  </si>
  <si>
    <t>ANTIOQUEÑA DE PORCINOS</t>
  </si>
  <si>
    <t>SNQ-743</t>
  </si>
  <si>
    <t>CAMBIO BANDAS FRENO DE MANO</t>
  </si>
  <si>
    <t>BANDAS, RESORTES, GRADUACION, PUNTILLAS</t>
  </si>
  <si>
    <t>NATALY COBOS</t>
  </si>
  <si>
    <t>VDX-269</t>
  </si>
  <si>
    <t xml:space="preserve">CHANA </t>
  </si>
  <si>
    <t>CAMBIO DE PASTILLAS DELANTERAS Y DISCOS</t>
  </si>
  <si>
    <t>PASTILLAS DELANTERAS/DISCOS</t>
  </si>
  <si>
    <t>FE:285/RM:454</t>
  </si>
  <si>
    <t>HECTOR NENPEQUE</t>
  </si>
  <si>
    <t>AEG-273</t>
  </si>
  <si>
    <t>REPARACION BOMBA DE FRENO</t>
  </si>
  <si>
    <t>VALVULA RELAY/GASOLINA</t>
  </si>
  <si>
    <t>FE:88/RM:456</t>
  </si>
  <si>
    <t>CALZAR BANDAS DE FRENO</t>
  </si>
  <si>
    <t>BANDAS DE FRENO</t>
  </si>
  <si>
    <t>CAMBIO DE CRUCETA CARDAN / SERVICIO DE ESCANER</t>
  </si>
  <si>
    <t>FE:286</t>
  </si>
  <si>
    <t>CRUCETA DE CARDAN/SERVICIOS DE ESCANER/LIQUIDO DOT4</t>
  </si>
  <si>
    <t>JOSE SUAREZ</t>
  </si>
  <si>
    <t>BEZ-968</t>
  </si>
  <si>
    <t>CAMBIO SOPORTE MOTOR IZQUIERDO/ SOLDAR TUBO DE AGUA</t>
  </si>
  <si>
    <t>SOPORTE MOTOR</t>
  </si>
  <si>
    <t>RM:457</t>
  </si>
  <si>
    <t>EDGAR MALDONADO</t>
  </si>
  <si>
    <t>TLM-813</t>
  </si>
  <si>
    <t>CHUPAS/GRASAS/LIQUIDO</t>
  </si>
  <si>
    <t>JORGE SANCHEZ</t>
  </si>
  <si>
    <t>WMH-819</t>
  </si>
  <si>
    <t>RM:458/FE:290</t>
  </si>
  <si>
    <t>ANDRES TORRES</t>
  </si>
  <si>
    <t>BWG-382</t>
  </si>
  <si>
    <t>CAMBIO DE MANGUERAS</t>
  </si>
  <si>
    <t>MANGUERAS DE FRENOS/BUJES DE AMORTIGUADORES</t>
  </si>
  <si>
    <t>DIEGO CASTELLANOS</t>
  </si>
  <si>
    <t>IAE-137</t>
  </si>
  <si>
    <t>BAJAR TIJERAS/REVISAR ENTRADA DE COMBUSTIBLE</t>
  </si>
  <si>
    <t>SOPORTE MOTOR/ LIQUIDO</t>
  </si>
  <si>
    <t>JOSE GONZALES</t>
  </si>
  <si>
    <t>JOV-231</t>
  </si>
  <si>
    <t>FE:239</t>
  </si>
  <si>
    <t>CAMILA LOPEZ</t>
  </si>
  <si>
    <t>FAR-179</t>
  </si>
  <si>
    <t>CHUPAS/LIQUIDO</t>
  </si>
  <si>
    <t>EUDOMAR PALENCIA</t>
  </si>
  <si>
    <t>SMD-700</t>
  </si>
  <si>
    <t>BAJAR CAJA DE CAMBIOS</t>
  </si>
  <si>
    <t>CAMBIO PUNTA DE EJE</t>
  </si>
  <si>
    <t xml:space="preserve">SINCRONIZACION, CAMBIO DE SOPORTE </t>
  </si>
  <si>
    <t>BAJAR CAJA / CAMBIO DE RETENEDOR DE CIGUEÑAL/ CORREGIR FUGA DE AGUA</t>
  </si>
  <si>
    <t>YOVANNI AUSIQUE</t>
  </si>
  <si>
    <t xml:space="preserve">BUJIAS, SOPORTE CAJA </t>
  </si>
  <si>
    <t>RETENEDOR DE CIGÜEÑA</t>
  </si>
  <si>
    <t>SOPORTE EXOSTO</t>
  </si>
  <si>
    <t>CARLOS AGUDELO</t>
  </si>
  <si>
    <t>BRL-243</t>
  </si>
  <si>
    <t>GRADUACIONES DE FRENO/CILINDRO</t>
  </si>
  <si>
    <t>CAMBIO DE GRADUACION TRASERA IZQ /DERECHA/CILINDRO</t>
  </si>
  <si>
    <t>DAVID MORENO</t>
  </si>
  <si>
    <t>BRL-196</t>
  </si>
  <si>
    <t>CAMBIO BUJES DE TIJERA DELANTERA DERECHA</t>
  </si>
  <si>
    <t>GILBERTO MANULANDA</t>
  </si>
  <si>
    <t>BOR-223</t>
  </si>
  <si>
    <t>INVERSIONES GLP</t>
  </si>
  <si>
    <t>SEMANA DEL 03/12 AL 09/12/2022</t>
  </si>
  <si>
    <t>RM:455</t>
  </si>
  <si>
    <t>MAQUINA</t>
  </si>
  <si>
    <t>SEGURO NOV</t>
  </si>
  <si>
    <t>JULIO CRUZ</t>
  </si>
  <si>
    <t>QFV-096</t>
  </si>
  <si>
    <t>LIQUIDO DOT4, BOMBA DE FRENO</t>
  </si>
  <si>
    <t>RM:495</t>
  </si>
  <si>
    <t>REY-290</t>
  </si>
  <si>
    <t>RM:467</t>
  </si>
  <si>
    <t>WPS-037</t>
  </si>
  <si>
    <t>CORREGIR FUGA DE / COLOCAR CALVULA INFLALLANTAS</t>
  </si>
  <si>
    <t>RACOR/VALVULA INFLALLANTAS</t>
  </si>
  <si>
    <t>FE:295</t>
  </si>
  <si>
    <t>FELIPE MUÑOZ</t>
  </si>
  <si>
    <t>BKW-854</t>
  </si>
  <si>
    <t>MANTENIMIENTO DE FRENO</t>
  </si>
  <si>
    <t>CAMBIO DE BORNE</t>
  </si>
  <si>
    <t>REPARACION EXOSTO/CAMBIO DE CURVA</t>
  </si>
  <si>
    <t xml:space="preserve">SOLDADURA </t>
  </si>
  <si>
    <t>UPT-117</t>
  </si>
  <si>
    <t>RM:469</t>
  </si>
  <si>
    <t>GERARDO OTERO</t>
  </si>
  <si>
    <t>RM:470</t>
  </si>
  <si>
    <t>NESTOR HERNANDEZ</t>
  </si>
  <si>
    <t>JFK-356</t>
  </si>
  <si>
    <t>RM:471/FE:296</t>
  </si>
  <si>
    <t>HERNADO ROMERO</t>
  </si>
  <si>
    <t>REVISION DELANTERAS/CAMBIO DE BANDAS Y CHUPAS</t>
  </si>
  <si>
    <t>BANDAS/CHUPAS</t>
  </si>
  <si>
    <t>FE:297/RM:472</t>
  </si>
  <si>
    <t>ANDRES PACHECO</t>
  </si>
  <si>
    <t>BHB-013</t>
  </si>
  <si>
    <t>FESTIVA</t>
  </si>
  <si>
    <t>CAMBIO DE RODAMIENTO TRASERO IZQ.</t>
  </si>
  <si>
    <t xml:space="preserve">RODAMIENTO </t>
  </si>
  <si>
    <t>WILSON ARTEAGA</t>
  </si>
  <si>
    <t>IIR-295</t>
  </si>
  <si>
    <t>REVISION DE FRENOS DELANTEROS/CAMBIO DE BUJES DE TIJERA</t>
  </si>
  <si>
    <t>TUBO EXOSTO</t>
  </si>
  <si>
    <t>GLOBAL CONTAINERS</t>
  </si>
  <si>
    <t>GEV-109</t>
  </si>
  <si>
    <t>BAJAR RUEDAS DELANTERAS Y DISCOS</t>
  </si>
  <si>
    <t>DDJ-623</t>
  </si>
  <si>
    <t>TOYOTA FORD RUNNER</t>
  </si>
  <si>
    <t>MANTENIMIENTO DE FRENOS DEL /GRADUAR TRASERAS</t>
  </si>
  <si>
    <t>ALEJANDRA DIAZ</t>
  </si>
  <si>
    <t>JUAN GARZON</t>
  </si>
  <si>
    <t>NAM-280</t>
  </si>
  <si>
    <t>CAMBIO EXOSTO</t>
  </si>
  <si>
    <t>ALEJANDRA ATEHORTUA</t>
  </si>
  <si>
    <t>HSO-992</t>
  </si>
  <si>
    <t>SEMANA DEL 10/12 AL 16/12/2022</t>
  </si>
  <si>
    <t>BAJAR CULATA-CAMBIO EMPAQUETADURA DE MOTOR</t>
  </si>
  <si>
    <t>JOSE NIÑO</t>
  </si>
  <si>
    <t>XLL-419</t>
  </si>
  <si>
    <t>MANTENIMIENTO COMPLETO</t>
  </si>
  <si>
    <t>JUEGO DE PASTILLAS DELANTERAS, TORNILLO L</t>
  </si>
  <si>
    <t>MANUEL BEJARANO</t>
  </si>
  <si>
    <t>CAMBIO EMPA. PRINCIPAL/ CAMBIO EMPAQ. AUXILIAR DE CLOSH</t>
  </si>
  <si>
    <t>RM:481</t>
  </si>
  <si>
    <t>RM:482</t>
  </si>
  <si>
    <t>LUIS ENRIQUE SANCHEZ</t>
  </si>
  <si>
    <t>MCL-828</t>
  </si>
  <si>
    <t>YESID RODRIGUEZ</t>
  </si>
  <si>
    <t>CAMBIO DE BANDAS/MATTO DE FRENOS-CAMBIO DE ESPARRAGO</t>
  </si>
  <si>
    <t>RM:483</t>
  </si>
  <si>
    <t>BAJAR CAJA DE DIRECCION/GRADUAR FRENOS</t>
  </si>
  <si>
    <t>CAMBIO DE SOPORTE  Y RETENEDORES</t>
  </si>
  <si>
    <t>SOPORTE CAJA</t>
  </si>
  <si>
    <t xml:space="preserve">  </t>
  </si>
  <si>
    <t>EMPAQUE DE CULATA/ VALVULA D CALEFACCION/ TAPA RADIADOR</t>
  </si>
  <si>
    <t xml:space="preserve">CAMBIAR EMPAQUE CULATA / RECTIFICAR CULATA </t>
  </si>
  <si>
    <t>REVISION DE RUEDA TRASERA DERECHA</t>
  </si>
  <si>
    <t>BKC-627</t>
  </si>
  <si>
    <t>MANTENIMEINTO DE FRENOS/CAMBIO DE LIQUIDO/CAMBIO DE MANGUERA DE FRENOS</t>
  </si>
  <si>
    <t>MANGUERA DE FRENOS/LIQUIDO/PASTILLAS DELANTERAS</t>
  </si>
  <si>
    <t>TSM-364</t>
  </si>
  <si>
    <t>GRADUACION DE FRENOS/GRADUAR CLOSH</t>
  </si>
  <si>
    <t>COORPORACION DOS HEMISFERIO</t>
  </si>
  <si>
    <t>EDISON GOMEZ</t>
  </si>
  <si>
    <t>ANDRES MAYORGA</t>
  </si>
  <si>
    <t>COLOCAR PUNTERA</t>
  </si>
  <si>
    <t>CURVA</t>
  </si>
  <si>
    <t>CFP-232</t>
  </si>
  <si>
    <t>RM:485/FAS:300</t>
  </si>
  <si>
    <t>RM:487</t>
  </si>
  <si>
    <t>RM:488</t>
  </si>
  <si>
    <t>AMPARO ALARCON</t>
  </si>
  <si>
    <t>CAMBIO DE QUITA RUIDO</t>
  </si>
  <si>
    <t>RM:489</t>
  </si>
  <si>
    <t>SQX-102</t>
  </si>
  <si>
    <t>BANDAS-GASOLINA-CHUPA-RODILLO-GRASA-SILICONA-PINES</t>
  </si>
  <si>
    <t>FE:301/RM:491</t>
  </si>
  <si>
    <t>RM:492</t>
  </si>
  <si>
    <t>CAMBIO DE ROTULA DELA. IZQ</t>
  </si>
  <si>
    <t>RCX-069</t>
  </si>
  <si>
    <t xml:space="preserve">JAIME MONCADA </t>
  </si>
  <si>
    <t>FE:304</t>
  </si>
  <si>
    <t>REVISION DE FRENOS RUEDAS TRASERAS/CAMBIO DE BLOQUE DE FRENOS</t>
  </si>
  <si>
    <t>FE:305/RM:495</t>
  </si>
  <si>
    <t>JEISSON JIMENEZ</t>
  </si>
  <si>
    <t>CVF-727</t>
  </si>
  <si>
    <t>REVISION SISTEMA DE ENCENDIDO-CAMBIO DE TERMOSTATO</t>
  </si>
  <si>
    <t>FE:303</t>
  </si>
  <si>
    <t xml:space="preserve"> DESARROLLADORA CC FONTANAR SAS</t>
  </si>
  <si>
    <t>MBK-046</t>
  </si>
  <si>
    <t>REPARACION DE SUSPENSION DELANTERA/MANTENIMIENTO DE FRENOS</t>
  </si>
  <si>
    <t>AMORTIGUADORES DELANTEROS, BIELTE ESTABILIZADORA, TERMINALES DE DIRECCION DEL., BRAZO AXIAL, BUJES DE TIJERA DEL.</t>
  </si>
  <si>
    <t>RM:496</t>
  </si>
  <si>
    <t>LUIS MONTEALEGRE</t>
  </si>
  <si>
    <t>EFO-015</t>
  </si>
  <si>
    <t>MANTEMINIENTO COMPLETO DE FRENO</t>
  </si>
  <si>
    <t>MANTENIMIENTO DE FRENOS COMPLETO/CAMBIO VALVULA DE COMBUSTIBLE/CAMBIO DE LIQUIDO</t>
  </si>
  <si>
    <t>CDN-832</t>
  </si>
  <si>
    <t>REVISION DELANTERA</t>
  </si>
  <si>
    <t xml:space="preserve">ANDERSON  </t>
  </si>
  <si>
    <t>RCP-194</t>
  </si>
  <si>
    <t>NELSON VILLARRAGA</t>
  </si>
  <si>
    <t>HAG-137</t>
  </si>
  <si>
    <t>RM:498</t>
  </si>
  <si>
    <t>RM:501/FE:310</t>
  </si>
  <si>
    <t>ALEJANDRO PULIDO</t>
  </si>
  <si>
    <t>CAMBIO DE BOMBA DE AGUA/CORREA ACCESORIO</t>
  </si>
  <si>
    <t xml:space="preserve">BOMBA DE AGUA /CORREA </t>
  </si>
  <si>
    <t>CAMBIO DE TRICETA/RODAMIENTO EJE /MUÑECOS</t>
  </si>
  <si>
    <t>RM:499</t>
  </si>
  <si>
    <t xml:space="preserve">MATTO DE FRENOS DEL. GRADUACION </t>
  </si>
  <si>
    <t>IVAN MORALES</t>
  </si>
  <si>
    <t>FLR-281</t>
  </si>
  <si>
    <t>MATTO DE RUEDAS DELANTERAS</t>
  </si>
  <si>
    <t>PAULO G</t>
  </si>
  <si>
    <t>R9</t>
  </si>
  <si>
    <t>CAMBIO DE CAJA DE CAMBIO</t>
  </si>
  <si>
    <t>BAJAR DISCO</t>
  </si>
  <si>
    <t>SUAVIZAR CLOSH</t>
  </si>
  <si>
    <t>FREDY LARROTA</t>
  </si>
  <si>
    <t>BIOCONTACTO</t>
  </si>
  <si>
    <t>RCQ-054</t>
  </si>
  <si>
    <t>MIGUEL CANO</t>
  </si>
  <si>
    <t>BSG-182</t>
  </si>
  <si>
    <t>SEMANA DEL 17/12/2022 AL 23/12/2022</t>
  </si>
  <si>
    <t>CHV ALTO</t>
  </si>
  <si>
    <t>REFRIGERANTE (METALCARGO)</t>
  </si>
  <si>
    <t>1/4 VALVULINA</t>
  </si>
  <si>
    <t>1/4 HIDRAULICO</t>
  </si>
  <si>
    <t>BAJAR RUEDAS DEL,/BAJAR CILINDROS/RECTIFICAR GRADUACION/ CAMBIO DE BANDAS</t>
  </si>
  <si>
    <t>JEEP CHEROKI</t>
  </si>
  <si>
    <t>REVISAR TRASERAS/CAMBIO DE CHUPAS</t>
  </si>
  <si>
    <t>MATTO DE FRENOS/CAMBIO DE GUARDAPOLVO DE LA CAJA DE DIRECCION</t>
  </si>
  <si>
    <t>PRIMAS</t>
  </si>
  <si>
    <t>CAMBIO DE ACEITE</t>
  </si>
  <si>
    <t>RM:507</t>
  </si>
  <si>
    <t>CESAR CARDENAS</t>
  </si>
  <si>
    <t>WCK-131</t>
  </si>
  <si>
    <t>BAJAR RUEDAS DELANTERAS/ GRADUAR TRASERAS</t>
  </si>
  <si>
    <t>3 CHUPAS/ GASOLINA/GRASA</t>
  </si>
  <si>
    <t>JONATHAN HERAZO</t>
  </si>
  <si>
    <t>SOPORTE DE AMORTIGUADOR DELANTERIO IZQ</t>
  </si>
  <si>
    <t>MIGUEL VALBUENA</t>
  </si>
  <si>
    <t>RLM-576</t>
  </si>
  <si>
    <t>LUIS SERRATA</t>
  </si>
  <si>
    <t>ITT-653</t>
  </si>
  <si>
    <t>STEEM</t>
  </si>
  <si>
    <t>CAMBIO DE BRAZO AXIAL/ TERMINAL/ CAMBIO DE TIJERA</t>
  </si>
  <si>
    <t>BRAZO AXIAL/ TERMINAL/ CAMBIO DE TIJERA</t>
  </si>
  <si>
    <t>FE:313/RM:509</t>
  </si>
  <si>
    <t>FERNANDO TOBO</t>
  </si>
  <si>
    <t>RIT-679</t>
  </si>
  <si>
    <t>CAMBIO DE PASTILLAS DELANTERAS/ESPARRAGO DEL DERECHO</t>
  </si>
  <si>
    <t>ESPARRAGO</t>
  </si>
  <si>
    <t>RM:517</t>
  </si>
  <si>
    <t>RM:515</t>
  </si>
  <si>
    <t>CAMBIO DE BOMBA AUXILIAR DE CLOSH</t>
  </si>
  <si>
    <t>BOMBA AUXILIAR DE CLOSH/PINTA DE LIQUIDO</t>
  </si>
  <si>
    <t>RM:513</t>
  </si>
  <si>
    <t>FAV-183</t>
  </si>
  <si>
    <t>CORREGIR FUGA DE ACEITE</t>
  </si>
  <si>
    <t>RETENES /GASOLINA/SILICONA</t>
  </si>
  <si>
    <t>RJN-240</t>
  </si>
  <si>
    <t>MANTENIMIENTO DE FRENOS DEL.</t>
  </si>
  <si>
    <t xml:space="preserve">TOYOTA </t>
  </si>
  <si>
    <t>MANTENIMIENTO DE TRASERAS / CAMBIO DE PASTILLAS TRASERAS</t>
  </si>
  <si>
    <t>FE:314/RM:514</t>
  </si>
  <si>
    <t>ELIECER CABEZAS</t>
  </si>
  <si>
    <t>JAIRO MONTENEGRO</t>
  </si>
  <si>
    <t>JAT-478</t>
  </si>
  <si>
    <t>BAJAR BOMBA DE FRENO/REVISION TRASERAS</t>
  </si>
  <si>
    <t>EMPAQUES BOMBA</t>
  </si>
  <si>
    <t>RM:516</t>
  </si>
  <si>
    <t>TRG-451</t>
  </si>
  <si>
    <t>MUÑECO/TRICETA/RODAMIENTO DE EJE</t>
  </si>
  <si>
    <t>RM:506</t>
  </si>
  <si>
    <t>ABONO 27-12-2022</t>
  </si>
  <si>
    <t>CUENTA ILVAR</t>
  </si>
  <si>
    <t>EDUARDO RODRIGUEZ</t>
  </si>
  <si>
    <t>BKC-981</t>
  </si>
  <si>
    <t>HONDA CIVIC</t>
  </si>
  <si>
    <t>HUGO FAJARDO</t>
  </si>
  <si>
    <t>CIM-977</t>
  </si>
  <si>
    <t>RM:518</t>
  </si>
  <si>
    <t>SEBASTIAN PEREZ</t>
  </si>
  <si>
    <t>UZN-124</t>
  </si>
  <si>
    <t>CAMBIO DE ESPARRAGO Y ROTACION DE CAUCHOS</t>
  </si>
  <si>
    <t>SKZ-080</t>
  </si>
  <si>
    <t>MARIO RODRIGUEZ</t>
  </si>
  <si>
    <t>LUIS FLORES</t>
  </si>
  <si>
    <t>FE:315/RM:519</t>
  </si>
  <si>
    <t>IWR-537</t>
  </si>
  <si>
    <t>CAMBIO DE PASTILLAS DEL/BUJES DE TIJERA</t>
  </si>
  <si>
    <t>PASTILLAS DEL/BUJES DE TIJERA</t>
  </si>
  <si>
    <t>FE:316</t>
  </si>
  <si>
    <t>GRIRONA PROYECTO E INVERSIONES</t>
  </si>
  <si>
    <t>MANTENIMIENTO EXOSTO</t>
  </si>
  <si>
    <t>RM:521</t>
  </si>
  <si>
    <t>NESTOR GARCIA</t>
  </si>
  <si>
    <t>BRG-017</t>
  </si>
  <si>
    <t>MANTENIMIENTO DE FRENO COMPLETO</t>
  </si>
  <si>
    <t>GASOLINA, GRASA, JUEGO DE BANDAS, OPIN CACHO, SILICONA, CHUPAS</t>
  </si>
  <si>
    <t>FE:319</t>
  </si>
  <si>
    <t>NISSAN PATRIOL</t>
  </si>
  <si>
    <t>CAMBIO DE BUJE DE AMORTIGUADOR</t>
  </si>
  <si>
    <t>NESTOR MANTIEL</t>
  </si>
  <si>
    <t>BOY-709</t>
  </si>
  <si>
    <t>CHUPAS, BANDAS</t>
  </si>
  <si>
    <t>FE:323/RM:527</t>
  </si>
  <si>
    <t>ANDRES GUTIERREZ</t>
  </si>
  <si>
    <t>HDR-418</t>
  </si>
  <si>
    <t xml:space="preserve"> 
CAMBIO DE AMORTIGUADORES TRASEROS/SOPORTE DE AMORTIGUADORES/ CAMBIO DE LIQUIDO/ CAMBIO DE CILINDRO TRASEROS/GP DE AMORTIGUADORES</t>
  </si>
  <si>
    <t>AMORTIGUADORES TRASEROS/SOPORTE DE AMORTIGUADORES/ CAMBIO DE LIQUIDO/ CAMBIO DE CILINDRO TRASEROS/GP DE AMORTIGUADORES</t>
  </si>
  <si>
    <t>MANTENIMIENTO DE FRENOS /CAMBIO DE PASTILLAS TRASERAS</t>
  </si>
  <si>
    <t>CAMBIO DE SOPORTE</t>
  </si>
  <si>
    <t>QHZ-358</t>
  </si>
  <si>
    <t>CAMBIO DE MARIPOSA DEL. IZQ/ ROTULAS /TERMINALES</t>
  </si>
  <si>
    <t>SEMANA DEL 24/12/2022 AL 30/12/2022</t>
  </si>
  <si>
    <t>CSA-348</t>
  </si>
  <si>
    <t>MANTENIMEITNO COMPELTO/ CAMBIO DE BRAZO AXIAL/ TERMINAL DE DIRECCION</t>
  </si>
  <si>
    <t>CAMBIO DE SOPORTE DE AMORTIGUADORES DELANTEROS IZ</t>
  </si>
  <si>
    <t>KAK-795</t>
  </si>
  <si>
    <t>VALVULINA (ENSEÑANZA)</t>
  </si>
  <si>
    <t>ACEITE</t>
  </si>
  <si>
    <t xml:space="preserve">CAMBIO </t>
  </si>
  <si>
    <t>CHAMPU</t>
  </si>
  <si>
    <t>HIDRAULICO</t>
  </si>
  <si>
    <t>PRESTAMO</t>
  </si>
  <si>
    <t>REFRIGERANTE</t>
  </si>
  <si>
    <t>Suma de GANANCIA POR REPUESTOS</t>
  </si>
  <si>
    <t>ENERO</t>
  </si>
  <si>
    <t>FEBRERO</t>
  </si>
  <si>
    <t>MARZO</t>
  </si>
  <si>
    <t>ABRIL</t>
  </si>
  <si>
    <t>JUNIO</t>
  </si>
  <si>
    <t>ENERO-JUNIO</t>
  </si>
  <si>
    <t>TOTAL FACTURADO</t>
  </si>
  <si>
    <t>GANANCIAS POR REPUESTOS</t>
  </si>
  <si>
    <t xml:space="preserve">MECANICA </t>
  </si>
  <si>
    <t xml:space="preserve">ELECTRICIDAD </t>
  </si>
  <si>
    <t>JULIO-DICIEMBRE</t>
  </si>
  <si>
    <t>AGOSTO</t>
  </si>
  <si>
    <t>SEPTIEMBRE</t>
  </si>
  <si>
    <t>JULIO</t>
  </si>
  <si>
    <t>LATONERIA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</si>
</sst>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164" formatCode="_-&quot;$&quot;* #,##0.00_-;\-&quot;$&quot;* #,##0.00_-;_-&quot;$&quot;* &quot;-&quot;??_-;_-@_-"/>
    <numFmt numFmtId="165" formatCode="_-[$$-240A]* #,##0.00_-;\-[$$-240A]* #,##0.00_-;_-[$$-240A]* &quot;-&quot;??_-;_-@_-"/>
    <numFmt numFmtId="166" formatCode="#,##0;[Red]#,##0"/>
    <numFmt numFmtId="167" formatCode="dd/mm/yyyy"/>
    <numFmt numFmtId="168" formatCode="_-[$$-240A]\ * #,##0.00_-;\-[$$-240A]\ * #,##0.00_-;_-[$$-240A]\ * &quot;-&quot;??_-;_-@_-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3"/>
      <name val="Tahoma"/>
      <family val="2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>
      <alignment vertical="center" wrapText="1"/>
    </xf>
  </cellStyleXfs>
  <cellXfs count="215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5" fillId="0" borderId="0" xfId="2" applyAlignment="1">
      <alignment horizontal="center" vertical="center" wrapText="1"/>
    </xf>
    <xf numFmtId="0" fontId="5" fillId="0" borderId="0" xfId="2">
      <alignment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6" fillId="0" borderId="0" xfId="2" applyFont="1" applyAlignment="1">
      <alignment horizontal="center" wrapText="1"/>
    </xf>
    <xf numFmtId="164" fontId="0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/>
    <xf numFmtId="164" fontId="7" fillId="0" borderId="0" xfId="1" applyFont="1" applyFill="1" applyAlignment="1">
      <alignment horizontal="center"/>
    </xf>
    <xf numFmtId="0" fontId="8" fillId="0" borderId="0" xfId="0" applyFont="1" applyAlignment="1">
      <alignment horizontal="center"/>
    </xf>
    <xf numFmtId="164" fontId="0" fillId="0" borderId="0" xfId="1" applyFont="1" applyAlignment="1">
      <alignment horizontal="center" wrapText="1"/>
    </xf>
    <xf numFmtId="0" fontId="4" fillId="0" borderId="0" xfId="0" applyFont="1" applyAlignment="1">
      <alignment horizontal="center"/>
    </xf>
    <xf numFmtId="164" fontId="0" fillId="0" borderId="1" xfId="1" applyFont="1" applyBorder="1"/>
    <xf numFmtId="164" fontId="0" fillId="0" borderId="0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5" fontId="0" fillId="0" borderId="1" xfId="1" applyNumberFormat="1" applyFont="1" applyBorder="1"/>
    <xf numFmtId="0" fontId="2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164" fontId="2" fillId="5" borderId="1" xfId="1" applyFont="1" applyFill="1" applyBorder="1" applyAlignment="1">
      <alignment horizontal="center"/>
    </xf>
    <xf numFmtId="165" fontId="0" fillId="0" borderId="0" xfId="1" applyNumberFormat="1" applyFont="1" applyFill="1" applyBorder="1"/>
    <xf numFmtId="164" fontId="11" fillId="0" borderId="0" xfId="1" applyFont="1" applyAlignment="1">
      <alignment horizontal="center"/>
    </xf>
    <xf numFmtId="164" fontId="11" fillId="0" borderId="0" xfId="1" applyFont="1" applyFill="1" applyAlignment="1">
      <alignment horizontal="center"/>
    </xf>
    <xf numFmtId="0" fontId="0" fillId="0" borderId="6" xfId="0" applyBorder="1"/>
    <xf numFmtId="14" fontId="2" fillId="0" borderId="0" xfId="0" applyNumberFormat="1" applyFont="1" applyAlignment="1">
      <alignment horizontal="center"/>
    </xf>
    <xf numFmtId="164" fontId="2" fillId="0" borderId="0" xfId="1" applyFont="1" applyBorder="1"/>
    <xf numFmtId="164" fontId="12" fillId="0" borderId="0" xfId="1" applyFont="1" applyFill="1" applyAlignment="1">
      <alignment horizontal="center"/>
    </xf>
    <xf numFmtId="165" fontId="0" fillId="0" borderId="0" xfId="1" applyNumberFormat="1" applyFont="1" applyBorder="1"/>
    <xf numFmtId="164" fontId="12" fillId="0" borderId="0" xfId="1" applyFont="1" applyAlignment="1">
      <alignment horizontal="center"/>
    </xf>
    <xf numFmtId="165" fontId="0" fillId="0" borderId="1" xfId="1" applyNumberFormat="1" applyFont="1" applyFill="1" applyBorder="1"/>
    <xf numFmtId="165" fontId="0" fillId="0" borderId="0" xfId="0" applyNumberFormat="1"/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6" fontId="0" fillId="0" borderId="0" xfId="0" applyNumberFormat="1" applyAlignment="1">
      <alignment horizontal="center"/>
    </xf>
    <xf numFmtId="165" fontId="2" fillId="0" borderId="0" xfId="0" applyNumberFormat="1" applyFont="1"/>
    <xf numFmtId="164" fontId="14" fillId="0" borderId="0" xfId="1" applyFont="1" applyAlignment="1">
      <alignment horizontal="center"/>
    </xf>
    <xf numFmtId="10" fontId="0" fillId="0" borderId="0" xfId="0" applyNumberFormat="1" applyAlignment="1">
      <alignment horizontal="center"/>
    </xf>
    <xf numFmtId="0" fontId="15" fillId="0" borderId="0" xfId="0" applyFont="1" applyAlignment="1">
      <alignment horizontal="center"/>
    </xf>
    <xf numFmtId="164" fontId="16" fillId="0" borderId="0" xfId="1" applyFont="1" applyFill="1" applyAlignment="1">
      <alignment horizontal="center"/>
    </xf>
    <xf numFmtId="167" fontId="0" fillId="0" borderId="0" xfId="0" applyNumberFormat="1" applyAlignment="1">
      <alignment horizontal="center"/>
    </xf>
    <xf numFmtId="0" fontId="17" fillId="0" borderId="0" xfId="0" applyFont="1" applyAlignment="1">
      <alignment horizontal="center"/>
    </xf>
    <xf numFmtId="164" fontId="18" fillId="0" borderId="0" xfId="1" applyFont="1" applyAlignment="1">
      <alignment horizontal="center"/>
    </xf>
    <xf numFmtId="164" fontId="18" fillId="0" borderId="0" xfId="1" applyFont="1" applyFill="1" applyAlignment="1">
      <alignment horizontal="center"/>
    </xf>
    <xf numFmtId="165" fontId="0" fillId="0" borderId="9" xfId="0" applyNumberFormat="1" applyBorder="1"/>
    <xf numFmtId="165" fontId="4" fillId="6" borderId="8" xfId="0" applyNumberFormat="1" applyFont="1" applyFill="1" applyBorder="1"/>
    <xf numFmtId="164" fontId="19" fillId="0" borderId="0" xfId="1" applyFont="1" applyAlignment="1">
      <alignment horizontal="center"/>
    </xf>
    <xf numFmtId="164" fontId="0" fillId="0" borderId="0" xfId="1" applyFont="1"/>
    <xf numFmtId="168" fontId="0" fillId="0" borderId="0" xfId="0" applyNumberFormat="1"/>
    <xf numFmtId="0" fontId="2" fillId="0" borderId="10" xfId="0" applyFont="1" applyBorder="1"/>
    <xf numFmtId="0" fontId="0" fillId="0" borderId="0" xfId="1" applyNumberFormat="1" applyFont="1" applyFill="1" applyAlignment="1">
      <alignment horizontal="center"/>
    </xf>
    <xf numFmtId="164" fontId="20" fillId="0" borderId="0" xfId="1" applyFont="1" applyFill="1" applyAlignment="1">
      <alignment horizontal="center"/>
    </xf>
    <xf numFmtId="164" fontId="22" fillId="0" borderId="0" xfId="1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4" fillId="0" borderId="0" xfId="1" applyFont="1" applyFill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/>
    <xf numFmtId="14" fontId="2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5" fillId="0" borderId="0" xfId="0" applyFont="1"/>
    <xf numFmtId="14" fontId="0" fillId="0" borderId="1" xfId="0" applyNumberFormat="1" applyBorder="1" applyAlignment="1">
      <alignment horizontal="center"/>
    </xf>
    <xf numFmtId="0" fontId="26" fillId="0" borderId="0" xfId="0" applyFont="1" applyAlignment="1">
      <alignment horizontal="center"/>
    </xf>
    <xf numFmtId="164" fontId="27" fillId="0" borderId="0" xfId="1" applyFont="1" applyFill="1" applyAlignment="1">
      <alignment horizontal="center"/>
    </xf>
    <xf numFmtId="168" fontId="0" fillId="8" borderId="0" xfId="0" applyNumberFormat="1" applyFill="1"/>
    <xf numFmtId="164" fontId="27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28" fillId="0" borderId="0" xfId="0" applyFont="1" applyAlignment="1">
      <alignment horizontal="center"/>
    </xf>
    <xf numFmtId="164" fontId="29" fillId="0" borderId="0" xfId="1" applyFont="1" applyAlignment="1">
      <alignment horizontal="center"/>
    </xf>
    <xf numFmtId="164" fontId="31" fillId="0" borderId="0" xfId="1" applyFont="1" applyAlignment="1">
      <alignment horizontal="center"/>
    </xf>
    <xf numFmtId="0" fontId="30" fillId="0" borderId="0" xfId="0" applyFont="1" applyAlignment="1">
      <alignment horizontal="center"/>
    </xf>
    <xf numFmtId="164" fontId="31" fillId="0" borderId="0" xfId="1" applyFont="1" applyFill="1" applyAlignment="1">
      <alignment horizontal="center"/>
    </xf>
    <xf numFmtId="0" fontId="32" fillId="0" borderId="0" xfId="0" applyFont="1" applyAlignment="1">
      <alignment horizontal="center"/>
    </xf>
    <xf numFmtId="164" fontId="33" fillId="0" borderId="0" xfId="1" applyFont="1" applyAlignment="1">
      <alignment horizontal="center"/>
    </xf>
    <xf numFmtId="0" fontId="34" fillId="0" borderId="0" xfId="0" applyFont="1" applyAlignment="1">
      <alignment horizontal="center"/>
    </xf>
    <xf numFmtId="164" fontId="35" fillId="0" borderId="0" xfId="1" applyFont="1" applyAlignment="1">
      <alignment horizontal="center"/>
    </xf>
    <xf numFmtId="164" fontId="33" fillId="0" borderId="0" xfId="1" applyFont="1" applyFill="1" applyAlignment="1">
      <alignment horizontal="center"/>
    </xf>
    <xf numFmtId="164" fontId="35" fillId="0" borderId="0" xfId="1" applyFont="1" applyFill="1" applyAlignment="1">
      <alignment horizontal="center"/>
    </xf>
    <xf numFmtId="0" fontId="5" fillId="0" borderId="11" xfId="2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165" fontId="0" fillId="0" borderId="12" xfId="1" applyNumberFormat="1" applyFont="1" applyFill="1" applyBorder="1"/>
    <xf numFmtId="164" fontId="37" fillId="0" borderId="0" xfId="1" applyFont="1" applyAlignment="1">
      <alignment horizontal="center"/>
    </xf>
    <xf numFmtId="165" fontId="2" fillId="0" borderId="1" xfId="0" applyNumberFormat="1" applyFont="1" applyBorder="1"/>
    <xf numFmtId="164" fontId="38" fillId="0" borderId="0" xfId="1" applyFont="1" applyAlignment="1">
      <alignment horizont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1" xfId="1" applyNumberFormat="1" applyFont="1" applyBorder="1"/>
    <xf numFmtId="165" fontId="4" fillId="0" borderId="0" xfId="0" applyNumberFormat="1" applyFont="1"/>
    <xf numFmtId="168" fontId="13" fillId="0" borderId="0" xfId="0" applyNumberFormat="1" applyFont="1"/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164" fontId="41" fillId="0" borderId="0" xfId="1" applyFont="1" applyAlignment="1">
      <alignment horizontal="center"/>
    </xf>
    <xf numFmtId="164" fontId="42" fillId="0" borderId="0" xfId="1" applyFont="1" applyAlignment="1">
      <alignment horizontal="center"/>
    </xf>
    <xf numFmtId="0" fontId="43" fillId="0" borderId="0" xfId="0" applyFont="1" applyAlignment="1">
      <alignment horizontal="center"/>
    </xf>
    <xf numFmtId="164" fontId="0" fillId="7" borderId="0" xfId="1" applyFont="1" applyFill="1" applyAlignment="1">
      <alignment horizontal="center"/>
    </xf>
    <xf numFmtId="167" fontId="0" fillId="7" borderId="0" xfId="0" applyNumberForma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1" applyNumberFormat="1" applyFont="1" applyFill="1" applyAlignment="1">
      <alignment horizontal="center"/>
    </xf>
    <xf numFmtId="164" fontId="42" fillId="7" borderId="0" xfId="1" applyFont="1" applyFill="1" applyAlignment="1">
      <alignment horizontal="center"/>
    </xf>
    <xf numFmtId="164" fontId="0" fillId="7" borderId="0" xfId="0" applyNumberFormat="1" applyFill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164" fontId="0" fillId="0" borderId="1" xfId="1" applyFont="1" applyFill="1" applyBorder="1" applyAlignment="1">
      <alignment horizontal="center"/>
    </xf>
    <xf numFmtId="164" fontId="44" fillId="0" borderId="0" xfId="0" applyNumberFormat="1" applyFont="1"/>
    <xf numFmtId="165" fontId="2" fillId="0" borderId="12" xfId="1" applyNumberFormat="1" applyFont="1" applyFill="1" applyBorder="1"/>
    <xf numFmtId="168" fontId="2" fillId="0" borderId="0" xfId="0" applyNumberFormat="1" applyFont="1"/>
    <xf numFmtId="0" fontId="45" fillId="0" borderId="0" xfId="0" applyFont="1" applyAlignment="1">
      <alignment horizontal="center"/>
    </xf>
    <xf numFmtId="164" fontId="46" fillId="0" borderId="0" xfId="1" applyFont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47" fillId="0" borderId="0" xfId="0" applyNumberFormat="1" applyFont="1"/>
    <xf numFmtId="0" fontId="0" fillId="0" borderId="0" xfId="1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8" fillId="0" borderId="0" xfId="0" applyFont="1" applyAlignment="1">
      <alignment horizontal="center"/>
    </xf>
    <xf numFmtId="164" fontId="49" fillId="0" borderId="0" xfId="1" applyFont="1" applyAlignment="1">
      <alignment horizontal="center"/>
    </xf>
    <xf numFmtId="11" fontId="2" fillId="0" borderId="0" xfId="0" applyNumberFormat="1" applyFont="1" applyAlignment="1">
      <alignment horizontal="center"/>
    </xf>
    <xf numFmtId="164" fontId="50" fillId="0" borderId="0" xfId="1" applyFont="1" applyAlignment="1">
      <alignment horizontal="center"/>
    </xf>
    <xf numFmtId="0" fontId="51" fillId="0" borderId="0" xfId="0" applyFont="1" applyAlignment="1">
      <alignment horizontal="center"/>
    </xf>
    <xf numFmtId="44" fontId="0" fillId="0" borderId="0" xfId="0" applyNumberFormat="1"/>
    <xf numFmtId="164" fontId="0" fillId="0" borderId="1" xfId="0" applyNumberFormat="1" applyBorder="1"/>
    <xf numFmtId="164" fontId="2" fillId="0" borderId="0" xfId="0" applyNumberFormat="1" applyFont="1"/>
    <xf numFmtId="164" fontId="0" fillId="0" borderId="0" xfId="0" applyNumberFormat="1" applyAlignment="1">
      <alignment horizontal="center" wrapText="1"/>
    </xf>
    <xf numFmtId="0" fontId="52" fillId="0" borderId="0" xfId="0" applyFont="1" applyAlignment="1">
      <alignment horizontal="center"/>
    </xf>
    <xf numFmtId="164" fontId="53" fillId="0" borderId="0" xfId="1" applyFont="1" applyAlignment="1">
      <alignment horizontal="center"/>
    </xf>
    <xf numFmtId="164" fontId="50" fillId="0" borderId="0" xfId="1" applyFont="1" applyFill="1" applyAlignment="1">
      <alignment horizontal="center"/>
    </xf>
    <xf numFmtId="164" fontId="0" fillId="0" borderId="0" xfId="1" applyFont="1" applyFill="1" applyAlignment="1">
      <alignment horizontal="center" wrapText="1"/>
    </xf>
    <xf numFmtId="164" fontId="53" fillId="0" borderId="0" xfId="1" applyFont="1" applyFill="1" applyAlignment="1">
      <alignment horizontal="center"/>
    </xf>
    <xf numFmtId="0" fontId="0" fillId="0" borderId="14" xfId="0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0" xfId="1" applyNumberFormat="1" applyFont="1" applyFill="1" applyAlignment="1">
      <alignment horizontal="center" wrapText="1"/>
    </xf>
    <xf numFmtId="164" fontId="0" fillId="0" borderId="0" xfId="1" applyFont="1" applyAlignment="1">
      <alignment horizontal="right"/>
    </xf>
    <xf numFmtId="0" fontId="0" fillId="0" borderId="10" xfId="0" applyBorder="1"/>
    <xf numFmtId="164" fontId="0" fillId="0" borderId="9" xfId="1" applyFont="1" applyBorder="1"/>
    <xf numFmtId="164" fontId="0" fillId="0" borderId="15" xfId="1" applyFont="1" applyBorder="1"/>
    <xf numFmtId="0" fontId="2" fillId="7" borderId="1" xfId="0" applyFont="1" applyFill="1" applyBorder="1" applyAlignment="1">
      <alignment horizontal="center" wrapText="1"/>
    </xf>
    <xf numFmtId="0" fontId="0" fillId="10" borderId="1" xfId="0" applyFill="1" applyBorder="1"/>
    <xf numFmtId="0" fontId="0" fillId="7" borderId="1" xfId="0" applyFill="1" applyBorder="1"/>
    <xf numFmtId="0" fontId="0" fillId="11" borderId="1" xfId="0" applyFill="1" applyBorder="1"/>
    <xf numFmtId="164" fontId="0" fillId="0" borderId="14" xfId="0" applyNumberFormat="1" applyBorder="1" applyAlignment="1">
      <alignment horizontal="center"/>
    </xf>
    <xf numFmtId="0" fontId="4" fillId="0" borderId="0" xfId="0" applyFont="1"/>
    <xf numFmtId="0" fontId="54" fillId="0" borderId="0" xfId="0" applyFont="1"/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/>
    <xf numFmtId="0" fontId="4" fillId="0" borderId="1" xfId="0" applyFont="1" applyBorder="1"/>
    <xf numFmtId="166" fontId="54" fillId="0" borderId="1" xfId="0" applyNumberFormat="1" applyFont="1" applyBorder="1" applyAlignment="1">
      <alignment horizontal="center"/>
    </xf>
    <xf numFmtId="165" fontId="54" fillId="0" borderId="1" xfId="1" applyNumberFormat="1" applyFont="1" applyBorder="1"/>
    <xf numFmtId="165" fontId="54" fillId="0" borderId="0" xfId="0" applyNumberFormat="1" applyFont="1"/>
    <xf numFmtId="164" fontId="56" fillId="0" borderId="0" xfId="1" applyFont="1" applyFill="1" applyAlignment="1">
      <alignment horizontal="center"/>
    </xf>
    <xf numFmtId="0" fontId="2" fillId="9" borderId="16" xfId="0" applyFont="1" applyFill="1" applyBorder="1" applyAlignment="1">
      <alignment horizontal="left"/>
    </xf>
    <xf numFmtId="164" fontId="2" fillId="9" borderId="16" xfId="0" applyNumberFormat="1" applyFont="1" applyFill="1" applyBorder="1"/>
    <xf numFmtId="0" fontId="2" fillId="9" borderId="17" xfId="0" applyFont="1" applyFill="1" applyBorder="1"/>
    <xf numFmtId="168" fontId="54" fillId="0" borderId="0" xfId="0" applyNumberFormat="1" applyFont="1"/>
    <xf numFmtId="164" fontId="58" fillId="0" borderId="0" xfId="1" applyFont="1" applyFill="1" applyAlignment="1">
      <alignment horizontal="center"/>
    </xf>
    <xf numFmtId="165" fontId="54" fillId="0" borderId="0" xfId="1" applyNumberFormat="1" applyFont="1" applyBorder="1"/>
    <xf numFmtId="164" fontId="2" fillId="9" borderId="0" xfId="0" applyNumberFormat="1" applyFont="1" applyFill="1" applyAlignment="1">
      <alignment horizontal="center"/>
    </xf>
    <xf numFmtId="167" fontId="0" fillId="0" borderId="0" xfId="0" applyNumberFormat="1"/>
    <xf numFmtId="0" fontId="55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66" fontId="54" fillId="0" borderId="0" xfId="0" applyNumberFormat="1" applyFont="1" applyAlignment="1">
      <alignment horizontal="center"/>
    </xf>
    <xf numFmtId="16" fontId="54" fillId="0" borderId="0" xfId="0" applyNumberFormat="1" applyFont="1"/>
    <xf numFmtId="0" fontId="54" fillId="0" borderId="1" xfId="0" applyFont="1" applyBorder="1"/>
    <xf numFmtId="165" fontId="54" fillId="0" borderId="1" xfId="0" applyNumberFormat="1" applyFont="1" applyBorder="1"/>
    <xf numFmtId="0" fontId="54" fillId="8" borderId="1" xfId="0" applyFont="1" applyFill="1" applyBorder="1"/>
    <xf numFmtId="168" fontId="54" fillId="8" borderId="1" xfId="0" applyNumberFormat="1" applyFont="1" applyFill="1" applyBorder="1"/>
    <xf numFmtId="164" fontId="54" fillId="0" borderId="0" xfId="1" applyFont="1"/>
    <xf numFmtId="44" fontId="54" fillId="0" borderId="0" xfId="0" applyNumberFormat="1" applyFont="1"/>
    <xf numFmtId="0" fontId="59" fillId="0" borderId="0" xfId="0" applyFont="1" applyAlignment="1">
      <alignment horizontal="center"/>
    </xf>
    <xf numFmtId="164" fontId="60" fillId="0" borderId="0" xfId="1" applyFont="1" applyAlignment="1">
      <alignment horizontal="center"/>
    </xf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9" xfId="1" applyNumberFormat="1" applyFont="1" applyBorder="1" applyAlignment="1">
      <alignment horizontal="center"/>
    </xf>
    <xf numFmtId="165" fontId="0" fillId="0" borderId="13" xfId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4" fontId="9" fillId="0" borderId="0" xfId="1" applyFont="1" applyAlignment="1">
      <alignment horizontal="center"/>
    </xf>
    <xf numFmtId="0" fontId="0" fillId="0" borderId="7" xfId="0" applyBorder="1" applyAlignment="1">
      <alignment horizontal="center" vertical="top"/>
    </xf>
    <xf numFmtId="0" fontId="2" fillId="4" borderId="5" xfId="0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00000000-0005-0000-0000-000002000000}"/>
  </cellStyles>
  <dxfs count="277">
    <dxf>
      <alignment horizontal="center" vertical="center" textRotation="0" wrapText="1" indent="0" justifyLastLine="0" shrinkToFit="0" readingOrder="0"/>
    </dxf>
    <dxf>
      <numFmt numFmtId="164" formatCode="_-&quot;$&quot;* #,##0.00_-;\-&quot;$&quot;* #,##0.00_-;_-&quot;$&quot;* &quot;-&quot;??_-;_-@_-"/>
    </dxf>
    <dxf>
      <numFmt numFmtId="164" formatCode="_-&quot;$&quot;* #,##0.00_-;\-&quot;$&quot;* #,##0.00_-;_-&quot;$&quot;* &quot;-&quot;??_-;_-@_-"/>
    </dxf>
    <dxf>
      <numFmt numFmtId="164" formatCode="_-&quot;$&quot;* #,##0.00_-;\-&quot;$&quot;* #,##0.00_-;_-&quot;$&quot;* &quot;-&quot;??_-;_-@_-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67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67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167" formatCode="dd/mm/yyyy"/>
      <alignment horizontal="center" vertical="bottom" textRotation="0" wrapText="0" indent="0" justifyLastLine="0" shrinkToFit="0" readingOrder="0"/>
    </dxf>
    <dxf>
      <numFmt numFmtId="167" formatCode="dd/mm/yyyy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167" formatCode="dd/mm/yyyy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167" formatCode="dd/mm/yyyy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167" formatCode="dd/mm/yyyy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167" formatCode="dd/mm/yyyy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167" formatCode="dd/mm/yyyy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</dxf>
    <dxf>
      <numFmt numFmtId="164" formatCode="_-&quot;$&quot;* #,##0.00_-;\-&quot;$&quot;* #,##0.00_-;_-&quot;$&quot;* &quot;-&quot;??_-;_-@_-"/>
    </dxf>
    <dxf>
      <numFmt numFmtId="164" formatCode="_-&quot;$&quot;* #,##0.00_-;\-&quot;$&quot;* #,##0.00_-;_-&quot;$&quot;* &quot;-&quot;??_-;_-@_-"/>
    </dxf>
    <dxf>
      <numFmt numFmtId="164" formatCode="_-&quot;$&quot;* #,##0.00_-;\-&quot;$&quot;* #,##0.00_-;_-&quot;$&quot;* &quot;-&quot;??_-;_-@_-"/>
    </dxf>
    <dxf>
      <numFmt numFmtId="164" formatCode="_-&quot;$&quot;* #,##0.00_-;\-&quot;$&quot;* #,##0.00_-;_-&quot;$&quot;* &quot;-&quot;??_-;_-@_-"/>
    </dxf>
    <dxf>
      <numFmt numFmtId="164" formatCode="_-&quot;$&quot;* #,##0.00_-;\-&quot;$&quot;* #,##0.00_-;_-&quot;$&quot;* &quot;-&quot;??_-;_-@_-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167" formatCode="dd/mm/yyyy"/>
      <alignment horizontal="center" vertical="bottom" textRotation="0" wrapText="0" indent="0" justifyLastLine="0" shrinkToFit="0" readingOrder="0"/>
    </dxf>
    <dxf>
      <numFmt numFmtId="167" formatCode="dd/mm/yyyy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4.xml"/><Relationship Id="rId47" Type="http://schemas.openxmlformats.org/officeDocument/2006/relationships/pivotCacheDefinition" Target="pivotCache/pivotCacheDefinition9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1.xml"/><Relationship Id="rId40" Type="http://schemas.openxmlformats.org/officeDocument/2006/relationships/pivotCacheDefinition" Target="pivotCache/pivotCacheDefinition2.xml"/><Relationship Id="rId45" Type="http://schemas.openxmlformats.org/officeDocument/2006/relationships/pivotCacheDefinition" Target="pivotCache/pivotCacheDefinition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2.xml"/><Relationship Id="rId46" Type="http://schemas.openxmlformats.org/officeDocument/2006/relationships/pivotCacheDefinition" Target="pivotCache/pivotCacheDefinition8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ENERO-JUNIO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Hoja16!$B$1:$B$3</c:f>
              <c:strCache>
                <c:ptCount val="3"/>
                <c:pt idx="0">
                  <c:v>ENERO-JUNIO</c:v>
                </c:pt>
                <c:pt idx="2">
                  <c:v>TOTAL FACTURADO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Hoja16!$A$4:$A$7</c:f>
              <c:strCache>
                <c:ptCount val="4"/>
                <c:pt idx="0">
                  <c:v>MECANICA </c:v>
                </c:pt>
                <c:pt idx="1">
                  <c:v>FRENOS Y SUSPENSION</c:v>
                </c:pt>
                <c:pt idx="2">
                  <c:v>LATONERIA Y PINTURA</c:v>
                </c:pt>
                <c:pt idx="3">
                  <c:v>ELECTRICIDAD </c:v>
                </c:pt>
              </c:strCache>
            </c:strRef>
          </c:cat>
          <c:val>
            <c:numRef>
              <c:f>Hoja16!$B$4:$B$7</c:f>
              <c:numCache>
                <c:formatCode>_-"$"* #,##0.00_-;\-"$"* #,##0.00_-;_-"$"* "-"??_-;_-@_-</c:formatCode>
                <c:ptCount val="4"/>
                <c:pt idx="0">
                  <c:v>47415000</c:v>
                </c:pt>
                <c:pt idx="1">
                  <c:v>38745500</c:v>
                </c:pt>
                <c:pt idx="2">
                  <c:v>24701000</c:v>
                </c:pt>
                <c:pt idx="3">
                  <c:v>2890000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E-459F-92D3-E7B5BD3E5EC4}"/>
            </c:ext>
          </c:extLst>
        </c:ser>
        <c:ser>
          <c:idx val="1"/>
          <c:order val="1"/>
          <c:tx>
            <c:strRef>
              <c:f>Hoja16!$C$1:$C$3</c:f>
              <c:strCache>
                <c:ptCount val="3"/>
                <c:pt idx="0">
                  <c:v>ENERO-JUNIO</c:v>
                </c:pt>
                <c:pt idx="2">
                  <c:v>GANANCIA POR SERVICIOS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5.3858784893267654E-2"/>
                  <c:y val="-4.88656105929357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DAE-459F-92D3-E7B5BD3E5EC4}"/>
                </c:ext>
              </c:extLst>
            </c:dLbl>
            <c:dLbl>
              <c:idx val="3"/>
              <c:layout>
                <c:manualLayout>
                  <c:x val="2.7586206896551724E-2"/>
                  <c:y val="-5.11925444306945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DAE-459F-92D3-E7B5BD3E5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Hoja16!$A$4:$A$7</c:f>
              <c:strCache>
                <c:ptCount val="4"/>
                <c:pt idx="0">
                  <c:v>MECANICA </c:v>
                </c:pt>
                <c:pt idx="1">
                  <c:v>FRENOS Y SUSPENSION</c:v>
                </c:pt>
                <c:pt idx="2">
                  <c:v>LATONERIA Y PINTURA</c:v>
                </c:pt>
                <c:pt idx="3">
                  <c:v>ELECTRICIDAD </c:v>
                </c:pt>
              </c:strCache>
            </c:strRef>
          </c:cat>
          <c:val>
            <c:numRef>
              <c:f>Hoja16!$C$4:$C$7</c:f>
              <c:numCache>
                <c:formatCode>_-"$"* #,##0.00_-;\-"$"* #,##0.00_-;_-"$"* "-"??_-;_-@_-</c:formatCode>
                <c:ptCount val="4"/>
                <c:pt idx="0">
                  <c:v>17986000</c:v>
                </c:pt>
                <c:pt idx="1">
                  <c:v>15236200</c:v>
                </c:pt>
                <c:pt idx="2">
                  <c:v>7776560</c:v>
                </c:pt>
                <c:pt idx="3">
                  <c:v>1148000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AE-459F-92D3-E7B5BD3E5EC4}"/>
            </c:ext>
          </c:extLst>
        </c:ser>
        <c:ser>
          <c:idx val="2"/>
          <c:order val="2"/>
          <c:tx>
            <c:strRef>
              <c:f>Hoja16!$D$1:$D$3</c:f>
              <c:strCache>
                <c:ptCount val="3"/>
                <c:pt idx="0">
                  <c:v>ENERO-JUNIO</c:v>
                </c:pt>
                <c:pt idx="2">
                  <c:v>GANANCIAS POR REPUESTOS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3136288998357963E-2"/>
                  <c:y val="-2.79232060531062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DAE-459F-92D3-E7B5BD3E5EC4}"/>
                </c:ext>
              </c:extLst>
            </c:dLbl>
            <c:dLbl>
              <c:idx val="1"/>
              <c:layout>
                <c:manualLayout>
                  <c:x val="3.4154351395730705E-2"/>
                  <c:y val="-6.28272136194887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DAE-459F-92D3-E7B5BD3E5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Hoja16!$A$4:$A$7</c:f>
              <c:strCache>
                <c:ptCount val="4"/>
                <c:pt idx="0">
                  <c:v>MECANICA </c:v>
                </c:pt>
                <c:pt idx="1">
                  <c:v>FRENOS Y SUSPENSION</c:v>
                </c:pt>
                <c:pt idx="2">
                  <c:v>LATONERIA Y PINTURA</c:v>
                </c:pt>
                <c:pt idx="3">
                  <c:v>ELECTRICIDAD </c:v>
                </c:pt>
              </c:strCache>
            </c:strRef>
          </c:cat>
          <c:val>
            <c:numRef>
              <c:f>Hoja16!$D$4:$D$7</c:f>
              <c:numCache>
                <c:formatCode>_-"$"* #,##0.00_-;\-"$"* #,##0.00_-;_-"$"* "-"??_-;_-@_-</c:formatCode>
                <c:ptCount val="4"/>
                <c:pt idx="0">
                  <c:v>6441815.3600000003</c:v>
                </c:pt>
                <c:pt idx="1">
                  <c:v>9409148.1899999995</c:v>
                </c:pt>
                <c:pt idx="3">
                  <c:v>727127.06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AE-459F-92D3-E7B5BD3E5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7980607"/>
        <c:axId val="457996831"/>
      </c:barChart>
      <c:catAx>
        <c:axId val="45798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7996831"/>
        <c:crosses val="autoZero"/>
        <c:auto val="1"/>
        <c:lblAlgn val="ctr"/>
        <c:lblOffset val="100"/>
        <c:noMultiLvlLbl val="0"/>
      </c:catAx>
      <c:valAx>
        <c:axId val="45799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798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JULIO-DICIEMBRE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Hoja16!$B$34:$B$36</c:f>
              <c:strCache>
                <c:ptCount val="3"/>
                <c:pt idx="0">
                  <c:v>JULIO-DICIEMBRE</c:v>
                </c:pt>
                <c:pt idx="2">
                  <c:v>TOTAL FACTURADO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layout>
                <c:manualLayout>
                  <c:x val="5.6704980842911874E-2"/>
                  <c:y val="-2.44648291860490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89F-4F89-8182-B72C7A118E49}"/>
                </c:ext>
              </c:extLst>
            </c:dLbl>
            <c:dLbl>
              <c:idx val="2"/>
              <c:layout>
                <c:manualLayout>
                  <c:x val="2.7586206896551724E-2"/>
                  <c:y val="-7.33944875581467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89F-4F89-8182-B72C7A118E49}"/>
                </c:ext>
              </c:extLst>
            </c:dLbl>
            <c:dLbl>
              <c:idx val="3"/>
              <c:layout>
                <c:manualLayout>
                  <c:x val="4.4444444444444446E-2"/>
                  <c:y val="-5.43662870801086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89F-4F89-8182-B72C7A118E49}"/>
                </c:ext>
              </c:extLst>
            </c:dLbl>
            <c:dLbl>
              <c:idx val="4"/>
              <c:layout>
                <c:manualLayout>
                  <c:x val="3.8314176245210725E-2"/>
                  <c:y val="-6.52395444961304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89F-4F89-8182-B72C7A118E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Hoja16!$A$37:$A$41</c:f>
              <c:strCache>
                <c:ptCount val="5"/>
                <c:pt idx="0">
                  <c:v>FRENOS Y SUSPENSION</c:v>
                </c:pt>
                <c:pt idx="1">
                  <c:v>LATONERIA Y PINTURA </c:v>
                </c:pt>
                <c:pt idx="2">
                  <c:v>MECANICA </c:v>
                </c:pt>
                <c:pt idx="3">
                  <c:v>EXOSTO</c:v>
                </c:pt>
                <c:pt idx="4">
                  <c:v>ELECTRICIDAD </c:v>
                </c:pt>
              </c:strCache>
            </c:strRef>
          </c:cat>
          <c:val>
            <c:numRef>
              <c:f>Hoja16!$B$37:$B$41</c:f>
              <c:numCache>
                <c:formatCode>_-"$"* #,##0.00_-;\-"$"* #,##0.00_-;_-"$"* "-"??_-;_-@_-</c:formatCode>
                <c:ptCount val="5"/>
                <c:pt idx="0">
                  <c:v>46905000</c:v>
                </c:pt>
                <c:pt idx="1">
                  <c:v>41880000</c:v>
                </c:pt>
                <c:pt idx="2">
                  <c:v>26035000</c:v>
                </c:pt>
                <c:pt idx="3">
                  <c:v>5760500</c:v>
                </c:pt>
                <c:pt idx="4">
                  <c:v>712000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F-4F89-8182-B72C7A118E49}"/>
            </c:ext>
          </c:extLst>
        </c:ser>
        <c:ser>
          <c:idx val="1"/>
          <c:order val="1"/>
          <c:tx>
            <c:strRef>
              <c:f>Hoja16!$C$34:$C$36</c:f>
              <c:strCache>
                <c:ptCount val="3"/>
                <c:pt idx="0">
                  <c:v>JULIO-DICIEMBRE</c:v>
                </c:pt>
                <c:pt idx="2">
                  <c:v>GANANCIA POR SERVICIOS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4.1379310344827586E-2"/>
                  <c:y val="-0.296296264586592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89F-4F89-8182-B72C7A118E49}"/>
                </c:ext>
              </c:extLst>
            </c:dLbl>
            <c:dLbl>
              <c:idx val="1"/>
              <c:layout>
                <c:manualLayout>
                  <c:x val="4.2911877394636012E-2"/>
                  <c:y val="-5.70846014341142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9F-4F89-8182-B72C7A118E49}"/>
                </c:ext>
              </c:extLst>
            </c:dLbl>
            <c:dLbl>
              <c:idx val="2"/>
              <c:layout>
                <c:manualLayout>
                  <c:x val="3.9846743295019159E-2"/>
                  <c:y val="-0.187563690426375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89F-4F89-8182-B72C7A118E49}"/>
                </c:ext>
              </c:extLst>
            </c:dLbl>
            <c:dLbl>
              <c:idx val="3"/>
              <c:layout>
                <c:manualLayout>
                  <c:x val="5.5172413793103448E-2"/>
                  <c:y val="-3.80564009560761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89F-4F89-8182-B72C7A118E49}"/>
                </c:ext>
              </c:extLst>
            </c:dLbl>
            <c:dLbl>
              <c:idx val="4"/>
              <c:layout>
                <c:manualLayout>
                  <c:x val="4.1379310344827586E-2"/>
                  <c:y val="-3.80564009560761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89F-4F89-8182-B72C7A118E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Hoja16!$A$37:$A$41</c:f>
              <c:strCache>
                <c:ptCount val="5"/>
                <c:pt idx="0">
                  <c:v>FRENOS Y SUSPENSION</c:v>
                </c:pt>
                <c:pt idx="1">
                  <c:v>LATONERIA Y PINTURA </c:v>
                </c:pt>
                <c:pt idx="2">
                  <c:v>MECANICA </c:v>
                </c:pt>
                <c:pt idx="3">
                  <c:v>EXOSTO</c:v>
                </c:pt>
                <c:pt idx="4">
                  <c:v>ELECTRICIDAD </c:v>
                </c:pt>
              </c:strCache>
            </c:strRef>
          </c:cat>
          <c:val>
            <c:numRef>
              <c:f>Hoja16!$C$37:$C$41</c:f>
              <c:numCache>
                <c:formatCode>_-"$"* #,##0.00_-;\-"$"* #,##0.00_-;_-"$"* "-"??_-;_-@_-</c:formatCode>
                <c:ptCount val="5"/>
                <c:pt idx="0">
                  <c:v>15128000</c:v>
                </c:pt>
                <c:pt idx="1">
                  <c:v>13704560</c:v>
                </c:pt>
                <c:pt idx="2">
                  <c:v>8797500</c:v>
                </c:pt>
                <c:pt idx="3">
                  <c:v>2680250</c:v>
                </c:pt>
                <c:pt idx="4">
                  <c:v>102800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F-4F89-8182-B72C7A118E49}"/>
            </c:ext>
          </c:extLst>
        </c:ser>
        <c:ser>
          <c:idx val="2"/>
          <c:order val="2"/>
          <c:tx>
            <c:strRef>
              <c:f>Hoja16!$D$34:$D$36</c:f>
              <c:strCache>
                <c:ptCount val="3"/>
                <c:pt idx="0">
                  <c:v>JULIO-DICIEMBRE</c:v>
                </c:pt>
                <c:pt idx="2">
                  <c:v>GANANCIAS POR REPUESTOS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4.4444444444444474E-2"/>
                  <c:y val="-4.62113440180924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89F-4F89-8182-B72C7A118E49}"/>
                </c:ext>
              </c:extLst>
            </c:dLbl>
            <c:dLbl>
              <c:idx val="2"/>
              <c:layout>
                <c:manualLayout>
                  <c:x val="7.2030651340996052E-2"/>
                  <c:y val="-7.33944875581467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9E3-4BAB-AF57-E575863C3049}"/>
                </c:ext>
              </c:extLst>
            </c:dLbl>
            <c:dLbl>
              <c:idx val="3"/>
              <c:layout>
                <c:manualLayout>
                  <c:x val="3.6781609195402298E-2"/>
                  <c:y val="-4.0774715310081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89F-4F89-8182-B72C7A118E49}"/>
                </c:ext>
              </c:extLst>
            </c:dLbl>
            <c:dLbl>
              <c:idx val="4"/>
              <c:layout>
                <c:manualLayout>
                  <c:x val="5.8237547892720197E-2"/>
                  <c:y val="-8.154943062016408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89F-4F89-8182-B72C7A118E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Hoja16!$A$37:$A$41</c:f>
              <c:strCache>
                <c:ptCount val="5"/>
                <c:pt idx="0">
                  <c:v>FRENOS Y SUSPENSION</c:v>
                </c:pt>
                <c:pt idx="1">
                  <c:v>LATONERIA Y PINTURA </c:v>
                </c:pt>
                <c:pt idx="2">
                  <c:v>MECANICA </c:v>
                </c:pt>
                <c:pt idx="3">
                  <c:v>EXOSTO</c:v>
                </c:pt>
                <c:pt idx="4">
                  <c:v>ELECTRICIDAD </c:v>
                </c:pt>
              </c:strCache>
            </c:strRef>
          </c:cat>
          <c:val>
            <c:numRef>
              <c:f>Hoja16!$D$37:$D$41</c:f>
              <c:numCache>
                <c:formatCode>_-"$"* #,##0.00_-;\-"$"* #,##0.00_-;_-"$"* "-"??_-;_-@_-</c:formatCode>
                <c:ptCount val="5"/>
                <c:pt idx="0">
                  <c:v>18748391.449999999</c:v>
                </c:pt>
                <c:pt idx="2">
                  <c:v>12240387.390000001</c:v>
                </c:pt>
                <c:pt idx="3">
                  <c:v>216789.91</c:v>
                </c:pt>
                <c:pt idx="4">
                  <c:v>122310.92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9F-4F89-8182-B72C7A118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8013471"/>
        <c:axId val="458013887"/>
        <c:axId val="0"/>
      </c:bar3DChart>
      <c:catAx>
        <c:axId val="45801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8013887"/>
        <c:crosses val="autoZero"/>
        <c:auto val="1"/>
        <c:lblAlgn val="ctr"/>
        <c:lblOffset val="100"/>
        <c:noMultiLvlLbl val="0"/>
      </c:catAx>
      <c:valAx>
        <c:axId val="45801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801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paperSize="9" orientation="landscape" horizontalDpi="360" verticalDpi="36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Total Servicios</a:t>
            </a:r>
            <a:r>
              <a:rPr lang="es-CO" baseline="0"/>
              <a:t> </a:t>
            </a:r>
            <a:r>
              <a:rPr lang="es-CO"/>
              <a:t>Facturados</a:t>
            </a:r>
          </a:p>
        </c:rich>
      </c:tx>
      <c:layout>
        <c:manualLayout>
          <c:xMode val="edge"/>
          <c:yMode val="edge"/>
          <c:x val="0.1263471128608924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Hoja4!$A$17</c:f>
              <c:strCache>
                <c:ptCount val="1"/>
                <c:pt idx="0">
                  <c:v> LATONERIA Y PINTURA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8.8888888888888892E-2"/>
                  <c:y val="-0.111111111111111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D9B-49C1-9E32-4D0066ECBF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Hoja4!$B$16:$E$16</c15:sqref>
                  </c15:fullRef>
                </c:ext>
              </c:extLst>
              <c:f>Hoja4!$B$16</c:f>
              <c:strCache>
                <c:ptCount val="1"/>
                <c:pt idx="0">
                  <c:v> TOTAL FACTURA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Hoja4!$B$17:$E$17</c15:sqref>
                  </c15:fullRef>
                </c:ext>
              </c:extLst>
              <c:f>Hoja4!$B$17</c:f>
              <c:numCache>
                <c:formatCode>_-"$"* #,##0.00_-;\-"$"* #,##0.00_-;_-"$"* "-"??_-;_-@_-</c:formatCode>
                <c:ptCount val="1"/>
                <c:pt idx="0">
                  <c:v>9210000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B-49C1-9E32-4D0066ECBF3E}"/>
            </c:ext>
          </c:extLst>
        </c:ser>
        <c:ser>
          <c:idx val="1"/>
          <c:order val="1"/>
          <c:tx>
            <c:strRef>
              <c:f>Hoja4!$A$18</c:f>
              <c:strCache>
                <c:ptCount val="1"/>
                <c:pt idx="0">
                  <c:v> FRENOS Y SUPENSION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7.4999999999999997E-2"/>
                  <c:y val="-8.33333333333333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D9B-49C1-9E32-4D0066ECBF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Hoja4!$B$16:$E$16</c15:sqref>
                  </c15:fullRef>
                </c:ext>
              </c:extLst>
              <c:f>Hoja4!$B$16</c:f>
              <c:strCache>
                <c:ptCount val="1"/>
                <c:pt idx="0">
                  <c:v> TOTAL FACTURA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Hoja4!$B$18:$E$18</c15:sqref>
                  </c15:fullRef>
                </c:ext>
              </c:extLst>
              <c:f>Hoja4!$B$18</c:f>
              <c:numCache>
                <c:formatCode>_-"$"* #,##0.00_-;\-"$"* #,##0.00_-;_-"$"* "-"??_-;_-@_-</c:formatCode>
                <c:ptCount val="1"/>
                <c:pt idx="0">
                  <c:v>7069000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9B-49C1-9E32-4D0066ECBF3E}"/>
            </c:ext>
          </c:extLst>
        </c:ser>
        <c:ser>
          <c:idx val="2"/>
          <c:order val="2"/>
          <c:tx>
            <c:strRef>
              <c:f>Hoja4!$A$19</c:f>
              <c:strCache>
                <c:ptCount val="1"/>
                <c:pt idx="0">
                  <c:v> MECANICA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8.3333333333333329E-2"/>
                  <c:y val="-8.33333333333333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D9B-49C1-9E32-4D0066ECBF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Hoja4!$B$16:$E$16</c15:sqref>
                  </c15:fullRef>
                </c:ext>
              </c:extLst>
              <c:f>Hoja4!$B$16</c:f>
              <c:strCache>
                <c:ptCount val="1"/>
                <c:pt idx="0">
                  <c:v> TOTAL FACTURA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Hoja4!$B$19:$E$19</c15:sqref>
                  </c15:fullRef>
                </c:ext>
              </c:extLst>
              <c:f>Hoja4!$B$19</c:f>
              <c:numCache>
                <c:formatCode>_-"$"* #,##0.00_-;\-"$"* #,##0.00_-;_-"$"* "-"??_-;_-@_-</c:formatCode>
                <c:ptCount val="1"/>
                <c:pt idx="0">
                  <c:v>3570000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9B-49C1-9E32-4D0066ECBF3E}"/>
            </c:ext>
          </c:extLst>
        </c:ser>
        <c:ser>
          <c:idx val="3"/>
          <c:order val="3"/>
          <c:tx>
            <c:strRef>
              <c:f>Hoja4!$A$20</c:f>
              <c:strCache>
                <c:ptCount val="1"/>
                <c:pt idx="0">
                  <c:v> EXOSTO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12222222222222222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D9B-49C1-9E32-4D0066ECBF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Hoja4!$B$16:$E$16</c15:sqref>
                  </c15:fullRef>
                </c:ext>
              </c:extLst>
              <c:f>Hoja4!$B$16</c:f>
              <c:strCache>
                <c:ptCount val="1"/>
                <c:pt idx="0">
                  <c:v> TOTAL FACTURA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Hoja4!$B$20:$E$20</c15:sqref>
                  </c15:fullRef>
                </c:ext>
              </c:extLst>
              <c:f>Hoja4!$B$20</c:f>
              <c:numCache>
                <c:formatCode>_-"$"* #,##0.00_-;\-"$"* #,##0.00_-;_-"$"* "-"??_-;_-@_-</c:formatCode>
                <c:ptCount val="1"/>
                <c:pt idx="0">
                  <c:v>1717500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9B-49C1-9E32-4D0066ECB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61693919"/>
        <c:axId val="961694335"/>
        <c:axId val="0"/>
      </c:bar3DChart>
      <c:catAx>
        <c:axId val="96169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1694335"/>
        <c:crosses val="autoZero"/>
        <c:auto val="1"/>
        <c:lblAlgn val="ctr"/>
        <c:lblOffset val="100"/>
        <c:noMultiLvlLbl val="0"/>
      </c:catAx>
      <c:valAx>
        <c:axId val="96169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169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GANANCIA  REPUESTOS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Hoja4!$B$27</c:f>
              <c:strCache>
                <c:ptCount val="1"/>
                <c:pt idx="0">
                  <c:v> GANACIA  REPUESTOS 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Hoja4!$A$28:$A$30</c:f>
              <c:strCache>
                <c:ptCount val="3"/>
                <c:pt idx="0">
                  <c:v> MECANICA </c:v>
                </c:pt>
                <c:pt idx="1">
                  <c:v> FRENOS Y SUPENSION </c:v>
                </c:pt>
                <c:pt idx="2">
                  <c:v> EXOSTO </c:v>
                </c:pt>
              </c:strCache>
            </c:strRef>
          </c:cat>
          <c:val>
            <c:numRef>
              <c:f>Hoja4!$B$28:$B$30</c:f>
              <c:numCache>
                <c:formatCode>_-"$"* #,##0.00_-;\-"$"* #,##0.00_-;_-"$"* "-"??_-;_-@_-</c:formatCode>
                <c:ptCount val="3"/>
                <c:pt idx="0">
                  <c:v>7147605</c:v>
                </c:pt>
                <c:pt idx="1">
                  <c:v>2966767.47</c:v>
                </c:pt>
                <c:pt idx="2">
                  <c:v>140193.28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9-460C-88A8-23FD3A578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698911"/>
        <c:axId val="961696415"/>
      </c:barChart>
      <c:catAx>
        <c:axId val="96169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1696415"/>
        <c:crosses val="autoZero"/>
        <c:auto val="1"/>
        <c:lblAlgn val="ctr"/>
        <c:lblOffset val="100"/>
        <c:noMultiLvlLbl val="0"/>
      </c:catAx>
      <c:valAx>
        <c:axId val="96169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169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GANANCIA POR SERVICIOS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Hoja4!$A$17</c:f>
              <c:strCache>
                <c:ptCount val="1"/>
                <c:pt idx="0">
                  <c:v> LATONERIA Y PINTURA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Hoja4!$B$16:$E$16</c15:sqref>
                  </c15:fullRef>
                </c:ext>
              </c:extLst>
              <c:f>Hoja4!$D$16</c:f>
              <c:strCache>
                <c:ptCount val="1"/>
                <c:pt idx="0">
                  <c:v> GANANCIA POR SERVICIOS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Hoja4!$B$17:$E$17</c15:sqref>
                  </c15:fullRef>
                </c:ext>
              </c:extLst>
              <c:f>Hoja4!$D$17</c:f>
              <c:numCache>
                <c:formatCode>_-"$"* #,##0.00_-;\-"$"* #,##0.00_-;_-"$"* "-"??_-;_-@_-</c:formatCode>
                <c:ptCount val="1"/>
                <c:pt idx="0">
                  <c:v>2886840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D-4CA3-9F4A-9031C2F12703}"/>
            </c:ext>
          </c:extLst>
        </c:ser>
        <c:ser>
          <c:idx val="1"/>
          <c:order val="1"/>
          <c:tx>
            <c:strRef>
              <c:f>Hoja4!$A$18</c:f>
              <c:strCache>
                <c:ptCount val="1"/>
                <c:pt idx="0">
                  <c:v> FRENOS Y SUPENSION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Hoja4!$B$16:$E$16</c15:sqref>
                  </c15:fullRef>
                </c:ext>
              </c:extLst>
              <c:f>Hoja4!$D$16</c:f>
              <c:strCache>
                <c:ptCount val="1"/>
                <c:pt idx="0">
                  <c:v> GANANCIA POR SERVICIOS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Hoja4!$B$18:$E$18</c15:sqref>
                  </c15:fullRef>
                </c:ext>
              </c:extLst>
              <c:f>Hoja4!$D$18</c:f>
              <c:numCache>
                <c:formatCode>_-"$"* #,##0.00_-;\-"$"* #,##0.00_-;_-"$"* "-"??_-;_-@_-</c:formatCode>
                <c:ptCount val="1"/>
                <c:pt idx="0">
                  <c:v>2306100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D-4CA3-9F4A-9031C2F12703}"/>
            </c:ext>
          </c:extLst>
        </c:ser>
        <c:ser>
          <c:idx val="2"/>
          <c:order val="2"/>
          <c:tx>
            <c:strRef>
              <c:f>Hoja4!$A$19</c:f>
              <c:strCache>
                <c:ptCount val="1"/>
                <c:pt idx="0">
                  <c:v> MECANICA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Hoja4!$B$16:$E$16</c15:sqref>
                  </c15:fullRef>
                </c:ext>
              </c:extLst>
              <c:f>Hoja4!$D$16</c:f>
              <c:strCache>
                <c:ptCount val="1"/>
                <c:pt idx="0">
                  <c:v> GANANCIA POR SERVICIOS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Hoja4!$B$19:$E$19</c15:sqref>
                  </c15:fullRef>
                </c:ext>
              </c:extLst>
              <c:f>Hoja4!$D$19</c:f>
              <c:numCache>
                <c:formatCode>_-"$"* #,##0.00_-;\-"$"* #,##0.00_-;_-"$"* "-"??_-;_-@_-</c:formatCode>
                <c:ptCount val="1"/>
                <c:pt idx="0">
                  <c:v>1545000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5D-4CA3-9F4A-9031C2F12703}"/>
            </c:ext>
          </c:extLst>
        </c:ser>
        <c:ser>
          <c:idx val="3"/>
          <c:order val="3"/>
          <c:tx>
            <c:strRef>
              <c:f>Hoja4!$A$20</c:f>
              <c:strCache>
                <c:ptCount val="1"/>
                <c:pt idx="0">
                  <c:v> EXOSTO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Hoja4!$B$16:$E$16</c15:sqref>
                  </c15:fullRef>
                </c:ext>
              </c:extLst>
              <c:f>Hoja4!$D$16</c:f>
              <c:strCache>
                <c:ptCount val="1"/>
                <c:pt idx="0">
                  <c:v> GANANCIA POR SERVICIOS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Hoja4!$B$20:$E$20</c15:sqref>
                  </c15:fullRef>
                </c:ext>
              </c:extLst>
              <c:f>Hoja4!$D$20</c:f>
              <c:numCache>
                <c:formatCode>_-"$"* #,##0.00_-;\-"$"* #,##0.00_-;_-"$"* "-"??_-;_-@_-</c:formatCode>
                <c:ptCount val="1"/>
                <c:pt idx="0">
                  <c:v>858750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5D-4CA3-9F4A-9031C2F12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727199"/>
        <c:axId val="961721375"/>
      </c:barChart>
      <c:catAx>
        <c:axId val="96172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1721375"/>
        <c:crosses val="autoZero"/>
        <c:auto val="1"/>
        <c:lblAlgn val="ctr"/>
        <c:lblOffset val="100"/>
        <c:noMultiLvlLbl val="0"/>
      </c:catAx>
      <c:valAx>
        <c:axId val="96172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172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RESUMEN</a:t>
            </a:r>
            <a:r>
              <a:rPr lang="es-CO" baseline="0"/>
              <a:t> MES DE OCTUBRE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Hoja6!$B$16</c:f>
              <c:strCache>
                <c:ptCount val="1"/>
                <c:pt idx="0">
                  <c:v>SERVICIOS FACTURADOS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8.6132632588979772E-3"/>
                  <c:y val="-2.71554650373388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26-49A9-9C5B-0E26A15264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Hoja6!$A$17:$A$22</c:f>
              <c:strCache>
                <c:ptCount val="6"/>
                <c:pt idx="0">
                  <c:v>FRENOS Y SUSPENSION</c:v>
                </c:pt>
                <c:pt idx="1">
                  <c:v>EXOSTO</c:v>
                </c:pt>
                <c:pt idx="2">
                  <c:v>ELECTRICIDAD</c:v>
                </c:pt>
                <c:pt idx="3">
                  <c:v>MECANICA</c:v>
                </c:pt>
                <c:pt idx="4">
                  <c:v>LATONERIA Y PINTURA</c:v>
                </c:pt>
                <c:pt idx="5">
                  <c:v>Total general</c:v>
                </c:pt>
              </c:strCache>
            </c:strRef>
          </c:cat>
          <c:val>
            <c:numRef>
              <c:f>Hoja6!$B$17:$B$22</c:f>
              <c:numCache>
                <c:formatCode>_-"$"* #,##0.00_-;\-"$"* #,##0.00_-;_-"$"* "-"??_-;_-@_-</c:formatCode>
                <c:ptCount val="6"/>
                <c:pt idx="0">
                  <c:v>6719000</c:v>
                </c:pt>
                <c:pt idx="1">
                  <c:v>1745000</c:v>
                </c:pt>
                <c:pt idx="2">
                  <c:v>350000</c:v>
                </c:pt>
                <c:pt idx="3">
                  <c:v>2400000</c:v>
                </c:pt>
                <c:pt idx="4">
                  <c:v>10240000</c:v>
                </c:pt>
                <c:pt idx="5">
                  <c:v>21454000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6-49A9-9C5B-0E26A1526419}"/>
            </c:ext>
          </c:extLst>
        </c:ser>
        <c:ser>
          <c:idx val="1"/>
          <c:order val="1"/>
          <c:tx>
            <c:strRef>
              <c:f>Hoja6!$C$16</c:f>
              <c:strCache>
                <c:ptCount val="1"/>
                <c:pt idx="0">
                  <c:v>GANANCIA POR SERVICIOS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3.273040038381244E-2"/>
                  <c:y val="-1.90088255261371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226-49A9-9C5B-0E26A15264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Hoja6!$A$17:$A$22</c:f>
              <c:strCache>
                <c:ptCount val="6"/>
                <c:pt idx="0">
                  <c:v>FRENOS Y SUSPENSION</c:v>
                </c:pt>
                <c:pt idx="1">
                  <c:v>EXOSTO</c:v>
                </c:pt>
                <c:pt idx="2">
                  <c:v>ELECTRICIDAD</c:v>
                </c:pt>
                <c:pt idx="3">
                  <c:v>MECANICA</c:v>
                </c:pt>
                <c:pt idx="4">
                  <c:v>LATONERIA Y PINTURA</c:v>
                </c:pt>
                <c:pt idx="5">
                  <c:v>Total general</c:v>
                </c:pt>
              </c:strCache>
            </c:strRef>
          </c:cat>
          <c:val>
            <c:numRef>
              <c:f>Hoja6!$C$17:$C$22</c:f>
              <c:numCache>
                <c:formatCode>_-"$"* #,##0.00_-;\-"$"* #,##0.00_-;_-"$"* "-"??_-;_-@_-</c:formatCode>
                <c:ptCount val="6"/>
                <c:pt idx="0">
                  <c:v>2085200</c:v>
                </c:pt>
                <c:pt idx="1">
                  <c:v>872500</c:v>
                </c:pt>
                <c:pt idx="2">
                  <c:v>20000</c:v>
                </c:pt>
                <c:pt idx="3">
                  <c:v>690000</c:v>
                </c:pt>
                <c:pt idx="4">
                  <c:v>5052840</c:v>
                </c:pt>
                <c:pt idx="5">
                  <c:v>8720540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26-49A9-9C5B-0E26A1526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8307007"/>
        <c:axId val="1658297439"/>
      </c:barChart>
      <c:catAx>
        <c:axId val="165830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58297439"/>
        <c:crosses val="autoZero"/>
        <c:auto val="1"/>
        <c:lblAlgn val="ctr"/>
        <c:lblOffset val="100"/>
        <c:noMultiLvlLbl val="0"/>
      </c:catAx>
      <c:valAx>
        <c:axId val="165829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58307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Hoja6!$B$30</c:f>
              <c:strCache>
                <c:ptCount val="1"/>
                <c:pt idx="0">
                  <c:v> GANANCIA POR REPUESTOS 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  <a:sp3d>
              <a:contourClr>
                <a:srgbClr val="FFC000"/>
              </a:contourClr>
            </a:sp3d>
          </c:spPr>
          <c:invertIfNegative val="0"/>
          <c:dLbls>
            <c:dLbl>
              <c:idx val="0"/>
              <c:layout>
                <c:manualLayout>
                  <c:x val="-5.9479539974934287E-3"/>
                  <c:y val="-0.161073757406856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3BD-49CF-A287-991C8CE4EB3A}"/>
                </c:ext>
              </c:extLst>
            </c:dLbl>
            <c:dLbl>
              <c:idx val="1"/>
              <c:layout>
                <c:manualLayout>
                  <c:x val="1.1895907994986786E-2"/>
                  <c:y val="-0.161073757406856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3BD-49CF-A287-991C8CE4EB3A}"/>
                </c:ext>
              </c:extLst>
            </c:dLbl>
            <c:dLbl>
              <c:idx val="2"/>
              <c:layout>
                <c:manualLayout>
                  <c:x val="1.1895907994986786E-2"/>
                  <c:y val="-0.161073757406856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BD-49CF-A287-991C8CE4EB3A}"/>
                </c:ext>
              </c:extLst>
            </c:dLbl>
            <c:dLbl>
              <c:idx val="3"/>
              <c:layout>
                <c:manualLayout>
                  <c:x val="1.9826513324977951E-2"/>
                  <c:y val="-0.393735851438981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3BD-49CF-A287-991C8CE4EB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Hoja6!$A$31:$A$37</c15:sqref>
                  </c15:fullRef>
                </c:ext>
              </c:extLst>
              <c:f>(Hoja6!$A$31,Hoja6!$A$33,Hoja6!$A$35:$A$37)</c:f>
              <c:strCache>
                <c:ptCount val="4"/>
                <c:pt idx="0">
                  <c:v>ELECTRICIDAD</c:v>
                </c:pt>
                <c:pt idx="1">
                  <c:v>FRENOS Y SUSPENSION</c:v>
                </c:pt>
                <c:pt idx="2">
                  <c:v>MECANICA</c:v>
                </c:pt>
                <c:pt idx="3">
                  <c:v>Total general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Hoja6!$B$31:$B$37</c15:sqref>
                  </c15:fullRef>
                </c:ext>
              </c:extLst>
              <c:f>(Hoja6!$B$31,Hoja6!$B$33,Hoja6!$B$35:$B$37)</c:f>
              <c:numCache>
                <c:formatCode>_-"$"* #,##0.00_-;\-"$"* #,##0.00_-;_-"$"* "-"??_-;_-@_-</c:formatCode>
                <c:ptCount val="5"/>
                <c:pt idx="0">
                  <c:v>26092.436974789911</c:v>
                </c:pt>
                <c:pt idx="1">
                  <c:v>1735253.4613067228</c:v>
                </c:pt>
                <c:pt idx="2">
                  <c:v>510596.63865546213</c:v>
                </c:pt>
                <c:pt idx="3">
                  <c:v>2271942.5369369751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BD-49CF-A287-991C8CE4E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8304095"/>
        <c:axId val="1658304927"/>
        <c:axId val="0"/>
      </c:bar3DChart>
      <c:catAx>
        <c:axId val="165830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58304927"/>
        <c:crosses val="autoZero"/>
        <c:auto val="1"/>
        <c:lblAlgn val="ctr"/>
        <c:lblOffset val="100"/>
        <c:noMultiLvlLbl val="0"/>
      </c:catAx>
      <c:valAx>
        <c:axId val="165830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5830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MES SEPTIEMBRE</a:t>
            </a:r>
          </a:p>
        </c:rich>
      </c:tx>
      <c:layout>
        <c:manualLayout>
          <c:xMode val="edge"/>
          <c:yMode val="edge"/>
          <c:x val="0.42193827539301026"/>
          <c:y val="2.24278005832994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301599189913083"/>
          <c:y val="0.10908843537414965"/>
          <c:w val="0.8516092514336322"/>
          <c:h val="0.7737050725802131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Hoja8!$A$3</c:f>
              <c:strCache>
                <c:ptCount val="1"/>
                <c:pt idx="0">
                  <c:v>FRENOS Y SUSPENSION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2.0138447864809172E-2"/>
                  <c:y val="-5.38267213999185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3D3-480A-93D8-54B5E543878E}"/>
                </c:ext>
              </c:extLst>
            </c:dLbl>
            <c:dLbl>
              <c:idx val="1"/>
              <c:layout>
                <c:manualLayout>
                  <c:x val="1.6782039887340361E-3"/>
                  <c:y val="-3.81272609916089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3D3-480A-93D8-54B5E543878E}"/>
                </c:ext>
              </c:extLst>
            </c:dLbl>
            <c:dLbl>
              <c:idx val="2"/>
              <c:layout>
                <c:manualLayout>
                  <c:x val="-1.2306687082817366E-16"/>
                  <c:y val="-3.36417008749491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3D3-480A-93D8-54B5E543878E}"/>
                </c:ext>
              </c:extLst>
            </c:dLbl>
            <c:dLbl>
              <c:idx val="3"/>
              <c:layout>
                <c:manualLayout>
                  <c:x val="-1.6782039887340977E-2"/>
                  <c:y val="-3.58844809332790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3D3-480A-93D8-54B5E54387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Hoja8!$B$2:$E$2</c:f>
              <c:strCache>
                <c:ptCount val="4"/>
                <c:pt idx="0">
                  <c:v>GANANCIA SERVICIOS</c:v>
                </c:pt>
                <c:pt idx="1">
                  <c:v>FACTURADO SERVICIOS</c:v>
                </c:pt>
                <c:pt idx="2">
                  <c:v>GANANCIA REPUESTOS</c:v>
                </c:pt>
                <c:pt idx="3">
                  <c:v>FACTURADO REPUESTOS</c:v>
                </c:pt>
              </c:strCache>
            </c:strRef>
          </c:cat>
          <c:val>
            <c:numRef>
              <c:f>Hoja8!$B$3:$E$3</c:f>
              <c:numCache>
                <c:formatCode>_-"$"* #,##0.00_-;\-"$"* #,##0.00_-;_-"$"* "-"??_-;_-@_-</c:formatCode>
                <c:ptCount val="4"/>
                <c:pt idx="0">
                  <c:v>2576500</c:v>
                </c:pt>
                <c:pt idx="1">
                  <c:v>8090000</c:v>
                </c:pt>
                <c:pt idx="2">
                  <c:v>4622981.0804865556</c:v>
                </c:pt>
                <c:pt idx="3">
                  <c:v>17197300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3-480A-93D8-54B5E543878E}"/>
            </c:ext>
          </c:extLst>
        </c:ser>
        <c:ser>
          <c:idx val="1"/>
          <c:order val="1"/>
          <c:tx>
            <c:strRef>
              <c:f>Hoja8!$A$4</c:f>
              <c:strCache>
                <c:ptCount val="1"/>
                <c:pt idx="0">
                  <c:v>MECANICA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6.8806363538098006E-2"/>
                  <c:y val="-3.36417008749492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3D3-480A-93D8-54B5E543878E}"/>
                </c:ext>
              </c:extLst>
            </c:dLbl>
            <c:dLbl>
              <c:idx val="1"/>
              <c:layout>
                <c:manualLayout>
                  <c:x val="7.7197383481768439E-2"/>
                  <c:y val="-3.5884480933279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3D3-480A-93D8-54B5E543878E}"/>
                </c:ext>
              </c:extLst>
            </c:dLbl>
            <c:dLbl>
              <c:idx val="2"/>
              <c:layout>
                <c:manualLayout>
                  <c:x val="5.8737139605693295E-2"/>
                  <c:y val="-3.81272609916089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3D3-480A-93D8-54B5E543878E}"/>
                </c:ext>
              </c:extLst>
            </c:dLbl>
            <c:dLbl>
              <c:idx val="3"/>
              <c:layout>
                <c:manualLayout>
                  <c:x val="5.7064466948405751E-2"/>
                  <c:y val="-2.12483370108943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3D3-480A-93D8-54B5E54387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Hoja8!$B$2:$E$2</c:f>
              <c:strCache>
                <c:ptCount val="4"/>
                <c:pt idx="0">
                  <c:v>GANANCIA SERVICIOS</c:v>
                </c:pt>
                <c:pt idx="1">
                  <c:v>FACTURADO SERVICIOS</c:v>
                </c:pt>
                <c:pt idx="2">
                  <c:v>GANANCIA REPUESTOS</c:v>
                </c:pt>
                <c:pt idx="3">
                  <c:v>FACTURADO REPUESTOS</c:v>
                </c:pt>
              </c:strCache>
            </c:strRef>
          </c:cat>
          <c:val>
            <c:numRef>
              <c:f>Hoja8!$B$4:$E$4</c:f>
              <c:numCache>
                <c:formatCode>_-"$"* #,##0.00_-;\-"$"* #,##0.00_-;_-"$"* "-"??_-;_-@_-</c:formatCode>
                <c:ptCount val="4"/>
                <c:pt idx="0">
                  <c:v>1800000</c:v>
                </c:pt>
                <c:pt idx="1">
                  <c:v>6000000</c:v>
                </c:pt>
                <c:pt idx="2">
                  <c:v>2653684.8734386559</c:v>
                </c:pt>
                <c:pt idx="3">
                  <c:v>11069500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D3-480A-93D8-54B5E543878E}"/>
            </c:ext>
          </c:extLst>
        </c:ser>
        <c:ser>
          <c:idx val="2"/>
          <c:order val="2"/>
          <c:tx>
            <c:strRef>
              <c:f>Hoja8!$A$5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4.8667915673288834E-2"/>
                  <c:y val="-3.13989208166193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3D3-480A-93D8-54B5E543878E}"/>
                </c:ext>
              </c:extLst>
            </c:dLbl>
            <c:dLbl>
              <c:idx val="1"/>
              <c:layout>
                <c:manualLayout>
                  <c:x val="4.8667915673288834E-2"/>
                  <c:y val="-4.70983812249287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3D3-480A-93D8-54B5E543878E}"/>
                </c:ext>
              </c:extLst>
            </c:dLbl>
            <c:dLbl>
              <c:idx val="2"/>
              <c:layout>
                <c:manualLayout>
                  <c:x val="3.8598691740884247E-2"/>
                  <c:y val="-1.79422404666395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3D3-480A-93D8-54B5E543878E}"/>
                </c:ext>
              </c:extLst>
            </c:dLbl>
            <c:dLbl>
              <c:idx val="3"/>
              <c:layout>
                <c:manualLayout>
                  <c:x val="5.7064466948405911E-2"/>
                  <c:y val="-3.1872505516341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3D3-480A-93D8-54B5E54387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Hoja8!$B$2:$E$2</c:f>
              <c:strCache>
                <c:ptCount val="4"/>
                <c:pt idx="0">
                  <c:v>GANANCIA SERVICIOS</c:v>
                </c:pt>
                <c:pt idx="1">
                  <c:v>FACTURADO SERVICIOS</c:v>
                </c:pt>
                <c:pt idx="2">
                  <c:v>GANANCIA REPUESTOS</c:v>
                </c:pt>
                <c:pt idx="3">
                  <c:v>FACTURADO REPUESTOS</c:v>
                </c:pt>
              </c:strCache>
            </c:strRef>
          </c:cat>
          <c:val>
            <c:numRef>
              <c:f>Hoja8!$B$5:$E$5</c:f>
              <c:numCache>
                <c:formatCode>_-"$"* #,##0.00_-;\-"$"* #,##0.00_-;_-"$"* "-"??_-;_-@_-</c:formatCode>
                <c:ptCount val="4"/>
                <c:pt idx="0">
                  <c:v>10000</c:v>
                </c:pt>
                <c:pt idx="1">
                  <c:v>180000</c:v>
                </c:pt>
                <c:pt idx="2">
                  <c:v>96218.487394957978</c:v>
                </c:pt>
                <c:pt idx="3">
                  <c:v>141000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D3-480A-93D8-54B5E5438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6841152"/>
        <c:axId val="476842816"/>
        <c:axId val="0"/>
      </c:bar3DChart>
      <c:catAx>
        <c:axId val="47684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6842816"/>
        <c:crosses val="autoZero"/>
        <c:auto val="1"/>
        <c:lblAlgn val="ctr"/>
        <c:lblOffset val="100"/>
        <c:noMultiLvlLbl val="0"/>
      </c:catAx>
      <c:valAx>
        <c:axId val="47684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684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paperSize="9" orientation="landscape" horizontalDpi="360" verticalDpi="36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SETIEMBRE</a:t>
            </a:r>
          </a:p>
        </c:rich>
      </c:tx>
      <c:layout>
        <c:manualLayout>
          <c:xMode val="edge"/>
          <c:yMode val="edge"/>
          <c:x val="0.45734162977535575"/>
          <c:y val="1.4967254710855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Hoja5!$A$19</c:f>
              <c:strCache>
                <c:ptCount val="1"/>
                <c:pt idx="0">
                  <c:v>FRENOS Y SUSPENSION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1.1703238519109848E-2"/>
                  <c:y val="-4.73963065843743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251-45E8-838D-C71F5D5ABDD0}"/>
                </c:ext>
              </c:extLst>
            </c:dLbl>
            <c:dLbl>
              <c:idx val="1"/>
              <c:layout>
                <c:manualLayout>
                  <c:x val="-6.6875648680627701E-3"/>
                  <c:y val="-3.24290518735192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251-45E8-838D-C71F5D5ABDD0}"/>
                </c:ext>
              </c:extLst>
            </c:dLbl>
            <c:dLbl>
              <c:idx val="2"/>
              <c:layout>
                <c:manualLayout>
                  <c:x val="1.5047020953141234E-2"/>
                  <c:y val="-6.23635612952292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251-45E8-838D-C71F5D5ABDD0}"/>
                </c:ext>
              </c:extLst>
            </c:dLbl>
            <c:dLbl>
              <c:idx val="3"/>
              <c:layout>
                <c:manualLayout>
                  <c:x val="-7.5235104765706162E-2"/>
                  <c:y val="-1.2472712259045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251-45E8-838D-C71F5D5ABD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Hoja5!$B$18:$E$18</c:f>
              <c:strCache>
                <c:ptCount val="4"/>
                <c:pt idx="0">
                  <c:v>GANANCIA SERVICIOS</c:v>
                </c:pt>
                <c:pt idx="1">
                  <c:v>FACTURADO SERVICIOS</c:v>
                </c:pt>
                <c:pt idx="2">
                  <c:v>GANANCIA REPUESTOS</c:v>
                </c:pt>
                <c:pt idx="3">
                  <c:v>FACTURADO REPUESTOS</c:v>
                </c:pt>
              </c:strCache>
            </c:strRef>
          </c:cat>
          <c:val>
            <c:numRef>
              <c:f>Hoja5!$B$19:$E$19</c:f>
              <c:numCache>
                <c:formatCode>_-"$"* #,##0.00_-;\-"$"* #,##0.00_-;_-"$"* "-"??_-;_-@_-</c:formatCode>
                <c:ptCount val="4"/>
                <c:pt idx="0">
                  <c:v>2576500</c:v>
                </c:pt>
                <c:pt idx="1">
                  <c:v>8090000</c:v>
                </c:pt>
                <c:pt idx="2">
                  <c:v>4622981.0804865556</c:v>
                </c:pt>
                <c:pt idx="3">
                  <c:v>17197300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51-45E8-838D-C71F5D5ABDD0}"/>
            </c:ext>
          </c:extLst>
        </c:ser>
        <c:ser>
          <c:idx val="1"/>
          <c:order val="1"/>
          <c:tx>
            <c:strRef>
              <c:f>Hoja5!$A$20</c:f>
              <c:strCache>
                <c:ptCount val="1"/>
                <c:pt idx="0">
                  <c:v>MECANICA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5.0156736510470749E-2"/>
                  <c:y val="-5.98690188434201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251-45E8-838D-C71F5D5ABDD0}"/>
                </c:ext>
              </c:extLst>
            </c:dLbl>
            <c:dLbl>
              <c:idx val="1"/>
              <c:layout>
                <c:manualLayout>
                  <c:x val="6.8547539897643339E-2"/>
                  <c:y val="-6.23635612952293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251-45E8-838D-C71F5D5ABDD0}"/>
                </c:ext>
              </c:extLst>
            </c:dLbl>
            <c:dLbl>
              <c:idx val="2"/>
              <c:layout>
                <c:manualLayout>
                  <c:x val="5.1828627727486469E-2"/>
                  <c:y val="-2.4945424518091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251-45E8-838D-C71F5D5ABDD0}"/>
                </c:ext>
              </c:extLst>
            </c:dLbl>
            <c:dLbl>
              <c:idx val="3"/>
              <c:layout>
                <c:manualLayout>
                  <c:x val="4.7127585573184742E-2"/>
                  <c:y val="-7.38241178649702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251-45E8-838D-C71F5D5ABD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Hoja5!$B$18:$E$18</c:f>
              <c:strCache>
                <c:ptCount val="4"/>
                <c:pt idx="0">
                  <c:v>GANANCIA SERVICIOS</c:v>
                </c:pt>
                <c:pt idx="1">
                  <c:v>FACTURADO SERVICIOS</c:v>
                </c:pt>
                <c:pt idx="2">
                  <c:v>GANANCIA REPUESTOS</c:v>
                </c:pt>
                <c:pt idx="3">
                  <c:v>FACTURADO REPUESTOS</c:v>
                </c:pt>
              </c:strCache>
            </c:strRef>
          </c:cat>
          <c:val>
            <c:numRef>
              <c:f>Hoja5!$B$20:$E$20</c:f>
              <c:numCache>
                <c:formatCode>_-"$"* #,##0.00_-;\-"$"* #,##0.00_-;_-"$"* "-"??_-;_-@_-</c:formatCode>
                <c:ptCount val="4"/>
                <c:pt idx="0">
                  <c:v>1800000</c:v>
                </c:pt>
                <c:pt idx="1">
                  <c:v>6000000</c:v>
                </c:pt>
                <c:pt idx="2">
                  <c:v>2653684.8734386559</c:v>
                </c:pt>
                <c:pt idx="3">
                  <c:v>11069500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51-45E8-838D-C71F5D5ABDD0}"/>
            </c:ext>
          </c:extLst>
        </c:ser>
        <c:ser>
          <c:idx val="2"/>
          <c:order val="2"/>
          <c:tx>
            <c:strRef>
              <c:f>Hoja5!$A$21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3.5109715557329481E-2"/>
                  <c:y val="-3.9912679228946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251-45E8-838D-C71F5D5ABDD0}"/>
                </c:ext>
              </c:extLst>
            </c:dLbl>
            <c:dLbl>
              <c:idx val="1"/>
              <c:layout>
                <c:manualLayout>
                  <c:x val="4.6812954076439393E-2"/>
                  <c:y val="-5.48799339398018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251-45E8-838D-C71F5D5ABDD0}"/>
                </c:ext>
              </c:extLst>
            </c:dLbl>
            <c:dLbl>
              <c:idx val="2"/>
              <c:layout>
                <c:manualLayout>
                  <c:x val="4.6430393771191548E-2"/>
                  <c:y val="-3.85946965634634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251-45E8-838D-C71F5D5ABDD0}"/>
                </c:ext>
              </c:extLst>
            </c:dLbl>
            <c:dLbl>
              <c:idx val="3"/>
              <c:layout>
                <c:manualLayout>
                  <c:x val="4.4567354046529652E-2"/>
                  <c:y val="-4.4172061360244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251-45E8-838D-C71F5D5ABD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Hoja5!$B$18:$E$18</c:f>
              <c:strCache>
                <c:ptCount val="4"/>
                <c:pt idx="0">
                  <c:v>GANANCIA SERVICIOS</c:v>
                </c:pt>
                <c:pt idx="1">
                  <c:v>FACTURADO SERVICIOS</c:v>
                </c:pt>
                <c:pt idx="2">
                  <c:v>GANANCIA REPUESTOS</c:v>
                </c:pt>
                <c:pt idx="3">
                  <c:v>FACTURADO REPUESTOS</c:v>
                </c:pt>
              </c:strCache>
            </c:strRef>
          </c:cat>
          <c:val>
            <c:numRef>
              <c:f>Hoja5!$B$21:$E$21</c:f>
              <c:numCache>
                <c:formatCode>_-"$"* #,##0.00_-;\-"$"* #,##0.00_-;_-"$"* "-"??_-;_-@_-</c:formatCode>
                <c:ptCount val="4"/>
                <c:pt idx="0">
                  <c:v>10000</c:v>
                </c:pt>
                <c:pt idx="1">
                  <c:v>180000</c:v>
                </c:pt>
                <c:pt idx="2">
                  <c:v>96218.487394957978</c:v>
                </c:pt>
                <c:pt idx="3">
                  <c:v>141000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51-45E8-838D-C71F5D5A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0976112"/>
        <c:axId val="480977360"/>
        <c:axId val="0"/>
      </c:bar3DChart>
      <c:catAx>
        <c:axId val="48097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0977360"/>
        <c:crosses val="autoZero"/>
        <c:auto val="1"/>
        <c:lblAlgn val="ctr"/>
        <c:lblOffset val="100"/>
        <c:noMultiLvlLbl val="0"/>
      </c:catAx>
      <c:valAx>
        <c:axId val="48097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097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[TRABAJOS REALIZADOS 2022.xlsx]POR MODELOS!TablaDinámica2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'POR MODELOS'!$B$3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'POR MODELOS'!$A$4:$A$30</c:f>
              <c:strCache>
                <c:ptCount val="26"/>
                <c:pt idx="0">
                  <c:v>BANZ</c:v>
                </c:pt>
                <c:pt idx="1">
                  <c:v>CHEVROLET</c:v>
                </c:pt>
                <c:pt idx="2">
                  <c:v>FOTON</c:v>
                </c:pt>
                <c:pt idx="3">
                  <c:v>HILUX</c:v>
                </c:pt>
                <c:pt idx="4">
                  <c:v>HINO</c:v>
                </c:pt>
                <c:pt idx="5">
                  <c:v>HUMMER</c:v>
                </c:pt>
                <c:pt idx="6">
                  <c:v>JAC</c:v>
                </c:pt>
                <c:pt idx="7">
                  <c:v>JEEP</c:v>
                </c:pt>
                <c:pt idx="8">
                  <c:v>LOGAN</c:v>
                </c:pt>
                <c:pt idx="9">
                  <c:v>MAO-470</c:v>
                </c:pt>
                <c:pt idx="10">
                  <c:v>MAZDA</c:v>
                </c:pt>
                <c:pt idx="11">
                  <c:v>MITSUBISHI</c:v>
                </c:pt>
                <c:pt idx="12">
                  <c:v>NHR</c:v>
                </c:pt>
                <c:pt idx="13">
                  <c:v>NISSAN</c:v>
                </c:pt>
                <c:pt idx="14">
                  <c:v>NNR</c:v>
                </c:pt>
                <c:pt idx="15">
                  <c:v>SAIL</c:v>
                </c:pt>
                <c:pt idx="16">
                  <c:v>SPARK</c:v>
                </c:pt>
                <c:pt idx="17">
                  <c:v>TWINGO</c:v>
                </c:pt>
                <c:pt idx="18">
                  <c:v>VOLKSWAGEN</c:v>
                </c:pt>
                <c:pt idx="19">
                  <c:v>VOLQUETA</c:v>
                </c:pt>
                <c:pt idx="20">
                  <c:v>VOLSWAGEN</c:v>
                </c:pt>
                <c:pt idx="21">
                  <c:v>NPR</c:v>
                </c:pt>
                <c:pt idx="22">
                  <c:v>CORSA</c:v>
                </c:pt>
                <c:pt idx="23">
                  <c:v>FIAT UNO</c:v>
                </c:pt>
                <c:pt idx="24">
                  <c:v>LAND CROUSER</c:v>
                </c:pt>
                <c:pt idx="25">
                  <c:v>FORD</c:v>
                </c:pt>
              </c:strCache>
            </c:strRef>
          </c:cat>
          <c:val>
            <c:numRef>
              <c:f>'POR MODELOS'!$B$4:$B$30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3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7-4190-8A3B-A62352194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072847"/>
        <c:axId val="1652062031"/>
      </c:barChart>
      <c:catAx>
        <c:axId val="165207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52062031"/>
        <c:crosses val="autoZero"/>
        <c:auto val="1"/>
        <c:lblAlgn val="ctr"/>
        <c:lblOffset val="100"/>
        <c:noMultiLvlLbl val="0"/>
      </c:catAx>
      <c:valAx>
        <c:axId val="16520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5207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GANANCIA POR REPUESTO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815215062402914"/>
          <c:y val="1.7007619191042741E-3"/>
          <c:w val="0.76026849322406131"/>
          <c:h val="0.79870594531384631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11354585141143084"/>
                  <c:y val="-0.1058964968498888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881-4DA1-BC0F-2AFF262FABB0}"/>
                </c:ext>
              </c:extLst>
            </c:dLbl>
            <c:dLbl>
              <c:idx val="1"/>
              <c:layout>
                <c:manualLayout>
                  <c:x val="-3.0016337243559464E-3"/>
                  <c:y val="-3.208984753026931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881-4DA1-BC0F-2AFF262FAB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'GANANCIA REPUESTO'!$E$4:$E$6</c:f>
              <c:strCache>
                <c:ptCount val="3"/>
                <c:pt idx="0">
                  <c:v>FRENOS Y SUSPENSION </c:v>
                </c:pt>
                <c:pt idx="1">
                  <c:v>MECANICA</c:v>
                </c:pt>
                <c:pt idx="2">
                  <c:v>ELECTRICIDAD</c:v>
                </c:pt>
              </c:strCache>
            </c:strRef>
          </c:cat>
          <c:val>
            <c:numRef>
              <c:f>'GANANCIA REPUESTO'!$F$4:$F$6</c:f>
              <c:numCache>
                <c:formatCode>_-"$"* #,##0.00_-;\-"$"* #,##0.00_-;_-"$"* "-"??_-;_-@_-</c:formatCode>
                <c:ptCount val="3"/>
                <c:pt idx="0">
                  <c:v>4575123.9376294129</c:v>
                </c:pt>
                <c:pt idx="1">
                  <c:v>2653684.8734386559</c:v>
                </c:pt>
                <c:pt idx="2">
                  <c:v>96218.487394957978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81-4DA1-BC0F-2AFF262FAB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32174144"/>
        <c:axId val="432190784"/>
      </c:barChart>
      <c:catAx>
        <c:axId val="432174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2190784"/>
        <c:crosses val="autoZero"/>
        <c:auto val="1"/>
        <c:lblAlgn val="ctr"/>
        <c:lblOffset val="100"/>
        <c:noMultiLvlLbl val="0"/>
      </c:catAx>
      <c:valAx>
        <c:axId val="43219078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crossAx val="43217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[TRABAJOS REALIZADOS 2022.xlsx]POR MODELOS!TablaDinámica2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2174133950407654E-2"/>
          <c:y val="0.20094815785471096"/>
          <c:w val="0.89581205558934018"/>
          <c:h val="0.653453452048063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'POR MODELOS'!$B$3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'POR MODELOS'!$A$4:$A$30</c:f>
              <c:strCache>
                <c:ptCount val="26"/>
                <c:pt idx="0">
                  <c:v>BANZ</c:v>
                </c:pt>
                <c:pt idx="1">
                  <c:v>CHEVROLET</c:v>
                </c:pt>
                <c:pt idx="2">
                  <c:v>FOTON</c:v>
                </c:pt>
                <c:pt idx="3">
                  <c:v>HILUX</c:v>
                </c:pt>
                <c:pt idx="4">
                  <c:v>HINO</c:v>
                </c:pt>
                <c:pt idx="5">
                  <c:v>HUMMER</c:v>
                </c:pt>
                <c:pt idx="6">
                  <c:v>JAC</c:v>
                </c:pt>
                <c:pt idx="7">
                  <c:v>JEEP</c:v>
                </c:pt>
                <c:pt idx="8">
                  <c:v>LOGAN</c:v>
                </c:pt>
                <c:pt idx="9">
                  <c:v>MAO-470</c:v>
                </c:pt>
                <c:pt idx="10">
                  <c:v>MAZDA</c:v>
                </c:pt>
                <c:pt idx="11">
                  <c:v>MITSUBISHI</c:v>
                </c:pt>
                <c:pt idx="12">
                  <c:v>NHR</c:v>
                </c:pt>
                <c:pt idx="13">
                  <c:v>NISSAN</c:v>
                </c:pt>
                <c:pt idx="14">
                  <c:v>NNR</c:v>
                </c:pt>
                <c:pt idx="15">
                  <c:v>SAIL</c:v>
                </c:pt>
                <c:pt idx="16">
                  <c:v>SPARK</c:v>
                </c:pt>
                <c:pt idx="17">
                  <c:v>TWINGO</c:v>
                </c:pt>
                <c:pt idx="18">
                  <c:v>VOLKSWAGEN</c:v>
                </c:pt>
                <c:pt idx="19">
                  <c:v>VOLQUETA</c:v>
                </c:pt>
                <c:pt idx="20">
                  <c:v>VOLSWAGEN</c:v>
                </c:pt>
                <c:pt idx="21">
                  <c:v>NPR</c:v>
                </c:pt>
                <c:pt idx="22">
                  <c:v>CORSA</c:v>
                </c:pt>
                <c:pt idx="23">
                  <c:v>FIAT UNO</c:v>
                </c:pt>
                <c:pt idx="24">
                  <c:v>LAND CROUSER</c:v>
                </c:pt>
                <c:pt idx="25">
                  <c:v>FORD</c:v>
                </c:pt>
              </c:strCache>
            </c:strRef>
          </c:cat>
          <c:val>
            <c:numRef>
              <c:f>'POR MODELOS'!$B$4:$B$30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3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3-4C43-B3D8-334D590C3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072847"/>
        <c:axId val="1652062031"/>
      </c:barChart>
      <c:catAx>
        <c:axId val="165207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52062031"/>
        <c:crosses val="autoZero"/>
        <c:auto val="1"/>
        <c:lblAlgn val="ctr"/>
        <c:lblOffset val="100"/>
        <c:noMultiLvlLbl val="0"/>
      </c:catAx>
      <c:valAx>
        <c:axId val="16520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5207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8417847769028872"/>
          <c:y val="0.19486111111111112"/>
          <c:w val="0.77137707786526688"/>
          <c:h val="0.670030985710119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Hoja9!$B$24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Hoja9!$A$25:$A$28</c:f>
              <c:strCache>
                <c:ptCount val="4"/>
                <c:pt idx="0">
                  <c:v>FRENOS Y SUSPENSION</c:v>
                </c:pt>
                <c:pt idx="1">
                  <c:v>MECANICA</c:v>
                </c:pt>
                <c:pt idx="2">
                  <c:v>LATONERIA Y PINTURA</c:v>
                </c:pt>
                <c:pt idx="3">
                  <c:v>ELECTRICIDAD</c:v>
                </c:pt>
              </c:strCache>
            </c:strRef>
          </c:cat>
          <c:val>
            <c:numRef>
              <c:f>Hoja9!$B$25:$B$28</c:f>
              <c:numCache>
                <c:formatCode>_-"$"* #,##0.00_-;\-"$"* #,##0.00_-;_-"$"* "-"??_-;_-@_-</c:formatCode>
                <c:ptCount val="4"/>
                <c:pt idx="0">
                  <c:v>2805500</c:v>
                </c:pt>
                <c:pt idx="1">
                  <c:v>1474000</c:v>
                </c:pt>
                <c:pt idx="2">
                  <c:v>1318600</c:v>
                </c:pt>
                <c:pt idx="3">
                  <c:v>285200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BF-42DF-96A9-D42D90057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534880"/>
        <c:axId val="559516576"/>
      </c:barChart>
      <c:catAx>
        <c:axId val="55953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9516576"/>
        <c:crosses val="autoZero"/>
        <c:auto val="1"/>
        <c:lblAlgn val="ctr"/>
        <c:lblOffset val="100"/>
        <c:noMultiLvlLbl val="0"/>
      </c:catAx>
      <c:valAx>
        <c:axId val="55951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953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[TRABAJOS REALIZADOS 2022.xlsx]POR AREA!TablaDinámica2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'POR AREA'!$B$4</c:f>
              <c:strCache>
                <c:ptCount val="1"/>
                <c:pt idx="0">
                  <c:v>Cuenta de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'POR AREA'!$A$5:$A$10</c:f>
              <c:strCache>
                <c:ptCount val="5"/>
                <c:pt idx="0">
                  <c:v>ALEJANDRO DIAZ</c:v>
                </c:pt>
                <c:pt idx="1">
                  <c:v>ANGHELO CUICAS</c:v>
                </c:pt>
                <c:pt idx="2">
                  <c:v>LUIS BRITO / SAID VASQUEZ</c:v>
                </c:pt>
                <c:pt idx="3">
                  <c:v>SAMIR VASQUEZ</c:v>
                </c:pt>
                <c:pt idx="4">
                  <c:v>ELECTRICIDAD</c:v>
                </c:pt>
              </c:strCache>
            </c:strRef>
          </c:cat>
          <c:val>
            <c:numRef>
              <c:f>'POR AREA'!$B$5:$B$10</c:f>
              <c:numCache>
                <c:formatCode>General</c:formatCode>
                <c:ptCount val="5"/>
                <c:pt idx="0">
                  <c:v>8</c:v>
                </c:pt>
                <c:pt idx="1">
                  <c:v>11</c:v>
                </c:pt>
                <c:pt idx="2">
                  <c:v>69</c:v>
                </c:pt>
                <c:pt idx="3">
                  <c:v>24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A2-49AC-B495-72B6E8AD7EF5}"/>
            </c:ext>
          </c:extLst>
        </c:ser>
        <c:ser>
          <c:idx val="1"/>
          <c:order val="1"/>
          <c:tx>
            <c:strRef>
              <c:f>'POR AREA'!$C$4</c:f>
              <c:strCache>
                <c:ptCount val="1"/>
                <c:pt idx="0">
                  <c:v>Suma de GANANCIA POR SERVICIOS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'POR AREA'!$A$5:$A$10</c:f>
              <c:strCache>
                <c:ptCount val="5"/>
                <c:pt idx="0">
                  <c:v>ALEJANDRO DIAZ</c:v>
                </c:pt>
                <c:pt idx="1">
                  <c:v>ANGHELO CUICAS</c:v>
                </c:pt>
                <c:pt idx="2">
                  <c:v>LUIS BRITO / SAID VASQUEZ</c:v>
                </c:pt>
                <c:pt idx="3">
                  <c:v>SAMIR VASQUEZ</c:v>
                </c:pt>
                <c:pt idx="4">
                  <c:v>ELECTRICIDAD</c:v>
                </c:pt>
              </c:strCache>
            </c:strRef>
          </c:cat>
          <c:val>
            <c:numRef>
              <c:f>'POR AREA'!$C$5:$C$10</c:f>
              <c:numCache>
                <c:formatCode>General</c:formatCode>
                <c:ptCount val="5"/>
                <c:pt idx="0">
                  <c:v>166000</c:v>
                </c:pt>
                <c:pt idx="1">
                  <c:v>228000</c:v>
                </c:pt>
                <c:pt idx="2">
                  <c:v>2182500</c:v>
                </c:pt>
                <c:pt idx="3">
                  <c:v>1800000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A2-49AC-B495-72B6E8AD7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6818272"/>
        <c:axId val="476823264"/>
      </c:barChart>
      <c:catAx>
        <c:axId val="47681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6823264"/>
        <c:crosses val="autoZero"/>
        <c:auto val="1"/>
        <c:lblAlgn val="ctr"/>
        <c:lblOffset val="100"/>
        <c:noMultiLvlLbl val="0"/>
      </c:catAx>
      <c:valAx>
        <c:axId val="4768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681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solidFill>
                <a:schemeClr val="accent2">
                  <a:lumMod val="75000"/>
                </a:schemeClr>
              </a:solidFill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'GANANCIA REPUESTO'!$E$4:$E$6</c:f>
              <c:strCache>
                <c:ptCount val="3"/>
                <c:pt idx="0">
                  <c:v>FRENOS Y SUSPENSION </c:v>
                </c:pt>
                <c:pt idx="1">
                  <c:v>MECANICA</c:v>
                </c:pt>
                <c:pt idx="2">
                  <c:v>ELECTRICIDAD</c:v>
                </c:pt>
              </c:strCache>
            </c:strRef>
          </c:cat>
          <c:val>
            <c:numRef>
              <c:f>'GANANCIA REPUESTO'!$F$4:$F$6</c:f>
              <c:numCache>
                <c:formatCode>_-"$"* #,##0.00_-;\-"$"* #,##0.00_-;_-"$"* "-"??_-;_-@_-</c:formatCode>
                <c:ptCount val="3"/>
                <c:pt idx="0">
                  <c:v>4575123.9376294129</c:v>
                </c:pt>
                <c:pt idx="1">
                  <c:v>2653684.8734386559</c:v>
                </c:pt>
                <c:pt idx="2">
                  <c:v>96218.487394957978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5-490C-8880-4D4D03DB54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308154016"/>
        <c:axId val="308154432"/>
      </c:barChart>
      <c:catAx>
        <c:axId val="30815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154432"/>
        <c:crosses val="autoZero"/>
        <c:auto val="1"/>
        <c:lblAlgn val="ctr"/>
        <c:lblOffset val="100"/>
        <c:noMultiLvlLbl val="0"/>
      </c:catAx>
      <c:valAx>
        <c:axId val="308154432"/>
        <c:scaling>
          <c:orientation val="minMax"/>
        </c:scaling>
        <c:delete val="0"/>
        <c:axPos val="l"/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815401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28575</xdr:rowOff>
    </xdr:from>
    <xdr:to>
      <xdr:col>4</xdr:col>
      <xdr:colOff>628649</xdr:colOff>
      <xdr:row>31</xdr:row>
      <xdr:rowOff>114299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6C210B-C333-4C26-9710-FFFE2A752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47625</xdr:rowOff>
    </xdr:from>
    <xdr:to>
      <xdr:col>4</xdr:col>
      <xdr:colOff>685799</xdr:colOff>
      <xdr:row>64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ED11531-99AF-42BF-801C-EE3EAF0B8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3</xdr:row>
      <xdr:rowOff>176212</xdr:rowOff>
    </xdr:from>
    <xdr:to>
      <xdr:col>13</xdr:col>
      <xdr:colOff>47625</xdr:colOff>
      <xdr:row>18</xdr:row>
      <xdr:rowOff>61912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C43B326-25AA-4D1F-8E0A-A05B02F69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</xdr:colOff>
      <xdr:row>36</xdr:row>
      <xdr:rowOff>4762</xdr:rowOff>
    </xdr:from>
    <xdr:to>
      <xdr:col>13</xdr:col>
      <xdr:colOff>33337</xdr:colOff>
      <xdr:row>50</xdr:row>
      <xdr:rowOff>80962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9C47B95-24FC-4E88-9A35-2EB9F67AD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42862</xdr:colOff>
      <xdr:row>20</xdr:row>
      <xdr:rowOff>14287</xdr:rowOff>
    </xdr:from>
    <xdr:to>
      <xdr:col>13</xdr:col>
      <xdr:colOff>42862</xdr:colOff>
      <xdr:row>34</xdr:row>
      <xdr:rowOff>90487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16E6D8E-4F6E-4A10-A3E5-EDF69DAB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228599</xdr:colOff>
      <xdr:row>0</xdr:row>
      <xdr:rowOff>161925</xdr:rowOff>
    </xdr:from>
    <xdr:to>
      <xdr:col>14</xdr:col>
      <xdr:colOff>742950</xdr:colOff>
      <xdr:row>25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6512B30-F6CA-4FDC-A8B3-DEF084FF5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271460</xdr:colOff>
      <xdr:row>27</xdr:row>
      <xdr:rowOff>166686</xdr:rowOff>
    </xdr:from>
    <xdr:to>
      <xdr:col>14</xdr:col>
      <xdr:colOff>704849</xdr:colOff>
      <xdr:row>48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FF5A267-D349-474A-B1D9-248952DF5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171450</xdr:rowOff>
    </xdr:from>
    <xdr:to>
      <xdr:col>6</xdr:col>
      <xdr:colOff>585789</xdr:colOff>
      <xdr:row>31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D133C93-8601-4B84-B542-E04254405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995362</xdr:colOff>
      <xdr:row>26</xdr:row>
      <xdr:rowOff>42861</xdr:rowOff>
    </xdr:from>
    <xdr:to>
      <xdr:col>11</xdr:col>
      <xdr:colOff>257175</xdr:colOff>
      <xdr:row>52</xdr:row>
      <xdr:rowOff>180975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A0EE91B-DE27-42EB-8F12-29C4DFA85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</xdr:row>
      <xdr:rowOff>142874</xdr:rowOff>
    </xdr:from>
    <xdr:to>
      <xdr:col>8</xdr:col>
      <xdr:colOff>2066925</xdr:colOff>
      <xdr:row>35</xdr:row>
      <xdr:rowOff>76199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8D8C907-B7C6-4B12-BCD4-B5A596584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2</xdr:row>
      <xdr:rowOff>19050</xdr:rowOff>
    </xdr:from>
    <xdr:to>
      <xdr:col>9</xdr:col>
      <xdr:colOff>419100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EC7CC2-FFC1-4A5E-AF46-87D1BBB8B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95250</xdr:rowOff>
    </xdr:from>
    <xdr:to>
      <xdr:col>10</xdr:col>
      <xdr:colOff>628650</xdr:colOff>
      <xdr:row>76</xdr:row>
      <xdr:rowOff>28575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5B4FCF8-D3F4-4DF6-A31C-FB1648D21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623887</xdr:colOff>
      <xdr:row>22</xdr:row>
      <xdr:rowOff>157161</xdr:rowOff>
    </xdr:from>
    <xdr:to>
      <xdr:col>9</xdr:col>
      <xdr:colOff>333375</xdr:colOff>
      <xdr:row>39</xdr:row>
      <xdr:rowOff>142874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0BB400A-6203-4220-8818-3C2F24F47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180974</xdr:colOff>
      <xdr:row>2</xdr:row>
      <xdr:rowOff>166687</xdr:rowOff>
    </xdr:from>
    <xdr:to>
      <xdr:col>7</xdr:col>
      <xdr:colOff>933450</xdr:colOff>
      <xdr:row>28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B996C71-877F-40E2-99F7-5B3A47137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1662111</xdr:colOff>
      <xdr:row>10</xdr:row>
      <xdr:rowOff>147637</xdr:rowOff>
    </xdr:from>
    <xdr:to>
      <xdr:col>6</xdr:col>
      <xdr:colOff>1457324</xdr:colOff>
      <xdr:row>30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35C8B0-DA18-4BE4-AFE1-191ABD927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9526</xdr:rowOff>
    </xdr:from>
    <xdr:to>
      <xdr:col>0</xdr:col>
      <xdr:colOff>1019176</xdr:colOff>
      <xdr:row>4</xdr:row>
      <xdr:rowOff>57151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9526"/>
          <a:ext cx="895350" cy="895350"/>
        </a:xfrm>
        <a:prstGeom prst="rect">
          <a:avLst/>
        </a:prstGeom>
      </xdr:spPr>
    </xdr:pic>
    <xdr:clientData/>
  </xdr:twoCellAnchor>
  <xdr:oneCellAnchor>
    <xdr:from>
      <xdr:col>0</xdr:col>
      <xdr:colOff>123826</xdr:colOff>
      <xdr:row>20</xdr:row>
      <xdr:rowOff>9526</xdr:rowOff>
    </xdr:from>
    <xdr:ext cx="895350" cy="895350"/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9526"/>
          <a:ext cx="895350" cy="89535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Factura%20en%20Excel%20Parte%202%20&#8211;%20Guardar%20detalle%20de%20facturas%20-%20EXCELeINF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FACTURAC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eINFO1"/>
      <sheetName val="Factura"/>
      <sheetName val="Detalle de facturas"/>
      <sheetName val="Clientes"/>
      <sheetName val="Producto"/>
      <sheetName val="Factura en Excel Parte 2 – Gua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ura"/>
      <sheetName val="Detalle de facturas"/>
      <sheetName val="Clientes"/>
      <sheetName val="AREA"/>
      <sheetName val="Factura (2)"/>
      <sheetName val="FACTURACION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ltiFrenos de la Sabana" refreshedDate="44866.581329398148" createdVersion="7" refreshedVersion="7" minRefreshableVersion="3" recordCount="263" xr:uid="{0824661A-B843-4C55-97CF-4D8540E8A9DE}">
  <cacheSource type="worksheet">
    <worksheetSource name="Tabla2456789"/>
  </cacheSource>
  <cacheFields count="20">
    <cacheField name="FECHA" numFmtId="0">
      <sharedItems containsNonDate="0" containsDate="1" containsString="0" containsBlank="1" minDate="2022-10-01T00:00:00" maxDate="2022-11-01T00:00:00"/>
    </cacheField>
    <cacheField name="NUMERO DE FACTURA" numFmtId="0">
      <sharedItems containsBlank="1"/>
    </cacheField>
    <cacheField name="CLIENTE" numFmtId="0">
      <sharedItems containsBlank="1"/>
    </cacheField>
    <cacheField name="PLACA" numFmtId="0">
      <sharedItems containsBlank="1"/>
    </cacheField>
    <cacheField name="MODELO" numFmtId="0">
      <sharedItems containsBlank="1"/>
    </cacheField>
    <cacheField name="AREA" numFmtId="0">
      <sharedItems containsBlank="1" count="10">
        <s v="LUIS BRITO / SAID VASQUEZ"/>
        <s v="SAMIR VASQUEZ"/>
        <s v="ELECTRICIDAD"/>
        <s v="ALEJANDRO DIAZ"/>
        <m/>
        <s v="EDWIN EXOSTO"/>
        <s v="LUIS BRITO" u="1"/>
        <s v="EDWIN (EXOSTO)" u="1"/>
        <s v="SAID VASQUEZ" u="1"/>
        <s v="Fórmula1" f="1"/>
      </sharedItems>
    </cacheField>
    <cacheField name="DETALLES" numFmtId="0">
      <sharedItems containsBlank="1"/>
    </cacheField>
    <cacheField name="TOTAL FACTURA" numFmtId="164">
      <sharedItems containsString="0" containsBlank="1" containsNumber="1" containsInteger="1" minValue="5000" maxValue="500000"/>
    </cacheField>
    <cacheField name="PORCENTAJE A CANCELAR" numFmtId="164">
      <sharedItems containsString="0" containsBlank="1" containsNumber="1" minValue="0" maxValue="350000"/>
    </cacheField>
    <cacheField name="GANANCIA POR SERVICIOS" numFmtId="164">
      <sharedItems containsBlank="1" containsMixedTypes="1" containsNumber="1" minValue="0" maxValue="150000"/>
    </cacheField>
    <cacheField name="REPUESTOS USADOS" numFmtId="0">
      <sharedItems containsBlank="1"/>
    </cacheField>
    <cacheField name="MONTO DE COMPRA" numFmtId="0">
      <sharedItems containsString="0" containsBlank="1" containsNumber="1" minValue="5000" maxValue="1160000"/>
    </cacheField>
    <cacheField name="Columna1" numFmtId="164">
      <sharedItems containsString="0" containsBlank="1" containsNumber="1" minValue="0" maxValue="599579.83193277312"/>
    </cacheField>
    <cacheField name="IV COMPRA" numFmtId="164">
      <sharedItems containsSemiMixedTypes="0" containsString="0" containsNumber="1" minValue="0" maxValue="113920.1680672269"/>
    </cacheField>
    <cacheField name="VENTA " numFmtId="0">
      <sharedItems containsString="0" containsBlank="1" containsNumber="1" containsInteger="1" minValue="10000" maxValue="1280000"/>
    </cacheField>
    <cacheField name="Columna2" numFmtId="164">
      <sharedItems containsString="0" containsBlank="1" containsNumber="1" minValue="0" maxValue="851260.50420168065"/>
    </cacheField>
    <cacheField name="IVA VENTA " numFmtId="164">
      <sharedItems containsString="0" containsBlank="1" containsNumber="1" minValue="0" maxValue="161739.49579831932"/>
    </cacheField>
    <cacheField name="DIFERENCIA IVA " numFmtId="164">
      <sharedItems containsString="0" containsBlank="1" containsNumber="1" minValue="-45025.210084033613" maxValue="88134.45378151261"/>
    </cacheField>
    <cacheField name="GANACIA  REPUESTOS" numFmtId="164">
      <sharedItems containsSemiMixedTypes="0" containsString="0" containsNumber="1" minValue="-236974.78991596639" maxValue="286554.62184873951"/>
    </cacheField>
    <cacheField name="ESTATUS" numFmtId="0">
      <sharedItems containsNonDate="0" containsString="0" containsBlank="1"/>
    </cacheField>
  </cacheFields>
  <calculatedItems count="1">
    <calculatedItem>
      <pivotArea cacheIndex="1" outline="0" fieldPosition="0">
        <references count="1">
          <reference field="5" count="1">
            <x v="9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ltiFrenos de la Sabana" refreshedDate="44866.581329745371" createdVersion="7" refreshedVersion="7" minRefreshableVersion="3" recordCount="264" xr:uid="{EF1BD174-CD26-4113-AA2A-132601A4C7DF}">
  <cacheSource type="worksheet">
    <worksheetSource name="Tabla245678"/>
  </cacheSource>
  <cacheFields count="20">
    <cacheField name="FECHA" numFmtId="0">
      <sharedItems containsNonDate="0" containsDate="1" containsString="0" containsBlank="1" minDate="2022-07-30T00:00:00" maxDate="2022-10-01T00:00:00" count="56">
        <d v="2022-07-30T00:00:00"/>
        <d v="2022-08-01T00:00:00"/>
        <d v="2022-08-02T00:00:00"/>
        <d v="2022-08-03T00:00:00"/>
        <d v="2022-08-04T00:00:00"/>
        <d v="2022-08-05T00:00:00"/>
        <d v="2022-08-06T00:00:00"/>
        <d v="2022-08-08T00:00:00"/>
        <d v="2022-08-09T00:00:00"/>
        <d v="2022-08-10T00:00:00"/>
        <d v="2022-08-11T00:00:00"/>
        <d v="2022-08-19T00:00:00"/>
        <d v="2022-08-12T00:00:00"/>
        <d v="2022-08-13T00:00:00"/>
        <d v="2022-08-15T00:00:00"/>
        <d v="2022-08-16T00:00:00"/>
        <d v="2022-08-17T00:00:00"/>
        <d v="2022-08-18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9T00:00:00"/>
        <d v="2022-08-30T00:00:00"/>
        <m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2T00:00:00"/>
        <d v="2022-09-13T00:00:00"/>
        <d v="2022-09-14T00:00:00"/>
        <d v="2022-09-15T00:00:00"/>
        <d v="2022-09-16T00:00:00"/>
        <d v="2022-09-17T00:00:00"/>
        <d v="2022-09-19T00:00:00"/>
        <d v="2022-09-20T00:00:00"/>
        <d v="2022-09-21T00:00:00"/>
        <d v="2022-09-23T00:00:00"/>
        <d v="2022-09-24T00:00:00"/>
        <d v="2022-09-26T00:00:00"/>
        <d v="2022-09-27T00:00:00"/>
        <d v="2022-09-28T00:00:00"/>
        <d v="2022-09-29T00:00:00"/>
        <d v="2022-09-30T00:00:00"/>
        <d v="2022-09-18T00:00:00" u="1"/>
      </sharedItems>
    </cacheField>
    <cacheField name="NUMERO DE FACTURA" numFmtId="0">
      <sharedItems containsBlank="1"/>
    </cacheField>
    <cacheField name="CLIENTE" numFmtId="0">
      <sharedItems containsBlank="1"/>
    </cacheField>
    <cacheField name="PLACA" numFmtId="0">
      <sharedItems containsBlank="1"/>
    </cacheField>
    <cacheField name="MODELO" numFmtId="0">
      <sharedItems containsBlank="1" count="127">
        <s v="CHEVROLET "/>
        <s v="MAZDA 3"/>
        <s v="SPARK"/>
        <s v="VOLKSWAGEN"/>
        <s v="DAITHASU"/>
        <s v="NQR"/>
        <s v="DFSK"/>
        <s v="LOGAN"/>
        <s v="VOLQUETA"/>
        <s v="VOLSWAGEN"/>
        <s v="AVEO"/>
        <s v="CH-SONIC"/>
        <s v="CHEVY"/>
        <s v="MITSUBISHI"/>
        <m/>
        <s v="MAZDA5"/>
        <s v="FOTON"/>
        <s v="RENAULT KWIO"/>
        <s v="JAC"/>
        <s v="BANZ"/>
        <s v="DXD-905"/>
        <s v="RCR-206"/>
        <s v="CXK-558"/>
        <s v="XGD-673"/>
        <s v="MAZDA 2"/>
        <s v="MAZDA 5"/>
        <s v="HILUX"/>
        <s v="NHR"/>
        <s v="NDQ-997"/>
        <s v="MPQ-345"/>
        <s v="TGK-439"/>
        <s v="BLU-451"/>
        <s v="BEU-479"/>
        <s v="FJW-543"/>
        <s v="TSM-325"/>
        <s v="TLO-471"/>
        <s v="DBT-851"/>
        <s v="DBI-490"/>
        <s v="NPR"/>
        <s v="SZP-145"/>
        <s v="MAO-470"/>
        <s v="MAZDA2"/>
        <s v="BUSETA"/>
        <s v="HINO"/>
        <s v="CHEVROLET TRAVERSE"/>
        <s v="SAIL"/>
        <s v="MAZDA"/>
        <s v="HIUNDAY"/>
        <s v="CHEVROLET"/>
        <s v="LUV"/>
        <s v="NISSAN"/>
        <s v="RENAULT 12"/>
        <s v="NISSAN "/>
        <s v="FORD 150"/>
        <s v="JEEP"/>
        <s v="HYUNDAI TUCSON"/>
        <s v="INTER"/>
        <s v="RENAULT SCENIC"/>
        <s v="TWINGO"/>
        <s v="FORD -350"/>
        <s v="SUBARU"/>
        <s v="NNR"/>
        <s v="HUMMER"/>
        <s v="DODGE"/>
        <s v="SPRINT"/>
        <s v="CHEVROLET ALTO"/>
        <s v="CORSA"/>
        <s v="FIAT UNO"/>
        <s v="RENAULT ALASKA"/>
        <s v="LAND CRUISER"/>
        <s v="INTER 470"/>
        <s v="NISSAN TIDA"/>
        <s v="OPTRA"/>
        <s v="CHEVROLET N300"/>
        <s v="LAND CROUSER"/>
        <s v="NISSAN SENTRA"/>
        <s v="MEGAN"/>
        <s v=" SANDERO"/>
        <s v="NISSAN FRONTIER"/>
        <s v="FORD LASSER"/>
        <s v="MAZDA323"/>
        <s v="SKOFA FELICIA"/>
        <s v="JETTA"/>
        <s v="NISAN URBAN"/>
        <s v="FORD"/>
        <s v="HIUNDAY ACCENT"/>
        <s v="INTERNATIONAL"/>
        <s v="F-815"/>
        <s v="MB"/>
        <s v="HYUNDAI"/>
        <s v="CHV OPTRA"/>
        <s v="MAZDA ALEGRO"/>
        <s v="JEEP 93"/>
        <s v="SANDERO"/>
        <s v="SILVERADO"/>
        <s v="TIGUAN"/>
        <s v="VITARA"/>
        <s v="GRUA"/>
        <s v="FORD ECOSPORT"/>
        <s v="PEGEOUT"/>
        <s v="CITROEN"/>
        <s v="WNM-202"/>
        <s v="NISSAN PATROL"/>
        <s v="FORD-150"/>
        <s v="DODGE RAM"/>
        <s v="F-CARGO 815"/>
        <s v="JEEP "/>
        <s v="DUSTER"/>
        <s v="CAPTIVA"/>
        <s v="MEGANE I"/>
        <s v="CLIO"/>
        <s v="TOYOTA PRADO"/>
        <s v="LAND ROVER"/>
        <s v="TRUPPER"/>
        <s v="KENWORTH"/>
        <s v="SYMBOL"/>
        <s v="RENAULT 9"/>
        <s v="TOYOTA"/>
        <s v="ESCODA"/>
        <s v="LOGAN DYNAMIC"/>
        <s v="RENAULT TRAFIC"/>
        <s v="CHEVROLET RODEO"/>
        <s v="HIUNDAY TUCSON"/>
        <s v="KIA"/>
        <s v="GRAN VITARA"/>
        <s v="RENAULT" u="1"/>
        <s v="SKI-838" u="1"/>
      </sharedItems>
    </cacheField>
    <cacheField name="AREA" numFmtId="0">
      <sharedItems containsBlank="1" count="12">
        <s v="LUIS BRITO / SAID VASQUEZ"/>
        <s v="SAMIR VASQUEZ"/>
        <s v="ANGHELO CUICAS"/>
        <s v="ANGHELO CUICAS/JAVIER BRIÑE"/>
        <s v="SAID VASQUEZ"/>
        <s v="LUIS BRITO"/>
        <s v="ALEJANDRO DIAZ"/>
        <s v="TFP-394"/>
        <s v="ELECTRICIDAD"/>
        <s v="JAVIER BRIÑE"/>
        <m/>
        <s v="ANGHELO" u="1"/>
      </sharedItems>
    </cacheField>
    <cacheField name="DETALLES" numFmtId="0">
      <sharedItems/>
    </cacheField>
    <cacheField name="TOTAL FACTURA" numFmtId="164">
      <sharedItems containsBlank="1" containsMixedTypes="1" containsNumber="1" containsInteger="1" minValue="5000" maxValue="1000000"/>
    </cacheField>
    <cacheField name="PORCENTAJE A CANCELAR" numFmtId="164">
      <sharedItems containsString="0" containsBlank="1" containsNumber="1" minValue="0" maxValue="700000"/>
    </cacheField>
    <cacheField name="GANANCIA POR SERVICIOS" numFmtId="0">
      <sharedItems containsBlank="1" containsMixedTypes="1" containsNumber="1" minValue="-200000" maxValue="300000"/>
    </cacheField>
    <cacheField name="REPUESTOS USADOS" numFmtId="0">
      <sharedItems containsBlank="1"/>
    </cacheField>
    <cacheField name="MONTO DE COMPRA" numFmtId="0">
      <sharedItems containsString="0" containsBlank="1" containsNumber="1" minValue="500" maxValue="2175000"/>
    </cacheField>
    <cacheField name="Columna1" numFmtId="0">
      <sharedItems containsString="0" containsBlank="1" containsNumber="1" minValue="0" maxValue="1415966.3865546219"/>
    </cacheField>
    <cacheField name="IV COMPRA" numFmtId="0">
      <sharedItems containsString="0" containsBlank="1" containsNumber="1" minValue="0" maxValue="269033.61344537814"/>
    </cacheField>
    <cacheField name="VENTA " numFmtId="0">
      <sharedItems containsString="0" containsBlank="1" containsNumber="1" containsInteger="1" minValue="1000" maxValue="3255900"/>
    </cacheField>
    <cacheField name="Columna2" numFmtId="0">
      <sharedItems containsString="0" containsBlank="1" containsNumber="1" minValue="0" maxValue="2736050.4201680673"/>
    </cacheField>
    <cacheField name="IVA VENTA " numFmtId="0">
      <sharedItems containsString="0" containsBlank="1" containsNumber="1" minValue="0" maxValue="519849.57983193279"/>
    </cacheField>
    <cacheField name="DIFERENCIA IVA " numFmtId="0">
      <sharedItems containsString="0" containsBlank="1" containsNumber="1" minValue="-15168.067226890758" maxValue="519849.57983193279"/>
    </cacheField>
    <cacheField name="GANACIA  REPUESTOS" numFmtId="0">
      <sharedItems containsString="0" containsBlank="1" containsNumber="1" minValue="-79831.932773109234" maxValue="725411.76470588241"/>
    </cacheField>
    <cacheField name="E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ltiFrenos de la Sabana" refreshedDate="44866.581331018519" createdVersion="7" refreshedVersion="7" minRefreshableVersion="3" recordCount="300" xr:uid="{B052AE2F-1134-4CE3-95D7-7E248E0A85CC}">
  <cacheSource type="worksheet">
    <worksheetSource name="Tabla2456"/>
  </cacheSource>
  <cacheFields count="15">
    <cacheField name="FECHA" numFmtId="0">
      <sharedItems containsNonDate="0" containsDate="1" containsString="0" containsBlank="1" minDate="2022-04-30T00:00:00" maxDate="2022-07-09T00:00:00" count="60">
        <d v="2022-04-30T00:00:00"/>
        <d v="2022-05-02T00:00:00"/>
        <d v="2022-05-03T00:00:00"/>
        <d v="2022-05-04T00:00:00"/>
        <d v="2022-05-05T00:00:00"/>
        <d v="2022-05-06T00:00:00"/>
        <d v="2022-05-09T00:00:00"/>
        <d v="2022-05-10T00:00:00"/>
        <d v="2022-05-11T00:00:00"/>
        <d v="2022-05-12T00:00:00"/>
        <d v="2022-05-13T00:00:00"/>
        <d v="2022-05-14T00:00:00"/>
        <d v="2022-05-16T00:00:00"/>
        <d v="2022-05-17T00:00:00"/>
        <d v="2022-05-15T00:00:00"/>
        <d v="2022-05-18T00:00:00"/>
        <d v="2022-05-19T00:00:00"/>
        <d v="2022-05-21T00:00:00"/>
        <d v="2022-05-23T00:00:00"/>
        <d v="2022-05-24T00:00:00"/>
        <d v="2022-05-25T00:00:00"/>
        <d v="2022-05-26T00:00:00"/>
        <d v="2022-05-27T00:00:00"/>
        <d v="2022-05-28T00:00:00"/>
        <d v="2022-05-31T00:00:00"/>
        <d v="2022-06-01T00:00:00"/>
        <d v="2022-06-02T00:00:00"/>
        <d v="2022-06-03T00:00:00"/>
        <d v="2022-06-04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m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7T00:00:00"/>
        <d v="2022-06-28T00:00:00"/>
        <d v="2022-06-29T00:00:00"/>
        <d v="2022-06-30T00:00:00"/>
        <d v="2022-07-01T00:00:00"/>
        <d v="2022-07-02T00:00:00"/>
        <d v="2022-07-05T00:00:00"/>
        <d v="2022-07-06T00:00:00"/>
        <d v="2022-07-07T00:00:00"/>
        <d v="2022-07-08T00:00:00"/>
      </sharedItems>
    </cacheField>
    <cacheField name="NUMERO DE FACTURA" numFmtId="0">
      <sharedItems containsBlank="1" containsMixedTypes="1" containsNumber="1" containsInteger="1" minValue="320" maxValue="324"/>
    </cacheField>
    <cacheField name="CLIENTE" numFmtId="0">
      <sharedItems containsBlank="1"/>
    </cacheField>
    <cacheField name="MODELO" numFmtId="0">
      <sharedItems containsBlank="1"/>
    </cacheField>
    <cacheField name="PLACA" numFmtId="0">
      <sharedItems containsBlank="1"/>
    </cacheField>
    <cacheField name="AREA" numFmtId="0">
      <sharedItems containsBlank="1" count="10">
        <s v="SAMIR VASQUEZ"/>
        <s v="LUIS BRITO"/>
        <s v="JAVIER BRIÑE"/>
        <s v="SAID VASQUEZ"/>
        <s v="DIEGO TORRES"/>
        <s v="ALEJANDRO DIAZ"/>
        <s v="LATONERIA Y PINTURA"/>
        <s v="ARMANDO ELECTRICISTA"/>
        <s v="ELECTRICISTA"/>
        <m/>
      </sharedItems>
    </cacheField>
    <cacheField name="DETALLES" numFmtId="0">
      <sharedItems containsBlank="1" count="253">
        <s v="REVISION "/>
        <s v="REVISION FRENO DE AIRE"/>
        <s v="REVISION DE FRENOS"/>
        <s v="CAMBIO DE HOJA  BUJES DE MUELLE"/>
        <s v="GARDUACION DE FRENOS Y CAMBIO DE BUJES"/>
        <s v="ADAPTACION FRENO DE AHOGO"/>
        <s v="CAMBIO DE DIAFRAGMAS TIPO 20"/>
        <s v="CAMBIO DE ARRANQUE"/>
        <s v="CAMBIO DE RADIADOR"/>
        <s v="CAMBIO DE BALI BOMBA"/>
        <s v="BAJAR TYRASERAS IZQ/ CAMBIO DE RODAMIENTO INTERNO"/>
        <s v="REVISION DE RUEDA DELANTERA"/>
        <s v="CAMBIO DE PASTILLAS DE FRENOS TARSERAS Y CAMBIO DE LIQUIDO"/>
        <s v="GRADUAR FRENOS"/>
        <s v="CAMBIO DE AMORTIGUADORES"/>
        <s v="CAMBIO DE PASTILLAS DEL CORREGIR FUGA DE LIQUIDO"/>
        <s v="CAMBIO DE PASTILLAS DELANTERAS"/>
        <s v="ADPATACION DE BOOTER"/>
        <s v="CAMBIO DE CILINDRO TRASEROS"/>
        <s v="REVISAR SOPORTE DE CAJA"/>
        <s v="CAMBIO DE ROTULAS"/>
        <s v="CAMBIO DE TIJERAS DELANTERAS"/>
        <s v="AJUSTE DE MANGUERA"/>
        <s v="BAJAR VILLARET"/>
        <s v="CAMBIAR CUERPO DE ACELERACION "/>
        <s v="CAMBIO ENVASE DE REFRIGERANTE Y MANGUERA SUPERIOR RADIADOR (GARANTIA)"/>
        <s v="CAMBIO DE ACOPLE"/>
        <s v="CAMBIO DE VALVULA IAC"/>
        <s v="CAMBIO DE MUELLES TRASEROS Y DELANTEROS Y BUJES"/>
        <s v="CAMBIO EMPAQUETADURA AUXILAR"/>
        <s v="CAMBIO DE BUJES, Y BANDAS"/>
        <s v="CAMBIO DE CRUCETA"/>
        <s v="BAJAR TANQUE DE COMBUSTIBLE"/>
        <s v="CAMBIO DE COPA CAJA"/>
        <s v="CAMBIO DE LIQUIDO"/>
        <s v="ESCANER"/>
        <s v="CAMBIO DE PUNTA DE LA CAJA "/>
        <s v="CAMBIO DE ESPARRAGOS"/>
        <s v="MANTENIMIENTO RUEDAS DELANTERAS CAMBIAR ROTULAS SUPERIOR, BUJES DE TIJERAS TRASERAS"/>
        <s v="SOLDADURA DE TIJERAS"/>
        <s v="CAMBIO DE DISCO, PRENSA Y BALINERA"/>
        <s v="CAMBIO DE RODAMIENTO TRASEROS"/>
        <s v="CAMBIO DE BANDAS, CAMBIO DE RODAMIENTOS"/>
        <s v="REMACHE DE CAVA "/>
        <s v="CAMBIAR EMPAQUE DE CARTER"/>
        <s v="CAMBIO EMPAQUE DE CULATA, CAMBIO CORREA DE REPARTICION, RETENEDORES DE MOTOR, PUNTA DE EJE, CAMBIA EMPAQUE TAPA VALVULA"/>
        <s v="CAMBIO DE PASTILLAS DE FRENOS"/>
        <s v="CAMBIO DE SOPORTE DE MOTOR"/>
        <s v="LAVADO DE INYECTORES"/>
        <s v="MONTAR BOMBA"/>
        <s v="CAMBIAR EMPAQUE DE TAPA VCALVULA"/>
        <s v="CAMBIO DE PASTILLAS"/>
        <s v="SOLDADURA SOPORTE TUBO ESCAPE"/>
        <s v="BAJAR FRENO DE AHOGO, EMBUJAR"/>
        <s v="CAMBIO DE BRAZO AXIALES"/>
        <s v="CAMBIAR BOMBA PRINCIPAL DE CLOSH"/>
        <s v="SUBIR SUSPENSION"/>
        <s v="BAJAR RUEDA"/>
        <s v="CAMBIO DE KIT DE CLOSH, SENSOR CKP, ROTULAS Y AMORTIGUADORES"/>
        <s v="CAMBIO DE ORQUILLA"/>
        <s v="MANTENIMIENTO DE FRENOS"/>
        <s v="CAMBIO DE BANDAS TRASERAS, CHUPAS "/>
        <s v="SOLDADURA"/>
        <s v="CAMBIO DE PASTILLAS DEL Y TRASERAS"/>
        <s v="CAMBIO DE GUAYA DE CAMBIOS"/>
        <s v="CAMBIO DE LIQUIDO / MATTO DE FRENOS"/>
        <s v="REPARACION BARRA ESTABILIZADORA"/>
        <s v="CAMBIO Y SOLDADURA DE HOJA DE BALLESTA"/>
        <s v="CAMBIO DE ESPLINDER"/>
        <s v="REVISION DE RUDAS"/>
        <s v="CAMBIO DE MANGUERA DE FRENOS Y EMPAQUETADURA AUXILIAR"/>
        <s v="CAMBIO DE GUARDAPOLVO EJE"/>
        <s v="CAMBIO DE LIQUIDO, CAMBIO DE BUJES DE TIJERAS Y PASTILLAS DELANTERAS"/>
        <s v="GRADUACION DE FRENOS"/>
        <s v="CAMBIO DE MUÑECOS"/>
        <s v="CAMBIO DE TERMINALES "/>
        <s v="CAMBIO DE TERMINAL DEL IZQ"/>
        <s v="CAMBIO DE AMORTIGUADORES-BUJES DE TJERAS-MUÑECOS-CAMBIO DE SOPORTE DE MOTOR-GUARDAPOLVO Y EMPAQUE TAPA VALVULA "/>
        <s v="CAMBIO DE AMORTIGUADORES DEL, MUÑECOS, TERMINALES, CAUCHOS LADO RUEDA, BUJES BARRA ESTAB, TIJERAS DELAN, SOPORTE AMORTIG"/>
        <s v="CAMBIO DE VALVULA RELAY"/>
        <s v="CAMBIO DE DISCOS Y CAMBIO DE LIQUIDO"/>
        <s v="CAMBIO DE KIT DE CLOSH"/>
        <s v="CAMBIO DE PASTILLAS  DEL."/>
        <s v="CAMBIO DE RETENEDOR DE DAMPER"/>
        <s v="CAMBIO DE RETENEDORES TRASEROS"/>
        <s v="CAMBIO DE VALVULA SECADORA"/>
        <s v="CAMBIO DE EMPAQUE DE CULATA / CORREA DE REPARTICION Y BOMBA DE AGUA "/>
        <s v="REVISION DE FRENOS /SUAVIZAR MORDAZAS Y CAMBIO DE GUAYA DE FRENO DE MANO"/>
        <s v="SOLDADURA DE PEDAL"/>
        <s v="ARREGLO MEUELLES/ ARREGLO SOPORTE DE CAJA"/>
        <s v="ADAPTACION DE CORNETA "/>
        <s v="CAMBIO DE DISCOS DELANTEROS"/>
        <s v="CAMBIO DE LIQUIDO/ MTTO DE FRENOS"/>
        <s v="CAMBIO VALVULA SECADORA"/>
        <s v="CAMBIO DE RODAMIENTO DELANTEROS IZQ. TERMINALES BUJES"/>
        <s v="ARREGLO SOPORTE CABINA"/>
        <s v="SOLDADURA SOPORTE CABINA"/>
        <s v="CAMBIO DE EMPAQUE DE CULATA, TERMOSTATO, RETENEDOIR DE LEVA, BUJIAS, CABLES DE ALTA"/>
        <s v="REVISION DE RODAMIENTOS"/>
        <s v="SINCRONIZADA/ CAMBIO DE RADIADOR / ESCANEADA"/>
        <s v="REMACHAR BANDAS"/>
        <s v="CAMBIO DE PASTILLAS DELANTERAS, RETENEDOR."/>
        <s v="CAMBIO ENVASE DE AGUA, FLOTADOR, PERA DE FRENO DE AHOGO"/>
        <s v="DESVARE"/>
        <s v="LAVADO DE INYECTORES/ SINCRONIZADA"/>
        <s v="BAJAR RUEDAS TRASERAS"/>
        <s v="CAMBIAR BOMBA Y GRADUACION"/>
        <s v="CAMBIO DE TUBO DE RENO DEL, DERECHO "/>
        <s v="CAMBIO DE DIAFRAGMA FRENO DE AHOGO/ GRADUAR FRENOS Y TENSAR CORREAS"/>
        <s v="MANTENIMIENTO DE FRENOS (GARANTIA)"/>
        <s v="CAMBIO DE TOPES DE AMORTIGUADORES/ BRAZOS AXIALES Y MUÑECOS"/>
        <s v="SERVICIO DE ESCANER"/>
        <s v="CAMBIO DE RETENEDOR RUEDA TRASERA IZQ"/>
        <s v="CAMBIO DE CARTER"/>
        <s v="MAYO"/>
        <s v="CAMBIO DE BRAZO AXIAL, SINCRONIZAR"/>
        <s v="GRADUAR FRENO Y FRENO DE MANO"/>
        <s v="REPARACION DE MOTOR"/>
        <s v="REVISION DE FRENO COMPLETO, REVISION DE MUELLES Y BUJES"/>
        <s v="MECANICA"/>
        <s v="CAMBIO DE GUARDAPOLVO LADO CAJA"/>
        <s v="CAMBIO DE BUJES DE TIJERAS"/>
        <s v="CAMBIO DE CILINDRO DE FRENOS TRASEROS / REVISION DE TRASERAS"/>
        <s v="SOLDAR TAPA BATERIA Y COLOCAR PLACAS "/>
        <s v="CAMBIO DE CHUPAS Y REVISION DE TRASERAS"/>
        <s v="CAMBIO DE BUJIAS INSTALACION DE ALTA"/>
        <s v="MANTENIMIENTO DE FRENOS COMPLETO/ CAMBIO DE LIQUIDO"/>
        <s v="BAJAR CULATA-CAMBIO EMPAQUE DE CULATA-TUBERIA DE AGUA Y CORREA DE REPARTICION "/>
        <s v="SERVICIO DE ESCANER Y CHEQUEO ELECTRICO"/>
        <s v="CAMBIO E CHUPAS, GP"/>
        <s v="MANTENIMIENTO DE LAS MORDAZAS DELANTERAS"/>
        <s v="CAMBIO DE RODAMIENTO DELANTERO DER"/>
        <s v="REVISION DE AMORT/BAJAR AMORTIGUADOR"/>
        <s v="CAMBIO DE MUÑECOS Y SOPORTE"/>
        <s v="CAMBIO DE MUÑECOS-BUJES BARRA ESTA/ BUJES DE TIJERA-BUJES DE MUELLE/ BUJES DE CABINA"/>
        <s v="CAMBIO DE GP / PUNTA DE EJE LADO RUEDA LADO CAJA / BAJAR TIJERAS/ CAMBIO DE ROTULAS/ REVISION DE FRENOS"/>
        <s v="CAMBIO DE BUJES DE TIJERA CAMBIO KIT DE INYECTOR"/>
        <s v="CAMBIO DE MANGUERAS-CALIPER-MEÑECOS-CAMBIO DE BUJES DE TIJERA-BUJES BARRA ESTA"/>
        <s v="REVISION/ CAMBIO DE TRICETAS"/>
        <s v="CAMBIO DE CORREA DE ACCESORIO"/>
        <s v="CAMBIO DE BENDIX"/>
        <s v="REVISION ELECTRICA"/>
        <s v="ARREGLO PUERTA"/>
        <s v="ARREGLO TUBIO"/>
        <s v="CAMBIO DE BOMBA DE FRENOS"/>
        <s v="MANTENIMEINTO DE FRENOS TRASEROS"/>
        <s v="CAMBIO DE FUSIBLES, CAMBIO DE BOMBILLOS DELANTEROS"/>
        <s v="CAMBIO DE BASE TERMOSTATO"/>
        <s v="CAMBIO EMP. DEL BOOTER"/>
        <s v="REVISION DE FRENOS COMPLETO-CAMBIO DE LIQUIDO-CAMBIO DE BRAZO AXIAL"/>
        <s v="SINCRONIZADA"/>
        <s v="REPARACION DE GOTERA"/>
        <s v="REVISION DE FRENOS, CAMBIO DE PASTILLAS Y DISCOS"/>
        <s v="CAMBIO DE BUJIAS, BOBINA E INYECTORES"/>
        <s v="CAMBIO DE PUNTA DE EJE "/>
        <s v="BAJAR CAJA -REPARACION CAJA"/>
        <s v="CAMBIO DE BOMBILLOS Y PACHAS"/>
        <s v="CAMBIO DE DISCO DE CLOSH"/>
        <s v="DOMICILIO DESVARE"/>
        <s v="CAMBIO DE GUAYA DE CLOSH"/>
        <s v="CAMBIO DE DISCOS -PUNTAS-RODAMIENTOS"/>
        <s v="CAMBIO DE PASTILLAS DELANTERAS, REVISAR TRASERAS, CAMBIO DE MANGUERA DELANTERA DERECHA"/>
        <s v="CAMBIO DE RETENEDOR EXTERNO"/>
        <s v="CORREGIR FUGA DE AIRE"/>
        <s v="ARREGLO MARCO DE PUERTA"/>
        <s v="MANTENIMIENTO RACHE DE FRENOS"/>
        <s v="CAMBIO DE CHUPAS"/>
        <s v="GRADUAR FRENOS "/>
        <s v="CAMBIO DE DIAFRAGMA DE FRENOS"/>
        <s v="REVISION RUEDA DEL. DERECHA"/>
        <s v="REVISION"/>
        <s v="MEDIR COMPRESION"/>
        <s v="MATTO CAMARA COMPRESOR"/>
        <s v="GRADUAR FRENOS, CAMBIO RACHE"/>
        <s v="BAJAR FRENO DE AHOGO"/>
        <s v="CALIBRAR VALVULAS / BAJAR INYECTORES"/>
        <s v="DOMICILIO, SERVICIO DE ESCANER"/>
        <s v="CAMBIO DE PASTILLAS DELANTERAS Y TRASERAS/KIT DE LIGAS/RETENEDORES/LIQUIDO/EMPAQUETADURA SUAVIZADOR"/>
        <s v="CAMBIO DE KIT DE RESPARTICION Y CORREA DE ACCESORIO"/>
        <s v="REVISION COMPLETA DE FRENOS. SUAVIZAR MORDAZAS-CAMBIO DE LIQUIDO"/>
        <s v="REPARACION MOTOR"/>
        <s v="BAJAR TIJERAS Y AXIAL"/>
        <s v="LATONERIA Y PINTURA"/>
        <s v="SINCRONIZACION"/>
        <s v="SINCRONIZADA, CAMBIO DE PATIN, BUJIAS, CORREA Y TAPON MOTOR"/>
        <s v="CAMBIO DE BRAZOS AXIALES"/>
        <s v="CAMBIO DE BOMBA DE AGUA, CAMBIO DE CORREA DE REP"/>
        <s v="CAMBIO KIT DE EMBRAGUE"/>
        <s v="CAMBIO DE RODAMIENTOS"/>
        <s v="REVISION DE FRENOS "/>
        <s v="CAMBIO DEPASTILLAS DE FRENOS"/>
        <s v="CAMBIO DE CORREA"/>
        <s v="REVISION DE FRENOS COMPLETO, CAMBIO DE LIQUIDO, CAMBIO DE BOMBILLO"/>
        <s v="CAMBIO DE CAUCHO -BARILLA ESTABILIZADORA/ AJUSTE DE TIJERAS"/>
        <s v="CAMBIO DE RODAMIENTOS DELANTERO IZQ"/>
        <s v="CAMBIO DE LIQUIDO, REVISION COMPLETO, CAMBIO DE PASTILALS DELANTERAS Y TRASERAS"/>
        <s v="PULGAR"/>
        <s v="REVISION DE TRASERAS Y CAMBIO DE GRADUACION DE FRENOS"/>
        <s v="REPARACION PARCIAL DE MOTOR"/>
        <s v="SINCRONIZADA "/>
        <s v="INSTALACION DE PITOS"/>
        <s v="CAMBIO DE SUAVIZADOR"/>
        <s v="MATTO GENERAL DE FRENOS "/>
        <s v="CAMBIO DE PASTILLAS DELANTERAS Y GRADUACION "/>
        <s v="SUSPENSION DEL Y TRASERA"/>
        <s v="MONTAR CAJA DE DIRECCION"/>
        <s v="CAMBIO DE PASTILLAS DELANTERAS Y TRASERAS / CAMBIO DE DISCOS TRASEROS-CAMBIO DE LIQUIDO"/>
        <s v="BAJAR RUEDA TRASERA-CAMBIO DE ESPARRAGO"/>
        <s v="REVISION DE FRENOS, CAMBIO DE LIQUIDO"/>
        <s v="CAMBIO DE RETENEDOR COPA CAJA"/>
        <s v="CAMBIO DE PASTILLAS Y CHUPAS"/>
        <s v="AJUSTE DE SUSPENSION"/>
        <s v="SERVICIO DE MONTALLANTA"/>
        <s v="GRADUAR FRENOS1"/>
        <s v="BAJAR RUEDA, GRADUAR FRENOS, CAMBIO DE BANDAS"/>
        <s v="GRADUAR TRASERAS"/>
        <s v="CHEQUEO"/>
        <s v="BAJAR CAJA"/>
        <s v="CAMBIO DE DIAFRAGMA /GRADUAR FRENOS"/>
        <s v="CAMBIO DE TOPES DE AMORTIGUADOR CON RODAMIENTOS"/>
        <s v="CAMBIO DE BANDAS TRASERAS"/>
        <s v="BAJAR TANQUE DE COMBUSTIBLE "/>
        <s v="CAMBIO DE CAUCHO BARRA ESTABILIZADORA"/>
        <s v="CAMBIO DE AMORTIGUADORES DELANTEROS  Y SOPORTES CON ROD."/>
        <s v="REPARAR CAJA"/>
        <s v="REPARAR CAJA Y CAMBIO DE GUAYA SELECRTORA"/>
        <s v="REVISAR REPARTICION/ AJUSTE DE VALVULAS/BAJAR CARTER"/>
        <s v="CAMBIO DE CAMARA TRASERA"/>
        <s v="/ AJUSTE SOPORTE DE MOTOR"/>
        <s v="CAMBIO DE AMORTIGUADOR Y GUARDAPOLVO  Y CAMBIO DE PERA"/>
        <s v="ARREGLO DE FRENO DE AHOGO Y RETENEDOR DE CUPLIN"/>
        <s v="BAJAR CULATA"/>
        <s v="REPARAR MOTOR"/>
        <s v="CAMBIO DE BUJIAS"/>
        <s v="CAMBIO DE KIT DE EMBRAGUE Y PUNTA DE JE "/>
        <s v="CAMBIO DE ESPARRAGOS TRASERO DER."/>
        <s v="MANTENIMIENTO DE RUEDAS TRASERAS"/>
        <s v="CAMBIO DE BUJES DE TIJERA, ROTULAS Y CALIPER"/>
        <s v="MANTENIMIENTO DE FRENOS COMPLETO"/>
        <s v="BAJAR DELANTERAS, GRADUAR FRENOS"/>
        <s v="MANTENIMIENTO DE FRENOS, CAMBIO DE LIQUIDO"/>
        <s v="BAJAR CAJA -REPARACION CAJA- CAMBIO DE KIT DE EMBRAGUE"/>
        <s v="CAMBIO DE KIT DE CLOSH, BASE SOPORTE MOTOR Y CAJA/ BRAZOS AXIALES"/>
        <s v="REVISION DE RUEDAS TRASERAS"/>
        <s v="CAMBIO DE BUJES DE AMORTIGUADORES Y PASADORES DE MORDAZA"/>
        <s v="CORREGIR FUGA DE LIQUIDO"/>
        <s v="RECALZAR BANDAS"/>
        <s v="CAMBIO DE BUJES DE MUÑECO"/>
        <s v="REVISION DE RUEDAS TRASERAS Y CAMBIO DE BANDAS FRENO DE MANO"/>
        <s v="ROTACION D RUEDA"/>
        <s v="CAMBIO DE MANGUERA"/>
        <s v="REVISAR TRASERAS"/>
        <m u="1"/>
      </sharedItems>
    </cacheField>
    <cacheField name="TOTAL FACTURA" numFmtId="164">
      <sharedItems containsString="0" containsBlank="1" containsNumber="1" containsInteger="1" minValue="5000" maxValue="1400000"/>
    </cacheField>
    <cacheField name="PORCENTAJE A CANCELAR" numFmtId="164">
      <sharedItems containsString="0" containsBlank="1" containsNumber="1" minValue="0" maxValue="840000"/>
    </cacheField>
    <cacheField name="GANANCIA POR SERVICIOS" numFmtId="164">
      <sharedItems containsBlank="1" containsMixedTypes="1" containsNumber="1" containsInteger="1" minValue="0" maxValue="560000"/>
    </cacheField>
    <cacheField name="REPUESTOS USADOS" numFmtId="0">
      <sharedItems containsBlank="1"/>
    </cacheField>
    <cacheField name="MONTO DE COMPRA" numFmtId="164">
      <sharedItems containsString="0" containsBlank="1" containsNumber="1" containsInteger="1" minValue="5000" maxValue="940000"/>
    </cacheField>
    <cacheField name="Columna1" numFmtId="164">
      <sharedItems containsString="0" containsBlank="1" containsNumber="1" containsInteger="1" minValue="12000" maxValue="1180000"/>
    </cacheField>
    <cacheField name="ESTATUS" numFmtId="164">
      <sharedItems containsBlank="1"/>
    </cacheField>
    <cacheField name="GANANCIA POR REPUESTOS" numFmtId="164">
      <sharedItems containsString="0" containsBlank="1" containsNumber="1" containsInteger="1" minValue="-264000" maxValue="386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ltiFrenos de la Sabana" refreshedDate="44866.581331597219" createdVersion="6" refreshedVersion="7" minRefreshableVersion="3" recordCount="229" xr:uid="{00000000-000A-0000-FFFF-FFFF00000000}">
  <cacheSource type="worksheet">
    <worksheetSource name="Tabla24"/>
  </cacheSource>
  <cacheFields count="15">
    <cacheField name="FECHA" numFmtId="0">
      <sharedItems containsSemiMixedTypes="0" containsNonDate="0" containsDate="1" containsString="0" minDate="2022-02-01T00:00:00" maxDate="2022-12-18T00:00:00" count="51">
        <d v="2022-02-01T00:00:00"/>
        <d v="2022-02-02T00:00:00"/>
        <d v="2022-02-03T00:00:00"/>
        <d v="2022-02-04T00:00:00"/>
        <d v="2022-02-05T00:00:00"/>
        <d v="2022-02-07T00:00:00"/>
        <d v="2022-02-08T00:00:00"/>
        <d v="2022-02-09T00:00:00"/>
        <d v="2022-02-10T00:00:00"/>
        <d v="2022-02-11T00:00:00"/>
        <d v="2022-02-12T00:00:00"/>
        <d v="2022-02-14T00:00:00"/>
        <d v="2022-02-15T00:00:00"/>
        <d v="2022-02-16T00:00:00"/>
        <d v="2022-02-17T00:00:00"/>
        <d v="2022-02-18T00:00:00"/>
        <d v="2022-02-19T00:00:00"/>
        <d v="2022-02-21T00:00:00"/>
        <d v="2022-02-22T00:00:00"/>
        <d v="2022-02-23T00:00:00"/>
        <d v="2022-02-24T00:00:00"/>
        <d v="2022-02-26T00:00:00"/>
        <d v="2022-02-28T00:00:00"/>
        <d v="2022-03-01T00:00:00"/>
        <d v="2022-03-02T00:00:00"/>
        <d v="2022-03-04T00:00:00"/>
        <d v="2022-03-05T00:00:00"/>
        <d v="2022-03-07T00:00:00"/>
        <d v="2022-03-08T00:00:00"/>
        <d v="2022-03-09T00:00:00"/>
        <d v="2022-03-10T00:00:00"/>
        <d v="2022-03-11T00:00:00"/>
        <d v="2022-03-12T00:00:00"/>
        <d v="2022-03-14T00:00:00"/>
        <d v="2022-03-15T00:00:00"/>
        <d v="2022-03-16T00:00:00"/>
        <d v="2022-03-17T00:00:00"/>
        <d v="2022-03-18T00:00:00"/>
        <d v="2022-03-19T00:00:00"/>
        <d v="2022-03-22T00:00:00"/>
        <d v="2022-03-23T00:00:00"/>
        <d v="2022-03-24T00:00:00"/>
        <d v="2022-03-26T00:00:00"/>
        <d v="2022-03-25T00:00:00"/>
        <d v="2022-03-28T00:00:00"/>
        <d v="2022-03-29T00:00:00"/>
        <d v="2022-03-30T00:00:00"/>
        <d v="2022-03-31T00:00:00"/>
        <d v="2022-12-17T00:00:00" u="1"/>
        <d v="2022-04-01T00:00:00" u="1"/>
        <d v="2022-02-27T00:00:00" u="1"/>
      </sharedItems>
    </cacheField>
    <cacheField name="NUMERO DE FACTURA" numFmtId="0">
      <sharedItems containsBlank="1" containsMixedTypes="1" containsNumber="1" containsInteger="1" minValue="93" maxValue="93"/>
    </cacheField>
    <cacheField name="CLIENTE" numFmtId="0">
      <sharedItems containsBlank="1"/>
    </cacheField>
    <cacheField name="MODELO" numFmtId="0">
      <sharedItems containsBlank="1"/>
    </cacheField>
    <cacheField name="PLACA" numFmtId="0">
      <sharedItems containsBlank="1" containsMixedTypes="1" containsNumber="1" containsInteger="1" minValue="640000" maxValue="640000"/>
    </cacheField>
    <cacheField name="AREA" numFmtId="0">
      <sharedItems containsBlank="1" count="10">
        <s v="SAID VASQUEZ"/>
        <s v="LUIS BRITO"/>
        <s v="LATONERIA Y PINTURA"/>
        <s v="ELECTRICIDAD"/>
        <s v="SAMIR VASQUEZ"/>
        <s v="DIEGO TORRES"/>
        <s v="ALEJANDRO DIAZ"/>
        <s v="ANGHELO CUICAS"/>
        <m/>
        <s v="ALEXANDER AYALA" u="1"/>
      </sharedItems>
    </cacheField>
    <cacheField name="DETALLES" numFmtId="0">
      <sharedItems containsMixedTypes="1" containsNumber="1" containsInteger="1" minValue="0" maxValue="0"/>
    </cacheField>
    <cacheField name="TOTAL FACTURA" numFmtId="164">
      <sharedItems containsString="0" containsBlank="1" containsNumber="1" containsInteger="1" minValue="5000" maxValue="1400000"/>
    </cacheField>
    <cacheField name="PORCENTAJE A CANCELAR" numFmtId="164">
      <sharedItems containsSemiMixedTypes="0" containsString="0" containsNumber="1" containsInteger="1" minValue="0" maxValue="840000"/>
    </cacheField>
    <cacheField name="GANANCIA POR SERVICIOS" numFmtId="164">
      <sharedItems containsBlank="1" containsMixedTypes="1" containsNumber="1" containsInteger="1" minValue="0" maxValue="560000"/>
    </cacheField>
    <cacheField name="REPUESTOS USADOS" numFmtId="0">
      <sharedItems containsBlank="1" count="94">
        <s v="RODAMIENTOS, BOMBILLO"/>
        <s v="CACHO, TUERCA, PIN CACHO"/>
        <s v="GASOLINA, RODAMIENTOS TRASEROS, RETENEDORES, JUEGO DE BANDAS, SILICONA, PIN CACHO, LIQUIDO DOT3, ABRAZADERAS, EMP BOOSTER"/>
        <m/>
        <s v="LIMPIEZA INYECTORES, ABRAZADERAS, BUJIAS"/>
        <s v="JUEGO DE PASADORES, BOMBILLO H4, BOMBILLO 1034"/>
        <s v="GASOLINA, GRASA"/>
        <s v="ARANDELAS"/>
        <s v="GASOLINA, EMP DE CULTA, SILICONA, BUJIAS, CORREA DE ACCESORIO, PINES PLASTICOS, ABRAZADERAS"/>
        <s v="CABLE DE ALTA"/>
        <s v="ANTIRUIDOS"/>
        <s v="PASTILLAS "/>
        <s v="SOPORTE DE MOTOR"/>
        <s v="CAJA DE DIRECCION"/>
        <s v="RODAMIENTOS Y CRUCETAS"/>
        <s v="DISCO DE CORTE"/>
        <s v="CHUPAS, LIQUIDO, TORNILLOS BLAZER, PINTA DE LIQUIDO"/>
        <s v="GASOLINA, CHUPAS"/>
        <s v="FUSIBLE"/>
        <s v="BOCIN, RODAMIENTOS, ESPARRAGOS"/>
        <s v="RETENEDOR EJE DE LEVA, RETENEDOR DE CAJA"/>
        <s v="SERVICIO DE PRENSA"/>
        <s v="PERNOS, BUJES"/>
        <s v="PASTILLAS, LIQUIDO"/>
        <s v="EMPAQUE"/>
        <s v="PASTILLAS DELANTERAS Y TRASERAS"/>
        <s v="TIJERA COMPLETA, TAPA TARRO AGUA"/>
        <s v="PASTILLAS DELANTERAS"/>
        <s v="ESPARRAGOS, CORREA ALTERNADOR"/>
        <s v="PASTILLAS, CHUPAS"/>
        <s v="DIAFRAGMA Y RESORTE"/>
        <s v="CORREA DE ACCESORIO Y MUÑECOS"/>
        <s v="LIQUIDO"/>
        <s v="JUEGO DE BLOQUES, LIQUIDO, GASOLINA"/>
        <s v="TIJERAS DELANTERAS"/>
        <s v="BFLOTADOR BOMBA DE GASOLINA"/>
        <s v="MANGUERA DE CALEFACCION / EMPAQUES"/>
        <s v="CABLE ROJO"/>
        <s v="TERMINAL DE ENCHUFE, TERMINAL DE OJO, FUSIBLE 15AMP"/>
        <s v="AMORTIGUADORES TRASEROS"/>
        <s v="RETENDOR DE TRANSMISION, RETENEDOR EJE TRASERO, GASOLINA, GRASA, OPINTA DE LIQUIDO"/>
        <s v="PASTILLAS"/>
        <s v="RETENDOR DEL DAMPER, RETENEDOR DE LEVA, CORREA LATERNADOR, KIT DE REPARTICION, CAUCHOS"/>
        <s v="BOMBILLOS, FLASHER ELECTRONICO, ESCOBILLAS, BOMBILLOS 10-12W LED"/>
        <s v="TIJERAS, CAUCHOS"/>
        <s v="PUNTA DE EJE, ABRZADERAS"/>
        <s v="MANGUERA DE RETORNO"/>
        <s v="PASTILLAS DISCOS"/>
        <s v="LIQUIDO DE FRENO, JUEGO DE CHUPAS GUARADAPOLVOS "/>
        <s v="BOMBA DE FRENO, LIQUIDO"/>
        <s v="GASOLINA, BUJIAS, CABLE DE LATA, EMPAQUE, ABRZADERA"/>
        <s v="AMOTIGUADOR CON RODAMIENTO"/>
        <s v="FUSIBLE, BOMBILLOS, AMORTIGUADORES DELANTEROS Y MUÑECO"/>
        <s v="GUAYAS, ABRAZADERAS"/>
        <s v="CHUPAS, PINTA DE LIQUIDO, JUEGO DE PASTILLAS, BANDAS"/>
        <s v="BUJE DE PUÑO, BUJE TIJERA, MUÑECO BARRA ESTABILIZADORA"/>
        <s v="RODAMIENTO Y BOCIN"/>
        <s v="EMPAQUETADURA, ABRZADERAS, VALVULINA"/>
        <s v="BATERIAS, BORNE"/>
        <s v="RODAMIENTOS, KIT DE REPARTICION, GUAYA DE CLOSH, GASOLINA, ABRZADERAS"/>
        <s v="RODAMIENTOS, BLOQUE, GRASA, GASOLINA, PINES CACHO"/>
        <s v="BOMBILLOS, CINTA NEGRA"/>
        <s v="RESORTES"/>
        <s v="CASQUETES DE BIELA, BOMBA D EGUA, KIT DE REPARTICION, ANILLOS, GASOLINA, SILICONA, EMPAQUETADURA, CORREA DE ACCESORIO, ACEITE, REFRIGERNATE"/>
        <s v="DISCOS, PASTILLAS"/>
        <s v="BUJES"/>
        <s v="JUEGO DE SPLINDER, GASOLINA, PIN CACHO, BANDAS,"/>
        <s v="ESPARRAGOS, GRASAS, BROCA, CAUCHO VALVULA ESCAPE, DIAFRAGMA, JUEGO DE BLOQUE"/>
        <s v="DIAFRAGMA Y RESORTE DE SEGURIDAD"/>
        <s v="KIT DE CLOSH"/>
        <s v="PASADORES DE MORDAZA"/>
        <s v="CHUPAS"/>
        <s v="CHUPAS, PACHA"/>
        <s v="DISCOS Y PASTILLAS"/>
        <s v="GUAYA DE FRENO DE MANO"/>
        <s v="JUEGO DE PASTILLAS "/>
        <s v="CORREA DE ACCESORIO, ABRAZADERAS"/>
        <s v="KIT DE EMBRAGUE, GUAYA, RETEN"/>
        <s v="AUTOMATICO, RODAMIENTO DELANTEROS"/>
        <s v="PINTA DE LIQUIDO, CALIPER"/>
        <s v="ABRAZADERAS, ABRAZADERAS METALICAS"/>
        <s v="TERMINAL IZQ DEL / RODAMIENTO TRASERO EXTERNO"/>
        <s v="BOBINA"/>
        <s v="EMPQUE CUERPO DE ACELERACION"/>
        <s v="GRADUACION"/>
        <s v="CENTYRAL"/>
        <s v="JUEGO DE PASTILLAS DELANTERAS"/>
        <s v="RECTIFICACION DE DISCOS"/>
        <s v="MANGUERA DE FRENOS, RECTIFICACION DE DISCOS, PASTILLAS DEL."/>
        <s v="MUÑECOS"/>
        <s v="RECTIFICAR DISCOS "/>
        <s v="KIT DE BOTA"/>
        <s v="ABRAZADERAS"/>
        <s v="SILICONA WURTH"/>
      </sharedItems>
    </cacheField>
    <cacheField name="MONTO DE COMPRA" numFmtId="0">
      <sharedItems containsString="0" containsBlank="1" containsNumber="1" containsInteger="1" minValue="1000" maxValue="1801000"/>
    </cacheField>
    <cacheField name="MONTO DE LA VENTA" numFmtId="0">
      <sharedItems containsString="0" containsBlank="1" containsNumber="1" containsInteger="1" minValue="2000" maxValue="2423000"/>
    </cacheField>
    <cacheField name="ESTATUS" numFmtId="0">
      <sharedItems containsBlank="1"/>
    </cacheField>
    <cacheField name="GANANCIA POR REPUESTOS" numFmtId="0">
      <sharedItems containsString="0" containsBlank="1" containsNumber="1" containsInteger="1" minValue="-66000" maxValue="62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ltiFrenos de la Sabana" refreshedDate="44866.581331944442" createdVersion="6" refreshedVersion="7" minRefreshableVersion="3" recordCount="270" xr:uid="{00000000-000A-0000-FFFF-FFFF01000000}">
  <cacheSource type="worksheet">
    <worksheetSource ref="A1:N1048576" sheet="ENERO"/>
  </cacheSource>
  <cacheFields count="14">
    <cacheField name="FECHA" numFmtId="14">
      <sharedItems containsNonDate="0" containsDate="1" containsString="0" containsBlank="1" minDate="2021-12-31T00:00:00" maxDate="2022-06-07T00:00:00" count="32">
        <d v="2021-12-31T00:00:00"/>
        <d v="2022-01-03T00:00:00"/>
        <d v="2022-01-04T00:00:00"/>
        <d v="2022-01-05T00:00:00"/>
        <d v="2022-01-06T00:00:00"/>
        <d v="2022-01-07T00:00:00"/>
        <d v="2022-01-08T00:00:00"/>
        <d v="2022-01-11T00:00:00"/>
        <d v="2022-01-12T00:00:00"/>
        <d v="2022-01-13T00:00:00"/>
        <d v="2022-01-14T00:00:00"/>
        <d v="2022-01-15T00:00:00"/>
        <d v="2022-01-17T00:00:00"/>
        <d v="2022-01-18T00:00:00"/>
        <d v="2022-01-19T00:00:00"/>
        <d v="2022-01-20T00:00:00"/>
        <d v="2022-01-21T00:00:00"/>
        <d v="2022-01-22T00:00:00"/>
        <d v="2022-01-24T00:00:00"/>
        <d v="2022-01-25T00:00:00"/>
        <d v="2022-01-26T00:00:00"/>
        <d v="2022-01-27T00:00:00"/>
        <d v="2022-01-28T00:00:00"/>
        <d v="2022-01-29T00:00:00"/>
        <d v="2022-01-31T00:00:00"/>
        <d v="2022-02-01T00:00:00"/>
        <d v="2022-02-02T00:00:00"/>
        <d v="2022-02-03T00:00:00"/>
        <d v="2022-02-04T00:00:00"/>
        <m/>
        <d v="2022-06-06T00:00:00" u="1"/>
        <d v="2022-01-01T00:00:00" u="1"/>
      </sharedItems>
    </cacheField>
    <cacheField name="NUMERO DE FACTURA" numFmtId="0">
      <sharedItems containsBlank="1" containsMixedTypes="1" containsNumber="1" containsInteger="1" minValue="32" maxValue="385"/>
    </cacheField>
    <cacheField name="CLIENTE" numFmtId="0">
      <sharedItems containsNonDate="0" containsString="0" containsBlank="1"/>
    </cacheField>
    <cacheField name="MODELO" numFmtId="0">
      <sharedItems containsBlank="1"/>
    </cacheField>
    <cacheField name="PLACA" numFmtId="0">
      <sharedItems containsBlank="1" containsMixedTypes="1" containsNumber="1" containsInteger="1" minValue="72" maxValue="72"/>
    </cacheField>
    <cacheField name="AREA" numFmtId="0">
      <sharedItems containsBlank="1" count="11">
        <s v="ELECTRICIDAD"/>
        <s v="LUIS BRITO"/>
        <s v="ALEJANDRO DIAZ"/>
        <s v="SAMIR VASQUEZ"/>
        <s v="DIEGO TORRES"/>
        <s v="LATONERIA Y PINTURA"/>
        <s v="SAID VASQUEZ"/>
        <m/>
        <s v="ILVAR MORENO" u="1"/>
        <s v="JAVIER BRIÑE" u="1"/>
        <s v="HERRERO" u="1"/>
      </sharedItems>
    </cacheField>
    <cacheField name="DETALLES" numFmtId="0">
      <sharedItems containsBlank="1" count="343">
        <s v="CAMBIO DE PERA DEL VENTILADOR"/>
        <s v="CAMBIO DE RODAMIENTOS "/>
        <s v="REVISAR FRENOS"/>
        <s v="MANTENIMIENTO RUEDAS TRASERAS "/>
        <s v="MANTENIMIENTO ELECTRICO"/>
        <s v="REVISAR TRASERA DERECHA"/>
        <s v="GRADUAR FRENOS"/>
        <s v="MANTENIMIENTO DE FRENOS COMPLETO"/>
        <s v="ARREGLO TUBO TRASERO Y CAMBIO DE LIQUIDO"/>
        <s v="RECTIFAR CAMPANA, MANTENIMIENTO"/>
        <s v="CAMBIO DE PASTILLAS TRASERAS-DISCO DE FRENOS"/>
        <s v="CAMBIO DE PASTILLAS DELANTERAS"/>
        <s v="REVISION DE TRASERAS"/>
        <s v="ARREGLO DE LUCES"/>
        <s v="CAMBIO DE LIQUIDO- REVISAR FRENOS"/>
        <s v="INSTALAR VENTILADOR"/>
        <s v="CAMBIO DE CAMPANAS Y BANDAS"/>
        <s v="CAMBIO DE CULATA"/>
        <s v="CAMBIO DE BANDAS RUEDA TRASERA"/>
        <s v="BAJAR CAJA"/>
        <s v="CORREGIR FUGA"/>
        <s v="CAMBIAR ARRANQUE"/>
        <s v="CAMBIO DE DISCOS DELANTEROS"/>
        <s v="CAMBIO DE BASE Y TERMOSTATO"/>
        <s v="AJUSTAR ESTRIBO"/>
        <s v="CAMBIO DE BOMBILLO"/>
        <s v="REVISIO DE FRENOS"/>
        <s v="SERVICIO DE ESCANER"/>
        <s v="MANTENIMIENTO DE FRENOS"/>
        <s v="MANTENIMIENTO DE ARRANQUE"/>
        <s v="REPARACION DE CHASIS Y SOPORTE DE CAVA"/>
        <s v="ARREGLO FRENO DE MANO"/>
        <s v="REVISION  DE FRENOS DE AHOGO"/>
        <s v="CAMBIAR COCUYOS"/>
        <s v="ROTACION DE BATERIAS"/>
        <s v="INSTALACION DE REMACHES"/>
        <s v="SOLDAR GUABARROS Y ESTRIBOS"/>
        <s v="INSTALACION LUCES DE FURGON"/>
        <s v="REPARACION DE BORNE"/>
        <s v="MANTENIMIENTO RUEDAS DELANTERAS DE RACHES Y MARTILLOS"/>
        <s v="CAMBIAR GUAYA"/>
        <s v="CAMBIO DE RODAMIENTOS"/>
        <s v="CAMBIO DE BASE DE AMORTIGUADORES, BUJES, BUJES BARRA ESTABILIZADORA"/>
        <s v="MECANICA"/>
        <s v="DESVARO: CHEQUEO ELECTRICO"/>
        <s v="REVISION DE FRENOS"/>
        <s v="CAMBIO DE PASTILLAS"/>
        <s v="CAMBIO DE ARRANQUE"/>
        <s v="REPARACION DE ARRANQUE"/>
        <s v="REVISION DE RUEDA TRASERA"/>
        <s v="CAMBIO DE BUJES, PUNTA DE EJE LADO DERECHO DELANTERO, SERVICIO DE PRENSA, ROTULAS"/>
        <s v="CAMBIAR SPLINDER Y TERMINALES DE DIRECCION"/>
        <s v="REVISION DE FRENOS Y CAMBIO DE ANTIRUIDOS"/>
        <s v="CAMBIO DE DISCOS Y PASTILLAS"/>
        <s v="CAMBIO DE CHUPAS Y LIQUIDO"/>
        <s v="CAMBIO DE RETENEDOR DE REPARTICION"/>
        <s v="CAMBIO DE TERMINAL, GUARDAPOLVO"/>
        <s v="CAMBIO DE BOMBILLOS"/>
        <s v="GRADUACION Y CAMBIO DE CHUPAS"/>
        <s v="ARREGLO TAPA THERMO"/>
        <s v="MANTENIMIENTO DE FRENOS "/>
        <s v="CAMBIAR SPLINDER DELANTERO"/>
        <s v="CAMBIO DE ALTERNADOR"/>
        <s v="MANTENIMIENTO DE FRENO TRASERO"/>
        <s v="CAMBIO DE RETENEDOR Y CHUPAS"/>
        <s v="CAMBIO DE AMORTIGUADOR, REPARACION DE TEMPLETE, CAMBIO DE BANDAS Y CHUPAS"/>
        <s v="MANTENIMIENTO DE FRENO, CAMBIO DE PASTILLAS, ALINEACION, AJUSTE DE SUSPENSION"/>
        <s v="CAMBIO DE BOMBA DE FRENO Y LIQUIDO"/>
        <s v="CAMBIO DE PASTILLAS Y DISCOS / ARREGLO FUGA MORDAZA DELANTERAS"/>
        <s v="ARREGLO DE CARBURADOR"/>
        <s v="CHEQUEO ELECTRICO"/>
        <s v="MANTENIMEINTO RUEDA TRASERA"/>
        <s v="MANTENIMIENTO DE FRENOS TRASEROS"/>
        <s v="CAMBIO DE TERMINALES, GUARDAPOLVO"/>
        <s v="CAMBIO DE FUSIBLES Y TERMINALES"/>
        <s v="MANTENIMIENTO DE ADMISION, MANTENIMIENTO DE VALVULA EGR"/>
        <s v="CALIBRACION DE VALVULAS"/>
        <s v="CAMBIO DE ESPARRAGOS"/>
        <s v="CAMBIAR AMORTIGUADOR DELANTERO DERECHO"/>
        <s v="SINCRONIZACION"/>
        <s v="GRADUACION DE FRENOS"/>
        <s v="SINCRONIZADA"/>
        <s v="CAMBIO DE EMPAQUETADURA DE LA BOMBA DE GASOLINA"/>
        <s v="CAMBIO DE MANGUERA DE ALTERNADOR"/>
        <s v="CAMBIO DE RESORTE DE BANDAS "/>
        <s v="CAMBIO DE BRAZOS AXIALES Y TERMINALE DE DIRECCION"/>
        <s v="INSTALACION DE LUCES FURGON"/>
        <s v="REVISION DE RUEDAS "/>
        <s v="CAMBIO DE TAPA VALVULA"/>
        <s v="CAMBIO DE PASTILLAS DELANTERAS Y LIQUIDO"/>
        <s v="CAMBIAR KIT DE REPARTICION "/>
        <s v="CAMBIO DE BANDAS"/>
        <s v="CAMBIO DE SPLINDER"/>
        <s v="MANTENIMIENTO DE SENSOR DE POSICION"/>
        <s v="CAMBIO DE AMORTIGUADORES Y CAUCHO COPA CAJA"/>
        <s v="CAMBIO BOMBA DE FRENO Y CAMBIO DE LIQUIDO"/>
        <s v="BAJAR CAJA DE DIRECCION Y REVISAR FRENOS"/>
        <s v="BAJAR CAJA DE CARTER"/>
        <s v="CAMBIO DE GUAYAS"/>
        <s v="REPARACION DE ALTERNADOR"/>
        <s v="CAMBIO DE PASTIILAS DELANTERAS Y REVISAR TRASERAS, CAMBIAR BANDAS Y GRADUACIONES"/>
        <s v="CAMBIO DE MANGUERA Y GRADUAR FRENOS"/>
        <s v="AJUSTE DE RODAMIENTOS"/>
        <s v="CAMBIO DE RODAMIENTOS Y GUARDAPOLVO"/>
        <s v="BAJAR RUEDAS TRASERAS"/>
        <s v="DESVARE"/>
        <s v="CAMBIO DE MANGUERA"/>
        <s v="SIMCRONIZACION Y LAVADO DE INYECTORES"/>
        <s v="CAMBIO KIT DE CLOSH Y GUARDAPOLVO"/>
        <s v="CAMBIO DE AMORTIGUADORES Y LIQUIDO"/>
        <s v="ESCANER"/>
        <s v="CAMBIAR GRADUACION DE FRENOS Y CILINDRO TRASERO IZQ"/>
        <s v="CHEQUEO DE RUADAS TRASERAS"/>
        <s v="CAMBIO DE TIJERAS, MUÑECO LADO IZQ "/>
        <s v="CAMBIO DE KIT DE CLOSH, INYECTOR Y SOPORTE IZQ"/>
        <s v="CAMBIO DE BUJES DE MORDAZA"/>
        <s v="REVISION  DE FRENOS"/>
        <s v="CAMBIO DE PASTILLAS Y DISCOS, SERVICIO DE PRENSA Y LIQUIDO"/>
        <s v="CAMBIO DE MANGUETA"/>
        <s v="CAMBIO DE MANGUERA DE FRENOS"/>
        <s v="CAMBIO DE PASTILLAS DELANTERAS Y TRASERAS, CAMBIO DE LIQUIDO, REVISION DE FRENOS"/>
        <s v="BAJAR CAJA, CAMBIO DE KIT DE EMBRAGUE, CAMBIO EMPAQUE DE CARTER"/>
        <s v="CAMBIO DE AMORTIGUADORES TRASEROS"/>
        <s v="CAMBIO DE RODAMIENTOS TRASERO IZQ"/>
        <s v="CAMBIO DE CACHO"/>
        <s v="CAMBIO DE RODAMIENTOS TRASEROS, BANDAS, EMPAQUETADURA DE BOOSTER"/>
        <s v="PULIR RINES"/>
        <s v="ARREGLO DE ALTERNADOR"/>
        <s v="SINCORNIZACION, CAMBIO DE MANGUERA Y RETENEDOR DEL DAMPER"/>
        <s v="CAMBIO DE PASADORES DE MORDAZA "/>
        <s v="BAJAR RUEDAS DELANTERAS"/>
        <s v="LAVADO DE INYECTORES"/>
        <s v="CAMBIO DE EMPAQUE EXOSTO"/>
        <s v="MANTENIMIENTO DE RUEDAS TRASERAS, SUAVIZAR FRENO DE MANO, CORREGIR RUIDO DE CAMPANA DERECHA"/>
        <s v="CORREGIR FUGA DE VALVULINA"/>
        <s v="CAMBIO DE TERMINAL DE DIRECCION"/>
        <s v="BAJAR CULATA/ CAMBIO DE TIJERAS/ CAMBIO DE SOPORTE MOTOR"/>
        <s v="CAMBIO DE MUELLES"/>
        <s v="MANTENIMIENTO EGR- INTERCOOLER"/>
        <s v="CAMBIO DE SOPORTE DE MOTOR"/>
        <s v="CAMBIO CABLE DE ALTA"/>
        <s v="CAMBIO DE ANTIRUIDOS"/>
        <s v="CAMBIO DE TIJERAS, BARRA ESTAB, BUJES DE DIRECCION"/>
        <s v="MANTENIMIENTO VALVULA EGR"/>
        <m/>
        <s v="REPARAR ALTERNADOR" u="1"/>
        <s v="CAMBIO DE BANDAS Y CHUPA" u="1"/>
        <s v="ABRIR ROSCA DE TRANSMISION Y CARDAN" u="1"/>
        <s v="CAMBIAR BANDAS RUEDA TRASERA IZQ/CAMBIO DE CACHO" u="1"/>
        <s v="SINCRONIZADA, ARREGLO DIRECCIONALES Y CARGA DE BATERIA" u="1"/>
        <s v="BAJAR Y MONTAR AMORTIGUADOR" u="1"/>
        <s v="CHEQUEO DE FRENOS" u="1"/>
        <s v="CAMBIO DE BUJES DE TIJERAS LADO DERECHO" u="1"/>
        <s v="BAJAR CULATA -CAMBIO EMPAQUE DE CULATA" u="1"/>
        <s v="CAMBIO DE PASTILLAS Y ARREGLO LIMITADOR" u="1"/>
        <s v="REVISION DE RUEDAS" u="1"/>
        <s v="CHEQUEO RUIDO MUELLES" u="1"/>
        <s v="MONTAR Y BAJAR TORRES" u="1"/>
        <s v="MANTENIMIENTO RUEDA TRASERAS" u="1"/>
        <s v="REVISION DE FRENOS Y CAMBIO DE LIQUIDO" u="1"/>
        <s v="REVISION FRENOS" u="1"/>
        <s v="TRABAJO A PEGOUT" u="1"/>
        <s v="REPARACION DE LLAVE" u="1"/>
        <s v="PULGAR Y GRADUAR TRASERAS" u="1"/>
        <s v="ARREGLO DE TRANSMISION DELANTERA" u="1"/>
        <s v="INICIAR" u="1"/>
        <s v="PAGO DIFERENCIA " u="1"/>
        <s v="CAMBIO DE EMPAQUETADURA AUXILIAR" u="1"/>
        <s v="CAMBIO DE BOMBA DE CLOSH Y EMPAQUETADURA" u="1"/>
        <s v="MANTENIMIENTO DELANTERO / GRADUAR TRASERAS" u="1"/>
        <s v="AJUSTAR MORDAZA DELANTERA DERECHA" u="1"/>
        <s v="CAMBIO DE RADIADOR DE CALEFACCION" u="1"/>
        <s v="REPARACION" u="1"/>
        <s v="REVISION DE LUCES" u="1"/>
        <s v="CAMBIO DE SOPORTE EXOSTO" u="1"/>
        <s v="CAMBIO DE PASTILLAS Y DISCO" u="1"/>
        <s v="DESARME Y MANTENIMIENO DE CAJA/TRANSMISION/SINCRONIZADA" u="1"/>
        <s v="REPARACION DE MOTOR" u="1"/>
        <s v="CAMBIO TARRO DE AGUA" u="1"/>
        <s v="CAMBIO SOPORTE DE AMORTIGUADORES" u="1"/>
        <s v="CAMBIO DE BUJES DE TIJERA" u="1"/>
        <s v="REPARACION DE CREMAYERA Y VIDRIO" u="1"/>
        <s v="CAMBIO DE TUBO DE INYECTOR" u="1"/>
        <s v="CAMBIO DE PASTILLAS, ANTIRUIDOS Y EMBUJES DE PASADORES" u="1"/>
        <s v="ARREGLO TAPA BOMBA LIQUIDO DE FRENOS" u="1"/>
        <s v="CAMBIO DE BANDAS, CAMPANAS Y CILINDROS" u="1"/>
        <s v="CAMBIO DE BUJES" u="1"/>
        <s v="CAMBIO DE TIJERAS" u="1"/>
        <s v=", REVISION ELECTRICA Y ESCANER" u="1"/>
        <s v="CAMBIO DE ROTULA" u="1"/>
        <s v="SUAVIZAR GRADUACIONES" u="1"/>
        <s v="ENGRASE RODAMIENTO DELANTERO" u="1"/>
        <s v="MONTAR RELAI Y PERA DE TEMPERATURA" u="1"/>
        <s v="CAMBIO DE PASTILLAS Y CAMBIO DE BRAZOS AXIALES" u="1"/>
        <s v="ELECTRICIDAD" u="1"/>
        <s v="REVISION LUCES" u="1"/>
        <s v="CAMBIO DE LIQUIDO" u="1"/>
        <s v="REVISION DE RUEDAS DELANTERAS Y CAMBOP DE LIQ" u="1"/>
        <s v="CAMBIO DE BUJIAS, CABLE DE ALTA Y GUAYA DE CLOSH" u="1"/>
        <s v="MANTENIMIENTO DE LUCES" u="1"/>
        <s v="CAMBIO DE MUÑECOS, BUJES DE LA BARRA ESTAB, BUJES DE TIJERA, BUJES DE MUELLE, BUJES DE CABINA, BRAZO COMPENSADOR" u="1"/>
        <s v="CAMBIO DE SWITCH" u="1"/>
        <s v="CAMBIAR PASTILLAS TRASERAS" u="1"/>
        <s v="CAMBIO DE CAJA DE DIRECCION, BUJES Y GUARDAPOLVOS" u="1"/>
        <s v="REPARAR SUSPENSION DELANTERA" u="1"/>
        <s v="SERVICIO DE SINCRONIZACION, LAVADO DE INYECTORES, ULTRASONIDO" u="1"/>
        <s v="REPARACION DE LATONERIA" u="1"/>
        <s v="MANTENIMIENTO DE LA MARIPOSA " u="1"/>
        <s v="CAMBIO RODAMIENTOS DELANTEROS " u="1"/>
        <s v="REVISION DE DE FRENOS / CAMBIO PASTILLAS DELANTERAS" u="1"/>
        <s v="REVISION " u="1"/>
        <s v="CAMBIO DE PASTILLAS, BANDAS, DISCOS- CAMBIO DE LIQUIDO- REVISION TRASERAS" u="1"/>
        <s v="GRADUAR FRENO DE MANO" u="1"/>
        <s v="CAMBIO DE BOMBA DE COMBUSTIBLE" u="1"/>
        <s v="CAMBIO DE BOMBA/ GRADUACION TRASERA IZQ" u="1"/>
        <s v="CAMBIO DE DISCO" u="1"/>
        <s v="CAMBIO DE BOMBILLOS LED" u="1"/>
        <s v="MANTENIMIENTO " u="1"/>
        <s v="CAMBIO DE PUNTILLA" u="1"/>
        <s v="CAMBIO DE CENSOR DE POSICION" u="1"/>
        <s v="CAMBIO DE SENSOR DE POSICION" u="1"/>
        <s v="MANTENIMIENTO DELANTERO" u="1"/>
        <s v="CAMBIO KIT DE CLOSH" u="1"/>
        <s v="INSTALACION DE INYECTOR" u="1"/>
        <s v="CAMBIO DE BANDAS (PENDIENTE POR CANCELAR)" u="1"/>
        <s v="CAMBIO DE BUJES DE TIJERAS / GRADUACION CAJA DE DIRECCION" u="1"/>
        <s v="REVISION TRASERAS" u="1"/>
        <s v="MANTENIMIENTO MOTOR DE LA DOBLE" u="1"/>
        <s v="CAMBIO DE TERMINALES Y ESPARRAGOS" u="1"/>
        <s v="MANTENIMIENTO DELANTERO Y CAMBIO DE BANDAS" u="1"/>
        <s v="CAMBIO DE BANDAS Y RODAMIENTOS" u="1"/>
        <s v="ESCANER, MANTENIMIENTO DE SENSOR DE POSICION" u="1"/>
        <s v="CAMBIO KIT EMBRAGUE" u="1"/>
        <s v="CAMBIO DE BASE TERMOSTATO" u="1"/>
        <s v="AJUSTE DE MUÑECO" u="1"/>
        <s v="CAMBIO DE EMPAQUE TAPAVALVULA" u="1"/>
        <s v="CAMBIO DE CHUPAS, GP" u="1"/>
        <s v="CAMBIO DE CHUPAS TRASERAS DERECHA" u="1"/>
        <s v="CAMBIO DE PASTILLAS DELANTEAS Y TRASERAS, CAMBIO DE LIQUIDO" u="1"/>
        <s v="GRADUAR FRENOS " u="1"/>
        <s v="CAMBIO DE TERMOSTATO" u="1"/>
        <s v="BAJAR TIJERAS, CAMBIO DE ROTULAS Y AMORTIGUADOR, CAMBIO DE GUARDAPOLVO, CAMBIO DE BUJES DE TIJERA Y AMORTIGUADOR " u="1"/>
        <s v="REVISION DE FRENOS-CAMBIO DE LIQUIDO" u="1"/>
        <s v="CAMBIO DE BANDAS- PASTILLAS-MANTENIMIENTO COMPLETO" u="1"/>
        <s v="CAMBIO DE TIJERAS SUPERIORES Y MANTENIMEINTO DE FRENOS COMPLETO" u="1"/>
        <s v="REVISAR TRASERAS" u="1"/>
        <s v="REPARAR KIT DE REPARTICION" u="1"/>
        <s v="CAMBIO EMPAQUE BOMBA DE FRENO Y MANGUERA" u="1"/>
        <s v="CAMBIAR AMORTIGUADORES DELANTERO Y RODAMIENTOS" u="1"/>
        <s v="CAMBIO DE RODAMIENTOS DELANTEROS" u="1"/>
        <s v="CAMBIO DE RODAMIENTOS DEL DERECHO" u="1"/>
        <s v="CAMBIO SOPORTE DE AMORTIGUADORE, ROTULAS, BRAZOS" u="1"/>
        <s v="CAMBIO DE BUJIAS" u="1"/>
        <s v="CAMBIO DE LIQUIDO / GRADUAR FRENOS" u="1"/>
        <s v="REVISION DE LUCES, CAMBIO DE SWICTHERA" u="1"/>
        <s v="CAMBIO DE MANGUERA-CALIPER-MUÑECOS-CAMBIO DE BNUJES DE TIJERA, BUJES DE LA  BARRA ESTAB." u="1"/>
        <s v="VALVULA DE NEUMATICO" u="1"/>
        <s v="CAMBIO DE PASTILLAS TRASERAS" u="1"/>
        <s v="CAMBIO DE PASTILLAS / CHEQUEO DE FRENOS" u="1"/>
        <s v="PULIR FAROS" u="1"/>
        <s v="SINCRONIZADA GENERAL" u="1"/>
        <s v="SOLDADURA-GRADUAR TRASERAS-BAJAR CARDAN" u="1"/>
        <s v="CARLOS ALVAREZ" u="1"/>
        <s v="CAMBIO DE TIJERA DELANTERA" u="1"/>
        <s v="CAMBIO DE SUICK" u="1"/>
        <s v="MANTENIMIENTO EN GENERAL" u="1"/>
        <s v="CAMBIO DE BANDAS Y PASTILLAS" u="1"/>
        <s v="SUSPENDER LIMITADOR FRENO TRASERO" u="1"/>
        <s v="CAMBIAR CORREA DE REPARTICION Y DE ACCESORIO" u="1"/>
        <s v="INSTALACION DE PINES" u="1"/>
        <s v="CORRECCION DE FUGA DE AIRE" u="1"/>
        <s v="CAMBIO DE CHUPAS RUEDAS TRASERA DERECHA" u="1"/>
        <s v="CAMBIO DE AMORTIGUADORES" u="1"/>
        <s v="MANTENIMIENTO VALVULA GRR" u="1"/>
        <s v="CAMBIO DE PASTILLAS DELANTERAS Y TRASERAS" u="1"/>
        <s v="MANTENIMIENTO DE FRENOS, CAMBIO DE LIQUIDO" u="1"/>
        <s v="CAMBIO DE PASTILAS DELANTERAS " u="1"/>
        <s v="GRADUAR FRENOS Y PULGAR " u="1"/>
        <s v="CAMBIO DE PASTILLAS, DISCOS" u="1"/>
        <s v="CAMBIO DE CORREA DE REPARTICION" u="1"/>
        <s v="CAMBIO DE CORREAS DE ACCESORIOS Y TENSOR" u="1"/>
        <s v="MANTENIMIENTO DE MORDAZAS , REVISION TRASERA" u="1"/>
        <s v="CAMBIO DE GUAYA" u="1"/>
        <s v="CAMBIO DE TERMINAL" u="1"/>
        <s v="REPARACION DE MAQUINA " u="1"/>
        <s v="CAMBIO DE BUJES DE TIJERA Y CAMBIO KIT DE INYECTOR" u="1"/>
        <s v="REPARACION DE TRANSMISION Y CAMBIO DE GUAYAS CONTROL CAMBIO " u="1"/>
        <s v="REVISION ELECTRICA" u="1"/>
        <s v="CAMBIO DE MUÑECOS Y BUJES" u="1"/>
        <s v="COLOCAR TORNILLOS A BABEROS/ AJUSTAR  CUNA" u="1"/>
        <s v="CAMBIO CAJA DE DIRECCION" u="1"/>
        <s v="CAMBIO DE BUJES DE MUELLE" u="1"/>
        <s v="CAMBIO DE AMORTIGUADOR BANDAS Y CHUPAS" u="1"/>
        <s v="CAMBIO DE SOPORTE AMORTIGUADOR Y MUÑECOS" u="1"/>
        <s v="CAMBIO DE CEPILLO DE ALTERNADOR Y MANTENIMIENTO" u="1"/>
        <s v="CAMBIO ANTIRUIDO" u="1"/>
        <s v="MANTENIMIENTO DE MORDAZAS Y PASTILLAS DELANTERAS" u="1"/>
        <s v="CAMBIO DE PASTILLAS DELANTERAS/ REVISION DE FRENOS/ CAMBIO DE MANGUERAS" u="1"/>
        <s v="MANTENIMIENTO PUNTA DE EJES DELANTERAS" u="1"/>
        <s v="ARREGLO EXOSTO" u="1"/>
        <s v="CAMBIO DE BOMBILLO UN CONTACTO" u="1"/>
        <s v="SUAVIZAR MORDAZA" u="1"/>
        <s v="AJUSTAR AMORTIGUADORES" u="1"/>
        <s v="ARREGLO  PÉRA FRENO DE AHOGO" u="1"/>
        <s v="REVISION FRENOS, MANTENIMIENTO" u="1"/>
        <s v="AJUSTE DE TUERCAS" u="1"/>
        <s v="MANTENIMIENTO EGR" u="1"/>
        <s v="CAMBIO DE BUJIAS/ INTALACION DE ALTA" u="1"/>
        <s v="CAMBIO DE PASTILLAS, CAMBIO DE AMORTIGUADORES, GRADUAR FRENOS" u="1"/>
        <s v="POLICHADA" u="1"/>
        <s v="CHEQUEO DE LUCES" u="1"/>
        <s v="CAMBIO DE AUTOMATICO DE GRADUACION" u="1"/>
        <s v="CAMBIO PUNTA DE EJE Y CORREA DE ACCESORIO" u="1"/>
        <s v="CAMBIAR RESORTES" u="1"/>
        <s v="REPARAR ARRANQUE" u="1"/>
        <s v="MANTENIMIENTO TRASERO" u="1"/>
        <s v="CAMBIAR RODAMIENTO TRASERO" u="1"/>
        <s v="CAMBIO DE CILINDRO TRASERO" u="1"/>
        <s v="GRADUAR TRASERAS Y CAMBIO DE BUJIAS" u="1"/>
        <s v="CAMBIO DE INYECTOR" u="1"/>
        <s v="CAMBIO DE RADIADOR" u="1"/>
        <s v="CAMBIO DE LIQUIDO Y CHUPAS" u="1"/>
        <s v="CAMBIO DE MUELLES TRASEROS" u="1"/>
        <s v="CAMBIO DE ESPIRALES Y SOLDAURA" u="1"/>
        <s v="REVISION RUEDA DELANTERA" u="1"/>
        <s v="CAMBIO DE AMORTIGUADOR DELANTERO TRASEROS Y GUARDAPOLVOS" u="1"/>
        <s v="BAJAR TRASERA Y GRADUACION" u="1"/>
        <s v="CAMBIO EMPAQUE TAPA VALVULA" u="1"/>
        <s v="CAMBIO DE AMORTIGUADOR DELANTERO IZQUIDO" u="1"/>
        <s v="REVISION DE FRENOS / CORREGIR FUGA DE LIQUIDO" u="1"/>
        <s v="CAMBIO DE BANDAS- ENGRASE RODAMIENTOS DELANTEROS" u="1"/>
        <s v="SERVICIO ELECTRICO" u="1"/>
        <s v="INSTALACION DE RADIO" u="1"/>
        <s v="INSTALACION DE SOCATE " u="1"/>
        <s v="BAJAR Y MONTAR ALTERNADOR Y BUJES" u="1"/>
        <s v="CAMBIAR CAMPANAS Y LIQUIDO" u="1"/>
        <s v="CAMBIAR BASE ASPIRAL DE AMORTIGUADOR" u="1"/>
        <s v="CAMBIO DE ESPARRAGOS / ENGRASE RODAMIENTOS" u="1"/>
        <s v="CAMBIO DE BUJES DE TIJERAS DELANTERAS, CAMBIO DE PASTILLAS DELANTERAS" u="1"/>
        <s v="CAMBIO DE BOMBILLO Y SOCATE" u="1"/>
        <s v="CAMBIO DE BANDAS Y CHUPAS" u="1"/>
        <s v="CAMBIO EMPAQUETADURA DE CLOSH" u="1"/>
        <s v="REVISION DE RUEDAS DELANTERAS" u="1"/>
      </sharedItems>
    </cacheField>
    <cacheField name="TOTAL FACTURA" numFmtId="164">
      <sharedItems containsString="0" containsBlank="1" containsNumber="1" containsInteger="1" minValue="10000" maxValue="1600000"/>
    </cacheField>
    <cacheField name="PORCENTAJE A CANCELAR" numFmtId="164">
      <sharedItems containsString="0" containsBlank="1" containsNumber="1" containsInteger="1" minValue="0" maxValue="960000"/>
    </cacheField>
    <cacheField name="GANANCIA POR SERVICIOS" numFmtId="0">
      <sharedItems containsString="0" containsBlank="1" containsNumber="1" containsInteger="1" minValue="0" maxValue="640000"/>
    </cacheField>
    <cacheField name="REPUESTOS USADOS" numFmtId="0">
      <sharedItems containsBlank="1"/>
    </cacheField>
    <cacheField name="MONTO DE COMPRA" numFmtId="0">
      <sharedItems containsString="0" containsBlank="1" containsNumber="1" minValue="500" maxValue="1050000"/>
    </cacheField>
    <cacheField name="MONTO DE LA VENTA" numFmtId="0">
      <sharedItems containsString="0" containsBlank="1" containsNumber="1" minValue="1000" maxValue="1890000"/>
    </cacheField>
    <cacheField name="E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ltiFrenos de la Sabana" refreshedDate="44866.581332291666" createdVersion="7" refreshedVersion="7" minRefreshableVersion="3" recordCount="264" xr:uid="{8BB7F6A8-4580-4576-A69D-09FCA3D14F39}">
  <cacheSource type="worksheet">
    <worksheetSource name="Tabla245678"/>
  </cacheSource>
  <cacheFields count="20">
    <cacheField name="FECHA" numFmtId="0">
      <sharedItems containsNonDate="0" containsDate="1" containsString="0" containsBlank="1" minDate="2022-07-30T00:00:00" maxDate="2022-10-01T00:00:00" count="55">
        <d v="2022-07-30T00:00:00"/>
        <d v="2022-08-01T00:00:00"/>
        <d v="2022-08-02T00:00:00"/>
        <d v="2022-08-03T00:00:00"/>
        <d v="2022-08-04T00:00:00"/>
        <d v="2022-08-05T00:00:00"/>
        <d v="2022-08-06T00:00:00"/>
        <d v="2022-08-08T00:00:00"/>
        <d v="2022-08-09T00:00:00"/>
        <d v="2022-08-10T00:00:00"/>
        <d v="2022-08-11T00:00:00"/>
        <d v="2022-08-19T00:00:00"/>
        <d v="2022-08-12T00:00:00"/>
        <d v="2022-08-13T00:00:00"/>
        <d v="2022-08-15T00:00:00"/>
        <d v="2022-08-16T00:00:00"/>
        <d v="2022-08-17T00:00:00"/>
        <d v="2022-08-18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9T00:00:00"/>
        <d v="2022-08-30T00:00:00"/>
        <m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2T00:00:00"/>
        <d v="2022-09-13T00:00:00"/>
        <d v="2022-09-14T00:00:00"/>
        <d v="2022-09-15T00:00:00"/>
        <d v="2022-09-16T00:00:00"/>
        <d v="2022-09-17T00:00:00"/>
        <d v="2022-09-19T00:00:00"/>
        <d v="2022-09-20T00:00:00"/>
        <d v="2022-09-21T00:00:00"/>
        <d v="2022-09-23T00:00:00"/>
        <d v="2022-09-24T00:00:00"/>
        <d v="2022-09-26T00:00:00"/>
        <d v="2022-09-27T00:00:00"/>
        <d v="2022-09-28T00:00:00"/>
        <d v="2022-09-29T00:00:00"/>
        <d v="2022-09-30T00:00:00"/>
      </sharedItems>
    </cacheField>
    <cacheField name="NUMERO DE FACTURA" numFmtId="0">
      <sharedItems containsBlank="1"/>
    </cacheField>
    <cacheField name="CLIENTE" numFmtId="0">
      <sharedItems containsBlank="1"/>
    </cacheField>
    <cacheField name="PLACA" numFmtId="0">
      <sharedItems containsBlank="1"/>
    </cacheField>
    <cacheField name="MODELO" numFmtId="0">
      <sharedItems containsBlank="1"/>
    </cacheField>
    <cacheField name="AREA" numFmtId="0">
      <sharedItems containsBlank="1" count="11">
        <s v="LUIS BRITO / SAID VASQUEZ"/>
        <s v="SAMIR VASQUEZ"/>
        <s v="ANGHELO CUICAS"/>
        <s v="ANGHELO CUICAS/JAVIER BRIÑE"/>
        <s v="SAID VASQUEZ"/>
        <s v="LUIS BRITO"/>
        <s v="ALEJANDRO DIAZ"/>
        <s v="TFP-394"/>
        <s v="ELECTRICIDAD"/>
        <s v="JAVIER BRIÑE"/>
        <m/>
      </sharedItems>
    </cacheField>
    <cacheField name="DETALLES" numFmtId="0">
      <sharedItems/>
    </cacheField>
    <cacheField name="TOTAL FACTURA" numFmtId="164">
      <sharedItems containsBlank="1" containsMixedTypes="1" containsNumber="1" containsInteger="1" minValue="5000" maxValue="1000000"/>
    </cacheField>
    <cacheField name="PORCENTAJE A CANCELAR" numFmtId="164">
      <sharedItems containsString="0" containsBlank="1" containsNumber="1" minValue="0" maxValue="700000"/>
    </cacheField>
    <cacheField name="GANANCIA POR SERVICIOS" numFmtId="0">
      <sharedItems containsBlank="1" containsMixedTypes="1" containsNumber="1" minValue="-200000" maxValue="300000"/>
    </cacheField>
    <cacheField name="REPUESTOS USADOS" numFmtId="0">
      <sharedItems containsBlank="1"/>
    </cacheField>
    <cacheField name="MONTO DE COMPRA" numFmtId="0">
      <sharedItems containsString="0" containsBlank="1" containsNumber="1" minValue="500" maxValue="2175000"/>
    </cacheField>
    <cacheField name="Columna1" numFmtId="0">
      <sharedItems containsString="0" containsBlank="1" containsNumber="1" minValue="0" maxValue="1415966.3865546219"/>
    </cacheField>
    <cacheField name="IV COMPRA" numFmtId="0">
      <sharedItems containsString="0" containsBlank="1" containsNumber="1" minValue="0" maxValue="269033.61344537814"/>
    </cacheField>
    <cacheField name="VENTA " numFmtId="0">
      <sharedItems containsString="0" containsBlank="1" containsNumber="1" containsInteger="1" minValue="1000" maxValue="3255900"/>
    </cacheField>
    <cacheField name="Columna2" numFmtId="0">
      <sharedItems containsString="0" containsBlank="1" containsNumber="1" minValue="0" maxValue="2736050.4201680673"/>
    </cacheField>
    <cacheField name="IVA VENTA " numFmtId="0">
      <sharedItems containsString="0" containsBlank="1" containsNumber="1" minValue="0" maxValue="519849.57983193279"/>
    </cacheField>
    <cacheField name="DIFERENCIA IVA " numFmtId="0">
      <sharedItems containsString="0" containsBlank="1" containsNumber="1" minValue="-15168.067226890758" maxValue="519849.57983193279"/>
    </cacheField>
    <cacheField name="GANACIA  REPUESTOS" numFmtId="0">
      <sharedItems containsString="0" containsBlank="1" containsNumber="1" minValue="-79831.932773109234" maxValue="725411.76470588241"/>
    </cacheField>
    <cacheField name="E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ltiFrenos de la Sabana" refreshedDate="44900.625437152776" createdVersion="7" refreshedVersion="7" minRefreshableVersion="3" recordCount="313" xr:uid="{CB8609AB-6F66-4756-9DBE-47659D5E78D5}">
  <cacheSource type="worksheet">
    <worksheetSource name="Tabla2456789"/>
  </cacheSource>
  <cacheFields count="20">
    <cacheField name="FECHA" numFmtId="167">
      <sharedItems containsNonDate="0" containsDate="1" containsString="0" containsBlank="1" minDate="2022-10-01T00:00:00" maxDate="2022-12-06T00:00:00" count="55">
        <d v="2022-10-01T00:00:00"/>
        <d v="2022-10-03T00:00:00"/>
        <d v="2022-10-04T00:00:00"/>
        <d v="2022-10-05T00:00:00"/>
        <d v="2022-10-06T00:00:00"/>
        <d v="2022-10-07T00:00:00"/>
        <d v="2022-10-08T00:00:00"/>
        <d v="2022-10-10T00:00:00"/>
        <d v="2022-10-11T00:00:00"/>
        <d v="2022-10-12T00:00:00"/>
        <d v="2022-10-13T00:00:00"/>
        <d v="2022-10-14T00:00:00"/>
        <d v="2022-10-15T00:00:00"/>
        <d v="2022-10-18T00:00:00"/>
        <d v="2022-10-19T00:00:00"/>
        <d v="2022-10-20T00:00:00"/>
        <d v="2022-10-21T00:00:00"/>
        <d v="2022-10-22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8T00:00:00"/>
        <d v="2022-11-09T00:00:00"/>
        <d v="2022-11-10T00:00:00"/>
        <d v="2022-11-11T00:00:00"/>
        <d v="2022-11-12T00:00:00"/>
        <d v="2022-11-15T00:00:00"/>
        <d v="2022-11-25T00:00:00"/>
        <d v="2022-11-16T00:00:00"/>
        <d v="2022-11-17T00:00:00"/>
        <d v="2022-11-18T00:00:00"/>
        <d v="2022-11-19T00:00:00"/>
        <d v="2022-11-21T00:00:00"/>
        <d v="2022-11-22T00:00:00"/>
        <d v="2022-11-23T00:00:00"/>
        <d v="2022-11-24T00:00:00"/>
        <d v="2022-11-26T00:00:00"/>
        <d v="2022-11-28T00:00:00"/>
        <d v="2022-11-29T00:00:00"/>
        <d v="2022-11-30T00:00:00"/>
        <d v="2022-12-01T00:00:00"/>
        <d v="2022-12-02T00:00:00"/>
        <d v="2022-12-03T00:00:00"/>
        <d v="2022-12-05T00:00:00"/>
        <m/>
      </sharedItems>
    </cacheField>
    <cacheField name="NUMERO DE FACTURA" numFmtId="0">
      <sharedItems containsBlank="1" containsMixedTypes="1" containsNumber="1" containsInteger="1" minValue="361" maxValue="361"/>
    </cacheField>
    <cacheField name="CLIENTE" numFmtId="0">
      <sharedItems containsBlank="1"/>
    </cacheField>
    <cacheField name="PLACA" numFmtId="0">
      <sharedItems containsBlank="1"/>
    </cacheField>
    <cacheField name="MODELO" numFmtId="0">
      <sharedItems containsBlank="1"/>
    </cacheField>
    <cacheField name="AREA" numFmtId="0">
      <sharedItems containsBlank="1" count="9">
        <s v="LUIS BRITO / SAID VASQUEZ"/>
        <s v="SAMIR VASQUEZ"/>
        <s v="ELECTRICIDAD"/>
        <s v="ALEJANDRO DIAZ"/>
        <m/>
        <s v="EDWIN EXOSTO"/>
        <s v="EDWIN (EXOSTO)"/>
        <s v="RENY VASQUEZ"/>
        <s v="ILVAR MORENO"/>
      </sharedItems>
    </cacheField>
    <cacheField name="DETALLES" numFmtId="0">
      <sharedItems containsBlank="1"/>
    </cacheField>
    <cacheField name="TOTAL FACTURA" numFmtId="164">
      <sharedItems containsString="0" containsBlank="1" containsNumber="1" containsInteger="1" minValue="5000" maxValue="1400000" count="51">
        <n v="10000"/>
        <n v="60000"/>
        <n v="30000"/>
        <n v="100000"/>
        <n v="50000"/>
        <n v="200000"/>
        <n v="80000"/>
        <n v="70000"/>
        <n v="40000"/>
        <n v="20000"/>
        <n v="120000"/>
        <n v="260000"/>
        <n v="250000"/>
        <n v="500000"/>
        <n v="320000"/>
        <n v="220000"/>
        <n v="130000"/>
        <n v="155000"/>
        <n v="150000"/>
        <n v="37000"/>
        <n v="15000"/>
        <n v="35000"/>
        <n v="55000"/>
        <n v="110000"/>
        <n v="230000"/>
        <n v="300000"/>
        <n v="180000"/>
        <n v="5000"/>
        <n v="140000"/>
        <n v="90000"/>
        <n v="25000"/>
        <n v="8000"/>
        <n v="170000"/>
        <n v="9000"/>
        <n v="350000"/>
        <n v="221500"/>
        <n v="65000"/>
        <n v="160000"/>
        <n v="105000"/>
        <n v="290000"/>
        <n v="24000"/>
        <n v="430000"/>
        <n v="1200000"/>
        <n v="1400000"/>
        <n v="85000"/>
        <n v="46000"/>
        <n v="225000"/>
        <n v="135000"/>
        <m/>
        <n v="420000"/>
        <n v="148000"/>
      </sharedItems>
    </cacheField>
    <cacheField name="PORCENTAJE A CANCELAR" numFmtId="164">
      <sharedItems containsString="0" containsBlank="1" containsNumber="1" minValue="0" maxValue="840000" count="84">
        <n v="7000"/>
        <n v="42000"/>
        <n v="21000"/>
        <n v="70000"/>
        <n v="35000"/>
        <n v="140000"/>
        <n v="56000"/>
        <n v="28000"/>
        <m/>
        <n v="30000"/>
        <n v="14000"/>
        <n v="84000"/>
        <n v="182000"/>
        <n v="175000"/>
        <n v="350000"/>
        <n v="224000"/>
        <n v="135000"/>
        <n v="91000"/>
        <n v="100000"/>
        <n v="108500"/>
        <n v="105000"/>
        <n v="25900"/>
        <n v="15000"/>
        <n v="10500"/>
        <n v="24500"/>
        <n v="27500"/>
        <n v="77000"/>
        <n v="55000"/>
        <n v="60000"/>
        <n v="115000"/>
        <n v="20000"/>
        <n v="40000"/>
        <n v="210000"/>
        <n v="154000"/>
        <n v="125999.99999999999"/>
        <n v="5000"/>
        <n v="98000"/>
        <n v="45000"/>
        <n v="49000"/>
        <n v="63000"/>
        <n v="25000"/>
        <n v="12500"/>
        <n v="200000"/>
        <n v="50000"/>
        <n v="5600"/>
        <n v="17500"/>
        <n v="118999.99999999999"/>
        <n v="6300"/>
        <n v="150000"/>
        <n v="10000"/>
        <n v="8000"/>
        <n v="244999.99999999997"/>
        <n v="110750"/>
        <n v="32500"/>
        <n v="78000"/>
        <n v="96000"/>
        <n v="25500"/>
        <n v="52500"/>
        <n v="36000"/>
        <n v="174000"/>
        <n v="14400"/>
        <n v="18000"/>
        <n v="24000"/>
        <n v="108000"/>
        <n v="48000"/>
        <n v="12000"/>
        <n v="90000"/>
        <n v="9000"/>
        <n v="258000"/>
        <n v="6000"/>
        <n v="840000"/>
        <n v="505999.99999999988"/>
        <n v="59499.999999999993"/>
        <n v="23000"/>
        <n v="65000"/>
        <n v="157500"/>
        <n v="94500"/>
        <n v="0"/>
        <n v="294000"/>
        <n v="125000"/>
        <n v="54000"/>
        <n v="74000"/>
        <n v="72000"/>
        <n v="62999.999999999993"/>
      </sharedItems>
    </cacheField>
    <cacheField name="GANANCIA POR SERVICIOS" numFmtId="164">
      <sharedItems containsBlank="1" containsMixedTypes="1" containsNumber="1" minValue="-70000" maxValue="894000.00000000012" count="76">
        <n v="3000"/>
        <n v="18000"/>
        <n v="9000"/>
        <n v="30000"/>
        <n v="15000"/>
        <n v="60000"/>
        <n v="24000"/>
        <s v="-"/>
        <n v="12000"/>
        <n v="10000"/>
        <n v="0"/>
        <n v="6000"/>
        <n v="36000"/>
        <n v="78000"/>
        <n v="75000"/>
        <n v="150000"/>
        <n v="96000"/>
        <n v="85000"/>
        <n v="39000"/>
        <n v="50000"/>
        <n v="46500"/>
        <n v="45000"/>
        <n v="11100"/>
        <n v="4500"/>
        <n v="10500"/>
        <n v="27500"/>
        <n v="33000"/>
        <n v="55000"/>
        <n v="20000"/>
        <n v="115000"/>
        <n v="40000"/>
        <n v="90000"/>
        <n v="66000"/>
        <n v="54000.000000000015"/>
        <n v="35000"/>
        <n v="42000"/>
        <n v="21000"/>
        <n v="70000"/>
        <m/>
        <n v="25000"/>
        <n v="12500"/>
        <n v="2400"/>
        <n v="17500"/>
        <n v="51000.000000000015"/>
        <n v="2700"/>
        <n v="7500"/>
        <n v="105000.00000000003"/>
        <n v="110750"/>
        <n v="32500"/>
        <n v="52000"/>
        <n v="64000"/>
        <n v="52500"/>
        <n v="116000"/>
        <n v="9600"/>
        <n v="16000"/>
        <n v="72000"/>
        <n v="32000"/>
        <n v="8000"/>
        <n v="-70000"/>
        <n v="172000"/>
        <n v="4000"/>
        <n v="360000"/>
        <n v="894000.00000000012"/>
        <n v="25500.000000000007"/>
        <n v="5000"/>
        <n v="100000"/>
        <n v="23000"/>
        <n v="65000"/>
        <n v="67500"/>
        <n v="40500"/>
        <n v="126000"/>
        <n v="-35000"/>
        <n v="28000"/>
        <n v="74000"/>
        <n v="48000"/>
        <n v="27000.000000000007"/>
      </sharedItems>
    </cacheField>
    <cacheField name="REPUESTOS USADOS" numFmtId="0">
      <sharedItems containsBlank="1"/>
    </cacheField>
    <cacheField name="MONTO DE COMPRA" numFmtId="0">
      <sharedItems containsString="0" containsBlank="1" containsNumber="1" minValue="3600" maxValue="3280000"/>
    </cacheField>
    <cacheField name="Columna1" numFmtId="164">
      <sharedItems containsString="0" containsBlank="1" containsNumber="1" minValue="0" maxValue="727674.78991596645"/>
    </cacheField>
    <cacheField name="IV COMPRA" numFmtId="164">
      <sharedItems containsString="0" containsBlank="1" containsNumber="1" minValue="0" maxValue="138258.21008403364"/>
    </cacheField>
    <cacheField name="VENTA " numFmtId="0">
      <sharedItems containsString="0" containsBlank="1" containsNumber="1" containsInteger="1" minValue="7700" maxValue="10026001"/>
    </cacheField>
    <cacheField name="Columna2" numFmtId="164">
      <sharedItems containsString="0" containsBlank="1" containsNumber="1" minValue="0" maxValue="8425210.9243697487"/>
    </cacheField>
    <cacheField name="IVA VENTA " numFmtId="164">
      <sharedItems containsString="0" containsBlank="1" containsNumber="1" minValue="0" maxValue="1600790.0756302522"/>
    </cacheField>
    <cacheField name="DIFERENCIA IVA " numFmtId="164">
      <sharedItems containsString="0" containsBlank="1" containsNumber="1" minValue="-45025.210084033613" maxValue="1600790.0756302522"/>
    </cacheField>
    <cacheField name="GANACIA  REPUESTOS" numFmtId="164">
      <sharedItems containsSemiMixedTypes="0" containsString="0" containsNumber="1" minValue="-236974.78991596639" maxValue="5415210.9243697478"/>
    </cacheField>
    <cacheField name="ESTATU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ltiFrenos de la Sabana" refreshedDate="44944.432977662036" createdVersion="7" refreshedVersion="7" minRefreshableVersion="3" recordCount="844" xr:uid="{2CAC641C-C983-4607-BA78-BA8D68EBE7E6}">
  <cacheSource type="worksheet">
    <worksheetSource name="Tabla210"/>
  </cacheSource>
  <cacheFields count="15">
    <cacheField name="FECHA" numFmtId="0">
      <sharedItems containsNonDate="0" containsDate="1" containsString="0" containsBlank="1" minDate="2021-12-31T00:00:00" maxDate="2022-07-09T00:00:00" count="158">
        <d v="2021-12-31T00:00:00"/>
        <d v="2022-01-03T00:00:00"/>
        <d v="2022-01-04T00:00:00"/>
        <d v="2022-01-05T00:00:00"/>
        <d v="2022-01-06T00:00:00"/>
        <d v="2022-01-07T00:00:00"/>
        <d v="2022-01-08T00:00:00"/>
        <d v="2022-01-11T00:00:00"/>
        <d v="2022-01-12T00:00:00"/>
        <d v="2022-01-13T00:00:00"/>
        <d v="2022-01-14T00:00:00"/>
        <d v="2022-01-15T00:00:00"/>
        <d v="2022-01-17T00:00:00"/>
        <d v="2022-01-18T00:00:00"/>
        <d v="2022-01-19T00:00:00"/>
        <d v="2022-01-20T00:00:00"/>
        <d v="2022-01-21T00:00:00"/>
        <d v="2022-01-22T00:00:00"/>
        <d v="2022-01-24T00:00:00"/>
        <d v="2022-01-25T00:00:00"/>
        <d v="2022-01-26T00:00:00"/>
        <d v="2022-01-27T00:00:00"/>
        <d v="2022-01-28T00:00:00"/>
        <d v="2022-01-29T00:00:00"/>
        <d v="2022-01-31T00:00:00"/>
        <d v="2022-02-01T00:00:00"/>
        <d v="2022-02-02T00:00:00"/>
        <d v="2022-02-03T00:00:00"/>
        <d v="2022-02-04T00:00:00"/>
        <d v="2022-02-05T00:00:00"/>
        <d v="2022-02-07T00:00:00"/>
        <d v="2022-02-08T00:00:00"/>
        <d v="2022-02-09T00:00:00"/>
        <d v="2022-02-10T00:00:00"/>
        <d v="2022-02-11T00:00:00"/>
        <d v="2022-02-12T00:00:00"/>
        <d v="2022-02-14T00:00:00"/>
        <d v="2022-02-15T00:00:00"/>
        <d v="2022-02-16T00:00:00"/>
        <d v="2022-02-17T00:00:00"/>
        <d v="2022-02-18T00:00:00"/>
        <d v="2022-02-19T00:00:00"/>
        <d v="2022-02-21T00:00:00"/>
        <d v="2022-02-22T00:00:00"/>
        <d v="2022-02-23T00:00:00"/>
        <d v="2022-02-24T00:00:00"/>
        <d v="2022-02-26T00:00:00"/>
        <d v="2022-02-28T00:00:00"/>
        <d v="2022-03-01T00:00:00"/>
        <d v="2022-03-02T00:00:00"/>
        <d v="2022-03-04T00:00:00"/>
        <d v="2022-03-05T00:00:00"/>
        <d v="2022-03-07T00:00:00"/>
        <d v="2022-03-08T00:00:00"/>
        <d v="2022-03-09T00:00:00"/>
        <d v="2022-03-10T00:00:00"/>
        <d v="2022-03-11T00:00:00"/>
        <d v="2022-03-12T00:00:00"/>
        <d v="2022-03-14T00:00:00"/>
        <d v="2022-03-15T00:00:00"/>
        <d v="2022-03-16T00:00:00"/>
        <d v="2022-03-17T00:00:00"/>
        <d v="2022-03-18T00:00:00"/>
        <d v="2022-03-19T00:00:00"/>
        <d v="2022-03-22T00:00:00"/>
        <d v="2022-03-23T00:00:00"/>
        <d v="2022-03-24T00:00:00"/>
        <d v="2022-03-26T00:00:00"/>
        <d v="2022-03-25T00:00:00"/>
        <d v="2022-03-28T00:00:00"/>
        <d v="2022-03-29T00:00:00"/>
        <d v="2022-03-30T00:00:00"/>
        <d v="2022-03-31T00:00:00"/>
        <d v="2022-04-01T00:00:00"/>
        <d v="2022-04-02T00:00:00"/>
        <d v="2022-04-04T00:00:00"/>
        <d v="2022-04-05T00:00:00"/>
        <d v="2022-04-06T00:00:00"/>
        <d v="2022-04-07T00:00:00"/>
        <d v="2022-04-08T00:00:00"/>
        <d v="2022-04-09T00:00:00"/>
        <d v="2022-04-11T00:00:00"/>
        <d v="2022-04-12T00:00:00"/>
        <d v="2022-04-13T00:00:00"/>
        <d v="2022-04-14T00:00:00"/>
        <d v="2022-04-15T00:00:00"/>
        <d v="2022-04-16T00:00:00"/>
        <d v="2022-04-18T00:00:00"/>
        <d v="2022-04-19T00:00:00"/>
        <d v="2022-04-20T00:00:00"/>
        <d v="2022-04-21T00:00:00"/>
        <d v="2022-04-22T00:00:00"/>
        <d v="2022-04-23T00:00:00"/>
        <d v="2022-04-25T00:00:00"/>
        <d v="2022-04-26T00:00:00"/>
        <d v="2022-04-27T00:00:00"/>
        <d v="2022-04-28T00:00:00"/>
        <d v="2022-04-29T00:00:00"/>
        <d v="2022-04-30T00:00:00"/>
        <d v="2022-05-02T00:00:00"/>
        <d v="2022-05-03T00:00:00"/>
        <d v="2022-05-04T00:00:00"/>
        <d v="2022-05-05T00:00:00"/>
        <d v="2022-05-06T00:00:00"/>
        <d v="2022-05-09T00:00:00"/>
        <d v="2022-05-10T00:00:00"/>
        <d v="2022-05-11T00:00:00"/>
        <d v="2022-05-12T00:00:00"/>
        <d v="2022-05-13T00:00:00"/>
        <d v="2022-05-14T00:00:00"/>
        <d v="2022-05-16T00:00:00"/>
        <d v="2022-05-17T00:00:00"/>
        <d v="2022-05-15T00:00:00"/>
        <d v="2022-05-18T00:00:00"/>
        <d v="2022-05-19T00:00:00"/>
        <d v="2022-05-21T00:00:00"/>
        <d v="2022-05-23T00:00:00"/>
        <d v="2022-05-24T00:00:00"/>
        <d v="2022-05-25T00:00:00"/>
        <d v="2022-05-26T00:00:00"/>
        <d v="2022-05-27T00:00:00"/>
        <d v="2022-05-28T00:00:00"/>
        <d v="2022-05-31T00:00:00"/>
        <d v="2022-06-01T00:00:00"/>
        <d v="2022-06-02T00:00:00"/>
        <d v="2022-06-03T00:00:00"/>
        <d v="2022-06-04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m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7T00:00:00"/>
        <d v="2022-06-28T00:00:00"/>
        <d v="2022-06-29T00:00:00"/>
        <d v="2022-06-30T00:00:00"/>
        <d v="2022-07-01T00:00:00"/>
        <d v="2022-07-02T00:00:00"/>
        <d v="2022-07-05T00:00:00"/>
        <d v="2022-07-06T00:00:00"/>
        <d v="2022-07-07T00:00:00"/>
        <d v="2022-07-08T00:00:00"/>
      </sharedItems>
      <fieldGroup base="0">
        <rangePr groupBy="months" startDate="2021-12-31T00:00:00" endDate="2022-07-09T00:00:00"/>
        <groupItems count="14">
          <s v="(en blanco)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9/07/2022"/>
        </groupItems>
      </fieldGroup>
    </cacheField>
    <cacheField name="NUMERO DE FACTURA" numFmtId="0">
      <sharedItems containsBlank="1" containsMixedTypes="1" containsNumber="1" containsInteger="1" minValue="32" maxValue="385"/>
    </cacheField>
    <cacheField name="CLIENTE" numFmtId="0">
      <sharedItems containsBlank="1"/>
    </cacheField>
    <cacheField name="MODELO" numFmtId="0">
      <sharedItems containsBlank="1"/>
    </cacheField>
    <cacheField name="PLACA" numFmtId="0">
      <sharedItems containsBlank="1" containsMixedTypes="1" containsNumber="1" containsInteger="1" minValue="72" maxValue="640000"/>
    </cacheField>
    <cacheField name="AREA" numFmtId="0">
      <sharedItems containsBlank="1" count="13">
        <s v="ELECTRICIDAD"/>
        <s v="LUIS BRITO"/>
        <s v="ALEJANDRO DIAZ"/>
        <s v="SAMIR VASQUEZ"/>
        <s v="DIEGO TORRES"/>
        <s v="LATONERIA Y PINTURA"/>
        <s v="SAID VASQUEZ"/>
        <s v="ANGHELO CUICAS"/>
        <m/>
        <s v="JOSE LUIS"/>
        <s v="JAVIER BRIÑE"/>
        <s v="ARMANDO ELECTRICISTA"/>
        <s v="ELECTRICISTA"/>
      </sharedItems>
    </cacheField>
    <cacheField name="DETALLES" numFmtId="0">
      <sharedItems containsMixedTypes="1" containsNumber="1" containsInteger="1" minValue="0" maxValue="0"/>
    </cacheField>
    <cacheField name="TOTAL FACTURA" numFmtId="164">
      <sharedItems containsString="0" containsBlank="1" containsNumber="1" containsInteger="1" minValue="5000" maxValue="2400000"/>
    </cacheField>
    <cacheField name="PORCENTAJE A CANCELAR" numFmtId="164">
      <sharedItems containsString="0" containsBlank="1" containsNumber="1" minValue="0" maxValue="960000"/>
    </cacheField>
    <cacheField name="GANANCIA POR SERVICIOS" numFmtId="164">
      <sharedItems containsBlank="1" containsMixedTypes="1" containsNumber="1" containsInteger="1" minValue="0" maxValue="960000"/>
    </cacheField>
    <cacheField name="REPUESTOS USADOS" numFmtId="0">
      <sharedItems containsBlank="1"/>
    </cacheField>
    <cacheField name="MONTO DE COMPRA" numFmtId="164">
      <sharedItems containsString="0" containsBlank="1" containsNumber="1" minValue="500" maxValue="1801000"/>
    </cacheField>
    <cacheField name="MONTO DE LA VENTA" numFmtId="164">
      <sharedItems containsString="0" containsBlank="1" containsNumber="1" minValue="1000" maxValue="2423000"/>
    </cacheField>
    <cacheField name="ESTATUS" numFmtId="0">
      <sharedItems containsBlank="1"/>
    </cacheField>
    <cacheField name="GANANCIA POR REPUESTOS" numFmtId="164">
      <sharedItems containsString="0" containsBlank="1" containsNumber="1" minValue="-264000" maxValue="189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ltiFrenos de la Sabana" refreshedDate="44944.443340046295" createdVersion="7" refreshedVersion="7" minRefreshableVersion="3" recordCount="808" xr:uid="{9456F462-EECB-46E3-8F4D-C8B959C03420}">
  <cacheSource type="worksheet">
    <worksheetSource name="Tabla2456711"/>
  </cacheSource>
  <cacheFields count="20">
    <cacheField name="FECHA" numFmtId="167">
      <sharedItems containsNonDate="0" containsDate="1" containsString="0" containsBlank="1" minDate="2022-07-01T00:00:00" maxDate="2022-12-31T00:00:00" count="152">
        <d v="2022-07-01T00:00:00"/>
        <d v="2022-07-02T00:00:00"/>
        <d v="2022-07-05T00:00:00"/>
        <d v="2022-07-06T00:00:00"/>
        <d v="2022-07-07T00:00:00"/>
        <d v="2022-07-08T00:00:00"/>
        <d v="2022-07-11T00:00:00"/>
        <d v="2022-07-12T00:00:00"/>
        <d v="2022-07-13T00:00:00"/>
        <d v="2022-07-14T00:00:00"/>
        <d v="2022-07-16T00:00:00"/>
        <d v="2022-07-18T00:00:00"/>
        <d v="2022-07-19T00:00:00"/>
        <d v="2022-07-21T00:00:00"/>
        <d v="2022-07-22T00:00:00"/>
        <d v="2022-07-23T00:00:00"/>
        <d v="2022-07-25T00:00:00"/>
        <d v="2022-07-26T00:00:00"/>
        <d v="2022-07-27T00:00:00"/>
        <d v="2022-07-28T00:00:00"/>
        <d v="2022-07-29T00:00:00"/>
        <d v="2022-07-30T00:00:00"/>
        <d v="2022-08-01T00:00:00"/>
        <d v="2022-08-02T00:00:00"/>
        <d v="2022-08-03T00:00:00"/>
        <d v="2022-08-04T00:00:00"/>
        <d v="2022-08-05T00:00:00"/>
        <d v="2022-08-06T00:00:00"/>
        <d v="2022-08-08T00:00:00"/>
        <d v="2022-08-09T00:00:00"/>
        <d v="2022-08-10T00:00:00"/>
        <d v="2022-08-11T00:00:00"/>
        <d v="2022-08-19T00:00:00"/>
        <d v="2022-08-12T00:00:00"/>
        <d v="2022-08-13T00:00:00"/>
        <d v="2022-08-15T00:00:00"/>
        <d v="2022-08-16T00:00:00"/>
        <d v="2022-08-17T00:00:00"/>
        <d v="2022-08-18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9T00:00:00"/>
        <d v="2022-08-30T00:00:00"/>
        <m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2T00:00:00"/>
        <d v="2022-09-13T00:00:00"/>
        <d v="2022-09-14T00:00:00"/>
        <d v="2022-09-15T00:00:00"/>
        <d v="2022-09-16T00:00:00"/>
        <d v="2022-09-17T00:00:00"/>
        <d v="2022-09-19T00:00:00"/>
        <d v="2022-09-20T00:00:00"/>
        <d v="2022-09-21T00:00:00"/>
        <d v="2022-09-23T00:00:00"/>
        <d v="2022-09-24T00:00:00"/>
        <d v="2022-09-26T00:00:00"/>
        <d v="2022-09-27T00:00:00"/>
        <d v="2022-09-28T00:00:00"/>
        <d v="2022-09-29T00:00:00"/>
        <d v="2022-09-30T00:00:00"/>
        <d v="2022-10-01T00:00:00"/>
        <d v="2022-10-03T00:00:00"/>
        <d v="2022-10-04T00:00:00"/>
        <d v="2022-10-05T00:00:00"/>
        <d v="2022-10-06T00:00:00"/>
        <d v="2022-10-07T00:00:00"/>
        <d v="2022-10-08T00:00:00"/>
        <d v="2022-10-10T00:00:00"/>
        <d v="2022-10-11T00:00:00"/>
        <d v="2022-10-12T00:00:00"/>
        <d v="2022-10-13T00:00:00"/>
        <d v="2022-10-14T00:00:00"/>
        <d v="2022-10-15T00:00:00"/>
        <d v="2022-10-18T00:00:00"/>
        <d v="2022-10-19T00:00:00"/>
        <d v="2022-10-20T00:00:00"/>
        <d v="2022-10-21T00:00:00"/>
        <d v="2022-10-22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8T00:00:00"/>
        <d v="2022-11-09T00:00:00"/>
        <d v="2022-11-10T00:00:00"/>
        <d v="2022-11-11T00:00:00"/>
        <d v="2022-11-12T00:00:00"/>
        <d v="2022-11-15T00:00:00"/>
        <d v="2022-11-25T00:00:00"/>
        <d v="2022-11-16T00:00:00"/>
        <d v="2022-11-17T00:00:00"/>
        <d v="2022-11-18T00:00:00"/>
        <d v="2022-11-19T00:00:00"/>
        <d v="2022-11-21T00:00:00"/>
        <d v="2022-11-22T00:00:00"/>
        <d v="2022-11-23T00:00:00"/>
        <d v="2022-11-24T00:00:00"/>
        <d v="2022-11-26T00:00:00"/>
        <d v="2022-11-28T00:00:00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8T00:00:00"/>
        <d v="2022-12-09T00:00:00"/>
        <d v="2022-12-10T00:00:00"/>
        <d v="2022-12-12T00:00:00"/>
        <d v="2022-12-13T00:00:00"/>
        <d v="2022-12-14T00:00:00"/>
        <d v="2022-12-15T00:00:00"/>
        <d v="2022-12-16T00:00:00"/>
        <d v="2022-12-17T00:00:00"/>
        <d v="2022-12-19T00:00:00"/>
        <d v="2022-12-20T00:00:00"/>
        <d v="2022-12-21T00:00:00"/>
        <d v="2022-12-22T00:00:00"/>
        <d v="2022-12-23T00:00:00"/>
        <d v="2022-12-24T00:00:00"/>
        <d v="2022-12-26T00:00:00"/>
        <d v="2022-12-27T00:00:00"/>
        <d v="2022-12-28T00:00:00"/>
        <d v="2022-12-29T00:00:00"/>
        <d v="2022-12-30T00:00:00"/>
      </sharedItems>
      <fieldGroup base="0">
        <rangePr groupBy="months" startDate="2022-07-01T00:00:00" endDate="2022-12-31T00:00:00"/>
        <groupItems count="14">
          <s v="(en blanco)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1/12/2022"/>
        </groupItems>
      </fieldGroup>
    </cacheField>
    <cacheField name="NUMERO DE FACTURA" numFmtId="0">
      <sharedItems containsBlank="1" containsMixedTypes="1" containsNumber="1" containsInteger="1" minValue="361" maxValue="361"/>
    </cacheField>
    <cacheField name="CLIENTE" numFmtId="0">
      <sharedItems containsBlank="1"/>
    </cacheField>
    <cacheField name="MODELO" numFmtId="0">
      <sharedItems containsBlank="1"/>
    </cacheField>
    <cacheField name="PLACA" numFmtId="0">
      <sharedItems containsBlank="1"/>
    </cacheField>
    <cacheField name="AREA" numFmtId="0">
      <sharedItems containsBlank="1" count="22">
        <s v="DIEGO TORRES"/>
        <s v="JAVIER BRIÑE"/>
        <s v="LUIS BRITO"/>
        <s v="SAID VASQUEZ"/>
        <s v="SAMIR VASQUEZ"/>
        <s v="ELECTRICIDAD"/>
        <s v="ALEJANDRO DIAZ"/>
        <s v="ANGHELO CUICAS"/>
        <s v="ANGHELO CUICAS /JAVIER BRIÑE"/>
        <s v="LUIS BRITO / SAID VASQUEZ"/>
        <s v="LUIS BRITO/SAID VASQUEZ"/>
        <s v="LUIS B/ SAID VASQUEZ"/>
        <s v="LUIS BRITO/ SAID VASQUEZ"/>
        <s v="JOSE LUIS ELECTRICISTA"/>
        <s v="ANGHELO CUICAS/JAVIER BRIÑE"/>
        <s v="SAID VASQUEZ/ LUIS BRITO"/>
        <m/>
        <s v="TFP-394"/>
        <s v="EDWIN EXOSTO"/>
        <s v="EDWIN (EXOSTO)"/>
        <s v="RENY VASQUEZ"/>
        <s v="ILVAR MORENO"/>
      </sharedItems>
    </cacheField>
    <cacheField name="DETALLES" numFmtId="0">
      <sharedItems containsBlank="1"/>
    </cacheField>
    <cacheField name="TOTAL FACTURA" numFmtId="164">
      <sharedItems containsBlank="1" containsMixedTypes="1" containsNumber="1" containsInteger="1" minValue="5000" maxValue="1400000"/>
    </cacheField>
    <cacheField name="PORCENTAJE A CANCELAR" numFmtId="164">
      <sharedItems containsString="0" containsBlank="1" containsNumber="1" minValue="0" maxValue="840000"/>
    </cacheField>
    <cacheField name="GANANCIA POR SERVICIOS" numFmtId="164">
      <sharedItems containsBlank="1" containsMixedTypes="1" containsNumber="1" minValue="-200000" maxValue="894000.00000000012"/>
    </cacheField>
    <cacheField name="REPUESTOS USADOS" numFmtId="0">
      <sharedItems containsBlank="1" containsMixedTypes="1" containsNumber="1" containsInteger="1" minValue="0" maxValue="0"/>
    </cacheField>
    <cacheField name="MONTO DE COMPRA" numFmtId="164">
      <sharedItems containsString="0" containsBlank="1" containsNumber="1" minValue="500" maxValue="3280000"/>
    </cacheField>
    <cacheField name="Columna1" numFmtId="164">
      <sharedItems containsString="0" containsBlank="1" containsNumber="1" minValue="0" maxValue="1415966.3865546219"/>
    </cacheField>
    <cacheField name="IV COMPRA" numFmtId="164">
      <sharedItems containsString="0" containsBlank="1" containsNumber="1" minValue="0" maxValue="269033.61344537814"/>
    </cacheField>
    <cacheField name="VENTA " numFmtId="164">
      <sharedItems containsString="0" containsBlank="1" containsNumber="1" minValue="1000" maxValue="10026001"/>
    </cacheField>
    <cacheField name="Columna2" numFmtId="164">
      <sharedItems containsString="0" containsBlank="1" containsNumber="1" minValue="0" maxValue="8425210.9243697487"/>
    </cacheField>
    <cacheField name="IVA VENTA " numFmtId="164">
      <sharedItems containsString="0" containsBlank="1" containsNumber="1" minValue="0" maxValue="1600790.0756302522"/>
    </cacheField>
    <cacheField name="DIFERENCIA IVA " numFmtId="164">
      <sharedItems containsString="0" containsBlank="1" containsNumber="1" minValue="-50613.445378151264" maxValue="1600790.0756302522"/>
    </cacheField>
    <cacheField name="GANACIA  REPUESTOS" numFmtId="164">
      <sharedItems containsString="0" containsBlank="1" containsNumber="1" minValue="-236974.78991596639" maxValue="5415210.9243697478"/>
    </cacheField>
    <cacheField name="ESTATUS" numFmtId="16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3">
  <r>
    <d v="2022-10-01T00:00:00"/>
    <m/>
    <m/>
    <s v="SNR-047"/>
    <s v="JAC"/>
    <x v="0"/>
    <s v="GRADUACION DE FRENOS"/>
    <n v="10000"/>
    <n v="7000"/>
    <n v="3000"/>
    <m/>
    <m/>
    <n v="0"/>
    <n v="0"/>
    <m/>
    <n v="0"/>
    <n v="0"/>
    <n v="0"/>
    <n v="0"/>
    <m/>
  </r>
  <r>
    <d v="2022-10-01T00:00:00"/>
    <m/>
    <m/>
    <m/>
    <m/>
    <x v="0"/>
    <s v="SERVICIO DE ESCANER"/>
    <n v="60000"/>
    <n v="42000"/>
    <n v="18000"/>
    <m/>
    <m/>
    <n v="0"/>
    <n v="0"/>
    <m/>
    <n v="0"/>
    <n v="0"/>
    <n v="0"/>
    <n v="0"/>
    <m/>
  </r>
  <r>
    <d v="2022-10-01T00:00:00"/>
    <s v="FE:143/RM:287"/>
    <s v="YALILA MONCAYA"/>
    <s v="FZR-739"/>
    <s v="FIAT UNO"/>
    <x v="0"/>
    <s v="CAMBIO DE PASTILLAS DELANTERAS"/>
    <n v="30000"/>
    <n v="21000"/>
    <n v="9000"/>
    <s v="PASTILLAS DELANTERAS"/>
    <n v="140000"/>
    <n v="117647.05882352941"/>
    <n v="22352.941176470587"/>
    <n v="195000"/>
    <n v="163865.5462184874"/>
    <n v="31134.453781512606"/>
    <n v="8781.5126050420185"/>
    <n v="46218.487394957978"/>
    <m/>
  </r>
  <r>
    <d v="2022-10-01T00:00:00"/>
    <s v="FE:144"/>
    <s v="GERMAN PIRANEQUE"/>
    <s v="MUS-526"/>
    <s v="FORD ESPACE"/>
    <x v="0"/>
    <s v="CAMBIO DE PASTILLAS TRASERAS"/>
    <n v="30000"/>
    <n v="21000"/>
    <n v="9000"/>
    <s v="PASTILLAS TRASERAS"/>
    <n v="92000"/>
    <n v="77310.924369747896"/>
    <n v="14689.0756302521"/>
    <n v="125000"/>
    <n v="105042.01680672269"/>
    <n v="19957.983193277312"/>
    <n v="5268.9075630252119"/>
    <n v="27731.092436974781"/>
    <m/>
  </r>
  <r>
    <d v="2022-10-01T00:00:00"/>
    <s v="FE:140"/>
    <s v="VICTOR VELAZQUEZ"/>
    <s v="WTM-959"/>
    <s v="SPARK"/>
    <x v="0"/>
    <s v="CAMBIO DE PUNTAS DE EJE"/>
    <n v="100000"/>
    <n v="70000"/>
    <n v="30000"/>
    <m/>
    <m/>
    <n v="0"/>
    <n v="0"/>
    <m/>
    <n v="0"/>
    <n v="0"/>
    <n v="0"/>
    <n v="0"/>
    <m/>
  </r>
  <r>
    <d v="2022-10-03T00:00:00"/>
    <m/>
    <m/>
    <s v="UFX-880"/>
    <s v="GRUA"/>
    <x v="0"/>
    <s v="GRADUACION DE FRENOS"/>
    <n v="10000"/>
    <n v="7000"/>
    <n v="3000"/>
    <m/>
    <m/>
    <n v="0"/>
    <n v="0"/>
    <m/>
    <n v="0"/>
    <n v="0"/>
    <n v="0"/>
    <n v="0"/>
    <m/>
  </r>
  <r>
    <d v="2022-10-03T00:00:00"/>
    <s v="FE:145"/>
    <s v="PRODUCTOS FAMILIA"/>
    <s v="SNZ-697"/>
    <s v="HINO"/>
    <x v="0"/>
    <s v="BAJAR RUEDA TRASERA DERECHA"/>
    <n v="50000"/>
    <n v="35000"/>
    <n v="15000"/>
    <s v="4 CHUPAS Y GUARDAPOLVOS"/>
    <n v="23600"/>
    <n v="19831.932773109245"/>
    <n v="3768.0672268907565"/>
    <n v="46000"/>
    <n v="38655.462184873948"/>
    <n v="7344.5378151260502"/>
    <n v="3576.4705882352937"/>
    <n v="18823.529411764706"/>
    <m/>
  </r>
  <r>
    <d v="2022-10-03T00:00:00"/>
    <s v="FE:146"/>
    <s v="FRESKIFRUTA"/>
    <s v="TLO-165"/>
    <s v="DFSK"/>
    <x v="0"/>
    <s v="CAMBIO DE DISCOS DEL"/>
    <n v="50000"/>
    <n v="35000"/>
    <n v="15000"/>
    <s v="DISCOS DELANTEROS"/>
    <n v="330000"/>
    <m/>
    <n v="0"/>
    <n v="430000"/>
    <n v="361344.53781512607"/>
    <n v="68655.462184873948"/>
    <n v="68655.462184873948"/>
    <n v="31344.537815126067"/>
    <m/>
  </r>
  <r>
    <d v="2022-10-04T00:00:00"/>
    <s v="FE:147"/>
    <s v="MARIANA ROMERO"/>
    <s v="ZIX-975"/>
    <s v="NISSAN"/>
    <x v="0"/>
    <s v="CAMBIO DE RODAMIENTO TRASERO"/>
    <n v="50000"/>
    <n v="35000"/>
    <n v="15000"/>
    <s v="RODAMIENTO TRASERO"/>
    <n v="90000"/>
    <n v="75630.252100840342"/>
    <n v="14369.747899159665"/>
    <n v="115000"/>
    <n v="96638.655462184877"/>
    <n v="18361.344537815126"/>
    <n v="3991.596638655461"/>
    <n v="21008.403361344535"/>
    <m/>
  </r>
  <r>
    <d v="2022-10-04T00:00:00"/>
    <s v="RM:289"/>
    <s v="OSCASR RANGEL"/>
    <s v="CYV-936"/>
    <s v="CLIO"/>
    <x v="0"/>
    <s v="BAJAR MANGUERA DEL HIDRAULICO"/>
    <n v="200000"/>
    <n v="140000"/>
    <n v="60000"/>
    <m/>
    <m/>
    <n v="0"/>
    <n v="0"/>
    <m/>
    <n v="0"/>
    <n v="0"/>
    <n v="0"/>
    <n v="0"/>
    <m/>
  </r>
  <r>
    <d v="2022-10-04T00:00:00"/>
    <s v="RM:288"/>
    <s v="JULIAN VICENTE"/>
    <s v="SYM-628"/>
    <s v="MAZDA"/>
    <x v="0"/>
    <s v="GRADUACION DE FRENOS/ REVISION"/>
    <n v="80000"/>
    <n v="56000"/>
    <n v="24000"/>
    <s v="6 CHUPAS"/>
    <n v="18000"/>
    <n v="15126.050420168069"/>
    <n v="2873.9495798319331"/>
    <n v="110000"/>
    <n v="92436.97478991597"/>
    <n v="17563.025210084033"/>
    <n v="14689.0756302521"/>
    <n v="77310.924369747896"/>
    <m/>
  </r>
  <r>
    <d v="2022-10-04T00:00:00"/>
    <s v="FE: 149"/>
    <s v="VERDECERES"/>
    <s v="SPL-963"/>
    <s v="NNR"/>
    <x v="0"/>
    <s v="CAMBIO DE BANDAS FRENO DE MANO"/>
    <n v="30000"/>
    <n v="21000"/>
    <n v="9000"/>
    <m/>
    <m/>
    <n v="0"/>
    <n v="0"/>
    <m/>
    <n v="0"/>
    <n v="0"/>
    <n v="0"/>
    <n v="0"/>
    <m/>
  </r>
  <r>
    <d v="2022-10-04T00:00:00"/>
    <s v="FE: 149"/>
    <s v="VERDECERES"/>
    <s v="SPL-963"/>
    <s v="NNR"/>
    <x v="1"/>
    <s v="CAMBIAR CRUCETA DE CARDAN / BALINERA"/>
    <n v="80000"/>
    <n v="56000"/>
    <n v="24000"/>
    <m/>
    <m/>
    <n v="0"/>
    <n v="0"/>
    <m/>
    <n v="0"/>
    <n v="0"/>
    <n v="0"/>
    <n v="0"/>
    <m/>
  </r>
  <r>
    <d v="2022-10-04T00:00:00"/>
    <s v="FE: 149"/>
    <s v="VERDECERES"/>
    <s v="SPL-963"/>
    <s v="NNR"/>
    <x v="2"/>
    <s v="MANTENIMIENTO ELECTRICO / CAMBIO DE PITOS"/>
    <n v="70000"/>
    <n v="70000"/>
    <s v="-"/>
    <m/>
    <m/>
    <n v="0"/>
    <n v="0"/>
    <m/>
    <n v="0"/>
    <n v="0"/>
    <n v="0"/>
    <n v="0"/>
    <m/>
  </r>
  <r>
    <d v="2022-10-05T00:00:00"/>
    <s v="RM:290"/>
    <s v="FRESKIFRUTA"/>
    <s v="TLO-165"/>
    <s v="DFSK"/>
    <x v="0"/>
    <s v="SINCRONIZACION, BAJAR RUEDA"/>
    <n v="200000"/>
    <n v="140000"/>
    <n v="60000"/>
    <s v="UNION 3/16"/>
    <n v="5000"/>
    <n v="4201.680672268908"/>
    <n v="798.31932773109247"/>
    <n v="20000"/>
    <n v="16806.722689075632"/>
    <n v="3193.2773109243699"/>
    <n v="2394.9579831932774"/>
    <n v="12605.042016806723"/>
    <m/>
  </r>
  <r>
    <d v="2022-10-05T00:00:00"/>
    <s v="FE:152/RM:291"/>
    <s v="IVAN BOORGE"/>
    <s v="IRM-601"/>
    <s v="KIA CARENS"/>
    <x v="0"/>
    <s v="CAMBIO DE PASTILLAS DEL, CAMBIO DE ESPARRAGO"/>
    <n v="40000"/>
    <n v="28000"/>
    <n v="12000"/>
    <s v="PASTILLAS DEL, ESPARRAGO"/>
    <n v="157000"/>
    <n v="131932.77310924372"/>
    <n v="25067.226890756305"/>
    <n v="210000"/>
    <n v="176470.58823529413"/>
    <n v="33529.411764705881"/>
    <n v="8462.1848739495763"/>
    <n v="44537.815126050438"/>
    <m/>
  </r>
  <r>
    <d v="2022-10-05T00:00:00"/>
    <m/>
    <m/>
    <s v="SKZ-264"/>
    <s v="VOLKSWAGEN TRANSPORTE"/>
    <x v="3"/>
    <s v="DESVARE"/>
    <n v="30000"/>
    <m/>
    <n v="30000"/>
    <m/>
    <m/>
    <n v="0"/>
    <n v="0"/>
    <m/>
    <n v="0"/>
    <n v="0"/>
    <n v="0"/>
    <n v="0"/>
    <m/>
  </r>
  <r>
    <d v="2022-10-06T00:00:00"/>
    <m/>
    <s v="PETROSERVICES"/>
    <s v="ERL-529"/>
    <s v="JAC"/>
    <x v="3"/>
    <s v="GRADUACION DE FRENOS"/>
    <n v="10000"/>
    <m/>
    <n v="10000"/>
    <m/>
    <m/>
    <n v="0"/>
    <n v="0"/>
    <m/>
    <n v="0"/>
    <n v="0"/>
    <n v="0"/>
    <n v="0"/>
    <m/>
  </r>
  <r>
    <d v="2022-10-06T00:00:00"/>
    <m/>
    <s v="SASTOQUE"/>
    <m/>
    <s v="LAND ROVER"/>
    <x v="0"/>
    <s v="CAMBIO DE TUBO "/>
    <n v="30000"/>
    <n v="30000"/>
    <n v="0"/>
    <m/>
    <m/>
    <n v="0"/>
    <n v="0"/>
    <m/>
    <n v="0"/>
    <n v="0"/>
    <n v="0"/>
    <n v="0"/>
    <m/>
  </r>
  <r>
    <d v="2022-10-06T00:00:00"/>
    <m/>
    <m/>
    <s v="SCR-"/>
    <s v="F-350"/>
    <x v="1"/>
    <s v="MEDIR PRESION DE COMBUSTIBLE"/>
    <n v="20000"/>
    <n v="14000"/>
    <n v="6000"/>
    <m/>
    <m/>
    <n v="0"/>
    <n v="0"/>
    <m/>
    <n v="0"/>
    <n v="0"/>
    <n v="0"/>
    <n v="0"/>
    <m/>
  </r>
  <r>
    <d v="2022-10-06T00:00:00"/>
    <s v="FE:154"/>
    <s v="RAFAEL VASQUEZ"/>
    <s v="GMR-143"/>
    <s v="VITARA"/>
    <x v="0"/>
    <s v="MANTENIMIENTO DE FRENOS, CAMBIO DE LIQUIDO"/>
    <n v="120000"/>
    <n v="84000"/>
    <n v="36000"/>
    <m/>
    <m/>
    <n v="0"/>
    <n v="0"/>
    <m/>
    <n v="0"/>
    <n v="0"/>
    <n v="0"/>
    <n v="0"/>
    <m/>
  </r>
  <r>
    <d v="2022-10-06T00:00:00"/>
    <m/>
    <s v="JOHAN ALVEIRO GUZMAN"/>
    <s v="BLN-256"/>
    <s v="DAIHATSU"/>
    <x v="0"/>
    <s v="REVISION"/>
    <n v="20000"/>
    <n v="14000"/>
    <n v="6000"/>
    <m/>
    <m/>
    <n v="0"/>
    <n v="0"/>
    <m/>
    <n v="0"/>
    <n v="0"/>
    <n v="0"/>
    <n v="0"/>
    <m/>
  </r>
  <r>
    <d v="2022-10-06T00:00:00"/>
    <s v="FE:158/FE:160"/>
    <s v="OCATI"/>
    <s v="RNS-177"/>
    <s v="VITARA"/>
    <x v="0"/>
    <s v="SINCRONIZACION-REVISION GUAYA VELOCIMETRO-MATTO RUEDAS LIBRES"/>
    <n v="260000"/>
    <n v="182000"/>
    <n v="78000"/>
    <m/>
    <m/>
    <n v="0"/>
    <n v="0"/>
    <m/>
    <n v="0"/>
    <n v="0"/>
    <n v="0"/>
    <n v="0"/>
    <m/>
  </r>
  <r>
    <d v="2022-10-06T00:00:00"/>
    <s v="FE:40"/>
    <s v="JHON RODRIGUEZ"/>
    <s v="DDR-574"/>
    <s v="VW GOL"/>
    <x v="0"/>
    <s v="CAMBIO DE RODAMIENTOS TRASEROS"/>
    <n v="50000"/>
    <n v="35000"/>
    <n v="15000"/>
    <s v="RODAMIENTOS TRASEROS"/>
    <n v="120000"/>
    <n v="100840.33613445378"/>
    <n v="19159.663865546219"/>
    <n v="156000"/>
    <n v="131092.43697478992"/>
    <n v="24907.563025210085"/>
    <n v="5747.8991596638662"/>
    <n v="30252.100840336134"/>
    <m/>
  </r>
  <r>
    <d v="2022-10-06T00:00:00"/>
    <s v="RM:292"/>
    <s v="ANGEL MALANGA"/>
    <s v="BRX-793"/>
    <s v="CITROEN"/>
    <x v="1"/>
    <s v="CAMBIO E SOPORTE DE CAJA / CAUCHO / COPA CAJA / CAMBIO DE TRICETA"/>
    <n v="250000"/>
    <n v="175000"/>
    <n v="75000"/>
    <m/>
    <m/>
    <n v="0"/>
    <n v="0"/>
    <m/>
    <n v="0"/>
    <n v="0"/>
    <n v="0"/>
    <n v="0"/>
    <m/>
  </r>
  <r>
    <d v="2022-10-06T00:00:00"/>
    <s v="FE:155/RM:293"/>
    <s v="KEVIN MONTAÑEZ"/>
    <s v="RNV-662"/>
    <s v="LOGAN"/>
    <x v="1"/>
    <s v="SINCRONIZACION/ BAJAR CAJA DE REPARTICION"/>
    <n v="500000"/>
    <n v="350000"/>
    <n v="150000"/>
    <s v="LIQUIDO/ FUSIBLES-RETENEDOR VOLANTE/ KIT DE CLOSH/ EMPAQUES DEL CARTER/ CORREA DE REPARTICION/ GP LADO CAJA/ MUÑECOS/ BUJE PUENTES TRASERO"/>
    <n v="713500"/>
    <n v="599579.83193277312"/>
    <n v="113920.1680672269"/>
    <n v="1013000"/>
    <n v="851260.50420168065"/>
    <n v="161739.49579831932"/>
    <n v="47819.327731092417"/>
    <n v="251680.67226890754"/>
    <m/>
  </r>
  <r>
    <d v="2022-10-06T00:00:00"/>
    <s v="FE:155/RM:293"/>
    <s v="KEVIN MONTAÑEZ"/>
    <s v="RNV-662"/>
    <s v="LOGAN"/>
    <x v="0"/>
    <s v="REVISION DE FRENOS /CAMBIO DE LIQUIDO/ CAMBIO DE BUJES PUENTE TRASERO"/>
    <n v="320000"/>
    <n v="224000"/>
    <n v="96000"/>
    <m/>
    <m/>
    <n v="0"/>
    <n v="0"/>
    <m/>
    <n v="0"/>
    <n v="0"/>
    <n v="0"/>
    <n v="0"/>
    <m/>
  </r>
  <r>
    <d v="2022-10-06T00:00:00"/>
    <s v="FE:155/RM:293"/>
    <s v="KEVIN MONTAÑEZ"/>
    <s v="RNV-662"/>
    <s v="LOGAN"/>
    <x v="4"/>
    <s v="EXOSTO"/>
    <n v="220000"/>
    <n v="135000"/>
    <n v="85000"/>
    <s v="PRESILENCIADOR"/>
    <m/>
    <m/>
    <n v="0"/>
    <m/>
    <n v="0"/>
    <n v="0"/>
    <n v="0"/>
    <n v="0"/>
    <m/>
  </r>
  <r>
    <d v="2022-10-06T00:00:00"/>
    <s v="RM:295"/>
    <s v="JUAN ANDRES CAMERO"/>
    <s v="RJS-738"/>
    <s v="AVEO"/>
    <x v="0"/>
    <s v="SINCRONIZACION"/>
    <n v="130000"/>
    <n v="91000"/>
    <n v="39000"/>
    <s v="BUJIAS"/>
    <n v="40000"/>
    <n v="33613.445378151264"/>
    <n v="6386.5546218487398"/>
    <n v="52000"/>
    <m/>
    <m/>
    <m/>
    <n v="12000"/>
    <m/>
  </r>
  <r>
    <d v="2022-10-07T00:00:00"/>
    <m/>
    <s v="CLARA"/>
    <s v="RKV-033"/>
    <s v="LOGAN"/>
    <x v="1"/>
    <s v="BAJAR KIT DE CLOSH"/>
    <n v="100000"/>
    <n v="100000"/>
    <n v="0"/>
    <m/>
    <m/>
    <n v="0"/>
    <n v="0"/>
    <m/>
    <n v="0"/>
    <n v="0"/>
    <n v="0"/>
    <n v="0"/>
    <m/>
  </r>
  <r>
    <d v="2022-10-07T00:00:00"/>
    <s v="RM:296"/>
    <s v="LICETH TRIANA"/>
    <s v="RDR-398"/>
    <s v="VITARA"/>
    <x v="1"/>
    <s v="CAMBIAR GUAYA DE CLOSH"/>
    <n v="30000"/>
    <n v="21000"/>
    <n v="9000"/>
    <s v="GUAYA DE CLOSH"/>
    <n v="60000"/>
    <m/>
    <n v="0"/>
    <n v="90000"/>
    <m/>
    <n v="0"/>
    <n v="0"/>
    <n v="30000"/>
    <m/>
  </r>
  <r>
    <d v="2022-10-08T00:00:00"/>
    <s v="RM:301/FE:161"/>
    <s v="CAMILO BUITRIAGO"/>
    <s v="CYP-308"/>
    <s v="AVEO"/>
    <x v="0"/>
    <s v="CAMBIO SOPORTE DE CAJA /MTTO TRASERO"/>
    <n v="60000"/>
    <n v="42000"/>
    <n v="18000"/>
    <s v="SOPORTE DE CAJA "/>
    <n v="90000"/>
    <n v="75630.252100840342"/>
    <n v="14369.747899159665"/>
    <n v="120000"/>
    <n v="100840.33613445378"/>
    <n v="19159.663865546219"/>
    <n v="4789.9159663865539"/>
    <n v="25210.084033613442"/>
    <m/>
  </r>
  <r>
    <d v="2022-10-08T00:00:00"/>
    <m/>
    <m/>
    <s v="HB-909"/>
    <s v="HUMMER"/>
    <x v="0"/>
    <s v="CAMBIO DE BUJE RUEDA AMORTIGUADOR"/>
    <n v="30000"/>
    <n v="21000"/>
    <n v="9000"/>
    <m/>
    <m/>
    <n v="0"/>
    <n v="0"/>
    <m/>
    <n v="0"/>
    <n v="0"/>
    <n v="0"/>
    <n v="0"/>
    <m/>
  </r>
  <r>
    <d v="2022-10-08T00:00:00"/>
    <m/>
    <m/>
    <s v="SXZ-171"/>
    <s v="GRUA"/>
    <x v="0"/>
    <s v="GRADUACION DE FRENOS"/>
    <n v="10000"/>
    <n v="7000"/>
    <n v="3000"/>
    <m/>
    <m/>
    <n v="0"/>
    <n v="0"/>
    <m/>
    <n v="0"/>
    <n v="0"/>
    <n v="0"/>
    <n v="0"/>
    <m/>
  </r>
  <r>
    <d v="2022-10-08T00:00:00"/>
    <s v="RM:297"/>
    <s v="PEDRO GUATAME"/>
    <s v="FVR-612"/>
    <s v="FOTON"/>
    <x v="0"/>
    <s v="CAMBIAR MUÑECOS"/>
    <n v="40000"/>
    <n v="28000"/>
    <n v="12000"/>
    <m/>
    <m/>
    <n v="0"/>
    <n v="0"/>
    <m/>
    <n v="0"/>
    <n v="0"/>
    <n v="0"/>
    <n v="0"/>
    <m/>
  </r>
  <r>
    <d v="2022-10-08T00:00:00"/>
    <s v="RM:298"/>
    <s v="DANIEL GALEANO"/>
    <s v="LFV-521"/>
    <s v="JMC"/>
    <x v="0"/>
    <s v="CAMBIAR DIAFRAGMA DE FRENOS"/>
    <n v="30000"/>
    <n v="21000"/>
    <n v="9000"/>
    <s v="DIFRAGMA DE FRENO DE AHOHO"/>
    <n v="20000"/>
    <m/>
    <n v="0"/>
    <n v="40000"/>
    <m/>
    <n v="0"/>
    <n v="0"/>
    <n v="20000"/>
    <m/>
  </r>
  <r>
    <d v="2022-10-08T00:00:00"/>
    <s v="RM:299"/>
    <s v="JHON RUIZ"/>
    <s v="HBK-013"/>
    <s v="FORD"/>
    <x v="0"/>
    <s v="PULGAR FRENOS/ REVISION RUEDA/ CAMBIO DE LIQUIDO"/>
    <n v="100000"/>
    <n v="70000"/>
    <n v="30000"/>
    <s v="LIQUIDODOT3"/>
    <n v="6336"/>
    <n v="5324.3697478991598"/>
    <n v="1011.6302521008404"/>
    <n v="15000"/>
    <m/>
    <n v="0"/>
    <n v="-1011.6302521008404"/>
    <n v="9675.6302521008402"/>
    <m/>
  </r>
  <r>
    <d v="2022-10-08T00:00:00"/>
    <s v="RM:299"/>
    <s v="JHON RUIZ"/>
    <s v="HBK-013"/>
    <s v="FORD"/>
    <x v="3"/>
    <s v="SERVICIO DE ESCANER"/>
    <n v="50000"/>
    <m/>
    <n v="50000"/>
    <m/>
    <m/>
    <n v="0"/>
    <n v="0"/>
    <m/>
    <n v="0"/>
    <n v="0"/>
    <n v="0"/>
    <n v="0"/>
    <m/>
  </r>
  <r>
    <d v="2022-10-08T00:00:00"/>
    <s v="FE:260"/>
    <s v="GUSTAVO DIAZ"/>
    <s v="HTS-557"/>
    <s v="TRAILBLAZEER"/>
    <x v="0"/>
    <s v="CAMBIO DE PASTILLAS DEL. Y TRASERAS"/>
    <n v="60000"/>
    <n v="42000"/>
    <n v="18000"/>
    <s v="PASTILLAS DEL /PASTILLAS TRASERAS"/>
    <n v="282000"/>
    <n v="236974.78991596639"/>
    <n v="45025.210084033613"/>
    <m/>
    <n v="0"/>
    <n v="0"/>
    <n v="-45025.210084033613"/>
    <n v="-236974.78991596639"/>
    <m/>
  </r>
  <r>
    <d v="2022-10-10T00:00:00"/>
    <s v="FE:164/RM:304"/>
    <s v="WILLIAM DIAZ"/>
    <s v="MBZ-195"/>
    <s v="AVEO"/>
    <x v="0"/>
    <s v="CAMBIO DE AMORTIGUADORES DEL./ MUÑECOS/TOPES DE AMORTIGUADORES /RODAMIENTO DE TOPES "/>
    <n v="130000"/>
    <n v="91000"/>
    <n v="39000"/>
    <s v="AMORTIGUADORES DEL./ MUÑECOS/TOPES DE AMORTIGUADORES /RODAMIENTO DE TOPES "/>
    <n v="436642.38"/>
    <n v="366926.36974789918"/>
    <n v="69716.010252100852"/>
    <n v="590000"/>
    <n v="495798.31932773109"/>
    <n v="94201.680672268907"/>
    <n v="24485.670420168055"/>
    <n v="128871.94957983191"/>
    <m/>
  </r>
  <r>
    <d v="2022-10-10T00:00:00"/>
    <s v="FE:163/RM:302"/>
    <s v="JOSE MADRID"/>
    <s v="BSZ-595"/>
    <s v="TWINGO"/>
    <x v="0"/>
    <s v="CAMBIO DE TIJERA, BRAZO AXIAL, LIQUIDO, CHUPAS"/>
    <n v="155000"/>
    <n v="108500"/>
    <n v="46500"/>
    <s v="CAMBIO DE TIJERA, BRAZO AXIAL, LIQUIDO, CHUPAS, ABRAZADERA PLASTICA"/>
    <n v="217400"/>
    <n v="182689.0756302521"/>
    <n v="34710.924369747903"/>
    <n v="301000"/>
    <n v="252941.17647058825"/>
    <n v="48058.823529411769"/>
    <n v="13347.899159663866"/>
    <n v="70252.100840336119"/>
    <m/>
  </r>
  <r>
    <d v="2022-10-10T00:00:00"/>
    <s v="RM:303"/>
    <s v="CAMILO BUITRIAGO"/>
    <s v="CYP-308"/>
    <s v="AVEO"/>
    <x v="0"/>
    <s v="SINCRONIZACION/ CAMBIO SOPORTE DE CAJA"/>
    <n v="150000"/>
    <n v="105000"/>
    <n v="45000"/>
    <m/>
    <m/>
    <n v="0"/>
    <n v="0"/>
    <m/>
    <n v="0"/>
    <n v="0"/>
    <n v="0"/>
    <n v="0"/>
    <m/>
  </r>
  <r>
    <d v="2022-10-10T00:00:00"/>
    <m/>
    <s v="VICENTE PATARROYO"/>
    <s v="MAO-470"/>
    <m/>
    <x v="0"/>
    <s v="CAMBIO DE BRAZO DE DIRECCION/ GRADUACION DE FRENOS"/>
    <n v="37000"/>
    <n v="25900"/>
    <n v="11100"/>
    <m/>
    <m/>
    <n v="0"/>
    <n v="0"/>
    <m/>
    <n v="0"/>
    <n v="0"/>
    <n v="0"/>
    <n v="0"/>
    <m/>
  </r>
  <r>
    <d v="2022-10-10T00:00:00"/>
    <m/>
    <m/>
    <s v="TGN-516"/>
    <s v="LUV"/>
    <x v="5"/>
    <s v="CAMBIO SOPORTE EXOSTO"/>
    <n v="30000"/>
    <n v="15000"/>
    <n v="15000"/>
    <m/>
    <m/>
    <n v="0"/>
    <n v="0"/>
    <m/>
    <n v="0"/>
    <n v="0"/>
    <n v="0"/>
    <n v="0"/>
    <m/>
  </r>
  <r>
    <d v="2022-10-11T00:00:00"/>
    <m/>
    <m/>
    <s v="SZQ-332"/>
    <s v="LUV"/>
    <x v="0"/>
    <s v="CAMBIO DE ANTIRUIDOS"/>
    <n v="15000"/>
    <n v="10500"/>
    <n v="4500"/>
    <s v="ANTIRUIDOS"/>
    <n v="20000"/>
    <m/>
    <n v="0"/>
    <n v="40000"/>
    <m/>
    <n v="0"/>
    <n v="0"/>
    <n v="20000"/>
    <m/>
  </r>
  <r>
    <d v="2022-10-11T00:00:00"/>
    <s v="FE:167/RM:309"/>
    <s v="HERNAN TRIANA"/>
    <s v="SZQ-165"/>
    <s v="NPR"/>
    <x v="0"/>
    <s v="BAJAR RUEDA TRASERA Y CAMBIO DE BANDA"/>
    <n v="35000"/>
    <n v="24500"/>
    <n v="10500"/>
    <s v="BANDA, LIQUIDO"/>
    <n v="83000"/>
    <n v="69747.899159663866"/>
    <n v="13252.100840336134"/>
    <n v="125000"/>
    <n v="105042.01680672269"/>
    <n v="19957.983193277312"/>
    <n v="6705.8823529411784"/>
    <n v="35294.117647058825"/>
    <m/>
  </r>
  <r>
    <d v="2022-10-11T00:00:00"/>
    <s v="RM:307"/>
    <s v="PILAR GARCIA"/>
    <s v="DNS-557"/>
    <s v="KIA"/>
    <x v="0"/>
    <s v="MATTO DE FRENOS"/>
    <n v="60000"/>
    <n v="42000"/>
    <n v="18000"/>
    <m/>
    <m/>
    <n v="0"/>
    <n v="0"/>
    <m/>
    <n v="0"/>
    <n v="0"/>
    <n v="0"/>
    <n v="0"/>
    <m/>
  </r>
  <r>
    <d v="2022-10-11T00:00:00"/>
    <m/>
    <m/>
    <s v="DBV-804"/>
    <s v="NISSAN"/>
    <x v="5"/>
    <s v="CAMBIO SOPORTE EXOSTO"/>
    <n v="55000"/>
    <n v="27500"/>
    <n v="27500"/>
    <m/>
    <m/>
    <n v="0"/>
    <n v="0"/>
    <m/>
    <n v="0"/>
    <n v="0"/>
    <n v="0"/>
    <n v="0"/>
    <m/>
  </r>
  <r>
    <d v="2022-10-11T00:00:00"/>
    <s v="FE:166/RM:306"/>
    <s v="CESAR BERRIOS"/>
    <s v="CXH-338"/>
    <s v="AVEO"/>
    <x v="0"/>
    <s v="CAMBIO PUNTA EJE LADO RUEDA"/>
    <n v="60000"/>
    <n v="42000"/>
    <n v="18000"/>
    <s v="PUNTA DE EJE "/>
    <n v="110000"/>
    <n v="92436.97478991597"/>
    <n v="17563.025210084033"/>
    <n v="140000"/>
    <n v="117647.05882352941"/>
    <n v="22352.941176470587"/>
    <n v="4789.9159663865539"/>
    <n v="25210.084033613442"/>
    <m/>
  </r>
  <r>
    <d v="2022-10-12T00:00:00"/>
    <s v="RM:310"/>
    <s v="ALIRIO VARGAS"/>
    <s v="DAH-440"/>
    <s v="HONDA"/>
    <x v="0"/>
    <s v="REVISION DE RUEDAS/SERVICIO DE ESCANER"/>
    <n v="110000"/>
    <n v="77000"/>
    <n v="33000"/>
    <m/>
    <m/>
    <n v="0"/>
    <n v="0"/>
    <m/>
    <n v="0"/>
    <n v="0"/>
    <n v="0"/>
    <n v="0"/>
    <m/>
  </r>
  <r>
    <d v="2022-10-12T00:00:00"/>
    <m/>
    <m/>
    <s v="WHZ-462"/>
    <s v="KIAT"/>
    <x v="5"/>
    <s v="REPARACION DE EXOSTO"/>
    <n v="110000"/>
    <n v="55000"/>
    <n v="55000"/>
    <m/>
    <m/>
    <n v="0"/>
    <n v="0"/>
    <m/>
    <n v="0"/>
    <n v="0"/>
    <n v="0"/>
    <n v="0"/>
    <m/>
  </r>
  <r>
    <d v="2022-10-12T00:00:00"/>
    <s v="FE:170"/>
    <s v="FRUTOS GRAN FRUVAR LOS CHILACOS"/>
    <s v="WPQ-760"/>
    <s v="HINO"/>
    <x v="2"/>
    <s v="CAMBIO DE SWITCH VIDRIO Y CINTA LED/ REVISION ELECTRICA"/>
    <n v="80000"/>
    <n v="60000"/>
    <n v="20000"/>
    <s v="SWITCH VIDRIO Y CINTA LED"/>
    <n v="21000"/>
    <n v="17647.058823529413"/>
    <n v="3352.9411764705883"/>
    <n v="28000"/>
    <n v="23529.411764705885"/>
    <n v="4470.588235294118"/>
    <n v="1117.6470588235297"/>
    <n v="5882.3529411764684"/>
    <m/>
  </r>
  <r>
    <d v="2022-10-13T00:00:00"/>
    <m/>
    <m/>
    <s v="CLA-201"/>
    <s v="SPRINT"/>
    <x v="5"/>
    <s v="RPARACION DE RADIADOR/ CAMBIO PUNTA DE LUJO EXOSTO"/>
    <n v="230000"/>
    <n v="115000"/>
    <n v="115000"/>
    <m/>
    <m/>
    <n v="0"/>
    <n v="0"/>
    <m/>
    <n v="0"/>
    <n v="0"/>
    <n v="0"/>
    <n v="0"/>
    <m/>
  </r>
  <r>
    <d v="2022-10-13T00:00:00"/>
    <m/>
    <m/>
    <s v="WCZ-636"/>
    <s v="NHR"/>
    <x v="0"/>
    <s v="GRADUAR FRENOS"/>
    <n v="10000"/>
    <n v="7000"/>
    <n v="3000"/>
    <m/>
    <m/>
    <n v="0"/>
    <n v="0"/>
    <m/>
    <n v="0"/>
    <n v="0"/>
    <n v="0"/>
    <n v="0"/>
    <m/>
  </r>
  <r>
    <d v="2022-10-13T00:00:00"/>
    <m/>
    <m/>
    <s v="CWO-124"/>
    <s v="AVEO"/>
    <x v="0"/>
    <s v="CAMBIAR PASTILLAS DEL"/>
    <n v="30000"/>
    <n v="21000"/>
    <n v="9000"/>
    <m/>
    <m/>
    <n v="0"/>
    <n v="0"/>
    <m/>
    <n v="0"/>
    <n v="0"/>
    <n v="0"/>
    <n v="0"/>
    <m/>
  </r>
  <r>
    <d v="2022-10-13T00:00:00"/>
    <m/>
    <m/>
    <s v="IRW-663"/>
    <s v="VITARA"/>
    <x v="3"/>
    <s v="SERVICIO DE ESCANER"/>
    <n v="50000"/>
    <m/>
    <n v="50000"/>
    <m/>
    <m/>
    <n v="0"/>
    <n v="0"/>
    <m/>
    <n v="0"/>
    <n v="0"/>
    <n v="0"/>
    <n v="0"/>
    <m/>
  </r>
  <r>
    <d v="2022-10-13T00:00:00"/>
    <m/>
    <m/>
    <s v="HKQ-711"/>
    <s v="FORD ESCAPE"/>
    <x v="0"/>
    <s v="REVISION DE RUEDAS DEL"/>
    <n v="30000"/>
    <n v="21000"/>
    <n v="9000"/>
    <m/>
    <m/>
    <n v="0"/>
    <n v="0"/>
    <m/>
    <n v="0"/>
    <n v="0"/>
    <n v="0"/>
    <n v="0"/>
    <m/>
  </r>
  <r>
    <d v="2022-10-13T00:00:00"/>
    <s v="FE:173/ RM:211"/>
    <s v="DANILO SANABRIA"/>
    <s v="DXN-712"/>
    <s v="HONDA"/>
    <x v="0"/>
    <s v="CAMBIO DE PASTILLAS DEL"/>
    <n v="30000"/>
    <n v="21000"/>
    <n v="9000"/>
    <s v="PASTILLAS DEL"/>
    <n v="118000"/>
    <n v="99159.663865546216"/>
    <n v="18840.336134453781"/>
    <n v="165000"/>
    <n v="138655.46218487396"/>
    <n v="26344.537815126052"/>
    <n v="7504.2016806722713"/>
    <n v="39495.798319327732"/>
    <m/>
  </r>
  <r>
    <d v="2022-10-13T00:00:00"/>
    <m/>
    <m/>
    <s v="VAO-191"/>
    <s v="SANDERO"/>
    <x v="5"/>
    <s v="CAMBI EMP EXOSTO"/>
    <n v="30000"/>
    <n v="15000"/>
    <n v="15000"/>
    <m/>
    <m/>
    <n v="0"/>
    <n v="0"/>
    <m/>
    <n v="0"/>
    <n v="0"/>
    <n v="0"/>
    <n v="0"/>
    <m/>
  </r>
  <r>
    <d v="2022-10-13T00:00:00"/>
    <m/>
    <m/>
    <s v="BKY-608"/>
    <s v="LOGAN"/>
    <x v="5"/>
    <s v="CAMBIO CAUCHOS EXOSTO"/>
    <n v="40000"/>
    <n v="20000"/>
    <n v="20000"/>
    <m/>
    <m/>
    <n v="0"/>
    <n v="0"/>
    <m/>
    <n v="0"/>
    <n v="0"/>
    <n v="0"/>
    <n v="0"/>
    <m/>
  </r>
  <r>
    <d v="2022-10-13T00:00:00"/>
    <s v="RM:314"/>
    <s v="CONTANZA RODRIGUEZ"/>
    <s v="DCM-196"/>
    <s v="ZOTYE"/>
    <x v="0"/>
    <s v="CAMBIO DE TIJERAS"/>
    <n v="35000"/>
    <n v="24500"/>
    <n v="10500"/>
    <m/>
    <m/>
    <n v="0"/>
    <n v="0"/>
    <m/>
    <n v="0"/>
    <n v="0"/>
    <n v="0"/>
    <n v="0"/>
    <m/>
  </r>
  <r>
    <d v="2022-10-13T00:00:00"/>
    <s v="FE:176/RM:315"/>
    <s v="FABIO ZAMBRANO"/>
    <s v="BDP-676"/>
    <s v="HYUNDAI"/>
    <x v="0"/>
    <s v="MATTO DE FRENOS/ CAMBIO DE PASTILLAS DEL"/>
    <n v="60000"/>
    <n v="42000"/>
    <n v="18000"/>
    <s v="PASTILLAS DEL"/>
    <n v="85000"/>
    <n v="71428.571428571435"/>
    <n v="13571.428571428572"/>
    <n v="120000"/>
    <n v="100840.33613445378"/>
    <n v="19159.663865546219"/>
    <n v="5588.2352941176468"/>
    <n v="29411.76470588235"/>
    <m/>
  </r>
  <r>
    <d v="2022-10-13T00:00:00"/>
    <s v="RM:317"/>
    <m/>
    <s v="DBT-358"/>
    <s v="SANDERO"/>
    <x v="0"/>
    <s v="SERVICIO DE ESCANER"/>
    <n v="50000"/>
    <n v="35000"/>
    <n v="15000"/>
    <m/>
    <m/>
    <n v="0"/>
    <n v="0"/>
    <m/>
    <n v="0"/>
    <n v="0"/>
    <n v="0"/>
    <n v="0"/>
    <m/>
  </r>
  <r>
    <d v="2022-10-13T00:00:00"/>
    <s v="FE:175/RM:315"/>
    <s v="JACKSON DIAZ"/>
    <s v="DZX-793"/>
    <s v="SPARK"/>
    <x v="1"/>
    <s v="CAMBIO ENVASE DE AGUA"/>
    <n v="30000"/>
    <n v="21000"/>
    <n v="9000"/>
    <s v="ENVASE DE AGUA"/>
    <n v="70000"/>
    <n v="58823.529411764706"/>
    <n v="11176.470588235294"/>
    <n v="150000"/>
    <n v="126050.42016806723"/>
    <n v="23949.579831932773"/>
    <n v="12773.10924369748"/>
    <n v="67226.890756302513"/>
    <m/>
  </r>
  <r>
    <d v="2022-10-14T00:00:00"/>
    <s v="RM:318"/>
    <s v="GRUPO RED"/>
    <s v="CHS-304"/>
    <s v="VOLQUETA"/>
    <x v="0"/>
    <s v="CORREGIR FUGA DE AIRE"/>
    <n v="30000"/>
    <n v="21000"/>
    <n v="9000"/>
    <m/>
    <m/>
    <n v="0"/>
    <n v="0"/>
    <m/>
    <n v="0"/>
    <n v="0"/>
    <n v="0"/>
    <n v="0"/>
    <m/>
  </r>
  <r>
    <d v="2022-10-14T00:00:00"/>
    <s v="FE:177"/>
    <s v="CECILIA PAYON SA"/>
    <s v="UFS-769"/>
    <s v="NPR"/>
    <x v="0"/>
    <s v="CAMBIAR EMP AXILIAR DE CLOSH"/>
    <n v="30000"/>
    <n v="21000"/>
    <n v="9000"/>
    <s v="LIQUIDO , EMPAQUETADURA"/>
    <n v="27000"/>
    <n v="22689.0756302521"/>
    <n v="4310.9243697478987"/>
    <n v="40000"/>
    <n v="33613.445378151264"/>
    <n v="6386.5546218487398"/>
    <n v="2075.6302521008411"/>
    <n v="10924.36974789916"/>
    <m/>
  </r>
  <r>
    <d v="2022-10-14T00:00:00"/>
    <m/>
    <m/>
    <s v="CYJ-874"/>
    <s v="FORD"/>
    <x v="0"/>
    <s v="SERVICIO DE ESCANER"/>
    <n v="60000"/>
    <n v="42000"/>
    <n v="18000"/>
    <m/>
    <m/>
    <n v="0"/>
    <n v="0"/>
    <m/>
    <n v="0"/>
    <n v="0"/>
    <n v="0"/>
    <n v="0"/>
    <m/>
  </r>
  <r>
    <d v="2022-10-14T00:00:00"/>
    <m/>
    <m/>
    <s v="BJN-892"/>
    <s v="TWINGO"/>
    <x v="5"/>
    <s v="REPARACION DE EXOSTO"/>
    <n v="80000"/>
    <n v="40000"/>
    <n v="40000"/>
    <m/>
    <m/>
    <n v="0"/>
    <n v="0"/>
    <m/>
    <n v="0"/>
    <n v="0"/>
    <n v="0"/>
    <n v="0"/>
    <m/>
  </r>
  <r>
    <d v="2022-10-14T00:00:00"/>
    <m/>
    <m/>
    <s v="IOA-190"/>
    <s v="MOTO"/>
    <x v="5"/>
    <s v="SOLDADURA"/>
    <n v="30000"/>
    <n v="15000"/>
    <n v="15000"/>
    <m/>
    <m/>
    <n v="0"/>
    <n v="0"/>
    <m/>
    <n v="0"/>
    <n v="0"/>
    <n v="0"/>
    <n v="0"/>
    <m/>
  </r>
  <r>
    <d v="2022-10-14T00:00:00"/>
    <s v="FE:185"/>
    <s v="ALIMENTOS LEYLA"/>
    <s v="SYM-531"/>
    <s v="F-350"/>
    <x v="1"/>
    <s v="SINCRONIZACION"/>
    <n v="300000"/>
    <n v="210000"/>
    <n v="90000"/>
    <s v="INYECTORES, EMP CUERPO ACELERACION, BOMBA DE GASOLINA"/>
    <n v="391000"/>
    <m/>
    <n v="0"/>
    <n v="552000"/>
    <n v="463865.54621848743"/>
    <n v="88134.45378151261"/>
    <n v="88134.45378151261"/>
    <n v="72865.546218487376"/>
    <m/>
  </r>
  <r>
    <d v="2022-10-14T00:00:00"/>
    <s v="RM:320"/>
    <s v="GUSTAVO MONTAÑO"/>
    <s v="CYJ-874"/>
    <s v="FORD"/>
    <x v="1"/>
    <s v="SINCRONIZACION"/>
    <n v="220000"/>
    <n v="154000"/>
    <n v="66000"/>
    <s v="BUJIAS"/>
    <n v="120000"/>
    <n v="100840.33613445378"/>
    <n v="19159.663865546219"/>
    <n v="150000"/>
    <n v="126050.42016806723"/>
    <n v="23949.579831932773"/>
    <n v="4789.9159663865539"/>
    <n v="25210.084033613442"/>
    <m/>
  </r>
  <r>
    <d v="2022-10-15T00:00:00"/>
    <m/>
    <m/>
    <m/>
    <s v="LOGAN"/>
    <x v="5"/>
    <s v="REPARACION EXOSTO"/>
    <n v="40000"/>
    <n v="20000"/>
    <n v="20000"/>
    <m/>
    <m/>
    <n v="0"/>
    <n v="0"/>
    <m/>
    <n v="0"/>
    <n v="0"/>
    <n v="0"/>
    <n v="0"/>
    <m/>
  </r>
  <r>
    <d v="2022-10-15T00:00:00"/>
    <s v="RM:321"/>
    <m/>
    <s v="MKP-814"/>
    <s v="NISSAN TIIDA"/>
    <x v="0"/>
    <s v="MATTO DE FRENOS COMPLETO"/>
    <n v="60000"/>
    <n v="42000"/>
    <n v="18000"/>
    <m/>
    <m/>
    <n v="0"/>
    <n v="0"/>
    <m/>
    <n v="0"/>
    <n v="0"/>
    <n v="0"/>
    <n v="0"/>
    <m/>
  </r>
  <r>
    <d v="2022-10-15T00:00:00"/>
    <m/>
    <m/>
    <s v="IAP-236"/>
    <s v="SPARK"/>
    <x v="0"/>
    <s v="CAMBIO DE RODAMIENTO DEL"/>
    <n v="60000"/>
    <n v="42000"/>
    <n v="18000"/>
    <s v="RODAMIENTO DEL"/>
    <n v="70000"/>
    <n v="58823.529411764706"/>
    <n v="11176.470588235294"/>
    <n v="90000"/>
    <n v="75630.252100840342"/>
    <n v="14369.747899159665"/>
    <n v="3193.2773109243717"/>
    <n v="16806.722689075628"/>
    <m/>
  </r>
  <r>
    <d v="2022-10-15T00:00:00"/>
    <m/>
    <m/>
    <m/>
    <m/>
    <x v="5"/>
    <s v="SOLDADURA  DE PIEZA"/>
    <n v="30000"/>
    <n v="15000"/>
    <n v="15000"/>
    <m/>
    <m/>
    <n v="0"/>
    <n v="0"/>
    <m/>
    <n v="0"/>
    <n v="0"/>
    <n v="0"/>
    <n v="0"/>
    <m/>
  </r>
  <r>
    <d v="2022-10-18T00:00:00"/>
    <m/>
    <m/>
    <s v="VKK-719"/>
    <s v="CAMION"/>
    <x v="0"/>
    <s v="GRADUACION DE FRENOS"/>
    <n v="10000"/>
    <n v="7000"/>
    <n v="3000"/>
    <m/>
    <m/>
    <n v="0"/>
    <n v="0"/>
    <m/>
    <n v="0"/>
    <n v="0"/>
    <n v="0"/>
    <n v="0"/>
    <m/>
  </r>
  <r>
    <d v="2022-10-18T00:00:00"/>
    <m/>
    <m/>
    <s v="GZZ-228"/>
    <s v="HINO"/>
    <x v="0"/>
    <s v="BAJAR RUEDA TARSERA DERECHA"/>
    <n v="50000"/>
    <n v="35000"/>
    <n v="15000"/>
    <m/>
    <m/>
    <n v="0"/>
    <n v="0"/>
    <m/>
    <n v="0"/>
    <n v="0"/>
    <n v="0"/>
    <n v="0"/>
    <m/>
  </r>
  <r>
    <d v="2022-10-18T00:00:00"/>
    <m/>
    <m/>
    <s v="CSC-343"/>
    <s v="CHEVROLET 3500"/>
    <x v="0"/>
    <s v="CAMBIO DE ESPARRAGOS"/>
    <n v="50000"/>
    <n v="35000"/>
    <n v="15000"/>
    <s v="TUERCA"/>
    <n v="9800"/>
    <n v="8235.2941176470595"/>
    <n v="1564.7058823529412"/>
    <n v="20000"/>
    <n v="16806.722689075632"/>
    <n v="3193.2773109243699"/>
    <n v="1628.5714285714287"/>
    <n v="8571.4285714285706"/>
    <m/>
  </r>
  <r>
    <d v="2022-10-18T00:00:00"/>
    <s v="RM:322"/>
    <s v="MARIA VEGA"/>
    <s v="CVL-671"/>
    <s v="KIA RIO"/>
    <x v="1"/>
    <s v="SINCRONIZACION"/>
    <n v="180000"/>
    <n v="125999.99999999999"/>
    <n v="54000.000000000015"/>
    <m/>
    <m/>
    <n v="0"/>
    <n v="0"/>
    <m/>
    <n v="0"/>
    <n v="0"/>
    <n v="0"/>
    <n v="0"/>
    <m/>
  </r>
  <r>
    <d v="2022-10-18T00:00:00"/>
    <m/>
    <m/>
    <s v="TSM-325"/>
    <s v="JAC"/>
    <x v="0"/>
    <s v="GRADUACION DE FRENOS"/>
    <n v="5000"/>
    <n v="5000"/>
    <n v="0"/>
    <m/>
    <m/>
    <n v="0"/>
    <n v="0"/>
    <m/>
    <n v="0"/>
    <n v="0"/>
    <n v="0"/>
    <n v="0"/>
    <m/>
  </r>
  <r>
    <d v="2022-10-18T00:00:00"/>
    <s v="RM:323"/>
    <s v="MARCOS AMAYA "/>
    <s v="BLV-454"/>
    <s v="AVEO"/>
    <x v="1"/>
    <s v="CAMBIAR SENSOR TEMPERATURA"/>
    <n v="30000"/>
    <n v="21000"/>
    <n v="9000"/>
    <s v="SENSOR TEMP"/>
    <n v="100000"/>
    <m/>
    <n v="0"/>
    <n v="130000"/>
    <m/>
    <n v="0"/>
    <n v="0"/>
    <n v="30000"/>
    <m/>
  </r>
  <r>
    <d v="2022-10-18T00:00:00"/>
    <m/>
    <s v="PEDRO LIZARAZO"/>
    <s v="HBK-400"/>
    <s v="SPARK"/>
    <x v="0"/>
    <s v="REVISION TRASERAS"/>
    <n v="30000"/>
    <n v="21000"/>
    <n v="9000"/>
    <m/>
    <m/>
    <n v="0"/>
    <n v="0"/>
    <m/>
    <n v="0"/>
    <n v="0"/>
    <n v="0"/>
    <n v="0"/>
    <m/>
  </r>
  <r>
    <d v="2022-10-19T00:00:00"/>
    <s v="RM:327"/>
    <s v="CLAUDIA FERRER"/>
    <s v="CTW-920"/>
    <s v="CHERY TIIGO"/>
    <x v="0"/>
    <s v="REPARACION DE SUSPENSION Y ALINEACION"/>
    <n v="300000"/>
    <n v="210000"/>
    <n v="90000"/>
    <s v="ALINEACIO, ABRAZADERA PLAST"/>
    <n v="31000"/>
    <m/>
    <n v="0"/>
    <n v="42000"/>
    <m/>
    <n v="0"/>
    <n v="0"/>
    <n v="11000"/>
    <m/>
  </r>
  <r>
    <d v="2022-10-19T00:00:00"/>
    <s v="FE:181 "/>
    <s v="GLOBAL CNTAINERS LTDA"/>
    <s v="GEV-111"/>
    <s v="FOTON"/>
    <x v="5"/>
    <s v="SOLDAR EXOSTO"/>
    <n v="70000"/>
    <n v="35000"/>
    <n v="35000"/>
    <m/>
    <m/>
    <n v="0"/>
    <n v="0"/>
    <m/>
    <n v="0"/>
    <n v="0"/>
    <n v="0"/>
    <n v="0"/>
    <m/>
  </r>
  <r>
    <d v="2022-10-19T00:00:00"/>
    <s v="FE:182/RM:326"/>
    <s v="JOSE TRIANA"/>
    <s v="BCE-482"/>
    <m/>
    <x v="1"/>
    <s v="CAMBIO DE SPLINDER"/>
    <n v="140000"/>
    <n v="98000"/>
    <n v="42000"/>
    <s v="RODILLO 32210"/>
    <n v="70000"/>
    <n v="58823.529411764706"/>
    <n v="11176.470588235294"/>
    <n v="110000"/>
    <n v="92436.97478991597"/>
    <n v="17563.025210084033"/>
    <n v="6386.5546218487398"/>
    <n v="33613.445378151257"/>
    <m/>
  </r>
  <r>
    <d v="2022-10-19T00:00:00"/>
    <m/>
    <m/>
    <m/>
    <s v="LOGAN"/>
    <x v="5"/>
    <s v="SOLDAR EXOSTO"/>
    <n v="30000"/>
    <n v="15000"/>
    <n v="15000"/>
    <m/>
    <m/>
    <n v="0"/>
    <n v="0"/>
    <m/>
    <n v="0"/>
    <n v="0"/>
    <n v="0"/>
    <n v="0"/>
    <m/>
  </r>
  <r>
    <d v="2022-10-20T00:00:00"/>
    <m/>
    <m/>
    <m/>
    <s v="AVEO"/>
    <x v="0"/>
    <s v="COLOCAR UNION "/>
    <n v="40000"/>
    <n v="28000"/>
    <n v="12000"/>
    <s v="UNION"/>
    <n v="5000"/>
    <n v="4201.680672268908"/>
    <n v="798.31932773109247"/>
    <n v="10000"/>
    <m/>
    <n v="0"/>
    <n v="-798.31932773109247"/>
    <n v="5798.3193277310929"/>
    <m/>
  </r>
  <r>
    <d v="2022-10-20T00:00:00"/>
    <m/>
    <m/>
    <s v="BRT-666"/>
    <s v="ACCENT"/>
    <x v="5"/>
    <s v="COLOCAR TARRO EXOSTO"/>
    <n v="90000"/>
    <n v="45000"/>
    <n v="45000"/>
    <m/>
    <m/>
    <n v="0"/>
    <n v="0"/>
    <m/>
    <n v="0"/>
    <n v="0"/>
    <n v="0"/>
    <n v="0"/>
    <m/>
  </r>
  <r>
    <d v="2022-10-20T00:00:00"/>
    <s v="FE:187"/>
    <s v="PERVIVIR"/>
    <s v="TBZ-979"/>
    <s v="NNR"/>
    <x v="0"/>
    <s v="CAMBIO DE SPLINDER"/>
    <n v="200000"/>
    <n v="140000"/>
    <n v="60000"/>
    <s v="SPLINDER, SERVICIO DE PRENSA"/>
    <n v="115000"/>
    <n v="96638.655462184877"/>
    <n v="18361.344537815126"/>
    <n v="281400"/>
    <n v="236470.58823529413"/>
    <n v="44929.411764705881"/>
    <n v="26568.067226890755"/>
    <n v="139831.93277310923"/>
    <m/>
  </r>
  <r>
    <d v="2022-10-21T00:00:00"/>
    <s v="FE:188"/>
    <s v="JAIME MONCADA"/>
    <s v="SKK-862"/>
    <s v="MT CANTER"/>
    <x v="0"/>
    <s v="BAJAR RUEDA DELANTERA/ CAMBIO DE RODAMIENTO DELNATERO DER. INTERNO/ ENGRASE DE RODAMIENTOS"/>
    <n v="70000"/>
    <n v="49000"/>
    <n v="21000"/>
    <s v="RODA. DELANTERO , GASOLINA, GRASA, CHUPAS, PINES, SILICONA, JUEGO DE BANDAS"/>
    <n v="225000"/>
    <n v="189075.63025210085"/>
    <n v="35924.36974789916"/>
    <n v="566000"/>
    <n v="475630.25210084039"/>
    <n v="90369.747899159673"/>
    <n v="54445.378151260513"/>
    <n v="286554.62184873951"/>
    <m/>
  </r>
  <r>
    <d v="2022-10-21T00:00:00"/>
    <s v="FE:188"/>
    <s v="JAIME MONCADA"/>
    <s v="ERL-333"/>
    <s v="JAC"/>
    <x v="0"/>
    <s v="MANTTO BOMBA DE FRENOS CAMBIO DE DIAFRAGMA"/>
    <n v="100000"/>
    <n v="70000"/>
    <n v="30000"/>
    <s v="DIAFRAGMA"/>
    <m/>
    <n v="0"/>
    <n v="0"/>
    <m/>
    <n v="0"/>
    <n v="0"/>
    <n v="0"/>
    <n v="0"/>
    <m/>
  </r>
  <r>
    <d v="2022-10-21T00:00:00"/>
    <s v="FE:185"/>
    <s v="ALIMENTOS LEYLA"/>
    <s v="SYM-531"/>
    <s v="F-350"/>
    <x v="0"/>
    <s v="MANTENIMEINTO DE FRENOS / CAMBIO DE PASTILLAS Y BANDAS TRASERA IZQ."/>
    <n v="140000"/>
    <n v="98000"/>
    <n v="42000"/>
    <s v="JUEGO DE PASTILLAS, GRASA, CHUPAS, ABRAZADERAS PLAST"/>
    <n v="186000"/>
    <n v="156302.52100840336"/>
    <n v="29697.478991596639"/>
    <n v="308000"/>
    <n v="258823.52941176473"/>
    <n v="49176.470588235301"/>
    <n v="19478.991596638662"/>
    <n v="102521.00840336134"/>
    <m/>
  </r>
  <r>
    <d v="2022-10-21T00:00:00"/>
    <s v="RM:328"/>
    <s v="JOSE ALVAREZ"/>
    <s v="WWJ-369"/>
    <s v="VOLQUETA"/>
    <x v="0"/>
    <s v="CAMBIO DE ASPIRAL Y DIAFRAGMA"/>
    <n v="50000"/>
    <n v="35000"/>
    <n v="15000"/>
    <s v="ASPIRAL, DIAFRAGMA"/>
    <n v="30000"/>
    <n v="25210.084033613446"/>
    <n v="4789.9159663865548"/>
    <n v="100000"/>
    <n v="84033.613445378156"/>
    <n v="15966.386554621849"/>
    <n v="11176.470588235294"/>
    <n v="58823.529411764706"/>
    <m/>
  </r>
  <r>
    <d v="2022-10-21T00:00:00"/>
    <m/>
    <m/>
    <s v="ALB-204"/>
    <s v="MB"/>
    <x v="5"/>
    <s v="REPARACION RADIADOR"/>
    <n v="70000"/>
    <n v="35000"/>
    <n v="35000"/>
    <m/>
    <m/>
    <n v="0"/>
    <n v="0"/>
    <m/>
    <n v="0"/>
    <n v="0"/>
    <n v="0"/>
    <n v="0"/>
    <m/>
  </r>
  <r>
    <d v="2022-10-21T00:00:00"/>
    <s v="FE:185"/>
    <s v="ALIMENTOS LEYLA"/>
    <s v="SYM-531"/>
    <s v="F-350"/>
    <x v="5"/>
    <s v="MANTENIMIENTO RADIADOR / CAMBIAR MANGUERA / ARREGLO FUGA EXOSTO"/>
    <n v="140000"/>
    <n v="70000"/>
    <n v="70000"/>
    <m/>
    <m/>
    <n v="0"/>
    <n v="0"/>
    <m/>
    <n v="0"/>
    <n v="0"/>
    <n v="0"/>
    <n v="0"/>
    <m/>
  </r>
  <r>
    <d v="2022-10-21T00:00:00"/>
    <s v="FE:190/RM:330"/>
    <s v="ARMANDO CASTAÑEDA"/>
    <s v="CSR-133"/>
    <s v="VW GOL"/>
    <x v="0"/>
    <s v=" CAMBIO DE PASTILLAS DEL/CAMBIO LIQUIDO"/>
    <n v="60000"/>
    <n v="63000"/>
    <m/>
    <s v="PASTILLAS DEL, LIQUIDO"/>
    <m/>
    <n v="0"/>
    <n v="0"/>
    <m/>
    <n v="0"/>
    <n v="0"/>
    <n v="0"/>
    <n v="0"/>
    <m/>
  </r>
  <r>
    <d v="2022-10-21T00:00:00"/>
    <m/>
    <m/>
    <m/>
    <m/>
    <x v="1"/>
    <s v="CAMBIAR MANGUERA"/>
    <n v="20000"/>
    <n v="14000"/>
    <n v="6000"/>
    <m/>
    <m/>
    <n v="0"/>
    <n v="0"/>
    <m/>
    <n v="0"/>
    <n v="0"/>
    <n v="0"/>
    <n v="0"/>
    <m/>
  </r>
  <r>
    <d v="2022-10-22T00:00:00"/>
    <m/>
    <m/>
    <s v="BNX-294"/>
    <s v="ACCENT"/>
    <x v="5"/>
    <s v="SOLDAR EXOSTO"/>
    <n v="50000"/>
    <n v="25000"/>
    <n v="25000"/>
    <m/>
    <m/>
    <n v="0"/>
    <n v="0"/>
    <m/>
    <n v="0"/>
    <n v="0"/>
    <n v="0"/>
    <n v="0"/>
    <m/>
  </r>
  <r>
    <d v="2022-10-22T00:00:00"/>
    <s v="RM:331"/>
    <s v="ANDRES VARGAS"/>
    <s v="HBR-717"/>
    <s v="SUZUKI"/>
    <x v="0"/>
    <s v="CAMBIO DE DISCOS Y PASTILLAS DEL"/>
    <n v="70000"/>
    <n v="49000"/>
    <n v="21000"/>
    <m/>
    <m/>
    <n v="0"/>
    <n v="0"/>
    <m/>
    <n v="0"/>
    <n v="0"/>
    <n v="0"/>
    <n v="0"/>
    <m/>
  </r>
  <r>
    <d v="2022-10-22T00:00:00"/>
    <s v="RM:331"/>
    <s v="ANDRES VARGAS"/>
    <s v="HBR-717"/>
    <s v="SUZUKI"/>
    <x v="5"/>
    <s v="CAMBIO DE PUNTERA"/>
    <n v="25000"/>
    <n v="12500"/>
    <n v="12500"/>
    <m/>
    <m/>
    <n v="0"/>
    <n v="0"/>
    <m/>
    <n v="0"/>
    <n v="0"/>
    <n v="0"/>
    <n v="0"/>
    <m/>
  </r>
  <r>
    <d v="2022-10-22T00:00:00"/>
    <s v="FE:191 /RM:332"/>
    <s v="ANDRES MARTINEZ"/>
    <s v="BNY-608"/>
    <s v="JEEP"/>
    <x v="0"/>
    <s v="MANTENIMIENTO DE FRENOS/ CAMBIO DE LIQUIDO"/>
    <n v="130000"/>
    <n v="91000"/>
    <n v="39000"/>
    <m/>
    <m/>
    <n v="0"/>
    <n v="0"/>
    <m/>
    <n v="0"/>
    <n v="0"/>
    <n v="0"/>
    <n v="0"/>
    <m/>
  </r>
  <r>
    <d v="2022-10-22T00:00:00"/>
    <s v="FE:189/RM:329"/>
    <s v="TATIANA"/>
    <s v="BJC-966"/>
    <s v="PETGOEUT"/>
    <x v="2"/>
    <s v="REVISION DE CORTO / CAMBIO PERA DE REVERSO/ARREGLO INSTALACION"/>
    <n v="200000"/>
    <n v="200000"/>
    <n v="0"/>
    <s v="CINTA, PORTAFUSIBLE, TERMINALES DE ENCHUFE, PERA DE REVERSO"/>
    <n v="49450"/>
    <n v="41554.621848739494"/>
    <n v="7895.3781512605037"/>
    <n v="73500"/>
    <n v="61764.705882352944"/>
    <n v="11735.294117647059"/>
    <n v="3839.9159663865557"/>
    <n v="20210.084033613442"/>
    <m/>
  </r>
  <r>
    <d v="2022-10-24T00:00:00"/>
    <m/>
    <m/>
    <s v="CIC-388"/>
    <m/>
    <x v="5"/>
    <s v="CAMBIO DE RESILENCIADOR"/>
    <n v="100000"/>
    <n v="50000"/>
    <n v="50000"/>
    <m/>
    <m/>
    <n v="0"/>
    <n v="0"/>
    <m/>
    <n v="0"/>
    <n v="0"/>
    <n v="0"/>
    <n v="0"/>
    <m/>
  </r>
  <r>
    <d v="2022-10-24T00:00:00"/>
    <m/>
    <m/>
    <m/>
    <m/>
    <x v="0"/>
    <s v="CAMBIO DE RODAMIENTOS"/>
    <n v="40000"/>
    <n v="28000"/>
    <n v="12000"/>
    <m/>
    <m/>
    <n v="0"/>
    <n v="0"/>
    <m/>
    <n v="0"/>
    <n v="0"/>
    <n v="0"/>
    <n v="0"/>
    <m/>
  </r>
  <r>
    <d v="2022-10-24T00:00:00"/>
    <m/>
    <m/>
    <s v="USB-323"/>
    <s v="JAC"/>
    <x v="0"/>
    <s v="GRADUAR FRENOS, BAJAR RUEDA DEL IZQ"/>
    <n v="40000"/>
    <n v="28000"/>
    <n v="12000"/>
    <m/>
    <m/>
    <n v="0"/>
    <n v="0"/>
    <m/>
    <n v="0"/>
    <n v="0"/>
    <n v="0"/>
    <n v="0"/>
    <m/>
  </r>
  <r>
    <d v="2022-10-25T00:00:00"/>
    <s v="RM:333/FE:193"/>
    <s v="FERNANDO LONDOÑO"/>
    <s v="BLH-065"/>
    <s v="MEGANE"/>
    <x v="0"/>
    <s v="CAMBIO DE BANDAS, GRADUACION DE FRENOS, RESORTES Y PUNTILLAS /DESVARE"/>
    <n v="100000"/>
    <n v="70000"/>
    <n v="30000"/>
    <s v=" BANDAS, GRADUACION DE FRENOS, RESORTES Y PUNTILLAS"/>
    <n v="187000"/>
    <n v="157142.85714285716"/>
    <n v="29857.142857142862"/>
    <n v="258000"/>
    <n v="216806.72268907563"/>
    <n v="41193.277310924372"/>
    <n v="11336.134453781509"/>
    <n v="59663.865546218498"/>
    <m/>
  </r>
  <r>
    <d v="2022-10-25T00:00:00"/>
    <s v="RM:336"/>
    <s v="MARIA A GUAVA"/>
    <s v="NAD-805"/>
    <s v="MEGANE"/>
    <x v="1"/>
    <s v="REPARACION CAJA DE DIRECCION"/>
    <n v="500000"/>
    <n v="350000"/>
    <n v="150000"/>
    <m/>
    <m/>
    <n v="0"/>
    <n v="0"/>
    <m/>
    <n v="0"/>
    <n v="0"/>
    <n v="0"/>
    <n v="0"/>
    <m/>
  </r>
  <r>
    <d v="2022-10-25T00:00:00"/>
    <s v="FE:195/RM:335"/>
    <s v="CARLOS LOZADA "/>
    <s v="FCL-920"/>
    <s v="TOYOTA PRADO"/>
    <x v="0"/>
    <s v="CAMBIO DE PASTILLAS DEL Y BANDAS"/>
    <n v="80000"/>
    <n v="56000"/>
    <n v="24000"/>
    <s v="PASTILLAS Y BANDAS"/>
    <n v="280000"/>
    <n v="235294.11764705883"/>
    <n v="44705.882352941175"/>
    <n v="400000"/>
    <n v="336134.45378151262"/>
    <n v="63865.546218487398"/>
    <n v="19159.663865546223"/>
    <n v="100840.33613445377"/>
    <m/>
  </r>
  <r>
    <d v="2022-10-25T00:00:00"/>
    <m/>
    <m/>
    <s v="SPM-575"/>
    <m/>
    <x v="0"/>
    <s v="GRADUACION DE FRENOS"/>
    <n v="10000"/>
    <n v="7000"/>
    <n v="3000"/>
    <m/>
    <m/>
    <n v="0"/>
    <n v="0"/>
    <m/>
    <n v="0"/>
    <n v="0"/>
    <n v="0"/>
    <n v="0"/>
    <m/>
  </r>
  <r>
    <d v="2022-10-25T00:00:00"/>
    <m/>
    <m/>
    <s v="BOE-215"/>
    <s v="MEGANE"/>
    <x v="5"/>
    <s v="SOLDAR EXOSTO"/>
    <n v="50000"/>
    <n v="25000"/>
    <n v="25000"/>
    <m/>
    <m/>
    <n v="0"/>
    <n v="0"/>
    <m/>
    <n v="0"/>
    <n v="0"/>
    <n v="0"/>
    <n v="0"/>
    <m/>
  </r>
  <r>
    <d v="2022-10-25T00:00:00"/>
    <m/>
    <m/>
    <s v="ZYN--152"/>
    <s v="CH SAIL"/>
    <x v="5"/>
    <s v="SOLDAR EXOSTO Y BABERO"/>
    <n v="50000"/>
    <n v="25000"/>
    <n v="25000"/>
    <m/>
    <m/>
    <n v="0"/>
    <n v="0"/>
    <m/>
    <n v="0"/>
    <n v="0"/>
    <n v="0"/>
    <n v="0"/>
    <m/>
  </r>
  <r>
    <d v="2022-10-26T00:00:00"/>
    <s v="RM:338"/>
    <s v="CONSTRUCCIONES RICARDO CARO SAS"/>
    <s v="TLM-879"/>
    <s v="VOLQUETA"/>
    <x v="5"/>
    <s v="SOLDAR EXOSTO"/>
    <n v="70000"/>
    <n v="35000"/>
    <n v="35000"/>
    <m/>
    <m/>
    <n v="0"/>
    <n v="0"/>
    <m/>
    <n v="0"/>
    <n v="0"/>
    <n v="0"/>
    <n v="0"/>
    <m/>
  </r>
  <r>
    <d v="2022-10-26T00:00:00"/>
    <s v="RM:340"/>
    <s v="NANCY RODRIGUEZ"/>
    <s v="MQK-979"/>
    <s v="CLIO"/>
    <x v="0"/>
    <s v="CAMBIO DE RODAMIENTO TRASERO"/>
    <n v="40000"/>
    <n v="28000"/>
    <n v="12000"/>
    <s v="RODAMIENTO TRASERO"/>
    <n v="60000"/>
    <n v="50420.168067226892"/>
    <n v="9579.8319327731097"/>
    <n v="75000"/>
    <n v="63025.210084033613"/>
    <n v="11974.789915966387"/>
    <n v="2394.957983193277"/>
    <n v="12605.042016806721"/>
    <m/>
  </r>
  <r>
    <d v="2022-10-26T00:00:00"/>
    <s v="RM:339"/>
    <s v="CAMILO GUZMAN"/>
    <s v="MQM-115"/>
    <s v="MEGANE"/>
    <x v="5"/>
    <s v="CAMBIO DE PRESILENCIADOR"/>
    <n v="70000"/>
    <n v="35000"/>
    <n v="35000"/>
    <m/>
    <m/>
    <n v="0"/>
    <n v="0"/>
    <m/>
    <n v="0"/>
    <n v="0"/>
    <n v="0"/>
    <n v="0"/>
    <m/>
  </r>
  <r>
    <d v="2022-10-26T00:00:00"/>
    <s v="RM:341"/>
    <s v="LUCIANO CASTELLANOS"/>
    <s v="WOW-586"/>
    <s v="FOTON"/>
    <x v="4"/>
    <s v="CAMBIO DE BALINERA DE FANCLOSH Y CORREA"/>
    <n v="80000"/>
    <n v="56000"/>
    <n v="24000"/>
    <m/>
    <m/>
    <n v="0"/>
    <n v="0"/>
    <m/>
    <n v="0"/>
    <n v="0"/>
    <n v="0"/>
    <n v="0"/>
    <m/>
  </r>
  <r>
    <d v="2022-10-26T00:00:00"/>
    <s v="FE:197"/>
    <s v="UNIGAS"/>
    <s v="WRL-952"/>
    <s v="FOTON"/>
    <x v="0"/>
    <s v="GRADUACION DE FRENO/GF DE MANO"/>
    <n v="15000"/>
    <n v="10500"/>
    <n v="4500"/>
    <m/>
    <m/>
    <n v="0"/>
    <n v="0"/>
    <m/>
    <n v="0"/>
    <n v="0"/>
    <n v="0"/>
    <n v="0"/>
    <m/>
  </r>
  <r>
    <d v="2022-10-26T00:00:00"/>
    <m/>
    <m/>
    <s v="SVB-533"/>
    <m/>
    <x v="0"/>
    <s v="CAMBIO DE DIAFRAGMA Y RESORTE DE SEGURIDAD"/>
    <n v="60000"/>
    <n v="42000"/>
    <n v="18000"/>
    <s v="DIAFRAGMA Y RESORTE DE SEGURIDAD"/>
    <m/>
    <n v="0"/>
    <n v="0"/>
    <m/>
    <n v="0"/>
    <n v="0"/>
    <n v="0"/>
    <n v="0"/>
    <m/>
  </r>
  <r>
    <d v="2022-10-27T00:00:00"/>
    <m/>
    <s v="VICENTE PATARROYO"/>
    <s v="MAO-470"/>
    <s v="F-350"/>
    <x v="0"/>
    <s v="GRADUACION DE FRENOS"/>
    <n v="8000"/>
    <n v="5600"/>
    <n v="2400"/>
    <m/>
    <m/>
    <n v="0"/>
    <n v="0"/>
    <m/>
    <n v="0"/>
    <n v="0"/>
    <n v="0"/>
    <n v="0"/>
    <m/>
  </r>
  <r>
    <d v="2022-10-27T00:00:00"/>
    <m/>
    <s v="OSCAR MELO"/>
    <s v="BRX-793"/>
    <s v="CITROEN"/>
    <x v="5"/>
    <s v="CAMBIO DE PRESILENCIADOR"/>
    <n v="90000"/>
    <n v="45000"/>
    <n v="45000"/>
    <m/>
    <m/>
    <n v="0"/>
    <n v="0"/>
    <m/>
    <n v="0"/>
    <n v="0"/>
    <n v="0"/>
    <n v="0"/>
    <m/>
  </r>
  <r>
    <d v="2022-10-27T00:00:00"/>
    <m/>
    <m/>
    <s v="CVD-959"/>
    <s v="KIA SORENTO"/>
    <x v="0"/>
    <s v="MANTENIMEITNO DE FRENOS"/>
    <n v="80000"/>
    <n v="56000"/>
    <n v="24000"/>
    <m/>
    <m/>
    <n v="0"/>
    <n v="0"/>
    <m/>
    <n v="0"/>
    <n v="0"/>
    <n v="0"/>
    <n v="0"/>
    <m/>
  </r>
  <r>
    <d v="2022-10-27T00:00:00"/>
    <m/>
    <s v="JAVIER GALLO"/>
    <s v="TAT-815"/>
    <s v="CHERY"/>
    <x v="0"/>
    <s v="REPARACION DE SUSPENSION"/>
    <n v="200000"/>
    <n v="140000"/>
    <n v="60000"/>
    <m/>
    <m/>
    <n v="0"/>
    <n v="0"/>
    <m/>
    <n v="0"/>
    <n v="0"/>
    <n v="0"/>
    <n v="0"/>
    <m/>
  </r>
  <r>
    <d v="2022-10-27T00:00:00"/>
    <m/>
    <s v="TRANSURENCO"/>
    <s v="TGK-845"/>
    <s v="NNR"/>
    <x v="0"/>
    <s v="GRADUACION DE FRENOS"/>
    <n v="10000"/>
    <n v="7000"/>
    <n v="3000"/>
    <m/>
    <m/>
    <n v="0"/>
    <n v="0"/>
    <m/>
    <n v="0"/>
    <n v="0"/>
    <n v="0"/>
    <n v="0"/>
    <m/>
  </r>
  <r>
    <d v="2022-10-28T00:00:00"/>
    <s v="FE:199"/>
    <s v="GTSS"/>
    <s v="JOX-221"/>
    <s v="JAC"/>
    <x v="0"/>
    <s v="GRADUACION DE FRENO Y FRENO DE MANO"/>
    <n v="15000"/>
    <n v="10500"/>
    <n v="4500"/>
    <m/>
    <m/>
    <n v="0"/>
    <n v="0"/>
    <m/>
    <n v="0"/>
    <n v="0"/>
    <n v="0"/>
    <n v="0"/>
    <m/>
  </r>
  <r>
    <d v="2022-10-28T00:00:00"/>
    <s v="RM:343"/>
    <s v="HECTOR CISNEROS"/>
    <s v="ROK-650"/>
    <s v="OPTRA"/>
    <x v="0"/>
    <s v="CAMBIO DE LIQUIDO MANTENIMIENTO DE FRENOS"/>
    <n v="100000"/>
    <n v="70000"/>
    <n v="30000"/>
    <m/>
    <m/>
    <n v="0"/>
    <n v="0"/>
    <m/>
    <n v="0"/>
    <n v="0"/>
    <n v="0"/>
    <n v="0"/>
    <m/>
  </r>
  <r>
    <d v="2022-10-28T00:00:00"/>
    <s v="RM:342"/>
    <s v="VICTOR DELGADO"/>
    <s v="JGC-800"/>
    <s v="MITSUBISHI"/>
    <x v="0"/>
    <s v="HACER FRENOS, CONECTAR GUAYA FRENO DE MANO"/>
    <n v="100000"/>
    <n v="70000"/>
    <n v="30000"/>
    <s v="LIQUIDO DOT3"/>
    <n v="7540"/>
    <n v="6336.134453781513"/>
    <n v="1203.8655462184875"/>
    <n v="17000"/>
    <n v="14285.714285714286"/>
    <n v="2714.2857142857142"/>
    <n v="1510.4201680672268"/>
    <n v="7949.5798319327732"/>
    <m/>
  </r>
  <r>
    <d v="2022-10-28T00:00:00"/>
    <s v="RM:344"/>
    <s v="AQUILES VILLANUEVA"/>
    <s v="NEN-691"/>
    <s v="CH TRAVERSE"/>
    <x v="0"/>
    <s v="CAMBIO DE TIJERAS DELANTERAS"/>
    <n v="250000"/>
    <n v="175000"/>
    <n v="75000"/>
    <s v="TIJERAS"/>
    <n v="1160000"/>
    <m/>
    <n v="0"/>
    <n v="1280000"/>
    <m/>
    <n v="0"/>
    <n v="0"/>
    <n v="120000"/>
    <m/>
  </r>
  <r>
    <d v="2022-10-28T00:00:00"/>
    <m/>
    <m/>
    <s v="OVE-038"/>
    <s v="NISSAN"/>
    <x v="3"/>
    <s v="REVISAR TRASERAS/ GRADUAR LIMITADOR"/>
    <n v="30000"/>
    <n v="21000"/>
    <n v="9000"/>
    <m/>
    <m/>
    <n v="0"/>
    <n v="0"/>
    <m/>
    <n v="0"/>
    <n v="0"/>
    <n v="0"/>
    <n v="0"/>
    <m/>
  </r>
  <r>
    <d v="2022-10-29T00:00:00"/>
    <m/>
    <m/>
    <s v="RDT-290"/>
    <s v="KIA SORENTO"/>
    <x v="0"/>
    <s v="REVISION DE TIJERAS/ RELLENO DE PORTA MANGUETA"/>
    <n v="80000"/>
    <n v="56000"/>
    <n v="24000"/>
    <m/>
    <m/>
    <n v="0"/>
    <n v="0"/>
    <m/>
    <n v="0"/>
    <n v="0"/>
    <n v="0"/>
    <n v="0"/>
    <m/>
  </r>
  <r>
    <d v="2022-10-29T00:00:00"/>
    <m/>
    <m/>
    <s v="ERL-333"/>
    <m/>
    <x v="0"/>
    <s v="CAMBIO DE MANGUERA"/>
    <n v="20000"/>
    <n v="14000"/>
    <n v="6000"/>
    <m/>
    <m/>
    <n v="0"/>
    <n v="0"/>
    <m/>
    <n v="0"/>
    <n v="0"/>
    <n v="0"/>
    <n v="0"/>
    <m/>
  </r>
  <r>
    <d v="2022-10-29T00:00:00"/>
    <m/>
    <s v="ALEJANDRO MARTIN"/>
    <s v="RMN-506"/>
    <s v="SPARK"/>
    <x v="0"/>
    <s v="CAMBIO DE RODAMIENTO DELANTERO /MATTO TRASERO IZQ"/>
    <n v="80000"/>
    <n v="56000"/>
    <n v="24000"/>
    <m/>
    <m/>
    <n v="0"/>
    <n v="0"/>
    <m/>
    <n v="0"/>
    <n v="0"/>
    <n v="0"/>
    <n v="0"/>
    <m/>
  </r>
  <r>
    <d v="2022-10-29T00:00:00"/>
    <m/>
    <m/>
    <s v="RSA-061"/>
    <m/>
    <x v="5"/>
    <s v="CAMBIO EMPAQUE TUBO DE ESCAPE"/>
    <n v="35000"/>
    <n v="17500"/>
    <n v="17500"/>
    <m/>
    <m/>
    <n v="0"/>
    <n v="0"/>
    <m/>
    <n v="0"/>
    <n v="0"/>
    <n v="0"/>
    <n v="0"/>
    <m/>
  </r>
  <r>
    <d v="2022-10-29T00:00:00"/>
    <m/>
    <m/>
    <s v="BJH-461"/>
    <s v="MAZDA"/>
    <x v="5"/>
    <s v="SUSPENSION DE PRESILENCIADOR"/>
    <n v="60000"/>
    <n v="30000"/>
    <n v="30000"/>
    <m/>
    <m/>
    <n v="0"/>
    <n v="0"/>
    <m/>
    <n v="0"/>
    <n v="0"/>
    <n v="0"/>
    <n v="0"/>
    <m/>
  </r>
  <r>
    <d v="2022-10-29T00:00:00"/>
    <m/>
    <s v="DILMER CHAVARRO"/>
    <s v="BAE-623"/>
    <s v="MT"/>
    <x v="0"/>
    <s v="CAMBIO DE EMPAQUE DE CLOSH "/>
    <n v="40000"/>
    <n v="28000"/>
    <n v="12000"/>
    <s v="EMPAQUE /LIQUIDO"/>
    <n v="22600"/>
    <n v="6386.55"/>
    <n v="1213.4445000000001"/>
    <n v="50000"/>
    <m/>
    <n v="0"/>
    <n v="-1213.4445000000001"/>
    <n v="28613.444500000001"/>
    <m/>
  </r>
  <r>
    <d v="2022-10-30T00:00:00"/>
    <s v="RM:349/FE:349"/>
    <s v="JAIME CRUZ"/>
    <s v="UTQ-864 "/>
    <s v="SPARK GT"/>
    <x v="0"/>
    <s v="CAMBIO DE SOPORTE DE AMORTIGUADOR/ BUJES DE TIJARA"/>
    <n v="170000"/>
    <n v="118999.99999999999"/>
    <n v="51000.000000000015"/>
    <s v="BUJES DE TIJERA, SOPORTE DE AMORTIGUDOR"/>
    <m/>
    <n v="0"/>
    <n v="0"/>
    <n v="329000"/>
    <n v="276470.58823529416"/>
    <n v="52529.411764705888"/>
    <n v="52529.411764705888"/>
    <n v="276470.5882352941"/>
    <m/>
  </r>
  <r>
    <d v="2022-10-31T00:00:00"/>
    <s v="RM:351"/>
    <s v="WILSON SUAREZ"/>
    <s v="EWJ-306"/>
    <s v="R-12"/>
    <x v="0"/>
    <s v="CAMBIO DE TERMINALES BUJES DE TIJERA/ BUJES BARRA ESTABILIZADORA"/>
    <n v="180000"/>
    <n v="125999.99999999999"/>
    <n v="54000.000000000015"/>
    <m/>
    <m/>
    <n v="0"/>
    <n v="0"/>
    <m/>
    <n v="0"/>
    <n v="0"/>
    <n v="0"/>
    <n v="0"/>
    <m/>
  </r>
  <r>
    <d v="2022-10-31T00:00:00"/>
    <m/>
    <s v="WILSON SUAREZ"/>
    <s v="EWJ-306"/>
    <s v="R-12"/>
    <x v="5"/>
    <s v="CAMBIO DE PRESILENCIADOR"/>
    <n v="70000"/>
    <n v="35000"/>
    <n v="35000"/>
    <m/>
    <m/>
    <n v="0"/>
    <n v="0"/>
    <m/>
    <n v="0"/>
    <n v="0"/>
    <n v="0"/>
    <n v="0"/>
    <m/>
  </r>
  <r>
    <d v="2022-10-31T00:00:00"/>
    <m/>
    <m/>
    <m/>
    <m/>
    <x v="3"/>
    <s v="GRADUACION DE FRENO "/>
    <n v="20000"/>
    <n v="14000"/>
    <n v="6000"/>
    <m/>
    <m/>
    <n v="0"/>
    <n v="0"/>
    <m/>
    <n v="0"/>
    <n v="0"/>
    <n v="0"/>
    <n v="0"/>
    <m/>
  </r>
  <r>
    <d v="2022-10-31T00:00:00"/>
    <s v="FE:204"/>
    <s v="SERVICIOS AGRICOLA JB SAS "/>
    <s v="ETT-299"/>
    <s v="JAC"/>
    <x v="0"/>
    <s v="REVISAR RUEDAS DEL"/>
    <n v="60000"/>
    <n v="42000"/>
    <n v="18000"/>
    <m/>
    <m/>
    <n v="0"/>
    <n v="0"/>
    <m/>
    <n v="0"/>
    <n v="0"/>
    <n v="0"/>
    <n v="0"/>
    <m/>
  </r>
  <r>
    <d v="2022-10-31T00:00:00"/>
    <m/>
    <m/>
    <s v="WFR-439"/>
    <s v="FURGON"/>
    <x v="3"/>
    <s v="GRADUACION DE FRENOS "/>
    <n v="9000"/>
    <n v="6300"/>
    <n v="270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  <r>
    <m/>
    <m/>
    <m/>
    <m/>
    <m/>
    <x v="4"/>
    <m/>
    <m/>
    <n v="0"/>
    <n v="0"/>
    <m/>
    <m/>
    <n v="0"/>
    <n v="0"/>
    <m/>
    <n v="0"/>
    <n v="0"/>
    <n v="0"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x v="0"/>
    <m/>
    <s v="SAUL BETANCOURT"/>
    <s v="BEU-479"/>
    <x v="0"/>
    <x v="0"/>
    <s v="REVISION DE FRENOS COMPLETO"/>
    <n v="50000"/>
    <n v="35000"/>
    <n v="15000"/>
    <m/>
    <m/>
    <n v="0"/>
    <n v="0"/>
    <m/>
    <n v="0"/>
    <n v="0"/>
    <n v="0"/>
    <n v="0"/>
    <s v="CANCELADO"/>
  </r>
  <r>
    <x v="0"/>
    <m/>
    <s v="VIOLETA ALIERDO"/>
    <s v="NER-493"/>
    <x v="1"/>
    <x v="1"/>
    <s v="CAMBIO DE CORREA"/>
    <n v="50000"/>
    <n v="35000"/>
    <n v="15000"/>
    <s v="CORREA DE AIRE ACOND"/>
    <n v="63000"/>
    <n v="52941.176470588238"/>
    <n v="10058.823529411766"/>
    <n v="50000"/>
    <n v="42016.806722689078"/>
    <n v="7983.1932773109247"/>
    <n v="-2075.6302521008411"/>
    <n v="-10924.36974789916"/>
    <s v="CANCELADO"/>
  </r>
  <r>
    <x v="0"/>
    <s v="RM-109"/>
    <s v="FRANCISCO AZCARATE"/>
    <s v="RZN-555"/>
    <x v="2"/>
    <x v="2"/>
    <s v="ARREGLO DE SUBE VIDRIO"/>
    <n v="150000"/>
    <n v="90000"/>
    <n v="60000"/>
    <s v="TERMINALES, FUSIBLES, CABLE"/>
    <n v="23000"/>
    <n v="19327.731092436974"/>
    <m/>
    <n v="12000"/>
    <m/>
    <n v="0"/>
    <n v="0"/>
    <n v="-11000"/>
    <s v="CANCELADO"/>
  </r>
  <r>
    <x v="0"/>
    <m/>
    <s v="MIGUEL BAUTISTA"/>
    <s v="TSX-986"/>
    <x v="3"/>
    <x v="0"/>
    <s v="GRADUACION DE FRENOS"/>
    <n v="10000"/>
    <n v="7000"/>
    <n v="3000"/>
    <m/>
    <m/>
    <n v="0"/>
    <n v="0"/>
    <m/>
    <n v="0"/>
    <n v="0"/>
    <n v="0"/>
    <n v="0"/>
    <s v="CANCELADO"/>
  </r>
  <r>
    <x v="0"/>
    <m/>
    <s v="EMILIO PAEZ"/>
    <s v="AKG-853"/>
    <x v="4"/>
    <x v="2"/>
    <s v="DESVARE/ CHEQUEO DE ARRANQUE"/>
    <n v="30000"/>
    <n v="18000"/>
    <n v="12000"/>
    <m/>
    <m/>
    <n v="0"/>
    <n v="0"/>
    <m/>
    <n v="0"/>
    <n v="0"/>
    <n v="0"/>
    <n v="0"/>
    <s v="CANCELADO"/>
  </r>
  <r>
    <x v="0"/>
    <m/>
    <s v="METALCARGOS"/>
    <s v="GZZ-341"/>
    <x v="5"/>
    <x v="2"/>
    <s v="APAGAR BOMBILLO ABS"/>
    <m/>
    <n v="30000"/>
    <n v="-30000"/>
    <m/>
    <m/>
    <n v="0"/>
    <n v="0"/>
    <m/>
    <n v="0"/>
    <n v="0"/>
    <n v="0"/>
    <n v="0"/>
    <s v="CANCELADO"/>
  </r>
  <r>
    <x v="1"/>
    <m/>
    <s v="HUGO MARIÑO"/>
    <s v="WCW-648"/>
    <x v="6"/>
    <x v="1"/>
    <s v="CAMBIO DE MANGUERA Y SENSOR DE OXIGENO"/>
    <n v="50000"/>
    <n v="35000"/>
    <n v="15000"/>
    <m/>
    <m/>
    <n v="0"/>
    <n v="0"/>
    <m/>
    <n v="0"/>
    <n v="0"/>
    <n v="0"/>
    <n v="0"/>
    <s v="CANCELADO"/>
  </r>
  <r>
    <x v="1"/>
    <m/>
    <s v="HUGO MARIÑO"/>
    <s v="WCW-648"/>
    <x v="6"/>
    <x v="2"/>
    <s v="CAMBIO DE PASTILLAS"/>
    <n v="30000"/>
    <n v="18000"/>
    <n v="12000"/>
    <m/>
    <m/>
    <n v="0"/>
    <n v="0"/>
    <m/>
    <n v="0"/>
    <n v="0"/>
    <n v="0"/>
    <n v="0"/>
    <s v="CANCELADO"/>
  </r>
  <r>
    <x v="1"/>
    <s v="RM-112"/>
    <s v="JUAN CAMERO"/>
    <s v="MPQ-345"/>
    <x v="7"/>
    <x v="0"/>
    <s v="CAMBIO DE GUARDAPOLVO LADO CAJA"/>
    <n v="50000"/>
    <n v="35000"/>
    <n v="15000"/>
    <s v="GUARDAPOLVO"/>
    <n v="10000"/>
    <n v="8403.361344537816"/>
    <n v="1596.6386554621849"/>
    <n v="50000"/>
    <n v="42016.806722689078"/>
    <n v="7983.1932773109247"/>
    <n v="6386.5546218487398"/>
    <n v="33613.445378151257"/>
    <s v="CANCELADO"/>
  </r>
  <r>
    <x v="1"/>
    <s v="RM:110 / FE: 58"/>
    <s v="WILMER HERNANDEZ"/>
    <s v="FNK-342"/>
    <x v="2"/>
    <x v="1"/>
    <s v="CAMBIO DE GUAYA"/>
    <n v="50000"/>
    <n v="35000"/>
    <n v="15000"/>
    <s v="GUAYA "/>
    <m/>
    <n v="0"/>
    <n v="0"/>
    <m/>
    <n v="0"/>
    <n v="0"/>
    <n v="0"/>
    <n v="0"/>
    <s v="CANCELADO"/>
  </r>
  <r>
    <x v="1"/>
    <m/>
    <s v="ALEJANDRO ROJAS"/>
    <s v="FNK-342"/>
    <x v="2"/>
    <x v="0"/>
    <s v="CAMBIO DE PASTILLAS TRASERAS"/>
    <n v="30000"/>
    <n v="21000"/>
    <n v="9000"/>
    <m/>
    <m/>
    <n v="0"/>
    <n v="0"/>
    <m/>
    <n v="0"/>
    <n v="0"/>
    <n v="0"/>
    <n v="0"/>
    <s v="CANCELADO"/>
  </r>
  <r>
    <x v="1"/>
    <m/>
    <s v="JYR CENTRO DE ENSEÑANZA "/>
    <s v="JEQ-870"/>
    <x v="0"/>
    <x v="2"/>
    <s v="ARREGLO DE LUCES"/>
    <n v="30000"/>
    <n v="18000"/>
    <n v="12000"/>
    <m/>
    <m/>
    <n v="0"/>
    <n v="0"/>
    <m/>
    <n v="0"/>
    <n v="0"/>
    <n v="0"/>
    <n v="0"/>
    <s v="CANCELADO"/>
  </r>
  <r>
    <x v="1"/>
    <m/>
    <s v="CESAR IZASA"/>
    <s v="GZZ-2280"/>
    <x v="8"/>
    <x v="2"/>
    <s v="CAMBIO DE FUSIBLE"/>
    <n v="10000"/>
    <n v="6000"/>
    <n v="4000"/>
    <m/>
    <m/>
    <n v="0"/>
    <n v="0"/>
    <m/>
    <n v="0"/>
    <n v="0"/>
    <n v="0"/>
    <n v="0"/>
    <s v="CANCELADO"/>
  </r>
  <r>
    <x v="1"/>
    <m/>
    <s v="RIGOBERTO ALVARADO"/>
    <s v="BKN-911"/>
    <x v="9"/>
    <x v="3"/>
    <s v="CAMBIO DE PASTILLAS Y DISCO"/>
    <n v="50000"/>
    <n v="30000"/>
    <n v="20000"/>
    <m/>
    <m/>
    <n v="0"/>
    <n v="0"/>
    <m/>
    <n v="0"/>
    <n v="0"/>
    <n v="0"/>
    <n v="0"/>
    <s v="CANCELADO"/>
  </r>
  <r>
    <x v="1"/>
    <m/>
    <s v="JUAN ACEVEDO"/>
    <s v="EFX-747"/>
    <x v="0"/>
    <x v="0"/>
    <s v="REVISION DE FRENOS DELANTEROS"/>
    <n v="30000"/>
    <n v="21000"/>
    <n v="9000"/>
    <m/>
    <m/>
    <n v="0"/>
    <n v="0"/>
    <m/>
    <n v="0"/>
    <n v="0"/>
    <n v="0"/>
    <n v="0"/>
    <s v="CANCELADO"/>
  </r>
  <r>
    <x v="1"/>
    <m/>
    <s v="VICENTE OPATARROYO"/>
    <m/>
    <x v="0"/>
    <x v="0"/>
    <s v="GRADAUCION DE FRENOS"/>
    <n v="10000"/>
    <n v="7000"/>
    <n v="3000"/>
    <m/>
    <m/>
    <n v="0"/>
    <n v="0"/>
    <m/>
    <n v="0"/>
    <n v="0"/>
    <n v="0"/>
    <n v="0"/>
    <s v="CANCELADO"/>
  </r>
  <r>
    <x v="2"/>
    <m/>
    <s v="PATRICIA CONTRERAS"/>
    <s v="RJS-738"/>
    <x v="10"/>
    <x v="0"/>
    <s v="CAMBIO DE SDISCOS, PASTILLAS, BUJES, AMORTIGUADORES, BRAZOS AXIALES, MUÑECOS, TERMINALES DE DIRECCION"/>
    <n v="300000"/>
    <n v="210000"/>
    <n v="90000"/>
    <s v="DISCOS, PASTILLAS, TIJERAS, BUJES, AMORTIGUADORES, BRAZOS AXIALES, MUÑECOS, TERMINALES DE DIRECCION"/>
    <n v="827555.3"/>
    <n v="695424.62184873957"/>
    <n v="132130.67815126051"/>
    <n v="1330000"/>
    <n v="1117647.0588235294"/>
    <n v="212352.9411764706"/>
    <n v="80222.263025210093"/>
    <n v="422222.43697478983"/>
    <s v="CANCELADO"/>
  </r>
  <r>
    <x v="2"/>
    <m/>
    <s v="JHON CERVANTES"/>
    <s v="HCN-571"/>
    <x v="11"/>
    <x v="0"/>
    <s v="REVISION DE FRENOS COMPLETO- CAMBIO DE CAMPANAS-CAMBIO DE ESPARRAGOS"/>
    <n v="80000"/>
    <n v="56000"/>
    <n v="24000"/>
    <s v="ESPARRAGOS Y TUERCA"/>
    <n v="14900"/>
    <n v="12521.008403361346"/>
    <n v="2378.9915966386557"/>
    <n v="10000"/>
    <n v="8403.361344537816"/>
    <n v="1596.6386554621849"/>
    <n v="-782.35294117647072"/>
    <n v="-4117.6470588235297"/>
    <s v="CANCELADO"/>
  </r>
  <r>
    <x v="2"/>
    <m/>
    <s v="JUAN MANUEL RESTREPO"/>
    <s v="IBX-943"/>
    <x v="12"/>
    <x v="3"/>
    <s v="CAMBIO DE DISCOS DEL"/>
    <n v="40000"/>
    <n v="24000"/>
    <n v="16000"/>
    <m/>
    <m/>
    <n v="0"/>
    <n v="0"/>
    <m/>
    <n v="0"/>
    <n v="0"/>
    <n v="0"/>
    <n v="0"/>
    <s v="CANCELADO"/>
  </r>
  <r>
    <x v="2"/>
    <m/>
    <s v="JAIME MONCADA"/>
    <s v="SKK-862"/>
    <x v="13"/>
    <x v="0"/>
    <s v="GRADUAR FRENOS"/>
    <n v="10000"/>
    <n v="7000"/>
    <n v="3000"/>
    <m/>
    <m/>
    <n v="0"/>
    <n v="0"/>
    <m/>
    <n v="0"/>
    <n v="0"/>
    <n v="0"/>
    <n v="0"/>
    <s v="CANCELADO"/>
  </r>
  <r>
    <x v="2"/>
    <m/>
    <m/>
    <m/>
    <x v="14"/>
    <x v="2"/>
    <s v="GRADUAR FRENOS"/>
    <n v="10000"/>
    <n v="6000"/>
    <n v="4000"/>
    <s v="LIQUIDO"/>
    <n v="5000"/>
    <n v="4201.680672268908"/>
    <n v="798.31932773109247"/>
    <n v="10000"/>
    <n v="8403.361344537816"/>
    <n v="1596.6386554621849"/>
    <n v="798.31932773109247"/>
    <n v="4201.6806722689071"/>
    <s v="CANCELADO"/>
  </r>
  <r>
    <x v="3"/>
    <m/>
    <s v="RICARDO SALGADO"/>
    <s v="KDR-175"/>
    <x v="15"/>
    <x v="3"/>
    <s v="MONTAR ALTERNADOR"/>
    <n v="80000"/>
    <n v="48000"/>
    <n v="32000"/>
    <m/>
    <m/>
    <n v="0"/>
    <n v="0"/>
    <m/>
    <n v="0"/>
    <n v="0"/>
    <n v="0"/>
    <n v="0"/>
    <s v="CANCELADO"/>
  </r>
  <r>
    <x v="3"/>
    <m/>
    <s v="ANDRES SOCHA"/>
    <s v="EXX-566"/>
    <x v="16"/>
    <x v="0"/>
    <s v="GRADUAR FRENOS "/>
    <n v="10000"/>
    <n v="7000"/>
    <n v="3000"/>
    <m/>
    <m/>
    <n v="0"/>
    <n v="0"/>
    <m/>
    <n v="0"/>
    <n v="0"/>
    <n v="0"/>
    <n v="0"/>
    <s v="CANCELADO"/>
  </r>
  <r>
    <x v="3"/>
    <m/>
    <s v="YEISON MARTINEZ"/>
    <s v="GSQ-417"/>
    <x v="17"/>
    <x v="3"/>
    <s v="MATTO COMPLETO/ CAMBIO DE DISCOS, PASTILLAS, TIJERAS SOPORTE DE CAJA"/>
    <n v="190000"/>
    <n v="114000"/>
    <n v="76000"/>
    <s v="PASTILLAS, DISCOS, SOPORTE DE CAJA, TIJERAS"/>
    <n v="900000"/>
    <n v="756302.52100840339"/>
    <n v="143697.47899159664"/>
    <n v="1130000"/>
    <n v="949579.83193277312"/>
    <n v="180420.16806722688"/>
    <n v="36722.689075630245"/>
    <n v="693277.31092436973"/>
    <s v="CANCELADO"/>
  </r>
  <r>
    <x v="3"/>
    <m/>
    <s v="JOSE TRIANA "/>
    <s v="ERK-645"/>
    <x v="18"/>
    <x v="0"/>
    <s v="GRADUAR FRENOS"/>
    <n v="10000"/>
    <n v="7000"/>
    <n v="3000"/>
    <m/>
    <m/>
    <n v="0"/>
    <n v="0"/>
    <m/>
    <n v="0"/>
    <n v="0"/>
    <n v="0"/>
    <n v="0"/>
    <s v="CANCELADO"/>
  </r>
  <r>
    <x v="4"/>
    <m/>
    <s v="AGUSTIN ESPINOZA"/>
    <s v="SMD-478"/>
    <x v="19"/>
    <x v="1"/>
    <s v="CAMBIO DE RETENEDOR DE CUPLIN"/>
    <n v="30000"/>
    <n v="21000"/>
    <n v="9000"/>
    <m/>
    <m/>
    <n v="0"/>
    <n v="0"/>
    <m/>
    <n v="0"/>
    <n v="0"/>
    <n v="0"/>
    <n v="0"/>
    <s v="CANCELADO"/>
  </r>
  <r>
    <x v="4"/>
    <m/>
    <s v="VICENTE COJO"/>
    <s v="DODGE"/>
    <x v="20"/>
    <x v="0"/>
    <s v="RECALZAR BNADAS TRASERAS"/>
    <n v="40000"/>
    <n v="40000"/>
    <n v="0"/>
    <s v="JUEGO DE BLOQUES"/>
    <n v="115000"/>
    <n v="96638.655462184877"/>
    <n v="18361.344537815126"/>
    <n v="140000"/>
    <n v="117647.05882352941"/>
    <n v="22352.941176470587"/>
    <n v="3991.596638655461"/>
    <n v="21008.403361344535"/>
    <s v="CANCELADO"/>
  </r>
  <r>
    <x v="4"/>
    <s v="RM:119"/>
    <s v="IVAN LOPEZ"/>
    <s v="AVEO"/>
    <x v="21"/>
    <x v="0"/>
    <s v="CAMBIO DE ESPARRAGOS"/>
    <n v="50000"/>
    <n v="35000"/>
    <n v="15000"/>
    <m/>
    <m/>
    <n v="0"/>
    <n v="0"/>
    <m/>
    <n v="0"/>
    <n v="0"/>
    <n v="0"/>
    <n v="0"/>
    <s v="CANCELADO"/>
  </r>
  <r>
    <x v="4"/>
    <m/>
    <s v="DISNY AMIN"/>
    <s v="SUBARU"/>
    <x v="22"/>
    <x v="3"/>
    <s v="CAMBIO DE BUJES DE TIJERAS DEL/ CAMBIO BUJES BARRA ESTABILIZADORA"/>
    <n v="140000"/>
    <n v="84000"/>
    <n v="56000"/>
    <m/>
    <m/>
    <n v="0"/>
    <n v="0"/>
    <m/>
    <n v="0"/>
    <n v="0"/>
    <n v="0"/>
    <n v="0"/>
    <s v="CANCELADO"/>
  </r>
  <r>
    <x v="5"/>
    <m/>
    <s v="ANDRES NIVIAYO"/>
    <s v="VOLKWAGEN"/>
    <x v="23"/>
    <x v="0"/>
    <s v="CAMBIO DE PASTILLAS DEL"/>
    <n v="40000"/>
    <n v="24000"/>
    <n v="16000"/>
    <m/>
    <m/>
    <n v="0"/>
    <n v="0"/>
    <m/>
    <n v="0"/>
    <n v="0"/>
    <n v="0"/>
    <n v="0"/>
    <s v="CANCELADO"/>
  </r>
  <r>
    <x v="5"/>
    <m/>
    <m/>
    <m/>
    <x v="14"/>
    <x v="2"/>
    <s v="DESVARE"/>
    <n v="50000"/>
    <n v="30000"/>
    <n v="20000"/>
    <m/>
    <m/>
    <n v="0"/>
    <n v="0"/>
    <m/>
    <n v="0"/>
    <n v="0"/>
    <n v="0"/>
    <n v="0"/>
    <s v="CANCELADO"/>
  </r>
  <r>
    <x v="5"/>
    <m/>
    <s v="CARLOS PEDROZA"/>
    <s v="KAT-796"/>
    <x v="24"/>
    <x v="0"/>
    <s v="CAMBIO DE BUJES DE TIJERA/ CAMBIO DE BRAZOS A AXIALES/ TERMINALES/ CAMBIO DE COPA CAJA "/>
    <n v="220000"/>
    <n v="154000"/>
    <n v="66000"/>
    <m/>
    <m/>
    <n v="0"/>
    <n v="0"/>
    <m/>
    <n v="0"/>
    <n v="0"/>
    <n v="0"/>
    <n v="0"/>
    <s v="CANCELADO"/>
  </r>
  <r>
    <x v="5"/>
    <s v="RM:125"/>
    <s v="CARLOS PEDROZA"/>
    <s v="KAT-796"/>
    <x v="24"/>
    <x v="1"/>
    <s v="REPARACION PARCIAL MOTOR"/>
    <n v="900000"/>
    <n v="630000"/>
    <n v="270000"/>
    <m/>
    <m/>
    <n v="0"/>
    <n v="0"/>
    <m/>
    <n v="0"/>
    <n v="0"/>
    <n v="0"/>
    <n v="0"/>
    <s v="CANCELADO"/>
  </r>
  <r>
    <x v="5"/>
    <m/>
    <s v="ALEJANDRO ROMERO"/>
    <s v="UDL-913"/>
    <x v="25"/>
    <x v="0"/>
    <s v="CAMBIO DE PASTILLAS DELANTERAS Y TRASERAS"/>
    <n v="80000"/>
    <n v="56000"/>
    <n v="24000"/>
    <s v="PASTILLAS DELANTERAS Y TRASERAS"/>
    <n v="312000"/>
    <n v="262184.87394957984"/>
    <n v="49815.126050420171"/>
    <n v="371000"/>
    <n v="311764.70588235295"/>
    <n v="59235.294117647063"/>
    <n v="9420.1680672268922"/>
    <n v="49579.831932773115"/>
    <s v="CANCELADO"/>
  </r>
  <r>
    <x v="5"/>
    <m/>
    <s v="JULIO DUARTE"/>
    <s v="BUW-614"/>
    <x v="26"/>
    <x v="1"/>
    <s v="REPARACION DE MOTOR"/>
    <n v="1000000"/>
    <n v="700000"/>
    <n v="300000"/>
    <m/>
    <n v="1604000"/>
    <m/>
    <n v="0"/>
    <n v="2772000"/>
    <n v="2329411.7647058824"/>
    <n v="442588.23529411765"/>
    <n v="442588.23529411765"/>
    <n v="725411.76470588241"/>
    <m/>
  </r>
  <r>
    <x v="5"/>
    <m/>
    <s v="JULIO DUARTE"/>
    <s v="BUW-614"/>
    <x v="26"/>
    <x v="2"/>
    <s v="MATTO DE ALTERNADOR Y ARRANQUE"/>
    <n v="100000"/>
    <n v="60000"/>
    <n v="40000"/>
    <m/>
    <m/>
    <n v="0"/>
    <n v="0"/>
    <m/>
    <n v="0"/>
    <n v="0"/>
    <n v="0"/>
    <n v="0"/>
    <m/>
  </r>
  <r>
    <x v="6"/>
    <m/>
    <m/>
    <s v="DBT-851"/>
    <x v="14"/>
    <x v="2"/>
    <s v="CAMBIO DE ESPARRAGOS"/>
    <n v="30000"/>
    <n v="18000"/>
    <n v="12000"/>
    <m/>
    <m/>
    <n v="0"/>
    <n v="0"/>
    <m/>
    <n v="0"/>
    <n v="0"/>
    <n v="0"/>
    <n v="0"/>
    <m/>
  </r>
  <r>
    <x v="6"/>
    <s v="RM:124"/>
    <s v="ALVARO VARGAS"/>
    <s v="WNN-834"/>
    <x v="27"/>
    <x v="4"/>
    <s v="MATTO FRENO DE AHOGO"/>
    <n v="60000"/>
    <n v="42000"/>
    <n v="18000"/>
    <m/>
    <m/>
    <n v="0"/>
    <n v="0"/>
    <m/>
    <n v="0"/>
    <n v="0"/>
    <n v="0"/>
    <n v="0"/>
    <m/>
  </r>
  <r>
    <x v="6"/>
    <m/>
    <s v="JAIME RODRIGUEZ"/>
    <s v="HIUNDAY"/>
    <x v="28"/>
    <x v="4"/>
    <s v="CAMBIO DE PASTILLAS FRENOS DE MANO Y PASTILLAS "/>
    <n v="60000"/>
    <n v="60000"/>
    <n v="0"/>
    <m/>
    <m/>
    <n v="0"/>
    <n v="0"/>
    <m/>
    <n v="0"/>
    <n v="0"/>
    <n v="0"/>
    <n v="0"/>
    <s v="CANCELADO"/>
  </r>
  <r>
    <x v="7"/>
    <s v="RM:128"/>
    <s v="JUAN CAMERO"/>
    <s v="RENAULT"/>
    <x v="29"/>
    <x v="2"/>
    <s v="CAMBIO DE PASTILLAS DELANTERAS"/>
    <n v="20000"/>
    <n v="18000"/>
    <n v="2000"/>
    <m/>
    <m/>
    <n v="0"/>
    <n v="0"/>
    <m/>
    <n v="0"/>
    <n v="0"/>
    <n v="0"/>
    <n v="0"/>
    <m/>
  </r>
  <r>
    <x v="7"/>
    <s v="FE:  63"/>
    <s v="OLIMPIA HERNANDEZ"/>
    <s v="HINO"/>
    <x v="30"/>
    <x v="4"/>
    <s v="BAJAR MUELLES DEL IZQ, CAMBIO DE BUJES DE AMORTIGUADOR Y TIJERAS"/>
    <n v="150000"/>
    <n v="105000"/>
    <n v="45000"/>
    <m/>
    <m/>
    <n v="0"/>
    <n v="0"/>
    <m/>
    <n v="0"/>
    <n v="0"/>
    <n v="0"/>
    <n v="0"/>
    <m/>
  </r>
  <r>
    <x v="7"/>
    <m/>
    <s v="EDUARDO GAMBOA"/>
    <s v="MITSUBISHI"/>
    <x v="31"/>
    <x v="1"/>
    <s v="CAMBIO DE CORREA DE ACCESORIO"/>
    <n v="20000"/>
    <n v="14000"/>
    <n v="6000"/>
    <m/>
    <m/>
    <n v="0"/>
    <n v="0"/>
    <m/>
    <n v="0"/>
    <n v="0"/>
    <n v="0"/>
    <n v="0"/>
    <m/>
  </r>
  <r>
    <x v="7"/>
    <m/>
    <s v="SAUL BETANCOURT"/>
    <s v="LUV2300"/>
    <x v="32"/>
    <x v="5"/>
    <s v="CAMBIO DE PASADORES DE MORDAZA"/>
    <n v="40000"/>
    <n v="28000"/>
    <n v="12000"/>
    <s v="PASADORES"/>
    <n v="70000"/>
    <n v="58823.529411764706"/>
    <n v="11176.470588235294"/>
    <n v="100000"/>
    <n v="84033.613445378156"/>
    <n v="15966.386554621849"/>
    <n v="4789.9159663865557"/>
    <n v="25210.084033613442"/>
    <m/>
  </r>
  <r>
    <x v="7"/>
    <m/>
    <s v="LORENZO FRANCO"/>
    <s v="HILUX"/>
    <x v="33"/>
    <x v="3"/>
    <s v="CAMBIO DE PASTILLAS Y RECTIFICACION DE DISCOS"/>
    <n v="60000"/>
    <n v="36000"/>
    <n v="24000"/>
    <s v="PASTILLAS"/>
    <n v="170000"/>
    <n v="142857.14285714287"/>
    <n v="27142.857142857145"/>
    <n v="240000"/>
    <n v="201680.67226890757"/>
    <n v="38319.327731092439"/>
    <n v="11176.470588235294"/>
    <n v="58823.529411764699"/>
    <m/>
  </r>
  <r>
    <x v="7"/>
    <s v="FE: 634"/>
    <s v="RYD JARDINEROS "/>
    <s v="JAC"/>
    <x v="34"/>
    <x v="4"/>
    <s v="REVISION DE FRENOS COMPLETO"/>
    <n v="100000"/>
    <n v="70000"/>
    <n v="30000"/>
    <m/>
    <m/>
    <n v="0"/>
    <n v="0"/>
    <m/>
    <n v="0"/>
    <n v="0"/>
    <n v="0"/>
    <n v="0"/>
    <m/>
  </r>
  <r>
    <x v="7"/>
    <s v="RM: 129"/>
    <s v="INDUSTRIAL DE ACEROS JV SAS"/>
    <s v="BUSETA "/>
    <x v="35"/>
    <x v="5"/>
    <s v="CAMBIO DE TIJERAS-CAMBIO DE BUJES BARRA ESTABILIZADORA-BUJES DE TEMPLETES-MUÑECOS-CAMBIO DE CILINDRO DE FRENOS-LIQUIDO DE FRENO- MTTO DE FRENOS"/>
    <n v="350000"/>
    <n v="244999.99999999997"/>
    <n v="105000.00000000003"/>
    <m/>
    <m/>
    <n v="0"/>
    <n v="0"/>
    <m/>
    <n v="0"/>
    <n v="0"/>
    <n v="0"/>
    <n v="0"/>
    <m/>
  </r>
  <r>
    <x v="7"/>
    <s v="RM: 129"/>
    <s v="INDUSTRIAL DE ACEROS JV SAS"/>
    <s v="BUSETA "/>
    <x v="35"/>
    <x v="2"/>
    <s v="MANTENIMIENTO DE ARRANQUE-- MATTO DE LUCES"/>
    <n v="130000"/>
    <n v="78000"/>
    <n v="52000"/>
    <m/>
    <m/>
    <n v="0"/>
    <n v="0"/>
    <m/>
    <n v="0"/>
    <n v="0"/>
    <n v="0"/>
    <n v="0"/>
    <m/>
  </r>
  <r>
    <x v="7"/>
    <m/>
    <s v="CAMILO JARAMILLO"/>
    <s v="MEGAN"/>
    <x v="36"/>
    <x v="1"/>
    <s v="CAMBIO DE KIT DE REPARTICION / EMPAQUE DE ADMISION /MANGUERA PURIFICADOR DE AIRE/ TAPONES DE LEVA"/>
    <n v="420000"/>
    <n v="294000"/>
    <n v="126000"/>
    <s v="KIT DE REPARTICION-EMPAQUE DE ADMISION-MANGUERA PURIFICADOR DE AIRE-TAPONES DE LEVA-GASOLINA"/>
    <n v="343000"/>
    <n v="288235.29411764705"/>
    <n v="54764.705882352937"/>
    <n v="425000"/>
    <m/>
    <n v="0"/>
    <m/>
    <n v="82000"/>
    <m/>
  </r>
  <r>
    <x v="8"/>
    <m/>
    <s v="JIMMY GALINDO"/>
    <s v="KIA"/>
    <x v="37"/>
    <x v="5"/>
    <s v="MANTENIMEINTO COMPLETO DE FRENOS /CAMBIO DE LIQUIDO"/>
    <n v="120000"/>
    <n v="84000"/>
    <n v="36000"/>
    <s v="LIQUIDO"/>
    <n v="12000"/>
    <n v="10084.033613445379"/>
    <n v="1915.966386554622"/>
    <n v="24000"/>
    <n v="20168.067226890758"/>
    <n v="3831.932773109244"/>
    <n v="1915.966386554622"/>
    <n v="10084.033613445377"/>
    <m/>
  </r>
  <r>
    <x v="8"/>
    <m/>
    <s v="JIMMY GALINDO"/>
    <s v="KIA"/>
    <x v="37"/>
    <x v="2"/>
    <s v="CAMBIO DE BOMBILLO"/>
    <n v="10000"/>
    <n v="6000"/>
    <n v="4000"/>
    <m/>
    <m/>
    <n v="0"/>
    <n v="0"/>
    <m/>
    <n v="0"/>
    <n v="0"/>
    <n v="0"/>
    <n v="0"/>
    <m/>
  </r>
  <r>
    <x v="8"/>
    <m/>
    <m/>
    <s v="SKI-838"/>
    <x v="38"/>
    <x v="2"/>
    <s v="CAMBIO KIT  BOMBA EMBRAGUE"/>
    <n v="45000"/>
    <n v="27000"/>
    <n v="18000"/>
    <s v="KIT BOMBA EMBRAGUE"/>
    <n v="15000"/>
    <n v="12605.042016806723"/>
    <n v="2394.9579831932774"/>
    <n v="35000"/>
    <n v="29411.764705882353"/>
    <n v="5588.2352941176468"/>
    <n v="3193.2773109243694"/>
    <n v="16806.722689075632"/>
    <m/>
  </r>
  <r>
    <x v="9"/>
    <m/>
    <m/>
    <s v="HINO"/>
    <x v="39"/>
    <x v="3"/>
    <s v="CAMBIO DE MANGUERA"/>
    <n v="30000"/>
    <n v="18000"/>
    <n v="12000"/>
    <m/>
    <m/>
    <n v="0"/>
    <n v="0"/>
    <m/>
    <n v="0"/>
    <n v="0"/>
    <n v="0"/>
    <n v="0"/>
    <m/>
  </r>
  <r>
    <x v="9"/>
    <s v="RM:135"/>
    <s v="VICENTE PATARROYO"/>
    <s v="CHEVROLET"/>
    <x v="40"/>
    <x v="3"/>
    <s v="REVISION DE LUCES"/>
    <n v="50000"/>
    <n v="30000"/>
    <n v="20000"/>
    <m/>
    <m/>
    <n v="0"/>
    <n v="0"/>
    <m/>
    <n v="0"/>
    <n v="0"/>
    <n v="0"/>
    <n v="0"/>
    <m/>
  </r>
  <r>
    <x v="9"/>
    <s v="RM:135"/>
    <s v="VICENTE PATARROYO"/>
    <s v="CHEVROLET"/>
    <x v="40"/>
    <x v="4"/>
    <s v="REVISION GENERAL DE FRENOS/ CAMBIO DE CILINDRO TRASERO IZQ/ REVISAR MANGUERA PRESION ACEITE"/>
    <n v="120000"/>
    <n v="84000"/>
    <n v="36000"/>
    <m/>
    <m/>
    <n v="0"/>
    <n v="0"/>
    <m/>
    <n v="0"/>
    <n v="0"/>
    <n v="0"/>
    <n v="0"/>
    <m/>
  </r>
  <r>
    <x v="9"/>
    <s v="RM:136"/>
    <s v="JULIO DUARTE"/>
    <s v="BUW-614"/>
    <x v="26"/>
    <x v="1"/>
    <s v="CAMBIO SOPORTE CARDAN"/>
    <n v="50000"/>
    <n v="35000"/>
    <n v="15000"/>
    <m/>
    <m/>
    <n v="0"/>
    <n v="0"/>
    <m/>
    <n v="0"/>
    <n v="0"/>
    <n v="0"/>
    <n v="0"/>
    <m/>
  </r>
  <r>
    <x v="10"/>
    <m/>
    <s v="ALEJANDRO MARTIN"/>
    <s v="RNN-506"/>
    <x v="2"/>
    <x v="3"/>
    <s v="CAMBIO DE TIJERAS- Y BUJES DE LA BARRA ESTABILIZADORA"/>
    <n v="100000"/>
    <n v="60000"/>
    <n v="40000"/>
    <m/>
    <m/>
    <m/>
    <m/>
    <m/>
    <m/>
    <m/>
    <m/>
    <m/>
    <m/>
  </r>
  <r>
    <x v="10"/>
    <m/>
    <m/>
    <s v="CFG-298"/>
    <x v="14"/>
    <x v="1"/>
    <s v="CAMBIO DE BOMBA DE AGUA / CORREGIR FUGA DE ACEITE"/>
    <n v="420000"/>
    <n v="294000"/>
    <n v="126000"/>
    <m/>
    <m/>
    <m/>
    <m/>
    <m/>
    <m/>
    <m/>
    <m/>
    <m/>
    <m/>
  </r>
  <r>
    <x v="11"/>
    <m/>
    <s v="CARLOS PEDROZA"/>
    <s v="KAT-796"/>
    <x v="41"/>
    <x v="0"/>
    <s v="CAMBIO DE TOPES DE AMORTIGUADOR"/>
    <n v="80000"/>
    <n v="56000"/>
    <n v="24000"/>
    <m/>
    <m/>
    <n v="0"/>
    <n v="0"/>
    <m/>
    <n v="0"/>
    <n v="0"/>
    <n v="0"/>
    <n v="0"/>
    <m/>
  </r>
  <r>
    <x v="10"/>
    <m/>
    <m/>
    <m/>
    <x v="42"/>
    <x v="4"/>
    <s v="GRADUACION DE FRENOS"/>
    <n v="15000"/>
    <n v="10500"/>
    <n v="4500"/>
    <m/>
    <m/>
    <n v="0"/>
    <n v="0"/>
    <m/>
    <n v="0"/>
    <n v="0"/>
    <n v="0"/>
    <n v="0"/>
    <m/>
  </r>
  <r>
    <x v="10"/>
    <m/>
    <s v="MIGUEL BAUTISTA"/>
    <s v="XJA-514"/>
    <x v="43"/>
    <x v="4"/>
    <s v="GRADUACION DE FRENOS"/>
    <n v="10000"/>
    <n v="7000"/>
    <n v="3000"/>
    <s v="PINTA DE LIQUIDO"/>
    <n v="5000"/>
    <n v="4201.680672268908"/>
    <n v="798.31932773109247"/>
    <n v="12000"/>
    <n v="10084.033613445379"/>
    <n v="1915.966386554622"/>
    <n v="1117.6470588235295"/>
    <n v="5882.3529411764703"/>
    <m/>
  </r>
  <r>
    <x v="10"/>
    <m/>
    <s v="RODRRIGO CALA "/>
    <s v="HJX-938"/>
    <x v="44"/>
    <x v="3"/>
    <s v="CAMBIO DE LIQUIDO/ REVISION DE FRENOS/ FRENO DE MANO/ CAMBIO DE AMORTIGUADORE/PASTILLAS"/>
    <n v="150000"/>
    <n v="90000"/>
    <n v="60000"/>
    <s v="PASTILLAS / AMORTIGUADORES"/>
    <n v="538000"/>
    <n v="452100.84033613448"/>
    <n v="85899.159663865546"/>
    <n v="800000"/>
    <n v="672268.90756302525"/>
    <n v="127731.0924369748"/>
    <n v="41831.932773109249"/>
    <n v="220168.06722689071"/>
    <m/>
  </r>
  <r>
    <x v="10"/>
    <m/>
    <s v="RODRRIGO CALA "/>
    <s v="HJX-938"/>
    <x v="44"/>
    <x v="4"/>
    <s v="SERVICIO DE ESCANER"/>
    <n v="50000"/>
    <n v="35000"/>
    <n v="15000"/>
    <m/>
    <m/>
    <n v="0"/>
    <n v="0"/>
    <m/>
    <n v="0"/>
    <n v="0"/>
    <n v="0"/>
    <n v="0"/>
    <m/>
  </r>
  <r>
    <x v="10"/>
    <m/>
    <s v="IVAN LOPEZ"/>
    <s v="RCR-206"/>
    <x v="10"/>
    <x v="3"/>
    <s v="CAMBIO DE AMORTIGUADORES"/>
    <n v="60000"/>
    <n v="36000"/>
    <n v="24000"/>
    <m/>
    <m/>
    <n v="0"/>
    <n v="0"/>
    <m/>
    <n v="0"/>
    <n v="0"/>
    <n v="0"/>
    <n v="0"/>
    <m/>
  </r>
  <r>
    <x v="10"/>
    <s v="RM: 139"/>
    <s v="SERGIO CASTANO"/>
    <s v="DRR-627"/>
    <x v="45"/>
    <x v="5"/>
    <s v="REVISION DE FRENOS COMPLETO"/>
    <n v="60000"/>
    <n v="42000"/>
    <n v="18000"/>
    <m/>
    <m/>
    <n v="0"/>
    <n v="0"/>
    <m/>
    <n v="0"/>
    <n v="0"/>
    <n v="0"/>
    <n v="0"/>
    <m/>
  </r>
  <r>
    <x v="10"/>
    <s v="RM: 141"/>
    <m/>
    <s v="NER-493"/>
    <x v="46"/>
    <x v="2"/>
    <s v="REVISION DE LUCES"/>
    <n v="30000"/>
    <n v="18000"/>
    <n v="12000"/>
    <s v="BOMBILLO"/>
    <n v="37000"/>
    <n v="31092.436974789918"/>
    <n v="5907.5630252100846"/>
    <n v="50000"/>
    <n v="42016.806722689078"/>
    <n v="7983.1932773109247"/>
    <n v="2075.6302521008402"/>
    <n v="10924.36974789916"/>
    <m/>
  </r>
  <r>
    <x v="10"/>
    <s v="RM: 141"/>
    <m/>
    <s v="NER-493"/>
    <x v="46"/>
    <x v="4"/>
    <s v="SERVICIO DE ESCANER"/>
    <n v="50000"/>
    <n v="35000"/>
    <n v="15000"/>
    <m/>
    <m/>
    <n v="0"/>
    <n v="0"/>
    <m/>
    <n v="0"/>
    <n v="0"/>
    <n v="0"/>
    <n v="0"/>
    <m/>
  </r>
  <r>
    <x v="12"/>
    <s v="RM: 143"/>
    <s v="PEDRO HERNANDEZ"/>
    <s v="VEM-246"/>
    <x v="47"/>
    <x v="5"/>
    <s v="CAMBIO DE PASTILLAS DEL Y BANDAS"/>
    <n v="50000"/>
    <n v="35000"/>
    <n v="15000"/>
    <m/>
    <m/>
    <n v="0"/>
    <n v="0"/>
    <m/>
    <n v="0"/>
    <n v="0"/>
    <n v="0"/>
    <n v="0"/>
    <m/>
  </r>
  <r>
    <x v="12"/>
    <s v="RM: 142"/>
    <s v="VICENTE PATARROYO"/>
    <s v="MAO-470"/>
    <x v="48"/>
    <x v="4"/>
    <s v="BAJAR PLATO TRASERO IZQ"/>
    <n v="50000"/>
    <n v="35000"/>
    <n v="15000"/>
    <m/>
    <m/>
    <n v="0"/>
    <n v="0"/>
    <m/>
    <n v="0"/>
    <n v="0"/>
    <n v="0"/>
    <n v="0"/>
    <m/>
  </r>
  <r>
    <x v="12"/>
    <s v="RM:144"/>
    <s v="SAUL BETANCOURT"/>
    <s v="BEU-479"/>
    <x v="49"/>
    <x v="5"/>
    <s v="COLOCAR MUELLE CENTRAL"/>
    <n v="100000"/>
    <n v="70000"/>
    <n v="30000"/>
    <m/>
    <m/>
    <n v="0"/>
    <n v="0"/>
    <m/>
    <n v="0"/>
    <n v="0"/>
    <n v="0"/>
    <n v="0"/>
    <m/>
  </r>
  <r>
    <x v="12"/>
    <m/>
    <s v="METALCARGOS"/>
    <s v="TFT-701"/>
    <x v="14"/>
    <x v="1"/>
    <s v="COLOCAR TABLA CHASSIS"/>
    <n v="50000"/>
    <n v="50000"/>
    <n v="0"/>
    <m/>
    <m/>
    <n v="0"/>
    <n v="0"/>
    <m/>
    <n v="0"/>
    <n v="0"/>
    <n v="0"/>
    <n v="0"/>
    <m/>
  </r>
  <r>
    <x v="13"/>
    <s v="FE:66"/>
    <s v="GERMAN NARANJO"/>
    <s v="DAJ-905"/>
    <x v="50"/>
    <x v="0"/>
    <s v="CAMBIO DE PASTILLAS DEL"/>
    <n v="30000"/>
    <n v="21000"/>
    <n v="9000"/>
    <s v="PASTILLAS DEL"/>
    <n v="95000"/>
    <n v="79831.932773109249"/>
    <n v="15168.067226890758"/>
    <m/>
    <n v="0"/>
    <n v="0"/>
    <n v="-15168.067226890758"/>
    <n v="-79831.932773109234"/>
    <m/>
  </r>
  <r>
    <x v="13"/>
    <m/>
    <m/>
    <s v="EWJ-306"/>
    <x v="51"/>
    <x v="3"/>
    <s v="AJUSTE TRASERO"/>
    <n v="20000"/>
    <n v="12000"/>
    <n v="8000"/>
    <m/>
    <m/>
    <n v="0"/>
    <n v="0"/>
    <m/>
    <n v="0"/>
    <n v="0"/>
    <n v="0"/>
    <n v="0"/>
    <m/>
  </r>
  <r>
    <x v="13"/>
    <m/>
    <s v="SANTIAGO CUBILLOS"/>
    <s v="JIQ-443"/>
    <x v="52"/>
    <x v="0"/>
    <s v="CAMBIO DE BOMBA PRINCIPAL"/>
    <n v="50000"/>
    <n v="60000"/>
    <n v="-10000"/>
    <s v="BOMBA PRINCIPAL"/>
    <n v="420000"/>
    <m/>
    <m/>
    <n v="450000"/>
    <m/>
    <n v="0"/>
    <n v="0"/>
    <n v="30000"/>
    <m/>
  </r>
  <r>
    <x v="13"/>
    <m/>
    <s v="GILBERTO ZAPATA"/>
    <s v="HKK-865"/>
    <x v="2"/>
    <x v="3"/>
    <s v="REVISION DE TRASERAS-CAMBIO DE BANDAS Y CILINDRO"/>
    <n v="70000"/>
    <n v="42000"/>
    <n v="28000"/>
    <m/>
    <m/>
    <n v="0"/>
    <n v="0"/>
    <m/>
    <n v="0"/>
    <n v="0"/>
    <n v="0"/>
    <n v="0"/>
    <m/>
  </r>
  <r>
    <x v="14"/>
    <m/>
    <s v="IDUSTRIAS JEC"/>
    <s v="IXY-239"/>
    <x v="53"/>
    <x v="3"/>
    <s v="CAMBIO DE PASTILLAS TRASERAS"/>
    <n v="40000"/>
    <n v="24000"/>
    <n v="16000"/>
    <m/>
    <m/>
    <n v="0"/>
    <n v="0"/>
    <m/>
    <n v="0"/>
    <n v="0"/>
    <n v="0"/>
    <n v="0"/>
    <m/>
  </r>
  <r>
    <x v="14"/>
    <m/>
    <m/>
    <m/>
    <x v="54"/>
    <x v="3"/>
    <s v="CAMBIO DE CRUCETAS"/>
    <n v="60000"/>
    <n v="36000"/>
    <n v="24000"/>
    <m/>
    <m/>
    <n v="0"/>
    <n v="0"/>
    <m/>
    <n v="0"/>
    <n v="0"/>
    <n v="0"/>
    <n v="0"/>
    <m/>
  </r>
  <r>
    <x v="15"/>
    <m/>
    <s v="JAME RODRIGUEZ"/>
    <s v="NDQ-997"/>
    <x v="55"/>
    <x v="0"/>
    <s v="CAMBIO DE LIQUIDO"/>
    <n v="30000"/>
    <n v="30000"/>
    <n v="0"/>
    <s v="LIQUIDO "/>
    <n v="42000"/>
    <n v="35294.117647058825"/>
    <n v="6705.8823529411766"/>
    <n v="60000"/>
    <n v="50420.168067226892"/>
    <n v="9579.8319327731097"/>
    <n v="2873.9495798319331"/>
    <n v="15126.050420168067"/>
    <m/>
  </r>
  <r>
    <x v="15"/>
    <m/>
    <s v="JUAN CAMERO"/>
    <s v="MPQ-345"/>
    <x v="7"/>
    <x v="0"/>
    <s v="CAMBIO DE ASPIRALES"/>
    <n v="80000"/>
    <n v="70000"/>
    <n v="10000"/>
    <m/>
    <m/>
    <n v="0"/>
    <n v="0"/>
    <m/>
    <n v="0"/>
    <n v="0"/>
    <n v="0"/>
    <n v="0"/>
    <m/>
  </r>
  <r>
    <x v="15"/>
    <s v="FE: 68"/>
    <s v="TRANSPORTE METROPLUS"/>
    <s v="SVB-673"/>
    <x v="56"/>
    <x v="3"/>
    <s v="CAMBIO DE ESPARRAGOS/ RETENEDOR TRASERO/ RODAJA DE FRENOS"/>
    <n v="180000"/>
    <n v="108000"/>
    <n v="72000"/>
    <s v="ESPARRAGOS/ RETENEDOR TRASERO/ RODAJA DE FRENOS/GRASAS/GASOLINA"/>
    <n v="239000"/>
    <n v="200840.3361344538"/>
    <n v="38159.663865546223"/>
    <n v="363000"/>
    <n v="305042.01680672268"/>
    <n v="57957.983193277309"/>
    <n v="19798.319327731086"/>
    <n v="104201.68067226891"/>
    <m/>
  </r>
  <r>
    <x v="15"/>
    <s v="FE: 69"/>
    <s v="VIRTUAL WARE LTDA"/>
    <s v="CZF-259"/>
    <x v="57"/>
    <x v="3"/>
    <s v="CAMBIO DE AMORTIGUADORES DELANTEROS/ MUÑECOS/ TERMINAL DE DIRECCION IZQ"/>
    <n v="150000"/>
    <n v="90000"/>
    <n v="60000"/>
    <s v="AMORTIGUADORES DELANTEROS/ MUÑECOS/ TERMINAL DE DIRECCION IZQ"/>
    <n v="590000"/>
    <n v="495798.31932773109"/>
    <n v="94201.680672268907"/>
    <n v="814000"/>
    <n v="684033.61344537814"/>
    <n v="129966.38655462184"/>
    <n v="35764.705882352937"/>
    <n v="188235.29411764711"/>
    <m/>
  </r>
  <r>
    <x v="16"/>
    <m/>
    <s v="JOSE DAVID BERRNAL"/>
    <s v="BSZ-571"/>
    <x v="58"/>
    <x v="3"/>
    <s v="CAMBIO DE BANDAS TRASERAS"/>
    <n v="30000"/>
    <n v="18000"/>
    <n v="12000"/>
    <m/>
    <m/>
    <n v="0"/>
    <n v="0"/>
    <m/>
    <n v="0"/>
    <n v="0"/>
    <n v="0"/>
    <n v="0"/>
    <m/>
  </r>
  <r>
    <x v="16"/>
    <m/>
    <m/>
    <s v="ZIH-549"/>
    <x v="59"/>
    <x v="3"/>
    <s v="CAMBIO DE LIQUIDO"/>
    <s v="-"/>
    <n v="30000"/>
    <s v="-"/>
    <s v="SE COMPLETO LIQUIDO Y CAMBIO DE TABACO"/>
    <n v="20000"/>
    <n v="16806.722689075632"/>
    <n v="3193.2773109243699"/>
    <n v="10000"/>
    <n v="8403.361344537816"/>
    <n v="1596.6386554621849"/>
    <n v="-1596.6386554621849"/>
    <n v="-8403.3613445378141"/>
    <m/>
  </r>
  <r>
    <x v="16"/>
    <m/>
    <s v="GUSTAVO MARTINEZ"/>
    <s v="CVO-961"/>
    <x v="60"/>
    <x v="0"/>
    <s v="CAMBIO DE AMORTIGUADORES TRASEROS"/>
    <n v="115000"/>
    <n v="80500"/>
    <n v="34500"/>
    <m/>
    <m/>
    <n v="0"/>
    <n v="0"/>
    <m/>
    <n v="0"/>
    <n v="0"/>
    <n v="0"/>
    <n v="0"/>
    <m/>
  </r>
  <r>
    <x v="17"/>
    <s v="FE: 75"/>
    <s v="SERVICIOS AGRICOLAS"/>
    <s v="WNM-202"/>
    <x v="16"/>
    <x v="0"/>
    <s v="REVISION DE FRENOS COMPLETO-CAMBIO DE BANDAS TRASERAS Y DEL. RELIJAR CILINDROS TRASEROS"/>
    <n v="200000"/>
    <n v="140000"/>
    <n v="60000"/>
    <s v="BANDAS"/>
    <m/>
    <n v="300000"/>
    <n v="57000"/>
    <n v="464800"/>
    <n v="390588.23529411765"/>
    <n v="74211.76470588235"/>
    <n v="17211.76470588235"/>
    <n v="447588.23529411765"/>
    <m/>
  </r>
  <r>
    <x v="17"/>
    <m/>
    <s v="CARLOS ACERO"/>
    <s v="OZD-087"/>
    <x v="8"/>
    <x v="6"/>
    <s v="CAMBIO DE BENDIX Y DIAFRAGMA"/>
    <n v="55000"/>
    <n v="33000"/>
    <n v="22000"/>
    <m/>
    <m/>
    <n v="0"/>
    <n v="0"/>
    <m/>
    <n v="0"/>
    <n v="0"/>
    <n v="0"/>
    <n v="0"/>
    <m/>
  </r>
  <r>
    <x v="17"/>
    <m/>
    <s v="JORGE MORELO"/>
    <s v="ETM-858"/>
    <x v="18"/>
    <x v="3"/>
    <s v="GRADUAR FRENOS"/>
    <n v="15000"/>
    <n v="9000"/>
    <n v="6000"/>
    <m/>
    <m/>
    <n v="0"/>
    <n v="0"/>
    <m/>
    <n v="0"/>
    <n v="0"/>
    <n v="0"/>
    <n v="0"/>
    <m/>
  </r>
  <r>
    <x v="17"/>
    <m/>
    <s v="PERVIVIR"/>
    <s v="TBZ-979"/>
    <x v="61"/>
    <x v="3"/>
    <s v="REVISION DE FRENOS"/>
    <n v="100000"/>
    <n v="100000"/>
    <n v="0"/>
    <m/>
    <m/>
    <n v="0"/>
    <n v="0"/>
    <m/>
    <n v="0"/>
    <n v="0"/>
    <n v="0"/>
    <n v="0"/>
    <m/>
  </r>
  <r>
    <x v="17"/>
    <m/>
    <s v="PERVIVIR"/>
    <s v="TBZ-979"/>
    <x v="61"/>
    <x v="1"/>
    <s v="CAMBIO DE SPEED Y CORONA"/>
    <n v="300000"/>
    <n v="210000"/>
    <n v="90000"/>
    <s v="SPEED CORONA Y RODAMIENTOS"/>
    <n v="2175000"/>
    <m/>
    <m/>
    <n v="3255900"/>
    <n v="2736050.4201680673"/>
    <n v="519849.57983193279"/>
    <n v="519849.57983193279"/>
    <n v="561050.42016806733"/>
    <m/>
  </r>
  <r>
    <x v="11"/>
    <s v="RM: 157"/>
    <s v="ANDREA CORREDOR"/>
    <s v="BIO-488"/>
    <x v="54"/>
    <x v="7"/>
    <s v="SUSPENSION TRASERA"/>
    <n v="300000"/>
    <n v="210000"/>
    <n v="90000"/>
    <s v="BOMBA DE ACEITE/ TEMPLETES SUPERIOR E INFERIOR/ BUJES DE LA BARRA ESTABILIZADORA"/>
    <n v="2130000"/>
    <m/>
    <m/>
    <n v="2716000"/>
    <m/>
    <m/>
    <n v="0"/>
    <n v="586000"/>
    <m/>
  </r>
  <r>
    <x v="11"/>
    <s v="RM: 157"/>
    <s v="ANDREA CORREDOR"/>
    <s v="BIO-488"/>
    <x v="54"/>
    <x v="1"/>
    <s v="CAMBIO DE BOMBA DE ACEITE"/>
    <n v="300000"/>
    <n v="210000"/>
    <n v="90000"/>
    <m/>
    <m/>
    <n v="0"/>
    <n v="0"/>
    <m/>
    <n v="0"/>
    <n v="0"/>
    <n v="0"/>
    <n v="0"/>
    <m/>
  </r>
  <r>
    <x v="11"/>
    <m/>
    <s v="SERVICIOS AGRICOLAS"/>
    <s v="ETT-299"/>
    <x v="18"/>
    <x v="0"/>
    <s v="BAJAR FRENO DE AHOGO Y CORREGIR FUGA DE AIRE"/>
    <n v="50000"/>
    <n v="35000"/>
    <n v="15000"/>
    <m/>
    <m/>
    <n v="0"/>
    <n v="0"/>
    <m/>
    <n v="0"/>
    <n v="0"/>
    <n v="0"/>
    <n v="0"/>
    <m/>
  </r>
  <r>
    <x v="11"/>
    <m/>
    <s v="MATEO PINTO"/>
    <s v="RCW-547"/>
    <x v="10"/>
    <x v="3"/>
    <s v="CAMBIO DE PASTILLAS DELANTERAS"/>
    <n v="30000"/>
    <n v="18000"/>
    <n v="12000"/>
    <s v="PASTILLAS DELANTERAS"/>
    <n v="138000"/>
    <n v="115966.38655462186"/>
    <n v="22033.613445378152"/>
    <n v="190000"/>
    <n v="159663.8655462185"/>
    <n v="30336.134453781517"/>
    <n v="8302.5210084033642"/>
    <n v="43697.478991596639"/>
    <m/>
  </r>
  <r>
    <x v="11"/>
    <m/>
    <s v="CAROLINA OCHOA"/>
    <s v="HBN-909"/>
    <x v="62"/>
    <x v="0"/>
    <s v="BAJAR RADEADOR"/>
    <n v="150000"/>
    <n v="105000"/>
    <n v="45000"/>
    <m/>
    <m/>
    <n v="0"/>
    <n v="0"/>
    <m/>
    <n v="0"/>
    <n v="0"/>
    <n v="0"/>
    <n v="0"/>
    <m/>
  </r>
  <r>
    <x v="11"/>
    <s v="RM: 162"/>
    <s v="CARLOS ARTURO NARIÑO"/>
    <s v="FTO-372"/>
    <x v="63"/>
    <x v="1"/>
    <s v="CAMBIO EMPAQUE DE CARTER Y RADIADOR"/>
    <n v="200000"/>
    <n v="140000"/>
    <n v="60000"/>
    <s v="SILICONA"/>
    <n v="15000"/>
    <n v="12605.042016806723"/>
    <n v="2394.9579831932774"/>
    <n v="25000"/>
    <n v="21008.403361344539"/>
    <n v="3991.5966386554624"/>
    <n v="1596.6386554621849"/>
    <n v="8403.3613445378141"/>
    <m/>
  </r>
  <r>
    <x v="18"/>
    <s v="RM:158"/>
    <s v="FRANKLIN QUINTERO"/>
    <s v="CLA-281"/>
    <x v="64"/>
    <x v="2"/>
    <s v="CAMBIO DE TOPES DE AMORTIGUADORES"/>
    <n v="100000"/>
    <n v="60000"/>
    <n v="40000"/>
    <s v="CAUCHOS DE AMORTIGUADORES"/>
    <n v="40000"/>
    <n v="33613.445378151264"/>
    <n v="6386.5546218487398"/>
    <n v="70000"/>
    <n v="58823.529411764706"/>
    <n v="11176.470588235294"/>
    <n v="4789.9159663865539"/>
    <n v="25210.084033613442"/>
    <m/>
  </r>
  <r>
    <x v="18"/>
    <s v="FE: 78 /RM:159"/>
    <s v="ALEJANDRO CASTILLO"/>
    <s v="BTQ-287"/>
    <x v="2"/>
    <x v="0"/>
    <s v="MANTENIMIENTO COMPLETO-CAMBIO DE PASTILLAS DEL"/>
    <n v="90000"/>
    <n v="62999.999999999993"/>
    <n v="27000.000000000007"/>
    <s v="PASTILLAS DEL-CILINDROS -BANDAS"/>
    <n v="235000"/>
    <n v="197478.99159663866"/>
    <n v="37521.008403361346"/>
    <n v="310000"/>
    <n v="260504.20168067227"/>
    <n v="49495.798319327732"/>
    <n v="11974.789915966387"/>
    <n v="63025.210084033606"/>
    <m/>
  </r>
  <r>
    <x v="18"/>
    <m/>
    <s v="HENRY BENAVIDEZ"/>
    <s v="BLT-506"/>
    <x v="65"/>
    <x v="0"/>
    <s v="CAMBIO DE GUAYA DE ACELERACION"/>
    <n v="25000"/>
    <n v="17500"/>
    <n v="7500"/>
    <s v="GUAYA DE ACELERACION"/>
    <n v="40000"/>
    <n v="33613.445378151264"/>
    <n v="6386.5546218487398"/>
    <n v="65000"/>
    <n v="54621.848739495799"/>
    <n v="10378.151260504203"/>
    <n v="3991.5966386554628"/>
    <n v="21008.403361344535"/>
    <m/>
  </r>
  <r>
    <x v="18"/>
    <s v="FE:79"/>
    <s v="JUAN PABLO CASTELLANOS"/>
    <s v="RZJ-555"/>
    <x v="54"/>
    <x v="0"/>
    <s v="REVISION DE FRENOS/ CAMBIO DE PASTILLAS DEL Y LIQUIDO"/>
    <n v="110000"/>
    <n v="77000"/>
    <n v="33000"/>
    <s v="LIQUIDO/ PASTILLAS DEL Y TRASERAS"/>
    <n v="260000"/>
    <n v="218487.3949579832"/>
    <n v="41512.60504201681"/>
    <n v="355000"/>
    <n v="298319.32773109246"/>
    <n v="56680.672268907569"/>
    <n v="15168.067226890758"/>
    <n v="79831.932773109234"/>
    <m/>
  </r>
  <r>
    <x v="18"/>
    <s v="FE: 80/ RM: 161"/>
    <s v="OSCAR ALEXANDER RODRIGUEZ"/>
    <s v="MNY-524"/>
    <x v="2"/>
    <x v="2"/>
    <s v="CAMBIO DE KIT DE CLOSH Y SOPORTE CENTRAL Y SOPORTE IZQ "/>
    <n v="150000"/>
    <n v="150000"/>
    <m/>
    <s v="SOPORTE CAJA CENTRAL / SOPORTE CAJA IZQ/ KIT DE CLOSH "/>
    <n v="526000"/>
    <n v="442016.80672268907"/>
    <n v="83983.193277310929"/>
    <n v="649000"/>
    <n v="545378.15126050427"/>
    <n v="103621.84873949581"/>
    <n v="19638.655462184877"/>
    <n v="103361.34453781508"/>
    <m/>
  </r>
  <r>
    <x v="19"/>
    <s v="FE:81/ RM:163"/>
    <s v="CESAR QUECAN"/>
    <s v="CKF-173"/>
    <x v="58"/>
    <x v="0"/>
    <s v="CAMBIO DE PASTILLAS DELANTERAS/ ARREGLO DE BABEROS"/>
    <n v="120000"/>
    <n v="84000"/>
    <n v="36000"/>
    <s v="JUEGO DE PASTILLAS DEL. Y ANTIRUIDOS"/>
    <n v="144000"/>
    <n v="121008.40336134455"/>
    <n v="22991.596638655465"/>
    <n v="199000"/>
    <n v="167226.89075630254"/>
    <n v="31773.109243697483"/>
    <n v="8781.5126050420185"/>
    <n v="46218.487394957978"/>
    <m/>
  </r>
  <r>
    <x v="19"/>
    <s v="RM:164"/>
    <s v="LINA GUZMAN"/>
    <s v="DQL-105"/>
    <x v="9"/>
    <x v="2"/>
    <s v="ARREGLO BABERO"/>
    <n v="80000"/>
    <n v="48000"/>
    <n v="32000"/>
    <m/>
    <m/>
    <n v="0"/>
    <n v="0"/>
    <m/>
    <n v="0"/>
    <n v="0"/>
    <n v="0"/>
    <n v="0"/>
    <m/>
  </r>
  <r>
    <x v="19"/>
    <m/>
    <s v="CAMELO PARRA"/>
    <s v="BWN-203"/>
    <x v="66"/>
    <x v="0"/>
    <s v="CAMBIO DE PASTILLAS DELANTERAS"/>
    <n v="30000"/>
    <n v="21000"/>
    <n v="9000"/>
    <m/>
    <m/>
    <n v="0"/>
    <n v="0"/>
    <m/>
    <n v="0"/>
    <n v="0"/>
    <n v="0"/>
    <n v="0"/>
    <m/>
  </r>
  <r>
    <x v="19"/>
    <s v="RM:167"/>
    <s v="OLGA SANDOVAL"/>
    <s v="50E-589"/>
    <x v="42"/>
    <x v="0"/>
    <s v="CAMBIO DE GUAYA DE CAMBIO"/>
    <n v="80000"/>
    <n v="56000"/>
    <n v="24000"/>
    <m/>
    <m/>
    <n v="0"/>
    <n v="0"/>
    <m/>
    <n v="0"/>
    <n v="0"/>
    <n v="0"/>
    <n v="0"/>
    <m/>
  </r>
  <r>
    <x v="19"/>
    <s v="RM:168"/>
    <s v="JUAN RODRIGUEZ"/>
    <s v="SWK-745"/>
    <x v="18"/>
    <x v="2"/>
    <s v="CHEQUEO DE LUCES"/>
    <n v="40000"/>
    <n v="24000"/>
    <n v="16000"/>
    <m/>
    <m/>
    <n v="0"/>
    <n v="0"/>
    <m/>
    <n v="0"/>
    <n v="0"/>
    <n v="0"/>
    <n v="0"/>
    <m/>
  </r>
  <r>
    <x v="19"/>
    <s v="RM:166"/>
    <s v="ALEJANDRO RIVERA"/>
    <s v="BRK-566"/>
    <x v="67"/>
    <x v="1"/>
    <s v="CAMBIO KIT DE EMBRAGUE"/>
    <n v="180000"/>
    <n v="125999.99999999999"/>
    <n v="54000.000000000015"/>
    <m/>
    <m/>
    <n v="0"/>
    <n v="0"/>
    <m/>
    <n v="0"/>
    <n v="0"/>
    <n v="0"/>
    <n v="0"/>
    <m/>
  </r>
  <r>
    <x v="20"/>
    <m/>
    <s v="ALEJANDRO ALONZO"/>
    <s v="KNZ-523"/>
    <x v="68"/>
    <x v="0"/>
    <s v="CAMBIO DE BANDAS TRASERAS Y BUJE DE AMORTIGUADOR"/>
    <n v="90000"/>
    <n v="62999.999999999993"/>
    <n v="27000.000000000007"/>
    <s v="BUJE DE AMORTIGUADOR"/>
    <n v="15000"/>
    <n v="12605.042016806723"/>
    <n v="2394.9579831932774"/>
    <n v="35000"/>
    <n v="29411.764705882353"/>
    <n v="5588.2352941176468"/>
    <n v="3193.2773109243694"/>
    <n v="16806.722689075632"/>
    <m/>
  </r>
  <r>
    <x v="20"/>
    <m/>
    <s v="OMAR FIGUEROA"/>
    <s v="MMI-915"/>
    <x v="69"/>
    <x v="0"/>
    <s v="MATTO DELANTERO DE RUEDA LIBRE"/>
    <n v="50000"/>
    <n v="35000"/>
    <n v="15000"/>
    <m/>
    <m/>
    <n v="0"/>
    <n v="0"/>
    <m/>
    <n v="0"/>
    <n v="0"/>
    <n v="0"/>
    <n v="0"/>
    <m/>
  </r>
  <r>
    <x v="20"/>
    <s v="FE: 170"/>
    <s v="INVERSIONES SANTANDER SABOGAL"/>
    <s v="UFX-367"/>
    <x v="61"/>
    <x v="3"/>
    <s v="REVISION DE FRENOS/BAJAR CILINDROS /CAMBIO DE BUJES"/>
    <n v="230000"/>
    <n v="138000"/>
    <n v="92000"/>
    <s v="BANDAS, CHUPAS, GUARDAPOLVO, LIQUIDO, GASOLINA, GRASA, PINES, BUJES DE MUELLE"/>
    <n v="334600"/>
    <n v="281176.4705882353"/>
    <n v="53423.529411764706"/>
    <n v="515000"/>
    <n v="432773.10924369749"/>
    <n v="82226.890756302528"/>
    <n v="28803.361344537821"/>
    <n v="151596.63865546219"/>
    <m/>
  </r>
  <r>
    <x v="20"/>
    <s v="FE:83"/>
    <s v="EMEB TECNOLOGIA"/>
    <s v="UIG-883"/>
    <x v="70"/>
    <x v="3"/>
    <s v="MANTENIMIENTO DE FRENOS"/>
    <n v="240000"/>
    <n v="144000"/>
    <n v="96000"/>
    <s v="GASOLINA. GRASA, RETEN, RODAJAS, EMPQUE DE EJE, SILICONA, JUEGO DE BLOQUE TRASERA"/>
    <n v="368600"/>
    <n v="309747.89915966388"/>
    <n v="58852.100840336141"/>
    <n v="638000"/>
    <n v="536134.45378151268"/>
    <n v="101865.5462184874"/>
    <n v="43013.445378151264"/>
    <n v="226386.55462184874"/>
    <m/>
  </r>
  <r>
    <x v="20"/>
    <m/>
    <s v="ALEJANDRO DIAZ"/>
    <s v="RNY-683"/>
    <x v="71"/>
    <x v="1"/>
    <s v="CAMBIO DE AMORTIGUADORES, GUARDAPOLVO DE AMORTI, SINCRONIZADA"/>
    <s v="-"/>
    <n v="150000"/>
    <m/>
    <s v="AMORTIGUADORES"/>
    <m/>
    <n v="0"/>
    <n v="0"/>
    <m/>
    <n v="0"/>
    <n v="0"/>
    <n v="0"/>
    <n v="0"/>
    <m/>
  </r>
  <r>
    <x v="20"/>
    <m/>
    <s v="ALEJANDRO DIAZ"/>
    <s v="RNY-683"/>
    <x v="71"/>
    <x v="0"/>
    <s v="REVISION DE FRENOS"/>
    <s v="-"/>
    <n v="50000"/>
    <m/>
    <m/>
    <m/>
    <n v="0"/>
    <n v="0"/>
    <m/>
    <n v="0"/>
    <n v="0"/>
    <n v="0"/>
    <n v="0"/>
    <m/>
  </r>
  <r>
    <x v="20"/>
    <s v="RM: 165"/>
    <s v="ANGELA CORREDOR"/>
    <s v="BIO-488"/>
    <x v="54"/>
    <x v="0"/>
    <s v="REPARACION SUSPENSION DELANTERA"/>
    <n v="500000"/>
    <n v="350000"/>
    <n v="150000"/>
    <s v="TERMINALES, VARILLA LARGA, AMORTIGUADORES DE DIRECCION, ROTULAS, MUÑECOS"/>
    <n v="1685000"/>
    <n v="1415966.3865546219"/>
    <n v="269033.61344537814"/>
    <n v="2185000"/>
    <n v="1836134.4537815128"/>
    <n v="348865.54621848743"/>
    <n v="79831.932773109293"/>
    <n v="420168.06722689071"/>
    <m/>
  </r>
  <r>
    <x v="21"/>
    <m/>
    <m/>
    <m/>
    <x v="72"/>
    <x v="0"/>
    <s v="GRADUAR FRENOS"/>
    <n v="10000"/>
    <n v="7000"/>
    <n v="3000"/>
    <m/>
    <m/>
    <n v="0"/>
    <n v="0"/>
    <m/>
    <n v="0"/>
    <n v="0"/>
    <n v="0"/>
    <n v="0"/>
    <m/>
  </r>
  <r>
    <x v="21"/>
    <m/>
    <s v="JUSTO DEL TORO"/>
    <s v="MPV-552"/>
    <x v="73"/>
    <x v="0"/>
    <s v="CAMBIO DE DISCOS / PASTILLAS/ BANDAS"/>
    <n v="120000"/>
    <n v="84000"/>
    <n v="36000"/>
    <s v="CHUPAS"/>
    <n v="6000"/>
    <n v="3000"/>
    <n v="570"/>
    <n v="10000"/>
    <n v="8403.361344537816"/>
    <n v="1596.6386554621849"/>
    <n v="1026.6386554621849"/>
    <n v="2973.3613445378151"/>
    <m/>
  </r>
  <r>
    <x v="21"/>
    <m/>
    <s v="PEDRO RAMIREZ"/>
    <s v="INQ-280"/>
    <x v="74"/>
    <x v="3"/>
    <s v="REVISION DE FRENOS/ CAMBIO DE PASTILLAS TRASERAS"/>
    <n v="60000"/>
    <n v="36000"/>
    <n v="24000"/>
    <s v="PASTILLAS TRASERAS"/>
    <n v="123000"/>
    <n v="103361.34453781514"/>
    <n v="19638.655462184877"/>
    <n v="170000"/>
    <n v="142857.14285714287"/>
    <n v="27142.857142857145"/>
    <n v="7504.2016806722677"/>
    <n v="39495.798319327732"/>
    <m/>
  </r>
  <r>
    <x v="21"/>
    <s v="RM:177"/>
    <s v="DAVID VARON"/>
    <s v="BEZ-276"/>
    <x v="75"/>
    <x v="0"/>
    <s v="SINCRONIZACION"/>
    <n v="100000"/>
    <n v="70000"/>
    <n v="30000"/>
    <m/>
    <m/>
    <n v="0"/>
    <n v="0"/>
    <m/>
    <n v="0"/>
    <n v="0"/>
    <n v="0"/>
    <n v="0"/>
    <m/>
  </r>
  <r>
    <x v="21"/>
    <m/>
    <s v="GRUAS CHIA"/>
    <s v="SQW-062"/>
    <x v="43"/>
    <x v="8"/>
    <s v="ARREGLO CONTROL FRENO DE AHOGO"/>
    <n v="152000"/>
    <n v="91200"/>
    <n v="60800"/>
    <m/>
    <m/>
    <n v="0"/>
    <n v="0"/>
    <m/>
    <n v="0"/>
    <n v="0"/>
    <n v="0"/>
    <n v="0"/>
    <m/>
  </r>
  <r>
    <x v="21"/>
    <s v="FE:85 / RM: 178"/>
    <s v="ALEJANDRO MORENO"/>
    <s v="MQK-040"/>
    <x v="46"/>
    <x v="3"/>
    <s v="CAMBIO DE DISCOS, PASTILLAS, BANDAS"/>
    <n v="110000"/>
    <n v="66000"/>
    <n v="44000"/>
    <s v="DISCOS, PASTILLAS, ANTIRUIDO, BANDAS"/>
    <n v="406000"/>
    <n v="341176.4705882353"/>
    <n v="64823.529411764706"/>
    <n v="590000"/>
    <n v="495798.31932773109"/>
    <n v="94201.680672268907"/>
    <n v="29378.151260504201"/>
    <n v="154621.84873949579"/>
    <m/>
  </r>
  <r>
    <x v="21"/>
    <s v="RM:179"/>
    <s v="JESUS DE LA CRUZ"/>
    <s v="BME-357"/>
    <x v="76"/>
    <x v="0"/>
    <s v="SINCRONIZACION-CAMBIO SOPORTE DE MOTOR Y CAJA-CAMBIO DE BUJES BARRA ESTABILIZADORA"/>
    <n v="300000"/>
    <n v="210000"/>
    <n v="90000"/>
    <m/>
    <m/>
    <n v="0"/>
    <n v="0"/>
    <m/>
    <n v="0"/>
    <n v="0"/>
    <n v="0"/>
    <n v="0"/>
    <m/>
  </r>
  <r>
    <x v="22"/>
    <m/>
    <s v="YEFERSON GONZALES"/>
    <s v="WOU-006"/>
    <x v="19"/>
    <x v="2"/>
    <s v="REVISION RUEDAS TRASERAS"/>
    <n v="20000"/>
    <n v="12000"/>
    <n v="8000"/>
    <m/>
    <m/>
    <n v="0"/>
    <n v="0"/>
    <m/>
    <n v="0"/>
    <n v="0"/>
    <n v="0"/>
    <n v="0"/>
    <m/>
  </r>
  <r>
    <x v="22"/>
    <m/>
    <s v="ALEJANDRO DIZ"/>
    <s v="RNY-683"/>
    <x v="50"/>
    <x v="0"/>
    <s v="CAMBIO DE CAJA DE DIRECCION Y BUJES DE TIJERAS"/>
    <m/>
    <n v="150000"/>
    <n v="-150000"/>
    <m/>
    <m/>
    <n v="0"/>
    <n v="0"/>
    <m/>
    <n v="0"/>
    <n v="0"/>
    <n v="0"/>
    <n v="0"/>
    <m/>
  </r>
  <r>
    <x v="22"/>
    <s v="RM:180"/>
    <s v="MARTIN ESPITIA"/>
    <s v="KIZ-064"/>
    <x v="77"/>
    <x v="0"/>
    <s v="CAMBIO DE LIQUIDO"/>
    <n v="40000"/>
    <n v="28000"/>
    <n v="12000"/>
    <s v="LIQUIDO DOT 3"/>
    <m/>
    <n v="0"/>
    <n v="0"/>
    <m/>
    <n v="0"/>
    <n v="0"/>
    <n v="0"/>
    <n v="0"/>
    <m/>
  </r>
  <r>
    <x v="22"/>
    <m/>
    <s v="ANDRES BENITEZ"/>
    <s v="ZXS-193"/>
    <x v="78"/>
    <x v="0"/>
    <s v="REVISION DE FRENOS COMPLETO"/>
    <n v="70000"/>
    <n v="49000"/>
    <n v="21000"/>
    <m/>
    <m/>
    <n v="0"/>
    <n v="0"/>
    <m/>
    <n v="0"/>
    <n v="0"/>
    <n v="0"/>
    <n v="0"/>
    <m/>
  </r>
  <r>
    <x v="22"/>
    <s v="FE: 86"/>
    <s v="OLIMPIA HERNANDEZ"/>
    <s v="TGK-439"/>
    <x v="43"/>
    <x v="2"/>
    <s v="REPARACION DE BOMBA PRINCIPAL"/>
    <n v="40000"/>
    <n v="24000"/>
    <n v="16000"/>
    <m/>
    <m/>
    <n v="0"/>
    <n v="0"/>
    <m/>
    <n v="0"/>
    <n v="0"/>
    <n v="0"/>
    <n v="0"/>
    <m/>
  </r>
  <r>
    <x v="22"/>
    <s v="RM:182"/>
    <s v="DISNEY AMIN"/>
    <s v="CXX-558"/>
    <x v="60"/>
    <x v="1"/>
    <s v="CAMBIO EMPAQUE TAPA VALVULA-SINCRONIZACION-CAMBIO DE BUJES BARRA ESTAB- RETENEDORES DE MOTOR"/>
    <n v="700000"/>
    <n v="489999.99999999994"/>
    <n v="210000.00000000006"/>
    <m/>
    <m/>
    <n v="0"/>
    <n v="0"/>
    <m/>
    <n v="0"/>
    <n v="0"/>
    <n v="0"/>
    <n v="0"/>
    <m/>
  </r>
  <r>
    <x v="23"/>
    <s v="RM:183"/>
    <s v="JORGE RODRIGUEZ"/>
    <s v="MQI-302"/>
    <x v="79"/>
    <x v="0"/>
    <s v="CAMBIO DE PERA PRESION DE AIRE"/>
    <n v="20000"/>
    <n v="14000"/>
    <n v="6000"/>
    <m/>
    <m/>
    <n v="0"/>
    <n v="0"/>
    <m/>
    <n v="0"/>
    <n v="0"/>
    <n v="0"/>
    <n v="0"/>
    <m/>
  </r>
  <r>
    <x v="23"/>
    <s v="RM:184"/>
    <s v="CARLOS MERCHAN"/>
    <s v="ZIV-086"/>
    <x v="10"/>
    <x v="2"/>
    <s v="REVISION DE RUEDAS TRASERAS "/>
    <n v="30000"/>
    <n v="18000"/>
    <n v="12000"/>
    <m/>
    <m/>
    <n v="0"/>
    <n v="0"/>
    <m/>
    <n v="0"/>
    <n v="0"/>
    <n v="0"/>
    <n v="0"/>
    <m/>
  </r>
  <r>
    <x v="23"/>
    <m/>
    <m/>
    <s v="DAJ-627"/>
    <x v="75"/>
    <x v="9"/>
    <s v="REVISION DE RUEDAS TRASERAS "/>
    <n v="30000"/>
    <n v="18000"/>
    <n v="12000"/>
    <m/>
    <m/>
    <n v="0"/>
    <n v="0"/>
    <m/>
    <n v="0"/>
    <n v="0"/>
    <n v="0"/>
    <n v="0"/>
    <m/>
  </r>
  <r>
    <x v="24"/>
    <s v="FE:87/RM:185"/>
    <s v="JHON CETINA"/>
    <s v="BBA-003"/>
    <x v="80"/>
    <x v="0"/>
    <s v="CAMBIO DE BOMBA HIDRAULICA PRINCIPAL DE CLOSH"/>
    <n v="50000"/>
    <n v="35000"/>
    <n v="15000"/>
    <s v="BOMBA PRINCIPAL DE CLOSH"/>
    <n v="110000"/>
    <n v="92436.97478991597"/>
    <n v="17563.025210084033"/>
    <n v="135000"/>
    <n v="113445.37815126051"/>
    <n v="21554.621848739498"/>
    <n v="3991.5966386554646"/>
    <n v="21008.403361344535"/>
    <m/>
  </r>
  <r>
    <x v="24"/>
    <s v="RM:187"/>
    <s v="ANGELA CORREDOR"/>
    <s v="BIO-488"/>
    <x v="54"/>
    <x v="2"/>
    <s v="CAMBIO DE ARRANQUE"/>
    <n v="80000"/>
    <n v="48000"/>
    <n v="32000"/>
    <s v="ARRANQUE"/>
    <n v="470000"/>
    <m/>
    <n v="0"/>
    <n v="610000"/>
    <m/>
    <n v="0"/>
    <n v="0"/>
    <n v="140000"/>
    <m/>
  </r>
  <r>
    <x v="24"/>
    <s v="RM:186"/>
    <s v="ERNESTO POVEDO"/>
    <s v="FTN-439"/>
    <x v="81"/>
    <x v="0"/>
    <s v="MATTO TARSERO"/>
    <n v="30000"/>
    <n v="21000"/>
    <n v="9000"/>
    <m/>
    <m/>
    <n v="0"/>
    <n v="0"/>
    <m/>
    <n v="0"/>
    <n v="0"/>
    <n v="0"/>
    <n v="0"/>
    <m/>
  </r>
  <r>
    <x v="24"/>
    <s v="RM:186"/>
    <s v="ERNESTO POVEDO"/>
    <s v="FTN-439"/>
    <x v="81"/>
    <x v="1"/>
    <s v="MANTENIMIENTO CARBURADOR"/>
    <n v="80000"/>
    <n v="56000"/>
    <n v="24000"/>
    <s v="KIT CARBURADOR"/>
    <n v="40000"/>
    <n v="33613.445378151264"/>
    <n v="6386.5546218487398"/>
    <n v="50000"/>
    <n v="42016.806722689078"/>
    <n v="7983.1932773109247"/>
    <n v="1596.6386554621849"/>
    <n v="8403.3613445378141"/>
    <m/>
  </r>
  <r>
    <x v="24"/>
    <m/>
    <m/>
    <m/>
    <x v="14"/>
    <x v="2"/>
    <s v="CAMBIO DE BOMBILLO"/>
    <n v="11000"/>
    <n v="6600"/>
    <n v="4400"/>
    <m/>
    <m/>
    <n v="0"/>
    <n v="0"/>
    <m/>
    <n v="0"/>
    <n v="0"/>
    <n v="0"/>
    <n v="0"/>
    <m/>
  </r>
  <r>
    <x v="25"/>
    <s v="RM:188"/>
    <s v="ANGEL CHINCHILLA"/>
    <s v="TRL-693"/>
    <x v="38"/>
    <x v="0"/>
    <s v="CAMBIO EMPAQ PRINCIPAL DE CLOSH"/>
    <n v="40000"/>
    <n v="28000"/>
    <n v="12000"/>
    <s v="EMPAQUETADURA PRINCIPAL DE CLOSH, LIQUIDO"/>
    <m/>
    <n v="0"/>
    <n v="0"/>
    <m/>
    <n v="0"/>
    <n v="0"/>
    <n v="0"/>
    <n v="0"/>
    <m/>
  </r>
  <r>
    <x v="25"/>
    <s v="RM:190"/>
    <s v="SILVANA MESA"/>
    <s v="HKN-663"/>
    <x v="82"/>
    <x v="0"/>
    <s v="REVISION DE FRENOS Y CAMBIO DE LIQUIDO"/>
    <n v="100000"/>
    <n v="70000"/>
    <n v="30000"/>
    <s v="LIQUIDO"/>
    <n v="42000"/>
    <n v="35294.117647058825"/>
    <n v="6705.8823529411766"/>
    <n v="50000"/>
    <n v="42016.806722689078"/>
    <n v="7983.1932773109247"/>
    <n v="1277.3109243697481"/>
    <n v="6722.6890756302528"/>
    <m/>
  </r>
  <r>
    <x v="25"/>
    <m/>
    <m/>
    <s v="BKL-537"/>
    <x v="74"/>
    <x v="2"/>
    <s v="CAMBIO DE RACORD"/>
    <n v="30000"/>
    <n v="18000"/>
    <n v="12000"/>
    <s v="RACORD"/>
    <n v="5000"/>
    <n v="4201.680672268908"/>
    <n v="798.31932773109247"/>
    <n v="10000"/>
    <n v="8403.361344537816"/>
    <n v="1596.6386554621849"/>
    <n v="798.31932773109247"/>
    <n v="4201.6806722689071"/>
    <m/>
  </r>
  <r>
    <x v="25"/>
    <s v="FE: 89"/>
    <s v="MONGIBELLO"/>
    <s v="BHX-773"/>
    <x v="83"/>
    <x v="0"/>
    <s v="REPARACION DE SUSPENSION"/>
    <n v="300000"/>
    <n v="210000"/>
    <n v="90000"/>
    <s v="BUJES DE TIJERA, MUÑECOS, TERMINALES, BUJES DE AMORTI, BUJES DE TEMPLETES, PASTILLAS, BANDAS, ANTIRUIDO, JUEGO DE CALIPER"/>
    <n v="650000"/>
    <n v="546218.48739495804"/>
    <n v="103781.51260504202"/>
    <n v="1220587"/>
    <n v="1025703.3613445378"/>
    <n v="194883.63865546219"/>
    <n v="91102.126050420164"/>
    <n v="479484.87394957989"/>
    <m/>
  </r>
  <r>
    <x v="26"/>
    <m/>
    <s v="MARTA  CONTRERA"/>
    <s v="JVN-492"/>
    <x v="7"/>
    <x v="0"/>
    <s v="CAMBIO DE PASTILLAS"/>
    <n v="20000"/>
    <n v="14000"/>
    <n v="6000"/>
    <m/>
    <m/>
    <n v="0"/>
    <n v="0"/>
    <m/>
    <n v="0"/>
    <n v="0"/>
    <n v="0"/>
    <n v="0"/>
    <m/>
  </r>
  <r>
    <x v="27"/>
    <m/>
    <s v="MONGIBELLO"/>
    <s v="JGV-778"/>
    <x v="84"/>
    <x v="0"/>
    <s v="SERVICIO DE ESCANER"/>
    <m/>
    <n v="0"/>
    <m/>
    <m/>
    <m/>
    <m/>
    <m/>
    <m/>
    <m/>
    <m/>
    <m/>
    <m/>
    <m/>
  </r>
  <r>
    <x v="26"/>
    <m/>
    <s v="JORGE BARRERA"/>
    <s v="GGO-665"/>
    <x v="10"/>
    <x v="1"/>
    <s v="CAMBIO DE TUBO DE CALEFACCION"/>
    <n v="80000"/>
    <n v="56000"/>
    <n v="24000"/>
    <s v="TUBO DE CALEFACCION"/>
    <n v="40000"/>
    <n v="33613.445378151264"/>
    <n v="6386.5546218487398"/>
    <n v="60000"/>
    <n v="50420.168067226892"/>
    <n v="9579.8319327731097"/>
    <n v="3193.2773109243699"/>
    <n v="16806.722689075628"/>
    <m/>
  </r>
  <r>
    <x v="26"/>
    <m/>
    <m/>
    <s v="SGY-273"/>
    <x v="85"/>
    <x v="0"/>
    <s v="SERVICIO DE ESCANER Y REVISION"/>
    <n v="60000"/>
    <n v="42000"/>
    <n v="18000"/>
    <m/>
    <m/>
    <n v="0"/>
    <n v="0"/>
    <m/>
    <n v="0"/>
    <n v="0"/>
    <n v="0"/>
    <n v="0"/>
    <m/>
  </r>
  <r>
    <x v="26"/>
    <s v="FE:91"/>
    <s v="OLIMPIA HERNANDEZ"/>
    <s v="TGK-439"/>
    <x v="43"/>
    <x v="1"/>
    <s v="REPARACION CARDAN"/>
    <n v="60000"/>
    <n v="42000"/>
    <n v="18000"/>
    <s v="CRUCETA DE CARDAN"/>
    <n v="90000"/>
    <n v="75630.252100840342"/>
    <n v="14369.747899159665"/>
    <n v="120000"/>
    <n v="100840.33613445378"/>
    <n v="19159.663865546219"/>
    <n v="4789.9159663865539"/>
    <n v="25210.084033613442"/>
    <m/>
  </r>
  <r>
    <x v="26"/>
    <s v="FE:91"/>
    <s v="OLIMPIA HERNANDEZ"/>
    <s v="TGK-439"/>
    <x v="43"/>
    <x v="0"/>
    <s v="GRADUACION DE FRENOS"/>
    <n v="10000"/>
    <n v="7000"/>
    <n v="3000"/>
    <m/>
    <m/>
    <n v="0"/>
    <n v="0"/>
    <m/>
    <n v="0"/>
    <n v="0"/>
    <n v="0"/>
    <n v="0"/>
    <m/>
  </r>
  <r>
    <x v="26"/>
    <s v="FE:90"/>
    <s v="PROVALCOR"/>
    <s v="UPP-942"/>
    <x v="86"/>
    <x v="2"/>
    <s v="CAMBIO DE RODAMIENTO, RETENEDOR,"/>
    <n v="60000"/>
    <n v="50000"/>
    <n v="10000"/>
    <s v="RODAMIENTO, ETENEDOR, GRASAS"/>
    <n v="272000"/>
    <n v="228571.42857142858"/>
    <n v="43428.571428571428"/>
    <n v="390000"/>
    <n v="327731.09243697481"/>
    <n v="62268.907563025212"/>
    <n v="18840.336134453784"/>
    <n v="99159.66386554623"/>
    <m/>
  </r>
  <r>
    <x v="26"/>
    <m/>
    <s v="RAUL AREVALO"/>
    <s v="WTM-631"/>
    <x v="87"/>
    <x v="2"/>
    <s v="MANTENIMIENTO DE LUCES"/>
    <n v="100000"/>
    <n v="60000"/>
    <n v="40000"/>
    <s v="CABLE, FUSIBLES, BOMBILLOS MULE, TERMINALES DE OJO"/>
    <n v="5400"/>
    <n v="4537.8151260504201"/>
    <n v="862.18487394957981"/>
    <n v="13000"/>
    <n v="10924.36974789916"/>
    <n v="2075.6302521008406"/>
    <n v="1213.4453781512607"/>
    <n v="6386.5546218487398"/>
    <m/>
  </r>
  <r>
    <x v="26"/>
    <s v="RM: 192"/>
    <s v="JHON SALAMANGA"/>
    <s v="JSL-820"/>
    <x v="18"/>
    <x v="0"/>
    <s v="CAMBIO DE BANDAS DEL"/>
    <n v="60000"/>
    <n v="42000"/>
    <n v="18000"/>
    <s v="BANDAS, PIN CACHO, GASOLINA, GUARADAPOLVOS"/>
    <n v="247000"/>
    <n v="207563.02521008404"/>
    <n v="39436.97478991597"/>
    <n v="352000"/>
    <n v="295798.31932773109"/>
    <n v="56201.680672268907"/>
    <n v="16764.705882352937"/>
    <n v="88235.294117647049"/>
    <m/>
  </r>
  <r>
    <x v="28"/>
    <s v="RM:194"/>
    <s v="NELSON CALDERON"/>
    <s v="BTK-619"/>
    <x v="58"/>
    <x v="0"/>
    <s v="BAJAR AMORTIGUADORES"/>
    <n v="90000"/>
    <n v="62999.999999999993"/>
    <n v="27000.000000000007"/>
    <m/>
    <m/>
    <m/>
    <n v="0"/>
    <m/>
    <m/>
    <n v="0"/>
    <n v="0"/>
    <n v="0"/>
    <m/>
  </r>
  <r>
    <x v="28"/>
    <s v="RM:194"/>
    <s v="NELSON CALDERON"/>
    <s v="BTK-619"/>
    <x v="58"/>
    <x v="1"/>
    <s v="CAMBIO DE CAUCHOS SOPORTE AMORTI TRASERO/ CAMBIO EMAPQUE TAPA VALVUL/ CAMBIO DE RETENEDORES DE REPARTICION COPA CAJA/ KIT DE REP"/>
    <n v="360000"/>
    <n v="251999.99999999997"/>
    <n v="108000.00000000003"/>
    <s v="EMPAQUE TAPA VALVULA/ RETENEDORES DE LEVA Y POLEA/ TOPES DE AMORTI/ GURDA POLVO COPA CAJA/ KIT DE REPARTICION/ SILICONA"/>
    <n v="430000"/>
    <m/>
    <n v="0"/>
    <n v="562500"/>
    <m/>
    <n v="0"/>
    <n v="0"/>
    <n v="132500"/>
    <m/>
  </r>
  <r>
    <x v="29"/>
    <s v="FE:93"/>
    <s v="VERDECERES MS SAS"/>
    <s v="SPL-963"/>
    <x v="61"/>
    <x v="0"/>
    <s v="_x000a_BAJAR CAMPANA DELANTERAs, GRADUAR FRENOS / RECTIFICAR GRAMPA"/>
    <n v="90000"/>
    <n v="62999.999999999993"/>
    <n v="27000.000000000007"/>
    <s v="CHUPA, GP, LIQUIDO PIN CACHO"/>
    <n v="18000"/>
    <n v="15126.050420168069"/>
    <n v="2873.9495798319331"/>
    <n v="41600"/>
    <n v="34957.983193277316"/>
    <n v="6642.0168067226905"/>
    <n v="3768.0672268907574"/>
    <n v="19831.932773109242"/>
    <m/>
  </r>
  <r>
    <x v="30"/>
    <s v="RM:196"/>
    <s v="JUAN DANIEL HERNANDEZ"/>
    <s v="TTX-503"/>
    <x v="19"/>
    <x v="2"/>
    <s v="CAMBIO DE PASTILLAS TRASERAS"/>
    <n v="40000"/>
    <n v="24000"/>
    <n v="16000"/>
    <m/>
    <m/>
    <n v="0"/>
    <n v="0"/>
    <m/>
    <n v="0"/>
    <n v="0"/>
    <n v="0"/>
    <n v="0"/>
    <m/>
  </r>
  <r>
    <x v="30"/>
    <s v="RM:195"/>
    <s v="MANUEL RODRIGUEZ"/>
    <s v="UFT-931"/>
    <x v="43"/>
    <x v="0"/>
    <s v="CAMBIO DE DIAFRAGMA"/>
    <n v="30000"/>
    <n v="21000"/>
    <n v="9000"/>
    <s v="DIAFRAGMA"/>
    <n v="10000"/>
    <m/>
    <n v="0"/>
    <n v="30000"/>
    <m/>
    <n v="0"/>
    <n v="0"/>
    <n v="20000"/>
    <m/>
  </r>
  <r>
    <x v="30"/>
    <s v="RM:197"/>
    <s v="CLIENT PLANET"/>
    <s v="WPS-181"/>
    <x v="18"/>
    <x v="0"/>
    <s v="CAMBIO DE BANDAS DELANTERAS Y TRASERAS, CAMBIO DE CHUPAS, CAMBIO DE LIQUIDOS"/>
    <n v="160000"/>
    <n v="112000"/>
    <n v="48000"/>
    <s v="JUEGO DE BANDAS/ CHUPAS"/>
    <n v="224000"/>
    <n v="188235.29411764708"/>
    <n v="35764.705882352944"/>
    <n v="340000"/>
    <n v="285714.28571428574"/>
    <n v="54285.71428571429"/>
    <n v="18521.008403361346"/>
    <n v="97478.991596638662"/>
    <m/>
  </r>
  <r>
    <x v="30"/>
    <s v="RM:198"/>
    <s v="JUAN CARLOS QUIJANO"/>
    <s v="BLK-537"/>
    <x v="74"/>
    <x v="0"/>
    <s v="CAMBIO DE PASTILLAS DELANTERAS Y TRASERAS, BAJAR SUAVIZADOR"/>
    <n v="170000"/>
    <n v="118999.99999999999"/>
    <n v="51000.000000000015"/>
    <s v="PASTILLAS DEL Y TRASERAS, LIQUIDO, GASOLINA"/>
    <n v="190000"/>
    <m/>
    <m/>
    <n v="330000"/>
    <m/>
    <m/>
    <m/>
    <n v="140000"/>
    <m/>
  </r>
  <r>
    <x v="30"/>
    <m/>
    <m/>
    <m/>
    <x v="88"/>
    <x v="10"/>
    <s v="ADELANTO"/>
    <m/>
    <n v="200000"/>
    <n v="-200000"/>
    <m/>
    <m/>
    <n v="0"/>
    <n v="0"/>
    <m/>
    <n v="0"/>
    <n v="0"/>
    <n v="0"/>
    <n v="0"/>
    <m/>
  </r>
  <r>
    <x v="30"/>
    <s v="RM:198"/>
    <s v="JUAN CARLOS QUIJANO"/>
    <s v="BLK-537"/>
    <x v="74"/>
    <x v="1"/>
    <s v="SINCRONIZACION Y CAMBIO EMP TAPA VALVULA"/>
    <n v="310000"/>
    <n v="217000"/>
    <n v="93000"/>
    <s v="BUJIAS, EMPAQUE TAPA VALVULA Y RETENEDORES"/>
    <n v="246000"/>
    <m/>
    <m/>
    <n v="470000"/>
    <m/>
    <m/>
    <m/>
    <n v="224000"/>
    <m/>
  </r>
  <r>
    <x v="31"/>
    <s v="RM:201"/>
    <s v="JUAN CARLOS ROJA"/>
    <s v="USD-206"/>
    <x v="89"/>
    <x v="0"/>
    <s v="MANTENIMIENTO COMPLETO DE FRENOS "/>
    <n v="50000"/>
    <n v="35000"/>
    <n v="15000"/>
    <s v="AUTOMATICO Y RESORTE"/>
    <n v="10000"/>
    <n v="8403.361344537816"/>
    <n v="1596.6386554621849"/>
    <n v="20000"/>
    <n v="16806.722689075632"/>
    <n v="3193.2773109243699"/>
    <n v="1596.6386554621849"/>
    <n v="8403.3613445378141"/>
    <m/>
  </r>
  <r>
    <x v="31"/>
    <m/>
    <m/>
    <s v="TSM-562"/>
    <x v="14"/>
    <x v="2"/>
    <s v="CAMBIO DE CHUPAS TRASERAS"/>
    <m/>
    <n v="20000"/>
    <n v="-20000"/>
    <m/>
    <m/>
    <n v="0"/>
    <n v="0"/>
    <m/>
    <n v="0"/>
    <n v="0"/>
    <n v="0"/>
    <n v="0"/>
    <m/>
  </r>
  <r>
    <x v="31"/>
    <s v="RM:199"/>
    <s v="JHON UREA"/>
    <s v="BYE-036"/>
    <x v="90"/>
    <x v="0"/>
    <s v="SERVICIO DE SCANER-CAMBIO DE SENSOR"/>
    <n v="80000"/>
    <n v="56000"/>
    <n v="24000"/>
    <s v="ABRAZADERA"/>
    <n v="500"/>
    <n v="420.1680672268908"/>
    <n v="79.831932773109259"/>
    <n v="1000"/>
    <n v="840.3361344537816"/>
    <n v="159.66386554621852"/>
    <n v="79.831932773109259"/>
    <n v="420.1680672268908"/>
    <m/>
  </r>
  <r>
    <x v="27"/>
    <m/>
    <m/>
    <m/>
    <x v="18"/>
    <x v="0"/>
    <s v="GRADUAR FRENOS"/>
    <n v="10000"/>
    <n v="7000"/>
    <n v="3000"/>
    <m/>
    <m/>
    <n v="0"/>
    <n v="0"/>
    <m/>
    <n v="0"/>
    <n v="0"/>
    <n v="0"/>
    <n v="0"/>
    <m/>
  </r>
  <r>
    <x v="31"/>
    <s v="RM:200"/>
    <s v="FERNANDO SANCHEZ"/>
    <s v="BIT-835"/>
    <x v="91"/>
    <x v="0"/>
    <s v="MATTO COMPELTO-CAMBIO DE PASTILLAS DEL"/>
    <n v="60000"/>
    <n v="42000"/>
    <n v="18000"/>
    <s v="JUEGO DE PASTILLAS DEL."/>
    <n v="123000"/>
    <n v="103361.34453781514"/>
    <n v="19638.655462184877"/>
    <n v="170000"/>
    <n v="142857.14285714287"/>
    <n v="27142.857142857145"/>
    <n v="7504.2016806722677"/>
    <n v="39495.798319327732"/>
    <m/>
  </r>
  <r>
    <x v="31"/>
    <s v="FE:94 / RM:202"/>
    <s v="RAFAEL POLO"/>
    <s v="BDN-052"/>
    <x v="92"/>
    <x v="2"/>
    <s v="CAMBIO DE PASTILLAS DELANTERAS"/>
    <n v="40000"/>
    <n v="24000"/>
    <n v="16000"/>
    <s v="JUEGO DE PASTILLAS"/>
    <n v="126000"/>
    <n v="105882.35294117648"/>
    <n v="20117.647058823532"/>
    <n v="185000"/>
    <n v="155462.18487394959"/>
    <n v="29537.815126050424"/>
    <n v="9420.1680672268922"/>
    <n v="49579.831932773115"/>
    <m/>
  </r>
  <r>
    <x v="32"/>
    <s v="FE: 96/RM:203"/>
    <s v="ARTURO LADINO"/>
    <s v="IOQ-514"/>
    <x v="93"/>
    <x v="0"/>
    <s v="CAMBIO DE AMORTIGUADORES DEL / SOPORTE AMORTIGUADOR CON RODAMIENTOS"/>
    <n v="100000"/>
    <n v="40000"/>
    <n v="30000"/>
    <s v="AMORTIGUADORES/SOPORTES CON RODAMIENTOS"/>
    <n v="408058"/>
    <n v="342905.8823529412"/>
    <n v="65152.117647058833"/>
    <n v="700000"/>
    <n v="588235.29411764711"/>
    <n v="111764.70588235295"/>
    <n v="46612.588235294119"/>
    <n v="245329.4117647059"/>
    <m/>
  </r>
  <r>
    <x v="33"/>
    <s v="RM:204/FE:97"/>
    <s v="RAFAEL POLO"/>
    <s v="BDN-052"/>
    <x v="54"/>
    <x v="2"/>
    <s v="CAMBIO DE BANDAS Y MUÑECO"/>
    <n v="80000"/>
    <n v="48000"/>
    <n v="32000"/>
    <s v="JUEGO DE BANDAS"/>
    <n v="90000"/>
    <n v="75630.252100840342"/>
    <n v="14369.747899159665"/>
    <n v="180000"/>
    <n v="151260.50420168068"/>
    <n v="28739.495798319331"/>
    <n v="14369.747899159665"/>
    <n v="75630.252100840327"/>
    <m/>
  </r>
  <r>
    <x v="33"/>
    <m/>
    <m/>
    <s v="TSW-976"/>
    <x v="16"/>
    <x v="0"/>
    <s v="GRADUAR FRENOS"/>
    <n v="10000"/>
    <n v="7000"/>
    <n v="3000"/>
    <m/>
    <m/>
    <n v="0"/>
    <n v="0"/>
    <m/>
    <n v="0"/>
    <n v="0"/>
    <n v="0"/>
    <n v="0"/>
    <m/>
  </r>
  <r>
    <x v="33"/>
    <s v="RM:205"/>
    <s v="RAUL AREVALO"/>
    <s v="PEU-686"/>
    <x v="94"/>
    <x v="2"/>
    <s v="DESVARE, REPARACION ALTERNADOR"/>
    <n v="110000"/>
    <n v="66000"/>
    <n v="44000"/>
    <m/>
    <m/>
    <n v="0"/>
    <n v="0"/>
    <m/>
    <n v="0"/>
    <n v="0"/>
    <n v="0"/>
    <n v="0"/>
    <m/>
  </r>
  <r>
    <x v="33"/>
    <s v="RM:205"/>
    <s v="RAUL AREVALO"/>
    <s v="HGS-065"/>
    <x v="50"/>
    <x v="2"/>
    <s v="DESVARE, REPARACION DE ARRANQUE"/>
    <n v="110000"/>
    <n v="66000"/>
    <n v="44000"/>
    <m/>
    <m/>
    <n v="0"/>
    <n v="0"/>
    <m/>
    <n v="0"/>
    <n v="0"/>
    <n v="0"/>
    <n v="0"/>
    <m/>
  </r>
  <r>
    <x v="34"/>
    <s v="FE: 99"/>
    <s v="VARICHEM"/>
    <s v="UVL-706"/>
    <x v="50"/>
    <x v="2"/>
    <s v="ARREGLO DE LUCES"/>
    <n v="30000"/>
    <n v="18000"/>
    <n v="12000"/>
    <s v="BOMBILLO DOS CONTACTO"/>
    <n v="2000"/>
    <n v="1680.6722689075632"/>
    <n v="319.32773109243703"/>
    <n v="3500"/>
    <n v="2941.1764705882356"/>
    <n v="558.82352941176475"/>
    <n v="239.49579831932772"/>
    <n v="1260.5042016806724"/>
    <m/>
  </r>
  <r>
    <x v="35"/>
    <s v="RM:209"/>
    <s v="PEDRO SANTANA"/>
    <s v="IZM-278"/>
    <x v="7"/>
    <x v="2"/>
    <s v="MANTENIMIENTO RUEDAS TRASERAS"/>
    <n v="60000"/>
    <n v="36000"/>
    <n v="24000"/>
    <s v="PLUMILLAS"/>
    <n v="36000"/>
    <n v="30252.100840336137"/>
    <n v="5747.8991596638662"/>
    <n v="50000"/>
    <n v="42016.806722689078"/>
    <n v="7983.1932773109247"/>
    <n v="2235.2941176470586"/>
    <n v="11764.705882352944"/>
    <m/>
  </r>
  <r>
    <x v="35"/>
    <s v="RM:212"/>
    <s v="ANGELA CORREDOR"/>
    <s v="BIO-488"/>
    <x v="54"/>
    <x v="2"/>
    <s v="CAMBIO TORNILLO CARDAN"/>
    <n v="50000"/>
    <n v="30000"/>
    <n v="20000"/>
    <m/>
    <m/>
    <n v="0"/>
    <n v="0"/>
    <m/>
    <n v="0"/>
    <n v="0"/>
    <n v="0"/>
    <n v="0"/>
    <m/>
  </r>
  <r>
    <x v="35"/>
    <s v="RM:211"/>
    <s v="CAROLINA OCHOA"/>
    <s v="HBN-909"/>
    <x v="62"/>
    <x v="0"/>
    <s v="CAMBIO DE BOMBA DE AGUA "/>
    <n v="300000"/>
    <n v="210000"/>
    <n v="90000"/>
    <m/>
    <m/>
    <n v="0"/>
    <n v="0"/>
    <m/>
    <n v="0"/>
    <n v="0"/>
    <n v="0"/>
    <n v="0"/>
    <m/>
  </r>
  <r>
    <x v="35"/>
    <s v="RM:213"/>
    <s v="JORGE LOPEZ"/>
    <s v="KIY-528"/>
    <x v="95"/>
    <x v="0"/>
    <s v="CAMBIO DE BUJES DE TIJERA/ BUJES DE TEMPLETES/ ASPIRALES/ MUÑECOS"/>
    <n v="350000"/>
    <n v="244999.99999999997"/>
    <n v="105000.00000000003"/>
    <s v="BUJES DE TIJERA/ BUJES DE TEMPLETES/ ASPIRALES/ MUÑECOS"/>
    <n v="1320000"/>
    <m/>
    <n v="0"/>
    <n v="2016000"/>
    <m/>
    <n v="0"/>
    <n v="0"/>
    <n v="696000"/>
    <m/>
  </r>
  <r>
    <x v="36"/>
    <s v="RM: 216"/>
    <s v="CARLOS PINILLA"/>
    <s v="BRU-640"/>
    <x v="96"/>
    <x v="1"/>
    <s v="CAMBIO KIT DE EMBRAGUE"/>
    <n v="300000"/>
    <n v="210000"/>
    <n v="90000"/>
    <s v="KIT EMBRAGUE"/>
    <n v="428000"/>
    <m/>
    <n v="0"/>
    <n v="580000"/>
    <m/>
    <n v="0"/>
    <n v="0"/>
    <n v="152000"/>
    <m/>
  </r>
  <r>
    <x v="36"/>
    <s v="RM:215"/>
    <s v="RICARDO MENDILVEGO"/>
    <s v="AHD-810"/>
    <x v="3"/>
    <x v="2"/>
    <s v="REPARACION ARRANQUE"/>
    <n v="90000"/>
    <n v="54000"/>
    <n v="36000"/>
    <m/>
    <m/>
    <n v="0"/>
    <n v="0"/>
    <m/>
    <n v="0"/>
    <n v="0"/>
    <n v="0"/>
    <n v="0"/>
    <m/>
  </r>
  <r>
    <x v="36"/>
    <m/>
    <m/>
    <m/>
    <x v="97"/>
    <x v="6"/>
    <s v="CAMBIO DE ACOPLE, INSERTO Y ANILLO"/>
    <n v="20000"/>
    <n v="12000"/>
    <n v="8000"/>
    <m/>
    <m/>
    <n v="0"/>
    <n v="0"/>
    <m/>
    <n v="0"/>
    <n v="0"/>
    <n v="0"/>
    <n v="0"/>
    <m/>
  </r>
  <r>
    <x v="36"/>
    <s v="RM:217/FE: 105"/>
    <s v="GERMAN FONSECA"/>
    <s v="NAF-630"/>
    <x v="89"/>
    <x v="0"/>
    <s v="REVISION DE RUEDAS TRASERAS, CAMBIO DE CHUPAS"/>
    <n v="60000"/>
    <n v="42000"/>
    <n v="18000"/>
    <s v="JUEGO DE BANDAS, CHUPAS"/>
    <n v="96000"/>
    <n v="80672.268907563033"/>
    <n v="15327.731092436976"/>
    <n v="170000"/>
    <n v="142857.14285714287"/>
    <n v="27142.857142857145"/>
    <n v="11815.126050420169"/>
    <n v="62184.873949579836"/>
    <m/>
  </r>
  <r>
    <x v="36"/>
    <s v="RM:214"/>
    <s v="LUIS FERNANDO OLEARTE"/>
    <s v="AGD-224"/>
    <x v="88"/>
    <x v="1"/>
    <s v="REPARACION PARCIAL DE MOTOR"/>
    <n v="1000000"/>
    <n v="500000"/>
    <n v="300000"/>
    <s v="EMPAQUE DE CULTA, EMPAQUES DE CARTER, CAUCHOS, ANILLOS, CASQUETE DE BIELA, "/>
    <n v="2010000"/>
    <m/>
    <n v="0"/>
    <n v="2638000"/>
    <m/>
    <n v="0"/>
    <n v="0"/>
    <n v="628000"/>
    <m/>
  </r>
  <r>
    <x v="34"/>
    <s v="RM:208"/>
    <s v="WILSON RODRIGUEZ"/>
    <s v="CCP-487"/>
    <x v="98"/>
    <x v="0"/>
    <s v="CAMBIO TERMINAL DE DIRECCION Y CRUCETA/ CAMBIO SOPORTE DE MOTOR"/>
    <n v="280000"/>
    <n v="196000"/>
    <n v="84000"/>
    <s v="TERMINALES, CRUCETA CARDAN, SOPORTE DE MOTOR"/>
    <n v="460000"/>
    <m/>
    <n v="0"/>
    <n v="580000"/>
    <m/>
    <n v="0"/>
    <n v="0"/>
    <n v="120000"/>
    <m/>
  </r>
  <r>
    <x v="37"/>
    <s v="rm:218"/>
    <s v="JOSE AREVALO"/>
    <s v="BHB-245"/>
    <x v="99"/>
    <x v="0"/>
    <s v="CAMBIO TUBO DE LIQUIDO"/>
    <n v="20000"/>
    <n v="14000"/>
    <n v="6000"/>
    <m/>
    <m/>
    <n v="0"/>
    <n v="0"/>
    <m/>
    <n v="0"/>
    <n v="0"/>
    <n v="0"/>
    <n v="0"/>
    <m/>
  </r>
  <r>
    <x v="37"/>
    <s v="RM:220"/>
    <s v="ALEJANDRO ROMERO"/>
    <s v="CZG-381"/>
    <x v="100"/>
    <x v="0"/>
    <s v="CAMBIO DE BANDAS TRASERAS/ CAMBIO DE CILINDROS DE FRENOS"/>
    <n v="50000"/>
    <n v="35000"/>
    <n v="15000"/>
    <s v="BANDAS, CILINDRO DE FRENOS TRAS"/>
    <n v="315000"/>
    <m/>
    <n v="0"/>
    <n v="415000"/>
    <m/>
    <n v="0"/>
    <n v="0"/>
    <n v="100000"/>
    <m/>
  </r>
  <r>
    <x v="37"/>
    <s v="RM:219"/>
    <s v="VICTOR JULIO LEAL"/>
    <s v="RENAULT 9"/>
    <x v="14"/>
    <x v="1"/>
    <s v="CAMBIO DE ROTULA, CAMBIO CAUCHO COPA CAJA"/>
    <n v="60000"/>
    <n v="42000"/>
    <n v="18000"/>
    <s v="ROTULA DEL. IZQ"/>
    <n v="42000"/>
    <n v="35294.117647058825"/>
    <n v="6705.8823529411766"/>
    <n v="50000"/>
    <m/>
    <n v="0"/>
    <m/>
    <n v="8000"/>
    <m/>
  </r>
  <r>
    <x v="37"/>
    <m/>
    <s v="VICENTE PATARROYO"/>
    <m/>
    <x v="40"/>
    <x v="2"/>
    <s v="GRADUACION DE FRENOS"/>
    <n v="10000"/>
    <n v="6000"/>
    <n v="4000"/>
    <m/>
    <m/>
    <n v="0"/>
    <n v="0"/>
    <m/>
    <n v="0"/>
    <n v="0"/>
    <n v="0"/>
    <n v="0"/>
    <m/>
  </r>
  <r>
    <x v="37"/>
    <m/>
    <s v="SERVICIOS AGRICOLAS"/>
    <s v="FOTON"/>
    <x v="101"/>
    <x v="0"/>
    <s v="REVISION DE FRENOS/ SUSPENSION DE LIMITADOR"/>
    <n v="40000"/>
    <n v="28000"/>
    <n v="12000"/>
    <m/>
    <m/>
    <n v="0"/>
    <n v="0"/>
    <m/>
    <n v="0"/>
    <n v="0"/>
    <n v="0"/>
    <n v="0"/>
    <m/>
  </r>
  <r>
    <x v="38"/>
    <m/>
    <s v="RAUL MENDOZA"/>
    <s v="EKM-793"/>
    <x v="102"/>
    <x v="6"/>
    <s v="CAMBIO DE MANGUERA DE FRENOS"/>
    <n v="20000"/>
    <n v="14000"/>
    <n v="6000"/>
    <s v="MANGUERA DE FRENOS"/>
    <n v="45000"/>
    <m/>
    <n v="0"/>
    <n v="60000"/>
    <m/>
    <n v="0"/>
    <n v="0"/>
    <n v="15000"/>
    <m/>
  </r>
  <r>
    <x v="38"/>
    <s v="FE:107 / RM:223"/>
    <s v="JORGE GUTIERREZ"/>
    <s v="FAK-163"/>
    <x v="103"/>
    <x v="0"/>
    <s v="CAMBIO DE PASTILLAS/ REVISION DE FRENOS COMPLETO"/>
    <n v="80000"/>
    <n v="56000"/>
    <n v="24000"/>
    <s v="PASTILLAS"/>
    <n v="134000"/>
    <n v="112605.04201680672"/>
    <n v="21394.957983193279"/>
    <n v="190000"/>
    <n v="159663.8655462185"/>
    <n v="30336.134453781517"/>
    <n v="8941.1764705882379"/>
    <n v="47058.823529411748"/>
    <m/>
  </r>
  <r>
    <x v="38"/>
    <m/>
    <m/>
    <s v="UIG-883"/>
    <x v="14"/>
    <x v="0"/>
    <s v="GRADUAR FRENOS"/>
    <n v="10000"/>
    <n v="6000"/>
    <n v="4000"/>
    <m/>
    <m/>
    <n v="0"/>
    <n v="0"/>
    <m/>
    <n v="0"/>
    <n v="0"/>
    <n v="0"/>
    <n v="0"/>
    <m/>
  </r>
  <r>
    <x v="38"/>
    <m/>
    <m/>
    <s v="EXX-586"/>
    <x v="16"/>
    <x v="0"/>
    <s v="GRADUAR FRENOS"/>
    <n v="10000"/>
    <n v="7000"/>
    <n v="3000"/>
    <m/>
    <m/>
    <n v="0"/>
    <n v="0"/>
    <m/>
    <n v="0"/>
    <n v="0"/>
    <n v="0"/>
    <n v="0"/>
    <m/>
  </r>
  <r>
    <x v="38"/>
    <m/>
    <m/>
    <s v="FORD"/>
    <x v="14"/>
    <x v="0"/>
    <s v="REVISION DE FRENOS DELANTEROS"/>
    <n v="30000"/>
    <n v="30000"/>
    <n v="0"/>
    <m/>
    <m/>
    <n v="0"/>
    <n v="0"/>
    <m/>
    <n v="0"/>
    <n v="0"/>
    <n v="0"/>
    <n v="0"/>
    <m/>
  </r>
  <r>
    <x v="39"/>
    <s v="RM:227"/>
    <s v="HECTOR MAHECHA"/>
    <s v="JEZ-317"/>
    <x v="104"/>
    <x v="0"/>
    <s v="CAMBIO DE CILINDRO"/>
    <n v="30000"/>
    <n v="21000"/>
    <n v="9000"/>
    <s v="PISTON DE MORDAZA"/>
    <n v="57000"/>
    <n v="47899.159663865546"/>
    <n v="9100.8403361344535"/>
    <n v="80000"/>
    <m/>
    <n v="0"/>
    <n v="-9100.8403361344535"/>
    <n v="32100.840336134454"/>
    <m/>
  </r>
  <r>
    <x v="39"/>
    <s v="FE:110 / RM:205"/>
    <s v="ANDRES PEREZ"/>
    <s v="BMY-8440"/>
    <x v="58"/>
    <x v="0"/>
    <s v="REVISION DE FRENOS COMPLETO/ CAMBIO DE GUAYA DE CLOSH Y ALAMBRES"/>
    <n v="60000"/>
    <n v="42000"/>
    <n v="18000"/>
    <s v="GUAYA DE CLOSH, ALAMBRES"/>
    <n v="53000"/>
    <n v="44537.815126050424"/>
    <n v="8462.1848739495799"/>
    <n v="60000"/>
    <n v="50420.168067226892"/>
    <n v="9579.8319327731097"/>
    <n v="1117.6470588235297"/>
    <n v="5882.3529411764684"/>
    <m/>
  </r>
  <r>
    <x v="39"/>
    <m/>
    <m/>
    <s v="WTM-631"/>
    <x v="105"/>
    <x v="0"/>
    <s v="GRADUAR FRENOS"/>
    <n v="10000"/>
    <n v="7000"/>
    <n v="3000"/>
    <m/>
    <m/>
    <n v="0"/>
    <n v="0"/>
    <m/>
    <n v="0"/>
    <n v="0"/>
    <n v="0"/>
    <n v="0"/>
    <m/>
  </r>
  <r>
    <x v="39"/>
    <s v="FE:109"/>
    <s v="VERDECERES MS SAS"/>
    <s v="SPL-963"/>
    <x v="61"/>
    <x v="0"/>
    <s v="CAMBIO DE VALVULINA/ SERVICIO DE ESCANER"/>
    <n v="30000"/>
    <n v="21000"/>
    <n v="9000"/>
    <s v="VALVULINA"/>
    <n v="200000"/>
    <m/>
    <n v="0"/>
    <n v="230000"/>
    <m/>
    <n v="0"/>
    <n v="0"/>
    <n v="30000"/>
    <m/>
  </r>
  <r>
    <x v="39"/>
    <s v="RM:226"/>
    <s v="PDRO PABLO MARTINEZ"/>
    <s v="MPB-890"/>
    <x v="46"/>
    <x v="0"/>
    <s v="CAMBIO DE PASTILLAS DE FRENOS DEL / REVISION DE FRENOS"/>
    <n v="80000"/>
    <n v="56000"/>
    <n v="24000"/>
    <s v="PASTILLAS DEL"/>
    <n v="85000"/>
    <m/>
    <n v="0"/>
    <n v="130000"/>
    <m/>
    <n v="0"/>
    <n v="0"/>
    <n v="45000"/>
    <m/>
  </r>
  <r>
    <x v="40"/>
    <s v="RM:229"/>
    <s v="CLARA QUINTIN"/>
    <s v="RKV-033"/>
    <x v="7"/>
    <x v="1"/>
    <s v="CAMBIO CAUCHO COPA CAJA IZQ / CAMBIO DE VALVULINA"/>
    <n v="50000"/>
    <n v="35000"/>
    <n v="15000"/>
    <s v="COPA CAJA IZQ"/>
    <n v="80000"/>
    <n v="67226.890756302528"/>
    <n v="12773.10924369748"/>
    <n v="70000"/>
    <n v="58823.529411764706"/>
    <n v="11176.470588235294"/>
    <n v="-1596.6386554621859"/>
    <n v="-8403.3613445378141"/>
    <m/>
  </r>
  <r>
    <x v="40"/>
    <m/>
    <s v="RAFAEL POLO"/>
    <s v="BDN-052"/>
    <x v="106"/>
    <x v="1"/>
    <s v="CAMBIO REGISTRO DE COMBUSTIBLE"/>
    <n v="20000"/>
    <n v="14000"/>
    <n v="6000"/>
    <m/>
    <m/>
    <n v="0"/>
    <n v="0"/>
    <m/>
    <n v="0"/>
    <n v="0"/>
    <n v="0"/>
    <n v="0"/>
    <m/>
  </r>
  <r>
    <x v="40"/>
    <s v="RM:230"/>
    <s v="ANGEL CHINCHILLA"/>
    <s v="SNR-047"/>
    <x v="38"/>
    <x v="0"/>
    <s v="REVISION DE RUEDAS TRASERAS"/>
    <n v="60000"/>
    <n v="42000"/>
    <n v="18000"/>
    <s v="CHUPAS 1 5/16, GASOLINA, GRASA"/>
    <n v="26000"/>
    <n v="21848.73949579832"/>
    <n v="4151.2605042016812"/>
    <n v="47000"/>
    <n v="39495.798319327732"/>
    <n v="7504.2016806722695"/>
    <n v="3352.9411764705883"/>
    <n v="17647.058823529413"/>
    <m/>
  </r>
  <r>
    <x v="40"/>
    <m/>
    <m/>
    <s v="TFQ-813"/>
    <x v="7"/>
    <x v="0"/>
    <s v="GRADUACION DE FRENOS"/>
    <n v="10000"/>
    <n v="7000"/>
    <n v="3000"/>
    <m/>
    <m/>
    <n v="0"/>
    <n v="0"/>
    <m/>
    <n v="0"/>
    <n v="0"/>
    <n v="0"/>
    <n v="0"/>
    <m/>
  </r>
  <r>
    <x v="40"/>
    <m/>
    <s v="ANDRES PEREZ"/>
    <s v="BMY-844"/>
    <x v="58"/>
    <x v="1"/>
    <s v="CAMBIO KIT DE CLOSH"/>
    <n v="250000"/>
    <n v="175000"/>
    <n v="75000"/>
    <s v="KIT DE CLOSH"/>
    <n v="260000"/>
    <n v="218487.3949579832"/>
    <n v="41512.60504201681"/>
    <n v="350000"/>
    <n v="294117.64705882355"/>
    <n v="55882.352941176476"/>
    <n v="14369.747899159665"/>
    <n v="75630.252100840327"/>
    <m/>
  </r>
  <r>
    <x v="41"/>
    <s v="RM:232"/>
    <s v="MARTHA MORALES"/>
    <s v="HKM-167"/>
    <x v="45"/>
    <x v="0"/>
    <s v="REVISION DE FRENOS"/>
    <n v="50000"/>
    <n v="35000"/>
    <n v="15000"/>
    <m/>
    <m/>
    <n v="0"/>
    <n v="0"/>
    <m/>
    <n v="0"/>
    <n v="0"/>
    <n v="0"/>
    <n v="0"/>
    <m/>
  </r>
  <r>
    <x v="41"/>
    <s v="RM:235"/>
    <s v="JHON FREDDY"/>
    <s v="IJW-370"/>
    <x v="48"/>
    <x v="1"/>
    <s v="CAMBIO DE TIJERA / SOLDAR TORNILLO"/>
    <n v="60000"/>
    <n v="42000"/>
    <n v="18000"/>
    <m/>
    <m/>
    <n v="0"/>
    <n v="0"/>
    <m/>
    <n v="0"/>
    <n v="0"/>
    <n v="0"/>
    <n v="0"/>
    <m/>
  </r>
  <r>
    <x v="41"/>
    <s v="RM:234"/>
    <s v="ADOLFO DIAZ ROJAS"/>
    <s v="ZYQ-971"/>
    <x v="107"/>
    <x v="0"/>
    <s v="CAMBIO KIT DE REPARTICION , CORREA DE ACCESORIO, BUJIAS, PUNTA DE EJE LADO RUEDA, RODAMIENTO, SERVICIO DE PRENSA"/>
    <n v="430000"/>
    <n v="301000"/>
    <n v="129000"/>
    <m/>
    <m/>
    <m/>
    <n v="0"/>
    <m/>
    <m/>
    <m/>
    <m/>
    <n v="0"/>
    <m/>
  </r>
  <r>
    <x v="41"/>
    <s v="RM:234"/>
    <s v="ADOLFO DIAZ ROJAS"/>
    <s v="ZYQ-971"/>
    <x v="107"/>
    <x v="1"/>
    <s v="CAMBIO KIT DE REPARTICION , CORREA DE ACCESORIO, BUJIAS, PUNTA DE EJE LADO RUEDA, RODAMIENTO, SERVICIO DE PRENSA"/>
    <n v="300000"/>
    <n v="210000"/>
    <n v="90000"/>
    <s v="CAMBIO KIT DE REPARTICION , CORREA DE ACCESORIO, BUJIAS, PUNTA DE EJE LADO RUEDA, RODAMIENTO, SERVICIO DE PRENSA"/>
    <n v="815000"/>
    <m/>
    <n v="0"/>
    <n v="1135000"/>
    <m/>
    <m/>
    <m/>
    <n v="320000"/>
    <m/>
  </r>
  <r>
    <x v="41"/>
    <s v="FE: 114/RM:233"/>
    <s v="RODOLFO BARRERA"/>
    <s v="HSV-263"/>
    <x v="108"/>
    <x v="0"/>
    <s v="CAMBIO DE PASTILLAS TRASERAS/ DELANTERAS Y AMORTIGUADORES "/>
    <n v="160000"/>
    <n v="112000"/>
    <n v="48000"/>
    <s v="PASTILLAS TRASERAS/ DELANTERAS Y AMORTIGUADORES "/>
    <n v="1010000"/>
    <n v="848739.49579831935"/>
    <n v="161260.50420168068"/>
    <n v="1270000"/>
    <n v="1067226.8907563025"/>
    <n v="202773.10924369749"/>
    <n v="41512.605042016803"/>
    <n v="218487.39495798317"/>
    <m/>
  </r>
  <r>
    <x v="42"/>
    <s v="RM:237"/>
    <s v="FABIO CHACON"/>
    <s v="KBM-615"/>
    <x v="50"/>
    <x v="0"/>
    <s v="REVISION DE FRENOS Y FRENO DE MANO"/>
    <n v="90000"/>
    <n v="62999.999999999993"/>
    <n v="27000.000000000007"/>
    <s v="PASTILLAS FRENO TRASERA"/>
    <n v="100000"/>
    <m/>
    <n v="0"/>
    <n v="140000"/>
    <m/>
    <n v="0"/>
    <n v="0"/>
    <n v="40000"/>
    <m/>
  </r>
  <r>
    <x v="42"/>
    <m/>
    <m/>
    <s v="MBO-301"/>
    <x v="14"/>
    <x v="6"/>
    <s v="SERVICIO DE ESCANER"/>
    <n v="50000"/>
    <n v="35000"/>
    <n v="15000"/>
    <m/>
    <m/>
    <n v="0"/>
    <n v="0"/>
    <m/>
    <n v="0"/>
    <n v="0"/>
    <n v="0"/>
    <n v="0"/>
    <m/>
  </r>
  <r>
    <x v="42"/>
    <s v="RM:240"/>
    <s v="FAVER NOVOA"/>
    <s v="JOW-086"/>
    <x v="27"/>
    <x v="0"/>
    <s v="CAMBIO DE ESPARRAGOS/ GRADUACION DE FRENOS"/>
    <n v="40000"/>
    <n v="28000"/>
    <n v="12000"/>
    <m/>
    <m/>
    <n v="0"/>
    <n v="0"/>
    <m/>
    <n v="0"/>
    <n v="0"/>
    <n v="0"/>
    <n v="0"/>
    <m/>
  </r>
  <r>
    <x v="42"/>
    <s v="RM:239"/>
    <s v="MAGDA VELOZA"/>
    <s v="BWM-262"/>
    <x v="109"/>
    <x v="0"/>
    <s v="CAMBIO DE PASTILLA DELANTERAS"/>
    <n v="30000"/>
    <n v="21000"/>
    <n v="9000"/>
    <s v="PASTILLAS DELANTERAS"/>
    <n v="120000"/>
    <n v="100840.33613445378"/>
    <n v="19159.663865546219"/>
    <n v="150000"/>
    <n v="126050.42016806723"/>
    <n v="23949.579831932773"/>
    <n v="4789.9159663865539"/>
    <n v="25210.084033613442"/>
    <m/>
  </r>
  <r>
    <x v="42"/>
    <s v="RM:241"/>
    <s v="TRANSPORTE LOGISTICO CYG"/>
    <s v="SPQ-698"/>
    <x v="89"/>
    <x v="0"/>
    <s v="_x000a_REVISION DE FRENOS / ADPATACION DE TORNILLO MORDAZA DEL DERECHA"/>
    <n v="100000"/>
    <n v="70000"/>
    <n v="30000"/>
    <m/>
    <m/>
    <n v="0"/>
    <n v="0"/>
    <m/>
    <n v="0"/>
    <n v="0"/>
    <n v="0"/>
    <n v="0"/>
    <m/>
  </r>
  <r>
    <x v="43"/>
    <m/>
    <m/>
    <s v="HBN-198"/>
    <x v="14"/>
    <x v="6"/>
    <s v="REVISION ELECTRICA /ESCANER"/>
    <n v="60000"/>
    <m/>
    <n v="60000"/>
    <m/>
    <m/>
    <n v="0"/>
    <n v="0"/>
    <m/>
    <n v="0"/>
    <n v="0"/>
    <n v="0"/>
    <n v="0"/>
    <m/>
  </r>
  <r>
    <x v="43"/>
    <s v="RM:242"/>
    <m/>
    <s v="BJO-522"/>
    <x v="14"/>
    <x v="6"/>
    <s v="REVISION DE FRENOS"/>
    <n v="40000"/>
    <m/>
    <n v="40000"/>
    <m/>
    <m/>
    <n v="0"/>
    <n v="0"/>
    <m/>
    <n v="0"/>
    <n v="0"/>
    <n v="0"/>
    <n v="0"/>
    <m/>
  </r>
  <r>
    <x v="43"/>
    <s v="RM: 248 / FE: 117"/>
    <s v="JAVIER MARTIN"/>
    <s v="USB-807"/>
    <x v="38"/>
    <x v="0"/>
    <s v="CAMBIO DE GUAYA FRENO DE MANO/ GUAYA DE FRENO DE MANO/ RESORTE"/>
    <n v="150000"/>
    <n v="105000"/>
    <n v="45000"/>
    <s v="GUAYA FRENO DE MANO/ GUAYA DE FRENO DE MANO/ RESORTE"/>
    <n v="530000"/>
    <n v="151260.5"/>
    <n v="28739.494999999999"/>
    <n v="780000"/>
    <n v="235294.11"/>
    <n v="44705.880899999996"/>
    <n v="15966.385899999997"/>
    <n v="234033.61410000001"/>
    <m/>
  </r>
  <r>
    <x v="43"/>
    <s v="FE:115/RM:243"/>
    <s v="FABIAN VAJONERO"/>
    <s v="BMK-782"/>
    <x v="110"/>
    <x v="0"/>
    <s v="REVISION DE FRENOS/ CAMBIO SOPORTE AMORTIGUADOR Y MUÑECOS"/>
    <n v="180000"/>
    <n v="125999.99999999999"/>
    <n v="54000.000000000015"/>
    <s v="SOPORTE AMORTIGUADOR Y MUÑECOS"/>
    <n v="150000"/>
    <n v="126050.42016806723"/>
    <n v="23949.579831932773"/>
    <n v="200000"/>
    <n v="168067.22689075631"/>
    <n v="31932.773109243699"/>
    <n v="7983.1932773109256"/>
    <n v="42016.806722689071"/>
    <m/>
  </r>
  <r>
    <x v="43"/>
    <s v="RM:244"/>
    <s v="MARCOS AMAYA"/>
    <s v="BLV-454"/>
    <x v="13"/>
    <x v="1"/>
    <s v="CAMBIO SOPORTE IZQ/ DELANTERO/ TRASERO"/>
    <n v="160000"/>
    <n v="112000"/>
    <n v="48000"/>
    <s v="SOPORTE IZQ/ DELANTERO/ TRASERO"/>
    <n v="515000"/>
    <m/>
    <n v="0"/>
    <n v="643000"/>
    <m/>
    <n v="0"/>
    <n v="0"/>
    <n v="128000"/>
    <m/>
  </r>
  <r>
    <x v="43"/>
    <s v="FE:116"/>
    <s v="EMEB TECNOLOGIA"/>
    <s v="CUM-340"/>
    <x v="46"/>
    <x v="1"/>
    <s v="CAMBIO BUJES BARRA ESTABILIZADORA/ CORREAS DE ACCESORIO"/>
    <n v="150000"/>
    <n v="105000"/>
    <n v="45000"/>
    <s v="BUJES BARRA ESTABILIZADORA/ CORREAS DE ACCESORIO"/>
    <n v="235000"/>
    <m/>
    <n v="0"/>
    <n v="340000"/>
    <n v="285714.28571428574"/>
    <n v="54285.71428571429"/>
    <n v="54285.71428571429"/>
    <n v="50714.285714285681"/>
    <m/>
  </r>
  <r>
    <x v="43"/>
    <s v="RM:247"/>
    <s v="ALEJANDRO ALONZO"/>
    <s v="BSB-546"/>
    <x v="111"/>
    <x v="0"/>
    <s v="REPARACION DE SUSPENSION"/>
    <n v="350000"/>
    <n v="244999.99999999997"/>
    <n v="105000.00000000003"/>
    <m/>
    <m/>
    <n v="0"/>
    <n v="0"/>
    <m/>
    <n v="0"/>
    <n v="0"/>
    <n v="0"/>
    <n v="0"/>
    <m/>
  </r>
  <r>
    <x v="43"/>
    <s v="RM: 206"/>
    <s v="FRANCISCO SASTOQUE"/>
    <s v="JKJ-296"/>
    <x v="112"/>
    <x v="1"/>
    <s v="CAMBIO DE BOMBA DE GASOLINA Y BOMBA DE AGUA"/>
    <n v="160000"/>
    <n v="112000"/>
    <n v="48000"/>
    <m/>
    <m/>
    <n v="0"/>
    <n v="0"/>
    <m/>
    <n v="0"/>
    <n v="0"/>
    <n v="0"/>
    <n v="0"/>
    <m/>
  </r>
  <r>
    <x v="44"/>
    <s v="RM:249 / FE: 118"/>
    <s v="JOSE DIAZ"/>
    <s v="BZX-793"/>
    <x v="2"/>
    <x v="0"/>
    <s v="CAMBIO DE SOPORTE DE CAJA, SOPORTE MOTOR IZQ, BRAZO AXILANTE DEL DERECHO"/>
    <n v="150000"/>
    <n v="105000"/>
    <n v="45000"/>
    <s v="SOPORTE DE CAJA, SOPORTE MOTOR IZQ, BRAZO AXILANTE DEL DERECHO"/>
    <n v="208000"/>
    <n v="174789.91596638656"/>
    <n v="33210.08403361345"/>
    <n v="309000"/>
    <n v="259663.8655462185"/>
    <n v="49336.134453781517"/>
    <n v="16126.050420168067"/>
    <n v="84873.94957983194"/>
    <m/>
  </r>
  <r>
    <x v="44"/>
    <s v="RM:246"/>
    <s v="MARCOS AMAYA"/>
    <s v="BLV-454"/>
    <x v="13"/>
    <x v="1"/>
    <s v="CAMBIO DE PUNTA EJE LADO CAJA"/>
    <n v="50000"/>
    <n v="35000"/>
    <n v="15000"/>
    <s v="PUNTA DE EJE"/>
    <n v="340000"/>
    <m/>
    <n v="0"/>
    <n v="440000"/>
    <n v="369747.89915966388"/>
    <m/>
    <n v="0"/>
    <n v="100000"/>
    <m/>
  </r>
  <r>
    <x v="44"/>
    <m/>
    <s v="MONGIBELLO"/>
    <s v="WNO-408"/>
    <x v="14"/>
    <x v="0"/>
    <s v="GRADUACION DE FRENOS"/>
    <n v="10000"/>
    <n v="7000"/>
    <n v="3000"/>
    <m/>
    <m/>
    <n v="0"/>
    <n v="0"/>
    <m/>
    <n v="0"/>
    <n v="0"/>
    <n v="0"/>
    <n v="0"/>
    <m/>
  </r>
  <r>
    <x v="44"/>
    <m/>
    <m/>
    <s v="SND-423"/>
    <x v="8"/>
    <x v="6"/>
    <s v="CAMBIO DE INSERTO, ANILLO Y ACOPLE"/>
    <n v="40000"/>
    <n v="28000"/>
    <n v="12000"/>
    <m/>
    <m/>
    <m/>
    <m/>
    <m/>
    <m/>
    <m/>
    <m/>
    <m/>
    <m/>
  </r>
  <r>
    <x v="43"/>
    <s v="CANCELADO"/>
    <m/>
    <s v="RCT-822"/>
    <x v="93"/>
    <x v="0"/>
    <s v="CAMBIO SOPORTE DE CAJA CENTRAL"/>
    <n v="50000"/>
    <n v="35000"/>
    <n v="15000"/>
    <s v="SOPORTE CENTRAL LOGAN"/>
    <n v="39532"/>
    <n v="33220.168067226892"/>
    <n v="6311.8319327731097"/>
    <n v="60000"/>
    <m/>
    <n v="0"/>
    <n v="-6311.8319327731097"/>
    <n v="26779.831932773108"/>
    <s v="CANCELADO"/>
  </r>
  <r>
    <x v="45"/>
    <s v="RM:250"/>
    <s v="JOAQUIN VARON"/>
    <s v="TFQ-819"/>
    <x v="7"/>
    <x v="1"/>
    <s v="MANTENIMIENTO DE BUJIAS/ CAMBIO VARILLA DE ACEITE "/>
    <n v="50000"/>
    <n v="35000"/>
    <n v="15000"/>
    <m/>
    <m/>
    <n v="0"/>
    <n v="0"/>
    <m/>
    <n v="0"/>
    <n v="0"/>
    <n v="0"/>
    <n v="0"/>
    <m/>
  </r>
  <r>
    <x v="45"/>
    <s v="FE:119/RM:251"/>
    <s v="HERNANDO JIMENEZ"/>
    <s v="BAW-200"/>
    <x v="113"/>
    <x v="0"/>
    <s v="CAMBIO DE BUJES DE TIJERA"/>
    <n v="50000"/>
    <n v="35000"/>
    <n v="15000"/>
    <s v="BUJES DE TIJERA SUP"/>
    <n v="50000"/>
    <n v="42016.806722689078"/>
    <n v="7983.1932773109247"/>
    <n v="76000"/>
    <n v="63865.546218487398"/>
    <n v="12134.453781512606"/>
    <n v="4151.2605042016812"/>
    <n v="21848.73949579832"/>
    <m/>
  </r>
  <r>
    <x v="45"/>
    <m/>
    <m/>
    <s v="KHR-650"/>
    <x v="7"/>
    <x v="0"/>
    <s v="GRADUACION DE FRENOS"/>
    <n v="5000"/>
    <n v="3500"/>
    <n v="1500"/>
    <m/>
    <m/>
    <n v="0"/>
    <n v="0"/>
    <m/>
    <n v="0"/>
    <n v="0"/>
    <n v="0"/>
    <n v="0"/>
    <m/>
  </r>
  <r>
    <x v="45"/>
    <s v="RM:254"/>
    <s v="JUAN CARLOS QUIJANO"/>
    <s v="BLK-537"/>
    <x v="74"/>
    <x v="0"/>
    <s v="REPARACION DE SUPENSION DEL Y TRASERA"/>
    <n v="400000"/>
    <n v="280000"/>
    <n v="120000"/>
    <s v="TERM,INALES DE DIREECCION, MUÑECOS DEL Y TRASEROS, BUJES DE LA BARRA ESTAB, BUJES DE TEMPLETES DEL Y TRASE, BUJES DE AMORTUGUADOR,GASOLINA, SERVICIO DE PRENSA, SILICONA"/>
    <n v="1648000"/>
    <n v="1384873.9495798319"/>
    <n v="263126.05042016809"/>
    <n v="2187000"/>
    <n v="1837815.1260504203"/>
    <n v="349184.87394957989"/>
    <n v="86058.823529411806"/>
    <n v="452941.17647058819"/>
    <m/>
  </r>
  <r>
    <x v="46"/>
    <m/>
    <m/>
    <s v="GPG-415"/>
    <x v="84"/>
    <x v="1"/>
    <s v="CAMBIO DE RODAMIENTOS PUNTA DE EJE"/>
    <n v="50000"/>
    <n v="35000"/>
    <n v="15000"/>
    <m/>
    <m/>
    <n v="0"/>
    <n v="0"/>
    <m/>
    <n v="0"/>
    <n v="0"/>
    <n v="0"/>
    <n v="0"/>
    <m/>
  </r>
  <r>
    <x v="46"/>
    <s v="FE:121/RM:256"/>
    <s v="RODRIGO MONCADA"/>
    <s v="WDG-431"/>
    <x v="3"/>
    <x v="0"/>
    <s v="BAJAR BOMBA DE CLOSH"/>
    <n v="50000"/>
    <n v="35000"/>
    <n v="15000"/>
    <s v="KIT BOMBA DE CLOSH"/>
    <n v="60000"/>
    <n v="50420.168067226892"/>
    <n v="9579.8319327731097"/>
    <n v="90000"/>
    <n v="75630.252100840342"/>
    <n v="14369.747899159665"/>
    <n v="4789.9159663865557"/>
    <n v="25210.084033613442"/>
    <m/>
  </r>
  <r>
    <x v="46"/>
    <s v="FE:121/RM:256"/>
    <s v="RODRIGO MONCADA"/>
    <s v="WDG-431"/>
    <x v="3"/>
    <x v="1"/>
    <s v="DESVARE"/>
    <n v="80000"/>
    <n v="56000"/>
    <n v="24000"/>
    <m/>
    <m/>
    <n v="0"/>
    <n v="0"/>
    <m/>
    <n v="0"/>
    <n v="0"/>
    <n v="0"/>
    <n v="0"/>
    <m/>
  </r>
  <r>
    <x v="46"/>
    <s v="FE:121/RM:256"/>
    <s v="RODRIGO MONCADA"/>
    <s v="WDG-431"/>
    <x v="3"/>
    <x v="8"/>
    <s v="REPARACION DE CORTO ELCTRICO"/>
    <n v="150000"/>
    <n v="150000"/>
    <n v="0"/>
    <s v="ABRAZADERAS, CABLE, CORAZA, CINTA, LIQUIDO DE FRENOS, PINES PLAST"/>
    <n v="26500"/>
    <n v="22268.907563025212"/>
    <n v="4231.09243697479"/>
    <n v="141000"/>
    <n v="118487.3949579832"/>
    <n v="22512.605042016807"/>
    <n v="18281.512605042015"/>
    <n v="96218.487394957978"/>
    <m/>
  </r>
  <r>
    <x v="46"/>
    <s v="FE:122/RM:257"/>
    <s v="YENY PULGARIN"/>
    <s v="SNZ-697"/>
    <x v="43"/>
    <x v="0"/>
    <s v="MATTO RUEDA DELANTERA / CAMBIO DE CHUPAS"/>
    <n v="40000"/>
    <n v="28000"/>
    <n v="12000"/>
    <s v="CHUPAS  1 7/16"/>
    <n v="10000"/>
    <m/>
    <n v="0"/>
    <n v="17000"/>
    <n v="14285.714285714286"/>
    <n v="2714.2857142857142"/>
    <n v="2714.2857142857142"/>
    <n v="4285.7142857142862"/>
    <m/>
  </r>
  <r>
    <x v="46"/>
    <m/>
    <m/>
    <s v="HBN-909"/>
    <x v="62"/>
    <x v="0"/>
    <s v="AJUSTE DE SUSPENSION"/>
    <n v="20000"/>
    <n v="12000"/>
    <n v="8000"/>
    <m/>
    <m/>
    <n v="0"/>
    <n v="0"/>
    <m/>
    <n v="0"/>
    <n v="0"/>
    <n v="0"/>
    <n v="0"/>
    <m/>
  </r>
  <r>
    <x v="46"/>
    <s v="FE:120"/>
    <s v="MAURICIO GUIA"/>
    <s v="S59035"/>
    <x v="114"/>
    <x v="0"/>
    <s v="BAJAR RUEDAS"/>
    <n v="50000"/>
    <n v="35000"/>
    <n v="15000"/>
    <m/>
    <m/>
    <n v="0"/>
    <n v="0"/>
    <m/>
    <n v="0"/>
    <n v="0"/>
    <n v="0"/>
    <n v="0"/>
    <m/>
  </r>
  <r>
    <x v="47"/>
    <s v="FE:123/ RM:258"/>
    <s v="MARIO CARDOZO"/>
    <s v="BJX-839"/>
    <x v="110"/>
    <x v="0"/>
    <s v="CAMBIO DE RODAMIENTO TRASERO"/>
    <n v="35000"/>
    <n v="32000"/>
    <n v="3000"/>
    <m/>
    <m/>
    <n v="0"/>
    <n v="0"/>
    <m/>
    <n v="0"/>
    <n v="0"/>
    <n v="0"/>
    <n v="0"/>
    <m/>
  </r>
  <r>
    <x v="47"/>
    <s v="FE:124 / RM:259"/>
    <s v="ANDRES SIERRA"/>
    <s v="BPG-413"/>
    <x v="115"/>
    <x v="0"/>
    <s v="CAMBIO DE ROTULA IZQ. Y MUÑECOS"/>
    <n v="55000"/>
    <n v="38500"/>
    <n v="16500"/>
    <s v="ROTULA Y MUÑECOS"/>
    <n v="85000"/>
    <n v="71428.571428571435"/>
    <n v="13571.428571428572"/>
    <n v="117000"/>
    <n v="98319.327731092446"/>
    <n v="18680.672268907565"/>
    <n v="5109.2436974789925"/>
    <n v="26890.756302521011"/>
    <m/>
  </r>
  <r>
    <x v="47"/>
    <m/>
    <m/>
    <s v="BHO-428"/>
    <x v="116"/>
    <x v="0"/>
    <s v="CAMBIO DE BUJES Y MUÑECOS"/>
    <n v="40000"/>
    <n v="28000"/>
    <n v="12000"/>
    <m/>
    <m/>
    <n v="0"/>
    <n v="0"/>
    <m/>
    <n v="0"/>
    <n v="0"/>
    <n v="0"/>
    <n v="0"/>
    <m/>
  </r>
  <r>
    <x v="47"/>
    <s v="RM:261"/>
    <s v="JOSE BARRERA"/>
    <s v="XGJ-109"/>
    <x v="8"/>
    <x v="0"/>
    <s v="CAMBIO DE BANDAS RUEDA TRASERA/ MTTO RACHE"/>
    <n v="100000"/>
    <n v="70000"/>
    <n v="30000"/>
    <m/>
    <m/>
    <n v="0"/>
    <n v="0"/>
    <m/>
    <n v="0"/>
    <n v="0"/>
    <n v="0"/>
    <n v="0"/>
    <m/>
  </r>
  <r>
    <x v="47"/>
    <s v="RM:260"/>
    <s v="MARCOS AURELIO DIAZ"/>
    <s v="EIS-544"/>
    <x v="93"/>
    <x v="0"/>
    <s v="CAMBIO DE PASTILLAS /MTTO DE FRENOS GENERAL"/>
    <n v="60000"/>
    <n v="42000"/>
    <n v="18000"/>
    <s v="PASTILLAS FRENO DEL."/>
    <n v="132000"/>
    <n v="110924.36974789917"/>
    <n v="21075.630252100844"/>
    <n v="175000"/>
    <n v="147058.82352941178"/>
    <n v="27941.176470588238"/>
    <n v="6865.5462184873941"/>
    <n v="36134.453781512595"/>
    <m/>
  </r>
  <r>
    <x v="47"/>
    <m/>
    <m/>
    <s v="UYK-286"/>
    <x v="117"/>
    <x v="1"/>
    <s v="REPARACION PARCIAL DE MOTOR"/>
    <n v="500000"/>
    <n v="350000"/>
    <n v="150000"/>
    <m/>
    <m/>
    <n v="0"/>
    <n v="0"/>
    <m/>
    <n v="0"/>
    <n v="0"/>
    <n v="0"/>
    <n v="0"/>
    <m/>
  </r>
  <r>
    <x v="48"/>
    <s v="RM: 262"/>
    <s v="JUAN CARLOS CASTELLANOS"/>
    <s v="HAY-978"/>
    <x v="46"/>
    <x v="0"/>
    <s v="CAMBIO DE LIQUIDO / REV. DE FRENOS GENERAL"/>
    <n v="100000"/>
    <n v="70000"/>
    <n v="30000"/>
    <s v="LIQUIDO"/>
    <n v="24000"/>
    <n v="20168.067226890758"/>
    <n v="3831.932773109244"/>
    <n v="35000"/>
    <n v="29411.764705882353"/>
    <n v="5588.2352941176468"/>
    <n v="1756.3025210084029"/>
    <n v="9243.6974789915985"/>
    <m/>
  </r>
  <r>
    <x v="48"/>
    <s v="RM: 267"/>
    <s v="MIGUEL MORENO"/>
    <s v="BFV-298 "/>
    <x v="67"/>
    <x v="0"/>
    <s v="REVISION DE FREMOS/ CAMBIO MANGUERA DE FRENOS"/>
    <n v="60000"/>
    <n v="42000"/>
    <n v="18000"/>
    <s v="LIQUIDO /MANGUERA DE FRENOS"/>
    <n v="6400"/>
    <n v="5378.1512605042017"/>
    <n v="1021.8487394957983"/>
    <n v="15000"/>
    <n v="12605.042016806723"/>
    <n v="2394.9579831932774"/>
    <n v="1373.1092436974791"/>
    <n v="7226.8907563025205"/>
    <m/>
  </r>
  <r>
    <x v="48"/>
    <s v="RM: 267"/>
    <s v="MIGUEL MORENO"/>
    <s v="BFV-298 "/>
    <x v="67"/>
    <x v="1"/>
    <s v="CAMBIO KIT DE CLOSH"/>
    <n v="160000"/>
    <n v="112000"/>
    <n v="48000"/>
    <m/>
    <m/>
    <n v="0"/>
    <n v="0"/>
    <m/>
    <n v="0"/>
    <n v="0"/>
    <n v="0"/>
    <n v="0"/>
    <m/>
  </r>
  <r>
    <x v="48"/>
    <s v="RM:264"/>
    <s v="JAIME MONCADA"/>
    <s v="SKK-862"/>
    <x v="13"/>
    <x v="6"/>
    <s v="CAMBIO EMP BOMBA DE CLOSH/ BAJAR PEDALERA/ GRADUACION DE FRENOS"/>
    <n v="50000"/>
    <n v="35000"/>
    <n v="15000"/>
    <s v="EMPAQUE KIT BOMBA DE CLOSH / LIQUIDO / PIN R"/>
    <n v="36900"/>
    <n v="31008.403361344539"/>
    <n v="5891.5966386554628"/>
    <n v="76000"/>
    <n v="63865.546218487398"/>
    <n v="12134.453781512606"/>
    <n v="6242.8571428571431"/>
    <n v="32857.142857142855"/>
    <m/>
  </r>
  <r>
    <x v="48"/>
    <m/>
    <s v="KATHERIN MORALES"/>
    <s v="BEU-321"/>
    <x v="118"/>
    <x v="0"/>
    <s v="CAMBIO BUJES DE TIJERAS"/>
    <n v="90000"/>
    <n v="62999.999999999993"/>
    <n v="27000.000000000007"/>
    <m/>
    <m/>
    <n v="0"/>
    <n v="0"/>
    <m/>
    <n v="0"/>
    <n v="0"/>
    <n v="0"/>
    <n v="0"/>
    <m/>
  </r>
  <r>
    <x v="48"/>
    <s v="FE:127/RM:265"/>
    <s v="CLARA QUINTIN"/>
    <s v="RKV-033"/>
    <x v="119"/>
    <x v="1"/>
    <s v="CAMBIO KIT DE CLOSH"/>
    <n v="250000"/>
    <n v="175000"/>
    <n v="75000"/>
    <s v=" KIT DE CLOSH"/>
    <n v="310000"/>
    <n v="260504.20168067227"/>
    <n v="49495.798319327732"/>
    <n v="420000"/>
    <n v="352941.17647058825"/>
    <n v="67058.823529411762"/>
    <n v="17563.02521008403"/>
    <n v="92436.974789915956"/>
    <m/>
  </r>
  <r>
    <x v="48"/>
    <m/>
    <s v="CESAR ISAZA"/>
    <s v="TFP-394"/>
    <x v="50"/>
    <x v="0"/>
    <s v="REVISION RUEDAS TRASERAS"/>
    <n v="30000"/>
    <n v="21000"/>
    <n v="9000"/>
    <m/>
    <m/>
    <n v="0"/>
    <n v="0"/>
    <m/>
    <n v="0"/>
    <n v="0"/>
    <n v="0"/>
    <n v="0"/>
    <m/>
  </r>
  <r>
    <x v="48"/>
    <s v="FE:129/RM:266"/>
    <s v="FABIAN GARCIA"/>
    <s v="MBL-513"/>
    <x v="50"/>
    <x v="1"/>
    <s v="CAMBIO DE BOMBA DE AGUA, EMP TAPA VALVULAS"/>
    <n v="120000"/>
    <n v="84000"/>
    <n v="36000"/>
    <s v="BOMBA DE AGUA/ EMPAQUE TAPA VALVULA"/>
    <n v="362500"/>
    <n v="16806.72"/>
    <n v="3193.2768000000001"/>
    <n v="480000"/>
    <n v="403361.34453781514"/>
    <n v="76638.655462184877"/>
    <n v="73445.37866218487"/>
    <n v="44054.62133781513"/>
    <m/>
  </r>
  <r>
    <x v="48"/>
    <s v="FE:126/RM:263"/>
    <s v="LIMNYS GACHARNA"/>
    <s v="HKM-167"/>
    <x v="45"/>
    <x v="0"/>
    <s v="CAMBIO DE AMORTIGUADORES DEL/ BUJES DE TIJERA /GP EJE LADO CAJA"/>
    <n v="230000"/>
    <n v="161000"/>
    <n v="69000"/>
    <s v="AMORTIGUADORES DEL/ BUJES DE TIJERA /GP EJE LADO CAJA"/>
    <n v="336490"/>
    <n v="282764.70588235295"/>
    <n v="53725.294117647063"/>
    <n v="557000"/>
    <n v="468067.22689075634"/>
    <n v="88932.773109243702"/>
    <n v="35207.478991596639"/>
    <n v="185302.52100840339"/>
    <m/>
  </r>
  <r>
    <x v="49"/>
    <s v="FE:130 / RM: 271"/>
    <s v="OTERO GERARDO"/>
    <s v="TGN-516"/>
    <x v="120"/>
    <x v="0"/>
    <s v="CAMBIO DE RODAMIENTO DELANTERO Y ROTULA"/>
    <n v="80000"/>
    <n v="56000"/>
    <n v="24000"/>
    <s v="ROD, DEL/ ROTULA"/>
    <n v="175000"/>
    <n v="147058.82352941178"/>
    <n v="27941.176470588238"/>
    <n v="225000"/>
    <n v="189075.63025210085"/>
    <n v="35924.36974789916"/>
    <n v="7983.193277310922"/>
    <n v="42016.806722689071"/>
    <m/>
  </r>
  <r>
    <x v="49"/>
    <m/>
    <m/>
    <s v="BJO-522"/>
    <x v="67"/>
    <x v="0"/>
    <s v="CAMBIO DE BOMBA DE FRENO"/>
    <n v="40000"/>
    <n v="28000"/>
    <n v="12000"/>
    <m/>
    <m/>
    <n v="0"/>
    <n v="0"/>
    <m/>
    <n v="0"/>
    <n v="0"/>
    <n v="0"/>
    <n v="0"/>
    <m/>
  </r>
  <r>
    <x v="49"/>
    <m/>
    <s v="ANDRES PEREZ"/>
    <s v="BMY-844"/>
    <x v="58"/>
    <x v="0"/>
    <s v="CAMBIO DE BUJES DE TIJERA"/>
    <n v="50000"/>
    <n v="35000"/>
    <n v="15000"/>
    <m/>
    <n v="44000"/>
    <n v="36974.789915966387"/>
    <n v="7025.2100840336134"/>
    <n v="60000"/>
    <n v="50420.168067226892"/>
    <n v="9579.8319327731097"/>
    <n v="2554.6218487394963"/>
    <n v="13445.378151260506"/>
    <m/>
  </r>
  <r>
    <x v="49"/>
    <s v="FE:132/RM:272"/>
    <s v="ALEJANDRO RIVERA"/>
    <s v="BRK-566"/>
    <x v="67"/>
    <x v="1"/>
    <s v="CAMBIO PILA BOMBA DE GASOLINA"/>
    <n v="40000"/>
    <n v="28000"/>
    <n v="12000"/>
    <s v="PILA GASOLINA/ABRAZADERA METAL"/>
    <n v="86500"/>
    <n v="72689.075630252104"/>
    <n v="13810.9243697479"/>
    <n v="107000"/>
    <n v="89915.966386554632"/>
    <n v="17084.033613445379"/>
    <n v="3273.1092436974795"/>
    <n v="17226.890756302513"/>
    <m/>
  </r>
  <r>
    <x v="50"/>
    <s v="FE:135/RM:276"/>
    <s v="LUIS BELTRAN"/>
    <s v="                                                                                                                   "/>
    <x v="121"/>
    <x v="1"/>
    <s v="REPARACION PARCIAL DE MOTOR"/>
    <n v="700000"/>
    <n v="489999.99999999994"/>
    <n v="210000.00000000006"/>
    <s v="ANILLOS, CASQUETE DE BIELA, EMPQUE DE CULTA, EMPAQUE MULTIPLE DE ADMISION, SOPORTE DE MOTOR IZQ, BUJIAS"/>
    <n v="750000"/>
    <n v="630252.10084033618"/>
    <n v="119747.89915966388"/>
    <n v="1122500"/>
    <n v="943277.31092436984"/>
    <n v="179222.68907563027"/>
    <n v="59474.789915966394"/>
    <n v="313025.21008403366"/>
    <m/>
  </r>
  <r>
    <x v="50"/>
    <s v="FE:135/RM:276"/>
    <s v="LUIS BELTRAN"/>
    <s v="BJJ-688"/>
    <x v="121"/>
    <x v="0"/>
    <s v="CAMBIO DE BANDAS Y LIQUIDO"/>
    <n v="60000"/>
    <m/>
    <n v="60000"/>
    <s v="BANDAS, LIQUIDO FRENO  DOT3"/>
    <n v="56282"/>
    <n v="47295.798319327732"/>
    <n v="8986.2016806722695"/>
    <n v="105000"/>
    <n v="88235.294117647063"/>
    <n v="16764.705882352941"/>
    <n v="7778.504201680671"/>
    <n v="40939.495798319331"/>
    <m/>
  </r>
  <r>
    <x v="50"/>
    <s v="RM:277"/>
    <s v="ANGELA CORREDOR"/>
    <s v="BIO-488"/>
    <x v="54"/>
    <x v="0"/>
    <s v="CAMBIO CRUCETA CARDAN"/>
    <n v="30000"/>
    <n v="21000"/>
    <n v="9000"/>
    <s v="CRUCETA DE CARDAN"/>
    <n v="70000"/>
    <n v="58823.529411764706"/>
    <n v="11176.470588235294"/>
    <n v="100000"/>
    <n v="84033.613445378156"/>
    <m/>
    <m/>
    <n v="30000"/>
    <m/>
  </r>
  <r>
    <x v="51"/>
    <s v="RM:274"/>
    <m/>
    <s v="DDX-778"/>
    <x v="122"/>
    <x v="0"/>
    <s v="CAMBIO DE LIQUIDO"/>
    <n v="30000"/>
    <n v="21000"/>
    <n v="9000"/>
    <s v="LIQUIDO DOT4"/>
    <n v="44000"/>
    <n v="36974.789915966387"/>
    <n v="7025.2100840336134"/>
    <n v="60000"/>
    <m/>
    <n v="0"/>
    <n v="-7025.2100840336134"/>
    <n v="23025.210084033613"/>
    <m/>
  </r>
  <r>
    <x v="52"/>
    <s v="RM:278"/>
    <s v="RICARDO QUITIAN"/>
    <s v="SAX-195"/>
    <x v="26"/>
    <x v="0"/>
    <s v="CAMBIO DE MANGUERA DE FRENOS/ MANTENIMIENTO MORDAZA"/>
    <n v="30000"/>
    <n v="21000"/>
    <n v="9000"/>
    <s v="MANGUERA DE FRENOS"/>
    <n v="20000"/>
    <m/>
    <n v="0"/>
    <n v="35000"/>
    <m/>
    <n v="0"/>
    <n v="0"/>
    <n v="15000"/>
    <m/>
  </r>
  <r>
    <x v="52"/>
    <m/>
    <s v="JAIME MONCADA"/>
    <s v="ERL-333"/>
    <x v="18"/>
    <x v="0"/>
    <s v="MANTENIMIENTO FRENO DE AHOGO"/>
    <n v="25000"/>
    <n v="17500"/>
    <n v="7500"/>
    <m/>
    <m/>
    <n v="0"/>
    <n v="0"/>
    <m/>
    <n v="0"/>
    <n v="0"/>
    <n v="0"/>
    <n v="0"/>
    <m/>
  </r>
  <r>
    <x v="53"/>
    <m/>
    <m/>
    <s v="MXV-040"/>
    <x v="123"/>
    <x v="1"/>
    <s v="BJAR TANQUE DE COMBUSTIBLE"/>
    <n v="180000"/>
    <n v="125999.99999999999"/>
    <n v="54000.000000000015"/>
    <m/>
    <m/>
    <n v="0"/>
    <n v="0"/>
    <m/>
    <n v="0"/>
    <n v="0"/>
    <n v="0"/>
    <n v="0"/>
    <m/>
  </r>
  <r>
    <x v="53"/>
    <m/>
    <s v="JOSE ORLANDO LADINO"/>
    <s v="BMZ-260"/>
    <x v="109"/>
    <x v="1"/>
    <s v="REPARACION PARCIAL DE MOTOR"/>
    <n v="1000000"/>
    <n v="700000"/>
    <n v="300000"/>
    <s v="EMPAQUE DE CULATA, EMPAQUE MULTIPLE DE ADMISION, TERMOSTATO, BASE DE TERMOSTATO, ANILLOS, CASQUETE DE BIELA, BANCADA, VALVULAS, SELLOS, KIT DE REPARTIOCION, GUIAS VALVULAS"/>
    <n v="1715000"/>
    <m/>
    <n v="0"/>
    <n v="2224000"/>
    <m/>
    <n v="0"/>
    <n v="0"/>
    <n v="509000"/>
    <m/>
  </r>
  <r>
    <x v="53"/>
    <s v="FE: 137 /RM: 283"/>
    <s v="WILLIAM A CARDENAS"/>
    <s v="IRW-663"/>
    <x v="124"/>
    <x v="0"/>
    <s v="SINCRONIZACION / CAMBIO DE INYECTOR/ CAMBIO DE VALVULA RETENCION"/>
    <n v="180000"/>
    <n v="125999.99999999999"/>
    <n v="54000.000000000015"/>
    <s v="INYECTOR, EMPAQUE DE INYECTOR, BUJIAS, VALVULA, PACHA DE INYECTOR"/>
    <n v="618000"/>
    <n v="519327.731092437"/>
    <n v="98672.268907563033"/>
    <n v="835000"/>
    <n v="701680.67226890754"/>
    <n v="133319.32773109243"/>
    <n v="34647.058823529398"/>
    <n v="182352.9411764706"/>
    <m/>
  </r>
  <r>
    <x v="53"/>
    <s v="FE:136"/>
    <s v="JAIME MONCADA"/>
    <s v="QHK-358"/>
    <x v="66"/>
    <x v="0"/>
    <s v="_x000a_SINCRONIZACION / CABIO DE AMORTIGUADORES DEL Y TRASEROS/ GUARDA POLVO LADO RUEDA"/>
    <n v="420000"/>
    <n v="294000"/>
    <n v="126000"/>
    <s v="FILTROS DE INYECTORES, AMORTIGUADORES DEL Y TRASEROS, BUJES DE TIJERA, SOPORTE DE AMORTIGUADORES, ABRAZADERAS, GP LADO RUEDA, KIT DE REPARTICION, RODAMIENTO SOPORTE AMORTIG, CHUPAS 11/16"/>
    <n v="610480.51500000001"/>
    <n v="513008.83613445383"/>
    <n v="97471.67886554623"/>
    <n v="1101500"/>
    <n v="925630.25210084033"/>
    <n v="175869.74789915967"/>
    <n v="78398.069033613443"/>
    <n v="412621.41596638656"/>
    <m/>
  </r>
  <r>
    <x v="54"/>
    <s v="FE:138/CT:35"/>
    <s v="VICTOR VELAZQUEZ"/>
    <s v="WTM-959"/>
    <x v="2"/>
    <x v="0"/>
    <s v=" _x000a_SINCRONIZACION / REPARACION DE SUSPENSION/ MANTENIMIENTO DE FRENOS/ CAMBIO DE LIQUIDO"/>
    <n v="450000"/>
    <n v="315000"/>
    <n v="135000"/>
    <s v="TIJERA, SOPORTE MOTOR Y CAJA, PASTILLAS DELANTERAS, AMORTIGUADORES TRASEROS, LIQUIDO DOT3, GP LADO RUDEA, GP LADO CAJA, KIT CALIPER, BRAZO AXUIAL, INYECTOR, BUJIAS, ABRAZADERAS PLAST , PUNTAS DE EJE"/>
    <n v="1051600"/>
    <n v="883697.47899159673"/>
    <n v="167902.52100840339"/>
    <n v="1426700"/>
    <n v="1198907.5630252101"/>
    <n v="227792.43697478992"/>
    <n v="59889.915966386528"/>
    <n v="315210.08403361356"/>
    <m/>
  </r>
  <r>
    <x v="54"/>
    <s v="FE:140"/>
    <s v="JHON RODRIGUEZ"/>
    <s v="DDR-574"/>
    <x v="9"/>
    <x v="0"/>
    <s v="REPARACION DE SUSPENSION DELANTERA / MANTENIMIENTO DE FRENOS/ CAMBIO DE LIQUIDO / CORRECCION FUGA DE MOTOR"/>
    <n v="320000"/>
    <n v="224000"/>
    <n v="96000"/>
    <s v="BUJE DE TIJERAS, BRAZO AXIAL DER, POASTILLAS DEL, MANGUERA ENFRIADOR, DOT4, SILICONA, GASOLINA, MUÑECO, ROTULAS"/>
    <n v="734000"/>
    <n v="616806.72268907563"/>
    <n v="117193.27731092437"/>
    <n v="966000"/>
    <n v="811764.70588235301"/>
    <n v="154235.29411764708"/>
    <n v="37042.016806722706"/>
    <n v="194957.98319327726"/>
    <m/>
  </r>
  <r>
    <x v="54"/>
    <m/>
    <s v="ALIMENTOS LAYLA"/>
    <m/>
    <x v="14"/>
    <x v="6"/>
    <s v="GRADUACION DE FRENOS"/>
    <n v="10000"/>
    <m/>
    <n v="10000"/>
    <m/>
    <m/>
    <n v="0"/>
    <n v="0"/>
    <m/>
    <n v="0"/>
    <n v="0"/>
    <n v="0"/>
    <n v="0"/>
    <m/>
  </r>
  <r>
    <x v="54"/>
    <m/>
    <s v="PETROSERVICES"/>
    <s v="SWR-662"/>
    <x v="18"/>
    <x v="8"/>
    <s v=" REVISION ELECTRICO "/>
    <n v="30000"/>
    <n v="20000"/>
    <n v="10000"/>
    <m/>
    <m/>
    <n v="0"/>
    <n v="0"/>
    <m/>
    <n v="0"/>
    <n v="0"/>
    <n v="0"/>
    <n v="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m/>
    <m/>
    <s v="VOLQUETA"/>
    <s v="SLE-858"/>
    <x v="0"/>
    <x v="0"/>
    <n v="20000"/>
    <n v="12000"/>
    <n v="8000"/>
    <m/>
    <m/>
    <m/>
    <s v="CANCELADO"/>
    <n v="0"/>
  </r>
  <r>
    <x v="0"/>
    <m/>
    <m/>
    <m/>
    <s v="USE-572"/>
    <x v="1"/>
    <x v="1"/>
    <n v="10000"/>
    <n v="6000"/>
    <n v="4000"/>
    <m/>
    <m/>
    <m/>
    <s v="CANCELADO"/>
    <n v="0"/>
  </r>
  <r>
    <x v="0"/>
    <m/>
    <s v="MAURICIO CORREDOR"/>
    <m/>
    <s v="BZE-255"/>
    <x v="2"/>
    <x v="2"/>
    <n v="100000"/>
    <n v="60000"/>
    <n v="40000"/>
    <m/>
    <m/>
    <m/>
    <s v="CANCELADO"/>
    <n v="0"/>
  </r>
  <r>
    <x v="0"/>
    <m/>
    <s v="CESAR IZASA"/>
    <s v="CHEVROLET"/>
    <s v="TFP-394"/>
    <x v="3"/>
    <x v="3"/>
    <n v="60000"/>
    <n v="36000"/>
    <n v="24000"/>
    <m/>
    <m/>
    <m/>
    <s v="CANCELADO"/>
    <n v="0"/>
  </r>
  <r>
    <x v="0"/>
    <m/>
    <m/>
    <s v="NHR"/>
    <s v="WOS-908"/>
    <x v="1"/>
    <x v="4"/>
    <n v="40000"/>
    <n v="24000"/>
    <n v="16000"/>
    <m/>
    <m/>
    <m/>
    <s v="CANCELADO"/>
    <n v="0"/>
  </r>
  <r>
    <x v="0"/>
    <m/>
    <s v="JAIME MONCADA"/>
    <m/>
    <s v="ERL-333"/>
    <x v="4"/>
    <x v="5"/>
    <n v="30000"/>
    <n v="30000"/>
    <s v="-"/>
    <m/>
    <m/>
    <m/>
    <s v="CANCELADO"/>
    <n v="0"/>
  </r>
  <r>
    <x v="0"/>
    <m/>
    <s v="JAIME MONCADA"/>
    <m/>
    <s v="ERL-333"/>
    <x v="2"/>
    <x v="6"/>
    <n v="30000"/>
    <n v="18000"/>
    <n v="12000"/>
    <s v="2- DIAFRAGMAS"/>
    <n v="25000"/>
    <n v="40000"/>
    <s v="CANCELADO"/>
    <n v="15000"/>
  </r>
  <r>
    <x v="1"/>
    <m/>
    <m/>
    <s v="FORD"/>
    <m/>
    <x v="1"/>
    <x v="7"/>
    <n v="50000"/>
    <n v="30000"/>
    <n v="20000"/>
    <m/>
    <m/>
    <m/>
    <s v="CANCELADO"/>
    <m/>
  </r>
  <r>
    <x v="1"/>
    <m/>
    <s v="LUIS CARLOS GAMBOA"/>
    <s v="KIA PICANTO"/>
    <s v="KNX-975"/>
    <x v="1"/>
    <x v="8"/>
    <n v="80000"/>
    <n v="80000"/>
    <s v="-"/>
    <s v="RADIADOR"/>
    <n v="425000"/>
    <n v="490000"/>
    <s v="CANCELADO"/>
    <n v="65000"/>
  </r>
  <r>
    <x v="1"/>
    <s v="RM-237"/>
    <s v="AUTORALLY"/>
    <s v="LOGAN"/>
    <s v="INL-675"/>
    <x v="0"/>
    <x v="9"/>
    <n v="180000"/>
    <n v="108000"/>
    <n v="72000"/>
    <s v="LIQUIDO"/>
    <n v="5000"/>
    <n v="12000"/>
    <s v="CANCELADO"/>
    <n v="7000"/>
  </r>
  <r>
    <x v="1"/>
    <s v="RM-234"/>
    <s v="VICENTE PATARROYO"/>
    <s v="CAMION"/>
    <s v="MAO-470"/>
    <x v="1"/>
    <x v="10"/>
    <n v="50000"/>
    <n v="30000"/>
    <n v="20000"/>
    <m/>
    <m/>
    <m/>
    <s v="CANCELADO"/>
    <n v="0"/>
  </r>
  <r>
    <x v="1"/>
    <m/>
    <m/>
    <s v="CHEVROLET TRUPPER"/>
    <s v="BAW-200"/>
    <x v="3"/>
    <x v="11"/>
    <n v="40000"/>
    <n v="24000"/>
    <n v="16000"/>
    <m/>
    <m/>
    <m/>
    <s v="CANCELADO"/>
    <n v="0"/>
  </r>
  <r>
    <x v="1"/>
    <s v="FE:277 / RM: 236"/>
    <s v="RAUL MENDOZA"/>
    <s v="NISSAN"/>
    <s v="EKM-795"/>
    <x v="2"/>
    <x v="12"/>
    <n v="80000"/>
    <n v="48000"/>
    <n v="32000"/>
    <s v="JUEGO DE PASTILLAS Y LIQUIDO"/>
    <n v="137000"/>
    <n v="200000"/>
    <s v="CANCELADO"/>
    <n v="63000"/>
  </r>
  <r>
    <x v="1"/>
    <m/>
    <s v="JOSE ALFONSO MONCADA"/>
    <s v="FRR"/>
    <s v="TFR-572"/>
    <x v="1"/>
    <x v="13"/>
    <n v="12000"/>
    <n v="7200"/>
    <n v="4800"/>
    <m/>
    <m/>
    <m/>
    <s v="CANCELADO"/>
    <n v="0"/>
  </r>
  <r>
    <x v="2"/>
    <s v="FE: 279 "/>
    <s v="AQUILES VILLANUEVA"/>
    <s v="CH TRAVERSE"/>
    <s v="NEN-691"/>
    <x v="1"/>
    <x v="14"/>
    <n v="120000"/>
    <n v="72000"/>
    <n v="48000"/>
    <s v="AMORTIGUADORES, MUÑECOS"/>
    <n v="940000"/>
    <n v="1180000"/>
    <s v="CANCELADO"/>
    <n v="240000"/>
  </r>
  <r>
    <x v="2"/>
    <s v="FE: 282 / RM: 142"/>
    <s v="VERONICA GIL"/>
    <s v="KIA"/>
    <s v="KLY-075"/>
    <x v="1"/>
    <x v="15"/>
    <n v="80000"/>
    <n v="48000"/>
    <n v="32000"/>
    <s v="PASTILLAS, LIQUIDO"/>
    <n v="152000"/>
    <n v="212000"/>
    <s v="CANCELADO"/>
    <n v="60000"/>
  </r>
  <r>
    <x v="2"/>
    <s v="fe:281 -RM:241"/>
    <s v="ASTRIZ DIAZ"/>
    <s v="RENAULT KWID"/>
    <s v="GSZ-977"/>
    <x v="1"/>
    <x v="16"/>
    <n v="30000"/>
    <n v="18000"/>
    <n v="12000"/>
    <s v="PASTILAS DEL"/>
    <n v="95000"/>
    <n v="135000"/>
    <s v="CANCELADO"/>
    <n v="40000"/>
  </r>
  <r>
    <x v="3"/>
    <s v="RM:245"/>
    <s v="MARCELA DAVILA"/>
    <s v="HINO"/>
    <s v="QGW-258"/>
    <x v="5"/>
    <x v="17"/>
    <n v="1400000"/>
    <n v="840000"/>
    <n v="560000"/>
    <s v="HIDRO BOOTER/TEFLON/ RACORES/ ABRAZADERAS , LIQUIDO DOT3 "/>
    <m/>
    <m/>
    <s v="CANCELADO"/>
    <n v="0"/>
  </r>
  <r>
    <x v="3"/>
    <m/>
    <s v="JULIO AMAYA"/>
    <s v="CHEVROLET SPARK"/>
    <s v="RMV-876"/>
    <x v="3"/>
    <x v="18"/>
    <n v="40000"/>
    <n v="24000"/>
    <n v="16000"/>
    <s v="CILINDROS"/>
    <n v="90000"/>
    <n v="130000"/>
    <s v="CANCELADO"/>
    <n v="40000"/>
  </r>
  <r>
    <x v="3"/>
    <m/>
    <s v="MAURICIO"/>
    <s v="NISSAN"/>
    <s v="HEY-067"/>
    <x v="0"/>
    <x v="19"/>
    <n v="60000"/>
    <n v="36000"/>
    <n v="24000"/>
    <m/>
    <m/>
    <m/>
    <s v="CANCELADO"/>
    <n v="0"/>
  </r>
  <r>
    <x v="3"/>
    <s v="RM:244"/>
    <s v="AQUILESVILLANUEVA"/>
    <s v="CHEVROLET TRAVERSE"/>
    <s v="NEN-691"/>
    <x v="1"/>
    <x v="20"/>
    <n v="60000"/>
    <n v="36000"/>
    <n v="24000"/>
    <s v="ROTULAS"/>
    <n v="160000"/>
    <n v="200000"/>
    <s v="CANCELADO"/>
    <n v="40000"/>
  </r>
  <r>
    <x v="3"/>
    <m/>
    <m/>
    <m/>
    <s v="KEX-032"/>
    <x v="0"/>
    <x v="21"/>
    <n v="180000"/>
    <n v="108000"/>
    <n v="72000"/>
    <s v="TIJERAS"/>
    <n v="240000"/>
    <n v="300000"/>
    <s v="CANCELADO"/>
    <n v="60000"/>
  </r>
  <r>
    <x v="4"/>
    <m/>
    <s v="JAIME MONCADA"/>
    <s v="JAC"/>
    <s v="ERL-333"/>
    <x v="2"/>
    <x v="22"/>
    <n v="30000"/>
    <n v="18000"/>
    <n v="12000"/>
    <m/>
    <m/>
    <m/>
    <s v="CANCELADO"/>
    <n v="0"/>
  </r>
  <r>
    <x v="4"/>
    <s v="FE:289"/>
    <s v="FRESKIFRUTA"/>
    <s v="DFSK"/>
    <s v="TLO-165"/>
    <x v="4"/>
    <x v="23"/>
    <n v="400000"/>
    <n v="240000"/>
    <n v="160000"/>
    <m/>
    <m/>
    <m/>
    <s v="CANCELADO"/>
    <n v="0"/>
  </r>
  <r>
    <x v="4"/>
    <s v="FE: 287"/>
    <s v="OCATI"/>
    <s v="FRR"/>
    <s v="WOS-477"/>
    <x v="4"/>
    <x v="24"/>
    <n v="40000"/>
    <n v="40000"/>
    <n v="16000"/>
    <m/>
    <m/>
    <m/>
    <s v="CANCELADO"/>
    <n v="0"/>
  </r>
  <r>
    <x v="4"/>
    <s v="RM:246"/>
    <s v="ADRIANA CALDERON"/>
    <s v="SPARK"/>
    <s v="DBX-028"/>
    <x v="3"/>
    <x v="25"/>
    <n v="20000"/>
    <n v="12000"/>
    <n v="8000"/>
    <s v="ENVASE, ABRAZADERAS"/>
    <n v="40500"/>
    <n v="76000"/>
    <s v="CANCELADO"/>
    <n v="35500"/>
  </r>
  <r>
    <x v="4"/>
    <m/>
    <m/>
    <s v="VOLQUETA"/>
    <s v="XGJ-109"/>
    <x v="1"/>
    <x v="26"/>
    <n v="20000"/>
    <n v="12000"/>
    <n v="8000"/>
    <m/>
    <m/>
    <m/>
    <s v="CANCELADO"/>
    <n v="0"/>
  </r>
  <r>
    <x v="4"/>
    <m/>
    <m/>
    <s v="TWINGO"/>
    <s v="CKF-176"/>
    <x v="0"/>
    <x v="27"/>
    <m/>
    <n v="0"/>
    <n v="0"/>
    <m/>
    <m/>
    <m/>
    <s v="CANCELADO"/>
    <n v="0"/>
  </r>
  <r>
    <x v="4"/>
    <m/>
    <s v="OCATI"/>
    <s v="NQR"/>
    <s v="WOS-474"/>
    <x v="3"/>
    <x v="28"/>
    <n v="210000"/>
    <n v="147000"/>
    <n v="84000"/>
    <s v="HOJA, TORNILLO"/>
    <m/>
    <m/>
    <s v="CANCELADO"/>
    <n v="0"/>
  </r>
  <r>
    <x v="5"/>
    <m/>
    <s v="JAVIER SASTOQUI"/>
    <s v="CHEVROLET"/>
    <s v="VFZ-846"/>
    <x v="1"/>
    <x v="29"/>
    <n v="40000"/>
    <n v="24000"/>
    <n v="16000"/>
    <m/>
    <m/>
    <m/>
    <s v="CANCELADO"/>
    <n v="0"/>
  </r>
  <r>
    <x v="5"/>
    <s v="FE:291"/>
    <s v="RAFAEL POLO"/>
    <s v="NISSAN VERSA"/>
    <s v="HVO-927"/>
    <x v="3"/>
    <x v="30"/>
    <n v="160000"/>
    <n v="96000"/>
    <n v="64000"/>
    <s v="BANDAS, BUJES"/>
    <n v="264000"/>
    <m/>
    <s v="CANCELADO"/>
    <n v="-264000"/>
  </r>
  <r>
    <x v="5"/>
    <s v="RM-248"/>
    <s v="GUILLERMO OCHOA"/>
    <s v="CHEVROLET"/>
    <s v="WPO-827"/>
    <x v="2"/>
    <x v="31"/>
    <n v="30000"/>
    <n v="18000"/>
    <n v="12000"/>
    <m/>
    <m/>
    <m/>
    <s v="CANCELADO"/>
    <n v="0"/>
  </r>
  <r>
    <x v="5"/>
    <m/>
    <m/>
    <m/>
    <s v="BDN-052"/>
    <x v="0"/>
    <x v="32"/>
    <n v="90000"/>
    <n v="54000"/>
    <n v="36000"/>
    <m/>
    <m/>
    <m/>
    <s v="CANCELADO"/>
    <n v="0"/>
  </r>
  <r>
    <x v="5"/>
    <m/>
    <s v="YEISON PEREZ"/>
    <s v="REMNAULT TWINGO"/>
    <s v="BNS-450"/>
    <x v="2"/>
    <x v="33"/>
    <n v="50000"/>
    <n v="30000"/>
    <n v="20000"/>
    <s v="COPA CAJA"/>
    <n v="60000"/>
    <n v="80000"/>
    <s v="CANCELADO"/>
    <n v="20000"/>
  </r>
  <r>
    <x v="6"/>
    <m/>
    <m/>
    <s v="FORD ESCAPE"/>
    <s v="DDE-386"/>
    <x v="3"/>
    <x v="34"/>
    <n v="50000"/>
    <n v="30000"/>
    <n v="20000"/>
    <m/>
    <m/>
    <m/>
    <s v="CANCELADO"/>
    <n v="0"/>
  </r>
  <r>
    <x v="6"/>
    <m/>
    <m/>
    <s v="FORD ESCAPE"/>
    <s v="DDE-386"/>
    <x v="3"/>
    <x v="35"/>
    <n v="50000"/>
    <n v="30000"/>
    <n v="20000"/>
    <m/>
    <m/>
    <m/>
    <s v="CANCELADO"/>
    <n v="0"/>
  </r>
  <r>
    <x v="6"/>
    <s v="RM-253"/>
    <s v="JUAN DAVID HERNANDEZ"/>
    <s v="VOLSKWAGEN"/>
    <s v="TTX-503"/>
    <x v="2"/>
    <x v="2"/>
    <n v="40000"/>
    <n v="24000"/>
    <n v="16000"/>
    <m/>
    <m/>
    <m/>
    <s v="CANCELADO"/>
    <n v="0"/>
  </r>
  <r>
    <x v="6"/>
    <s v="RM-254"/>
    <s v="JHON CRUZ RAMIREZ"/>
    <s v="VOLSKWAGEN"/>
    <s v="BNC-815"/>
    <x v="1"/>
    <x v="36"/>
    <n v="80000"/>
    <n v="48000"/>
    <n v="32000"/>
    <s v="PUNTA DE CAJA "/>
    <m/>
    <m/>
    <s v="CANCELADO"/>
    <n v="0"/>
  </r>
  <r>
    <x v="6"/>
    <m/>
    <s v="OCATI"/>
    <s v="NQR"/>
    <s v="WOS-474"/>
    <x v="3"/>
    <x v="37"/>
    <n v="50000"/>
    <n v="30000"/>
    <n v="20000"/>
    <s v="HOJA, TORNILLO, ESPARRAGOS, BOMBILLOS, SILICONA, PIN CACHO"/>
    <m/>
    <m/>
    <s v="CANCELADO"/>
    <n v="0"/>
  </r>
  <r>
    <x v="7"/>
    <s v="RM-255"/>
    <s v="ANDRES TIRA"/>
    <s v="HONDA"/>
    <s v="BDY-574"/>
    <x v="1"/>
    <x v="38"/>
    <n v="350000"/>
    <n v="210000"/>
    <n v="140000"/>
    <m/>
    <m/>
    <m/>
    <s v="CANCELADO"/>
    <n v="0"/>
  </r>
  <r>
    <x v="7"/>
    <s v="RM-255"/>
    <s v="ANDRES TIRA"/>
    <s v="HONDA"/>
    <s v="BDY-574"/>
    <x v="6"/>
    <x v="39"/>
    <n v="30000"/>
    <n v="20000"/>
    <n v="12000"/>
    <m/>
    <m/>
    <m/>
    <s v="CANCELADO"/>
    <n v="0"/>
  </r>
  <r>
    <x v="8"/>
    <m/>
    <s v="CESAR ISAZA"/>
    <s v="CH"/>
    <s v="BLO-452"/>
    <x v="0"/>
    <x v="40"/>
    <n v="180000"/>
    <n v="108000"/>
    <n v="72000"/>
    <m/>
    <m/>
    <m/>
    <s v="CANCELADO"/>
    <n v="0"/>
  </r>
  <r>
    <x v="8"/>
    <m/>
    <s v="MANUEL TOZORIA"/>
    <s v="MAZDA 323"/>
    <s v="SFF-954"/>
    <x v="4"/>
    <x v="41"/>
    <n v="70000"/>
    <n v="42000"/>
    <n v="28000"/>
    <m/>
    <m/>
    <m/>
    <s v="CANCELADO"/>
    <n v="0"/>
  </r>
  <r>
    <x v="8"/>
    <s v="FE: 295"/>
    <s v="ARKATEC"/>
    <s v="FOTON"/>
    <s v="WOO-547"/>
    <x v="3"/>
    <x v="42"/>
    <n v="80000"/>
    <n v="80000"/>
    <s v="-"/>
    <s v="JUEGO DE BLOQUE, GRASAS, GASOLINA, SILICONA, RESORTE, RETEN"/>
    <n v="626500"/>
    <n v="1013100"/>
    <s v="CANCELADO"/>
    <n v="386600"/>
  </r>
  <r>
    <x v="8"/>
    <m/>
    <m/>
    <m/>
    <m/>
    <x v="6"/>
    <x v="43"/>
    <n v="40000"/>
    <n v="24000"/>
    <n v="16000"/>
    <m/>
    <m/>
    <m/>
    <s v="CANCELADO"/>
    <n v="0"/>
  </r>
  <r>
    <x v="9"/>
    <s v="FE:297 / RM: 258"/>
    <s v="JUAN CARLOS REMOLINA"/>
    <s v="CH CRUZE"/>
    <s v="INZ-672"/>
    <x v="3"/>
    <x v="16"/>
    <n v="60000"/>
    <n v="36000"/>
    <n v="24000"/>
    <s v="PASTILLAS DELANTERAS"/>
    <n v="140000"/>
    <n v="195000"/>
    <s v="CANCELADO"/>
    <n v="55000"/>
  </r>
  <r>
    <x v="9"/>
    <s v="fe:298"/>
    <s v="MONGUIBELLO"/>
    <s v="JEEP"/>
    <s v="FTO-372"/>
    <x v="4"/>
    <x v="44"/>
    <n v="180000"/>
    <n v="108000"/>
    <n v="72000"/>
    <s v="GASOLINA, SILICONA, EMPAQUES DE CARTER"/>
    <n v="50000"/>
    <n v="80000"/>
    <s v="CANCELADO"/>
    <n v="30000"/>
  </r>
  <r>
    <x v="10"/>
    <m/>
    <m/>
    <s v="BUSETA"/>
    <s v="TSX-986"/>
    <x v="1"/>
    <x v="13"/>
    <n v="5000"/>
    <n v="5000"/>
    <n v="2000"/>
    <m/>
    <m/>
    <m/>
    <s v="CANCELADO"/>
    <n v="0"/>
  </r>
  <r>
    <x v="10"/>
    <m/>
    <m/>
    <s v="CHEVROLET SPRINT"/>
    <s v="BDY-763"/>
    <x v="0"/>
    <x v="45"/>
    <n v="730000"/>
    <n v="438000"/>
    <n v="292000"/>
    <m/>
    <m/>
    <m/>
    <s v="CANCELADO"/>
    <n v="0"/>
  </r>
  <r>
    <x v="10"/>
    <m/>
    <m/>
    <s v="CHEVROLET SPRINT"/>
    <s v="BDY-763"/>
    <x v="2"/>
    <x v="46"/>
    <n v="60000"/>
    <n v="36000"/>
    <n v="24000"/>
    <m/>
    <m/>
    <m/>
    <s v="CANCELADO"/>
    <n v="0"/>
  </r>
  <r>
    <x v="10"/>
    <m/>
    <s v="JORGE MORALES"/>
    <s v="SKODA"/>
    <s v="CJH-276"/>
    <x v="1"/>
    <x v="47"/>
    <n v="60000"/>
    <n v="36000"/>
    <n v="24000"/>
    <m/>
    <m/>
    <m/>
    <s v="CANCELADO"/>
    <n v="0"/>
  </r>
  <r>
    <x v="11"/>
    <m/>
    <m/>
    <s v="FORD"/>
    <s v="MQI-302"/>
    <x v="2"/>
    <x v="16"/>
    <n v="60000"/>
    <n v="36000"/>
    <n v="24000"/>
    <s v="JUEGO DE PASTILLAS DELANTERAS"/>
    <n v="115000"/>
    <n v="125000"/>
    <m/>
    <n v="10000"/>
  </r>
  <r>
    <x v="11"/>
    <m/>
    <m/>
    <s v="RENAULT TWINGO"/>
    <s v="CKF-173"/>
    <x v="4"/>
    <x v="48"/>
    <n v="120000"/>
    <n v="72000"/>
    <n v="48000"/>
    <m/>
    <m/>
    <m/>
    <m/>
    <n v="0"/>
  </r>
  <r>
    <x v="11"/>
    <m/>
    <m/>
    <s v="JEEP"/>
    <m/>
    <x v="0"/>
    <x v="49"/>
    <n v="25000"/>
    <n v="15000"/>
    <n v="10000"/>
    <m/>
    <m/>
    <m/>
    <s v="CANCELADO"/>
    <n v="0"/>
  </r>
  <r>
    <x v="11"/>
    <m/>
    <m/>
    <s v="RENAULT LOGAN"/>
    <s v="DCZ-930"/>
    <x v="4"/>
    <x v="50"/>
    <n v="40000"/>
    <n v="24000"/>
    <n v="16000"/>
    <m/>
    <m/>
    <m/>
    <m/>
    <n v="0"/>
  </r>
  <r>
    <x v="11"/>
    <m/>
    <m/>
    <s v="RENAULT 19"/>
    <s v="APR-520"/>
    <x v="3"/>
    <x v="51"/>
    <n v="30000"/>
    <n v="18000"/>
    <n v="12000"/>
    <m/>
    <m/>
    <m/>
    <m/>
    <n v="0"/>
  </r>
  <r>
    <x v="12"/>
    <m/>
    <m/>
    <s v="BUSETA"/>
    <s v="USE-940"/>
    <x v="6"/>
    <x v="52"/>
    <n v="100000"/>
    <n v="60000"/>
    <n v="40000"/>
    <m/>
    <m/>
    <m/>
    <m/>
    <n v="0"/>
  </r>
  <r>
    <x v="12"/>
    <s v="FE: 302"/>
    <s v="ALFONSO MONCADA"/>
    <m/>
    <s v="TFR-572"/>
    <x v="2"/>
    <x v="53"/>
    <n v="60000"/>
    <n v="36000"/>
    <n v="24000"/>
    <s v="EMBUJAR"/>
    <n v="45000"/>
    <n v="60000"/>
    <m/>
    <n v="15000"/>
  </r>
  <r>
    <x v="12"/>
    <s v="RM: 264"/>
    <s v="DANIEL POVEDA"/>
    <s v="CHEVROLET-STEEM"/>
    <s v="ZIP-501"/>
    <x v="1"/>
    <x v="54"/>
    <n v="60000"/>
    <n v="36000"/>
    <n v="24000"/>
    <m/>
    <m/>
    <m/>
    <m/>
    <n v="0"/>
  </r>
  <r>
    <x v="12"/>
    <s v="RM-266"/>
    <s v="FERMIN TRUJILLO"/>
    <s v="JAC NHR"/>
    <s v="TTY-134"/>
    <x v="4"/>
    <x v="55"/>
    <n v="40000"/>
    <n v="24000"/>
    <n v="16000"/>
    <s v="BOMBA PRINCIPAL DE CLOSH"/>
    <m/>
    <m/>
    <m/>
    <n v="0"/>
  </r>
  <r>
    <x v="12"/>
    <m/>
    <s v="AVELARDO SOLANO"/>
    <m/>
    <s v="USB-323"/>
    <x v="1"/>
    <x v="13"/>
    <n v="8000"/>
    <n v="8000"/>
    <n v="3200"/>
    <m/>
    <m/>
    <m/>
    <m/>
    <n v="0"/>
  </r>
  <r>
    <x v="13"/>
    <m/>
    <s v="MARCOS OCATI"/>
    <m/>
    <m/>
    <x v="3"/>
    <x v="56"/>
    <n v="60000"/>
    <n v="8000"/>
    <m/>
    <m/>
    <m/>
    <m/>
    <m/>
    <m/>
  </r>
  <r>
    <x v="13"/>
    <m/>
    <m/>
    <m/>
    <m/>
    <x v="2"/>
    <x v="57"/>
    <n v="10000"/>
    <n v="10000"/>
    <n v="4000"/>
    <m/>
    <m/>
    <m/>
    <m/>
    <n v="0"/>
  </r>
  <r>
    <x v="13"/>
    <s v="FE:304 / RM: 271"/>
    <s v="GERMAN PARRA"/>
    <s v="LOGAN"/>
    <s v="BYV-949"/>
    <x v="4"/>
    <x v="58"/>
    <n v="455000"/>
    <n v="273000"/>
    <n v="182000"/>
    <m/>
    <m/>
    <m/>
    <m/>
    <n v="0"/>
  </r>
  <r>
    <x v="14"/>
    <s v="RM-273"/>
    <s v="JHON CRUZ RAMIREZ"/>
    <s v="VOLSKWAGEN"/>
    <s v="BNC-815"/>
    <x v="0"/>
    <x v="59"/>
    <n v="150000"/>
    <n v="90000"/>
    <n v="60000"/>
    <m/>
    <m/>
    <m/>
    <s v="CANCELADO"/>
    <n v="0"/>
  </r>
  <r>
    <x v="13"/>
    <m/>
    <m/>
    <s v="NISSAN"/>
    <m/>
    <x v="3"/>
    <x v="51"/>
    <n v="30000"/>
    <n v="18000"/>
    <m/>
    <m/>
    <m/>
    <m/>
    <m/>
    <m/>
  </r>
  <r>
    <x v="13"/>
    <m/>
    <m/>
    <s v="HONDA"/>
    <s v="HDK-316"/>
    <x v="1"/>
    <x v="60"/>
    <n v="60000"/>
    <n v="50000"/>
    <n v="24000"/>
    <m/>
    <m/>
    <m/>
    <m/>
    <n v="0"/>
  </r>
  <r>
    <x v="13"/>
    <s v="FE:303 / RM: 267"/>
    <s v="MAICOL RODRIGUEZ"/>
    <s v="FOTON"/>
    <s v="WEW-059"/>
    <x v="2"/>
    <x v="61"/>
    <n v="50000"/>
    <n v="40000"/>
    <n v="20000"/>
    <m/>
    <m/>
    <m/>
    <m/>
    <n v="0"/>
  </r>
  <r>
    <x v="13"/>
    <m/>
    <s v="MARCOS"/>
    <s v="RENAULT"/>
    <s v="BIL-530"/>
    <x v="6"/>
    <x v="62"/>
    <n v="60000"/>
    <n v="36000"/>
    <n v="24000"/>
    <m/>
    <m/>
    <m/>
    <m/>
    <n v="0"/>
  </r>
  <r>
    <x v="13"/>
    <m/>
    <s v="FREDDY VILLALOBOS"/>
    <s v="RENAULT TWINGO"/>
    <s v="RJT-090"/>
    <x v="3"/>
    <x v="16"/>
    <n v="30000"/>
    <n v="18000"/>
    <n v="12000"/>
    <m/>
    <m/>
    <m/>
    <m/>
    <n v="0"/>
  </r>
  <r>
    <x v="13"/>
    <s v="RM:269"/>
    <s v="JOSE LUIS DURAN"/>
    <s v="TOYOTA RUNNER "/>
    <s v="IIV-261"/>
    <x v="1"/>
    <x v="63"/>
    <n v="70000"/>
    <n v="70000"/>
    <n v="28000"/>
    <m/>
    <m/>
    <m/>
    <m/>
    <n v="0"/>
  </r>
  <r>
    <x v="15"/>
    <s v="RM-275"/>
    <s v="JOSE ALFONZO MEZA"/>
    <s v="NISSAN"/>
    <s v="SKO-507"/>
    <x v="0"/>
    <x v="64"/>
    <n v="50000"/>
    <n v="30000"/>
    <n v="20000"/>
    <m/>
    <m/>
    <m/>
    <s v="CANCELADO"/>
    <n v="0"/>
  </r>
  <r>
    <x v="15"/>
    <s v="RM-272"/>
    <s v="NADIA PINILLA"/>
    <s v="CHERY"/>
    <s v="MFT-339"/>
    <x v="2"/>
    <x v="65"/>
    <n v="100000"/>
    <n v="60000"/>
    <n v="40000"/>
    <m/>
    <m/>
    <m/>
    <m/>
    <n v="0"/>
  </r>
  <r>
    <x v="15"/>
    <s v="RM-272"/>
    <s v="NADIA PINILLA"/>
    <s v="CHERY"/>
    <s v="MFT-339"/>
    <x v="1"/>
    <x v="65"/>
    <n v="50000"/>
    <n v="30000"/>
    <n v="20000"/>
    <m/>
    <m/>
    <m/>
    <m/>
    <n v="0"/>
  </r>
  <r>
    <x v="15"/>
    <m/>
    <s v="OLIMPIA HERNANDEZ"/>
    <s v="HINO"/>
    <s v="TGK-439"/>
    <x v="4"/>
    <x v="66"/>
    <n v="10000"/>
    <n v="6000"/>
    <n v="4000"/>
    <m/>
    <m/>
    <m/>
    <m/>
    <n v="0"/>
  </r>
  <r>
    <x v="15"/>
    <m/>
    <m/>
    <m/>
    <s v="BSM-697"/>
    <x v="0"/>
    <x v="67"/>
    <n v="70000"/>
    <n v="42000"/>
    <n v="28000"/>
    <m/>
    <m/>
    <m/>
    <s v="CANCELADO"/>
    <n v="0"/>
  </r>
  <r>
    <x v="15"/>
    <s v="RM-274"/>
    <s v="FERRETERIA LA ESMERALDA"/>
    <s v="FOTON"/>
    <s v="WNX-179"/>
    <x v="4"/>
    <x v="68"/>
    <n v="150000"/>
    <n v="90000"/>
    <n v="60000"/>
    <m/>
    <m/>
    <m/>
    <m/>
    <n v="0"/>
  </r>
  <r>
    <x v="15"/>
    <s v="RM-274"/>
    <s v="FERRETERIA LA ESMERALDA"/>
    <s v="FOTON"/>
    <s v="WNX-179"/>
    <x v="3"/>
    <x v="69"/>
    <n v="100000"/>
    <n v="80000"/>
    <n v="40000"/>
    <m/>
    <m/>
    <m/>
    <m/>
    <n v="0"/>
  </r>
  <r>
    <x v="15"/>
    <s v="RM:276"/>
    <s v="MIGUEL BATISTA"/>
    <s v="HINO"/>
    <s v="XJA-514"/>
    <x v="2"/>
    <x v="70"/>
    <n v="120000"/>
    <n v="72000"/>
    <n v="48000"/>
    <m/>
    <m/>
    <m/>
    <m/>
    <n v="0"/>
  </r>
  <r>
    <x v="16"/>
    <s v="RM-277"/>
    <s v="JESUS LARA"/>
    <s v="MAZDA 323"/>
    <s v="BFL-099"/>
    <x v="4"/>
    <x v="71"/>
    <n v="40000"/>
    <n v="24000"/>
    <n v="16000"/>
    <m/>
    <m/>
    <m/>
    <m/>
    <n v="0"/>
  </r>
  <r>
    <x v="16"/>
    <s v="FE:209 / RM: 279"/>
    <s v="CARLOS MARCHAN"/>
    <s v="CHEVROLET AVEO 2066"/>
    <s v="ZIV-086"/>
    <x v="3"/>
    <x v="72"/>
    <n v="190000"/>
    <n v="190000"/>
    <n v="90000"/>
    <m/>
    <m/>
    <m/>
    <m/>
    <n v="0"/>
  </r>
  <r>
    <x v="16"/>
    <m/>
    <s v="OCATI"/>
    <s v="WOS-477"/>
    <s v="FRR"/>
    <x v="1"/>
    <x v="73"/>
    <n v="10000"/>
    <n v="6000"/>
    <n v="4000"/>
    <m/>
    <m/>
    <m/>
    <m/>
    <n v="0"/>
  </r>
  <r>
    <x v="16"/>
    <s v="RM: 278 / FE: 397"/>
    <s v="EDWIN ESPINOZA"/>
    <s v="IWZ-007"/>
    <s v="DUSTER"/>
    <x v="3"/>
    <x v="74"/>
    <n v="40000"/>
    <n v="24000"/>
    <n v="16000"/>
    <m/>
    <m/>
    <m/>
    <m/>
    <n v="0"/>
  </r>
  <r>
    <x v="16"/>
    <m/>
    <s v="ANDRES RUIZ"/>
    <s v="KIAT CADENZA"/>
    <s v="KJQ-895"/>
    <x v="3"/>
    <x v="75"/>
    <n v="50000"/>
    <n v="50000"/>
    <n v="10000"/>
    <m/>
    <m/>
    <m/>
    <m/>
    <n v="0"/>
  </r>
  <r>
    <x v="16"/>
    <m/>
    <m/>
    <s v="SANYONG"/>
    <s v="RZF-114"/>
    <x v="2"/>
    <x v="76"/>
    <n v="20000"/>
    <n v="20000"/>
    <n v="10000"/>
    <m/>
    <m/>
    <m/>
    <m/>
    <n v="0"/>
  </r>
  <r>
    <x v="17"/>
    <s v="RM:283 /FE: 311"/>
    <s v="OSCAR ALEXANDER RODRIGUEZ"/>
    <s v="CH AVEO"/>
    <s v="MNY-524"/>
    <x v="1"/>
    <x v="77"/>
    <n v="380000"/>
    <n v="266000"/>
    <n v="114000"/>
    <m/>
    <m/>
    <m/>
    <m/>
    <n v="0"/>
  </r>
  <r>
    <x v="17"/>
    <m/>
    <m/>
    <s v="HILUX"/>
    <m/>
    <x v="1"/>
    <x v="16"/>
    <n v="30000"/>
    <n v="18000"/>
    <m/>
    <m/>
    <m/>
    <m/>
    <m/>
    <m/>
  </r>
  <r>
    <x v="17"/>
    <s v="FE:312 / RM: 286"/>
    <s v="ANDRES SANZ"/>
    <s v="GRAN VITARA"/>
    <s v="BND-149"/>
    <x v="1"/>
    <x v="78"/>
    <n v="450000"/>
    <n v="360000"/>
    <n v="135000"/>
    <m/>
    <m/>
    <m/>
    <m/>
    <n v="0"/>
  </r>
  <r>
    <x v="17"/>
    <s v="RM-284"/>
    <s v="MIGUEL BAUTISTA"/>
    <s v="VOLSKWAGEN"/>
    <s v="TSX-986"/>
    <x v="1"/>
    <x v="70"/>
    <n v="40000"/>
    <n v="24000"/>
    <n v="16000"/>
    <m/>
    <m/>
    <m/>
    <m/>
    <n v="0"/>
  </r>
  <r>
    <x v="17"/>
    <s v="RM-285"/>
    <s v="MAURICIO GIL"/>
    <s v="FORD"/>
    <s v="TBK-039"/>
    <x v="1"/>
    <x v="79"/>
    <n v="45000"/>
    <n v="27000"/>
    <n v="18000"/>
    <m/>
    <m/>
    <m/>
    <m/>
    <n v="0"/>
  </r>
  <r>
    <x v="18"/>
    <s v="RM: 287"/>
    <s v="CHRISTIAN BALLEN "/>
    <s v="RENAULT CLIO"/>
    <s v="BWQ-407"/>
    <x v="3"/>
    <x v="80"/>
    <n v="150000"/>
    <n v="90000"/>
    <n v="60000"/>
    <m/>
    <m/>
    <m/>
    <m/>
    <n v="0"/>
  </r>
  <r>
    <x v="18"/>
    <s v="FE: 313"/>
    <s v="METALCARGOS"/>
    <s v="NKR"/>
    <s v="TFT-701"/>
    <x v="0"/>
    <x v="81"/>
    <n v="250000"/>
    <n v="150000"/>
    <n v="100000"/>
    <m/>
    <m/>
    <m/>
    <s v="CANCELADO"/>
    <n v="0"/>
  </r>
  <r>
    <x v="18"/>
    <s v="FE: 313"/>
    <s v="METALCARGOS"/>
    <s v="NKR"/>
    <s v="TFT-701"/>
    <x v="3"/>
    <x v="60"/>
    <n v="200000"/>
    <n v="120000"/>
    <n v="80000"/>
    <m/>
    <m/>
    <m/>
    <m/>
    <n v="0"/>
  </r>
  <r>
    <x v="18"/>
    <s v="RM: 288"/>
    <s v="ALVEIRO VILLAMIL"/>
    <s v="CITROEN"/>
    <s v="BUK-819"/>
    <x v="2"/>
    <x v="82"/>
    <n v="30000"/>
    <n v="18000"/>
    <n v="12000"/>
    <m/>
    <m/>
    <m/>
    <m/>
    <n v="0"/>
  </r>
  <r>
    <x v="19"/>
    <s v="RM:292"/>
    <s v="IGNACIO RODRIGUEZ"/>
    <s v="NHR"/>
    <s v="WLQ-621"/>
    <x v="4"/>
    <x v="83"/>
    <n v="80000"/>
    <n v="48000"/>
    <n v="32000"/>
    <m/>
    <m/>
    <m/>
    <m/>
    <n v="0"/>
  </r>
  <r>
    <x v="19"/>
    <s v="RM293"/>
    <s v="IGNACIO RODRIGUEZ"/>
    <s v="SUZUKI"/>
    <s v="GUE-822"/>
    <x v="1"/>
    <x v="84"/>
    <n v="70000"/>
    <n v="42000"/>
    <n v="28000"/>
    <m/>
    <m/>
    <m/>
    <m/>
    <n v="0"/>
  </r>
  <r>
    <x v="19"/>
    <m/>
    <m/>
    <s v="TOYOTA"/>
    <m/>
    <x v="2"/>
    <x v="13"/>
    <n v="15000"/>
    <n v="15000"/>
    <n v="5000"/>
    <m/>
    <m/>
    <m/>
    <m/>
    <n v="0"/>
  </r>
  <r>
    <x v="19"/>
    <s v="FE: 314"/>
    <s v="MUNAR INGENIERIA"/>
    <s v="VOLQUETA"/>
    <s v="WDC-566"/>
    <x v="2"/>
    <x v="85"/>
    <n v="40000"/>
    <n v="24000"/>
    <n v="16000"/>
    <m/>
    <m/>
    <m/>
    <m/>
    <n v="0"/>
  </r>
  <r>
    <x v="19"/>
    <s v="RM-295"/>
    <s v="WILSON MORENO"/>
    <s v="CHEVROLET AVEO "/>
    <s v="RGT-916"/>
    <x v="0"/>
    <x v="86"/>
    <n v="350000"/>
    <n v="210000"/>
    <n v="140000"/>
    <m/>
    <m/>
    <m/>
    <s v="CANCELADO"/>
    <n v="0"/>
  </r>
  <r>
    <x v="20"/>
    <s v="RM-296"/>
    <s v="NESTOR MAURICIO ROA GUTIERREZ"/>
    <s v="GMC"/>
    <s v="KBJ-983"/>
    <x v="2"/>
    <x v="87"/>
    <n v="200000"/>
    <n v="120000"/>
    <n v="80000"/>
    <m/>
    <m/>
    <m/>
    <m/>
    <n v="0"/>
  </r>
  <r>
    <x v="20"/>
    <s v="RM-296"/>
    <s v="NESTOR MAURICIO ROA GUTIERREZ"/>
    <s v="GMC"/>
    <s v="KBJ-983"/>
    <x v="6"/>
    <x v="88"/>
    <n v="20000"/>
    <n v="20000"/>
    <m/>
    <m/>
    <m/>
    <m/>
    <m/>
    <m/>
  </r>
  <r>
    <x v="20"/>
    <s v="RM-296"/>
    <s v="NESTOR MAURICIO ROA GUTIERREZ"/>
    <s v="GMC"/>
    <s v="KBJ-983"/>
    <x v="0"/>
    <x v="89"/>
    <n v="160000"/>
    <n v="96000"/>
    <n v="64000"/>
    <m/>
    <m/>
    <m/>
    <s v="CANCELADO"/>
    <n v="0"/>
  </r>
  <r>
    <x v="20"/>
    <s v="FE: 315"/>
    <s v="MUNAR INGENIERIA"/>
    <s v="HINO"/>
    <s v="WOU-451"/>
    <x v="1"/>
    <x v="90"/>
    <n v="30000"/>
    <n v="20000"/>
    <n v="12000"/>
    <m/>
    <m/>
    <m/>
    <m/>
    <n v="0"/>
  </r>
  <r>
    <x v="20"/>
    <s v="RM:297"/>
    <s v="NELSON TAMAYO"/>
    <s v="FORD ECOESPORT"/>
    <s v="MUQ-265"/>
    <x v="2"/>
    <x v="91"/>
    <n v="30000"/>
    <n v="18000"/>
    <n v="12000"/>
    <m/>
    <m/>
    <m/>
    <m/>
    <n v="0"/>
  </r>
  <r>
    <x v="20"/>
    <m/>
    <m/>
    <s v="CHERY"/>
    <s v="CTW-928"/>
    <x v="3"/>
    <x v="92"/>
    <n v="150000"/>
    <n v="90000"/>
    <n v="60000"/>
    <m/>
    <m/>
    <m/>
    <m/>
    <n v="0"/>
  </r>
  <r>
    <x v="20"/>
    <m/>
    <m/>
    <s v="CHERY"/>
    <s v="COA-451"/>
    <x v="1"/>
    <x v="93"/>
    <n v="60000"/>
    <n v="36000"/>
    <n v="24000"/>
    <m/>
    <m/>
    <m/>
    <m/>
    <n v="0"/>
  </r>
  <r>
    <x v="21"/>
    <m/>
    <m/>
    <s v="TOYOTA"/>
    <s v="EBV-326"/>
    <x v="1"/>
    <x v="94"/>
    <n v="80000"/>
    <n v="80000"/>
    <n v="20000"/>
    <m/>
    <m/>
    <m/>
    <m/>
    <n v="0"/>
  </r>
  <r>
    <x v="21"/>
    <m/>
    <m/>
    <s v="HYUNDAI"/>
    <s v="QGW-258"/>
    <x v="2"/>
    <x v="95"/>
    <n v="30000"/>
    <n v="30000"/>
    <n v="10000"/>
    <m/>
    <m/>
    <m/>
    <m/>
    <n v="0"/>
  </r>
  <r>
    <x v="21"/>
    <m/>
    <m/>
    <s v="HYUNDAI"/>
    <s v="QGW-258"/>
    <x v="6"/>
    <x v="96"/>
    <n v="30000"/>
    <n v="30000"/>
    <n v="10000"/>
    <m/>
    <m/>
    <m/>
    <m/>
    <n v="0"/>
  </r>
  <r>
    <x v="22"/>
    <s v="RM-301"/>
    <s v="ADRIANA CALDERON"/>
    <s v="SPARK"/>
    <s v="DBX-028"/>
    <x v="0"/>
    <x v="97"/>
    <n v="250000"/>
    <n v="150000"/>
    <n v="100000"/>
    <m/>
    <m/>
    <m/>
    <s v="CANCELADO"/>
    <n v="0"/>
  </r>
  <r>
    <x v="22"/>
    <m/>
    <s v="WILLIAM GRANJA"/>
    <s v="FORD"/>
    <s v="CKD-019"/>
    <x v="3"/>
    <x v="98"/>
    <n v="10000"/>
    <n v="6000"/>
    <n v="4000"/>
    <m/>
    <m/>
    <m/>
    <m/>
    <n v="0"/>
  </r>
  <r>
    <x v="22"/>
    <m/>
    <s v="MURICIO PIRAGUA"/>
    <s v="NISSAN TIIDA"/>
    <s v="RML-816"/>
    <x v="3"/>
    <x v="99"/>
    <n v="230000"/>
    <n v="138000"/>
    <n v="92000"/>
    <m/>
    <m/>
    <m/>
    <m/>
    <m/>
  </r>
  <r>
    <x v="22"/>
    <m/>
    <m/>
    <m/>
    <m/>
    <x v="3"/>
    <x v="100"/>
    <n v="30000"/>
    <n v="30000"/>
    <n v="12000"/>
    <m/>
    <m/>
    <m/>
    <m/>
    <n v="0"/>
  </r>
  <r>
    <x v="23"/>
    <s v="RM:304"/>
    <s v="CESAR FLORES"/>
    <s v="GREAT WALL"/>
    <s v="HYP-349"/>
    <x v="1"/>
    <x v="101"/>
    <n v="90000"/>
    <n v="62999.999999999993"/>
    <n v="36000"/>
    <m/>
    <m/>
    <m/>
    <m/>
    <n v="0"/>
  </r>
  <r>
    <x v="23"/>
    <s v="RM: 302"/>
    <s v="MARCELA AVILA"/>
    <m/>
    <s v="QGW-258"/>
    <x v="7"/>
    <x v="102"/>
    <m/>
    <n v="0"/>
    <n v="0"/>
    <m/>
    <m/>
    <m/>
    <m/>
    <n v="0"/>
  </r>
  <r>
    <x v="23"/>
    <m/>
    <m/>
    <s v="NISSAN"/>
    <m/>
    <x v="2"/>
    <x v="103"/>
    <n v="50000"/>
    <n v="30000"/>
    <n v="20000"/>
    <m/>
    <m/>
    <m/>
    <m/>
    <n v="0"/>
  </r>
  <r>
    <x v="23"/>
    <m/>
    <s v="JORGE MORALES"/>
    <s v="TOYOTA"/>
    <s v="RKO-741"/>
    <x v="0"/>
    <x v="104"/>
    <n v="150000"/>
    <n v="105000"/>
    <n v="60000"/>
    <m/>
    <m/>
    <m/>
    <s v="CANCELADO"/>
    <n v="0"/>
  </r>
  <r>
    <x v="23"/>
    <s v="RM-305"/>
    <m/>
    <s v="DAIHATSU"/>
    <s v="AJF-937"/>
    <x v="2"/>
    <x v="105"/>
    <n v="40000"/>
    <n v="24000"/>
    <n v="16000"/>
    <m/>
    <m/>
    <m/>
    <m/>
    <n v="0"/>
  </r>
  <r>
    <x v="24"/>
    <m/>
    <s v="JAIME MONCADA"/>
    <s v="MITSIUBISHI"/>
    <s v="SKK-812"/>
    <x v="3"/>
    <x v="106"/>
    <n v="40000"/>
    <n v="28000"/>
    <n v="16000"/>
    <m/>
    <m/>
    <m/>
    <m/>
    <n v="0"/>
  </r>
  <r>
    <x v="24"/>
    <m/>
    <m/>
    <s v="CHEVROLET"/>
    <s v="ARO-681"/>
    <x v="4"/>
    <x v="107"/>
    <n v="40000"/>
    <n v="24000"/>
    <n v="16000"/>
    <m/>
    <m/>
    <m/>
    <m/>
    <n v="0"/>
  </r>
  <r>
    <x v="24"/>
    <s v="RM-306"/>
    <s v="ENNER GARCIA"/>
    <s v="ISUZU"/>
    <s v="FSQ-710"/>
    <x v="4"/>
    <x v="108"/>
    <n v="60000"/>
    <n v="36000"/>
    <n v="24000"/>
    <m/>
    <m/>
    <m/>
    <m/>
    <n v="0"/>
  </r>
  <r>
    <x v="24"/>
    <m/>
    <s v="ANDERSON DE LA NOI"/>
    <s v="LOGAN"/>
    <s v="BZU-005"/>
    <x v="2"/>
    <x v="109"/>
    <n v="20000"/>
    <n v="20000"/>
    <n v="8000"/>
    <m/>
    <m/>
    <m/>
    <m/>
    <n v="0"/>
  </r>
  <r>
    <x v="25"/>
    <s v="RM-309"/>
    <s v="CHRISTIAN BALLEN "/>
    <s v="CLIO"/>
    <s v="BWQ-407"/>
    <x v="3"/>
    <x v="110"/>
    <n v="180000"/>
    <n v="125999.99999999999"/>
    <n v="72000"/>
    <m/>
    <m/>
    <m/>
    <m/>
    <n v="0"/>
  </r>
  <r>
    <x v="25"/>
    <m/>
    <s v="PABLO RINCON"/>
    <s v="SKODA"/>
    <s v="SQX-078"/>
    <x v="5"/>
    <x v="111"/>
    <n v="60000"/>
    <n v="36000"/>
    <n v="24000"/>
    <m/>
    <m/>
    <m/>
    <m/>
    <n v="0"/>
  </r>
  <r>
    <x v="26"/>
    <m/>
    <m/>
    <m/>
    <s v="AAJ-348"/>
    <x v="3"/>
    <x v="112"/>
    <n v="80000"/>
    <n v="56000"/>
    <n v="32000"/>
    <m/>
    <m/>
    <m/>
    <m/>
    <n v="0"/>
  </r>
  <r>
    <x v="26"/>
    <s v="FE: 319"/>
    <s v="CEGA SAS"/>
    <s v="MAZDA 2"/>
    <s v="GKW-107"/>
    <x v="3"/>
    <x v="16"/>
    <n v="30000"/>
    <n v="21000"/>
    <n v="12000"/>
    <m/>
    <m/>
    <m/>
    <m/>
    <n v="0"/>
  </r>
  <r>
    <x v="26"/>
    <m/>
    <m/>
    <s v="DODGE"/>
    <s v="HSP-280"/>
    <x v="3"/>
    <x v="73"/>
    <n v="10000"/>
    <n v="7000"/>
    <n v="4000"/>
    <m/>
    <m/>
    <m/>
    <m/>
    <n v="0"/>
  </r>
  <r>
    <x v="26"/>
    <m/>
    <s v="YESSID RODRIGUEZ"/>
    <s v="SAIL"/>
    <s v="HXW-468"/>
    <x v="2"/>
    <x v="113"/>
    <n v="100000"/>
    <n v="70000"/>
    <n v="40000"/>
    <m/>
    <m/>
    <m/>
    <m/>
    <n v="0"/>
  </r>
  <r>
    <x v="26"/>
    <m/>
    <s v="YESSID RODRIGUEZ"/>
    <s v="SAIL"/>
    <s v="HXW-468"/>
    <x v="2"/>
    <x v="114"/>
    <n v="10000"/>
    <n v="6000"/>
    <n v="4000"/>
    <m/>
    <m/>
    <m/>
    <m/>
    <n v="0"/>
  </r>
  <r>
    <x v="26"/>
    <m/>
    <m/>
    <s v="JAC"/>
    <s v="ERL-333"/>
    <x v="1"/>
    <x v="73"/>
    <n v="10000"/>
    <n v="7000"/>
    <n v="4000"/>
    <m/>
    <m/>
    <m/>
    <m/>
    <n v="0"/>
  </r>
  <r>
    <x v="27"/>
    <s v="RM:314"/>
    <s v="JAIRO ESCOBAR"/>
    <s v="NISSAN SENTRA"/>
    <s v="KHT-423"/>
    <x v="3"/>
    <x v="115"/>
    <n v="180000"/>
    <n v="125999.99999999999"/>
    <n v="72000"/>
    <m/>
    <m/>
    <m/>
    <m/>
    <n v="0"/>
  </r>
  <r>
    <x v="27"/>
    <m/>
    <s v="GABRIEL TOVAR"/>
    <s v="CHEVROLET"/>
    <s v="SQW-666"/>
    <x v="1"/>
    <x v="116"/>
    <n v="15000"/>
    <n v="10500"/>
    <n v="6000"/>
    <m/>
    <m/>
    <m/>
    <m/>
    <n v="0"/>
  </r>
  <r>
    <x v="27"/>
    <m/>
    <s v="FRANCISCO SASTOQUE"/>
    <s v="LAND ROVER"/>
    <s v="JKJ-296"/>
    <x v="0"/>
    <x v="117"/>
    <n v="1200000"/>
    <n v="840000"/>
    <n v="480000"/>
    <m/>
    <m/>
    <m/>
    <s v="CANCELADO"/>
    <n v="0"/>
  </r>
  <r>
    <x v="27"/>
    <m/>
    <s v="FRANCISCO SASTOQUE"/>
    <s v="LAND ROVER"/>
    <s v="JKJ-296"/>
    <x v="2"/>
    <x v="118"/>
    <n v="70000"/>
    <n v="70000"/>
    <m/>
    <m/>
    <m/>
    <m/>
    <m/>
    <n v="0"/>
  </r>
  <r>
    <x v="27"/>
    <m/>
    <s v="MURICIO PIRAGUA"/>
    <s v="NISSAN TIIDA"/>
    <s v="RML-816"/>
    <x v="0"/>
    <x v="119"/>
    <n v="200000"/>
    <n v="200000"/>
    <s v="-"/>
    <m/>
    <m/>
    <m/>
    <s v="CANCELADO"/>
    <n v="0"/>
  </r>
  <r>
    <x v="28"/>
    <m/>
    <s v="CHRISTIAN BALLEN "/>
    <s v="RENAULT CLIO"/>
    <s v="BWQ-407"/>
    <x v="3"/>
    <x v="120"/>
    <n v="50000"/>
    <n v="35000"/>
    <n v="20000"/>
    <m/>
    <m/>
    <m/>
    <s v="CANCELADO"/>
    <n v="0"/>
  </r>
  <r>
    <x v="28"/>
    <m/>
    <s v="EUGENIA CASTILLO"/>
    <s v="CHEVROLET SPRING"/>
    <s v="BMA-685"/>
    <x v="0"/>
    <x v="121"/>
    <n v="60000"/>
    <n v="42000"/>
    <n v="24000"/>
    <m/>
    <m/>
    <m/>
    <s v="CANCELADO"/>
    <n v="0"/>
  </r>
  <r>
    <x v="28"/>
    <m/>
    <s v="ALEXANDER SPULVEDA"/>
    <s v="CHEVROLET AVEO"/>
    <s v="BST-815"/>
    <x v="3"/>
    <x v="122"/>
    <n v="45000"/>
    <n v="31499.999999999996"/>
    <n v="18000"/>
    <m/>
    <m/>
    <m/>
    <s v="CANCELADO"/>
    <n v="0"/>
  </r>
  <r>
    <x v="28"/>
    <m/>
    <m/>
    <s v="BUSETA"/>
    <m/>
    <x v="6"/>
    <x v="123"/>
    <n v="70000"/>
    <n v="42000"/>
    <n v="28000"/>
    <m/>
    <m/>
    <m/>
    <s v="CANCELADO"/>
    <n v="0"/>
  </r>
  <r>
    <x v="28"/>
    <m/>
    <m/>
    <s v="PEGEOUT"/>
    <s v="BHB-245"/>
    <x v="3"/>
    <x v="124"/>
    <n v="40000"/>
    <n v="28000"/>
    <n v="16000"/>
    <m/>
    <m/>
    <m/>
    <s v="CANCELADO"/>
    <n v="0"/>
  </r>
  <r>
    <x v="29"/>
    <m/>
    <m/>
    <s v="CH SPARK"/>
    <s v="ZGC-026"/>
    <x v="0"/>
    <x v="121"/>
    <n v="40000"/>
    <n v="28000"/>
    <n v="16000"/>
    <m/>
    <m/>
    <m/>
    <s v="CANCELADO"/>
    <n v="0"/>
  </r>
  <r>
    <x v="29"/>
    <m/>
    <s v="JOSE PICO"/>
    <s v="HIUNDAY"/>
    <s v="BEA-126"/>
    <x v="3"/>
    <x v="125"/>
    <n v="70000"/>
    <n v="49000"/>
    <n v="28000"/>
    <m/>
    <m/>
    <m/>
    <s v="CANCELADO"/>
    <n v="0"/>
  </r>
  <r>
    <x v="29"/>
    <n v="320"/>
    <s v="LINA GUZMAN"/>
    <s v="VOLSWAGEN"/>
    <s v="DQL-105"/>
    <x v="3"/>
    <x v="126"/>
    <n v="100000"/>
    <n v="70000"/>
    <m/>
    <m/>
    <m/>
    <m/>
    <s v="CANCELADO"/>
    <m/>
  </r>
  <r>
    <x v="29"/>
    <n v="324"/>
    <s v="CARLOS A TRIANA"/>
    <s v="CHANA"/>
    <s v="SLJ-080"/>
    <x v="0"/>
    <x v="127"/>
    <n v="350000"/>
    <n v="244999.99999999997"/>
    <m/>
    <m/>
    <m/>
    <m/>
    <s v="CANCELADO"/>
    <m/>
  </r>
  <r>
    <x v="29"/>
    <n v="320"/>
    <s v="LINA GUZMAN"/>
    <s v="VOLSWAGEN"/>
    <s v="DQL-105"/>
    <x v="8"/>
    <x v="128"/>
    <n v="150000"/>
    <n v="90000"/>
    <m/>
    <m/>
    <m/>
    <m/>
    <s v="CANCELADO"/>
    <m/>
  </r>
  <r>
    <x v="30"/>
    <m/>
    <s v="JOSE VICENTE COJO"/>
    <s v="NISAN"/>
    <s v="FSH-849"/>
    <x v="4"/>
    <x v="129"/>
    <n v="70000"/>
    <n v="42000"/>
    <n v="28000"/>
    <m/>
    <m/>
    <m/>
    <s v="CANCELADO"/>
    <n v="0"/>
  </r>
  <r>
    <x v="30"/>
    <m/>
    <m/>
    <s v="GRAN VITARA"/>
    <s v="CQG-462"/>
    <x v="2"/>
    <x v="130"/>
    <n v="50000"/>
    <n v="30000"/>
    <n v="20000"/>
    <m/>
    <m/>
    <m/>
    <s v="CANCELADO"/>
    <n v="0"/>
  </r>
  <r>
    <x v="30"/>
    <s v="RM:327"/>
    <s v="ANDRES RAMIREZ"/>
    <s v="SPARK"/>
    <s v="DDW-254"/>
    <x v="4"/>
    <x v="131"/>
    <n v="40000"/>
    <n v="24000"/>
    <n v="16000"/>
    <m/>
    <m/>
    <m/>
    <s v="CANCELADO"/>
    <n v="0"/>
  </r>
  <r>
    <x v="30"/>
    <m/>
    <m/>
    <s v="STEEPWAY"/>
    <s v="RKT-150"/>
    <x v="0"/>
    <x v="132"/>
    <n v="30000"/>
    <n v="21000"/>
    <n v="12000"/>
    <m/>
    <m/>
    <m/>
    <s v="CANCELADO"/>
    <n v="0"/>
  </r>
  <r>
    <x v="30"/>
    <m/>
    <s v="JOSE MONCADA"/>
    <s v="SONIC"/>
    <s v="IOV-661"/>
    <x v="3"/>
    <x v="133"/>
    <n v="140000"/>
    <n v="98000"/>
    <n v="56000"/>
    <m/>
    <m/>
    <m/>
    <s v="CANCELADO"/>
    <n v="0"/>
  </r>
  <r>
    <x v="30"/>
    <m/>
    <s v="FABIAN GARCIA"/>
    <s v="NISSAN FRONTIER"/>
    <s v="MBL-513"/>
    <x v="1"/>
    <x v="134"/>
    <n v="300000"/>
    <n v="210000"/>
    <n v="120000"/>
    <m/>
    <m/>
    <m/>
    <s v="CANCELADO"/>
    <n v="0"/>
  </r>
  <r>
    <x v="31"/>
    <m/>
    <s v="LUIS PENAGO"/>
    <s v="PEGEOUT"/>
    <s v="MAM-961"/>
    <x v="4"/>
    <x v="135"/>
    <n v="260000"/>
    <n v="156000"/>
    <n v="104000"/>
    <m/>
    <m/>
    <m/>
    <s v="CANCELADO"/>
    <n v="0"/>
  </r>
  <r>
    <x v="31"/>
    <s v="RM: 330"/>
    <s v="JORGE RODRIGUEZ"/>
    <s v="FORD LASER"/>
    <s v="MQI-302"/>
    <x v="1"/>
    <x v="136"/>
    <n v="180000"/>
    <n v="125999.99999999999"/>
    <n v="72000"/>
    <m/>
    <m/>
    <m/>
    <s v="CANCELADO"/>
    <n v="0"/>
  </r>
  <r>
    <x v="31"/>
    <m/>
    <s v="OSCAR ACERO"/>
    <s v="CHERY"/>
    <s v="WNY-929"/>
    <x v="3"/>
    <x v="137"/>
    <n v="500000"/>
    <n v="350000"/>
    <m/>
    <m/>
    <m/>
    <m/>
    <s v="CANCELADO"/>
    <n v="0"/>
  </r>
  <r>
    <x v="32"/>
    <m/>
    <s v="EUGENIA CASTILLO"/>
    <s v="SPRINT"/>
    <s v="BMA-685"/>
    <x v="0"/>
    <x v="138"/>
    <n v="40000"/>
    <n v="28000"/>
    <m/>
    <m/>
    <m/>
    <m/>
    <s v="CANCELADO"/>
    <m/>
  </r>
  <r>
    <x v="32"/>
    <s v="RM:333"/>
    <s v="AREPAS EL CARRIEL"/>
    <s v="NHR"/>
    <s v="WNR-195"/>
    <x v="3"/>
    <x v="139"/>
    <n v="20000"/>
    <n v="14000"/>
    <m/>
    <m/>
    <m/>
    <m/>
    <s v="CANCELADO"/>
    <m/>
  </r>
  <r>
    <x v="32"/>
    <m/>
    <s v="ALEXANDER SOTO"/>
    <s v="DBR-141"/>
    <s v="SPARK"/>
    <x v="8"/>
    <x v="140"/>
    <n v="70000"/>
    <n v="42000"/>
    <m/>
    <m/>
    <m/>
    <m/>
    <s v="CANCELADO"/>
    <m/>
  </r>
  <r>
    <x v="32"/>
    <m/>
    <s v="OCATI"/>
    <s v="WOS-477"/>
    <s v="FRR"/>
    <x v="8"/>
    <x v="141"/>
    <n v="40000"/>
    <n v="24000"/>
    <m/>
    <m/>
    <m/>
    <m/>
    <s v="CANCELADO"/>
    <m/>
  </r>
  <r>
    <x v="32"/>
    <m/>
    <s v="OCATI"/>
    <s v="WOS-477"/>
    <s v="FRR"/>
    <x v="6"/>
    <x v="142"/>
    <n v="130000"/>
    <n v="78000"/>
    <m/>
    <m/>
    <m/>
    <m/>
    <s v="CANCELADO"/>
    <m/>
  </r>
  <r>
    <x v="32"/>
    <m/>
    <s v="OCATI"/>
    <s v="WOS-474"/>
    <s v="NQR"/>
    <x v="6"/>
    <x v="143"/>
    <n v="20000"/>
    <n v="12000"/>
    <m/>
    <m/>
    <m/>
    <m/>
    <s v="CANCELADO"/>
    <m/>
  </r>
  <r>
    <x v="32"/>
    <s v="RM:335"/>
    <s v="JESSY RODRIGUEZ"/>
    <s v="HXW-468"/>
    <s v="SAIL"/>
    <x v="1"/>
    <x v="144"/>
    <n v="110000"/>
    <n v="77000"/>
    <m/>
    <m/>
    <m/>
    <m/>
    <s v="CANCELADO"/>
    <m/>
  </r>
  <r>
    <x v="33"/>
    <s v="RM:337"/>
    <s v="JHON LOPEZ"/>
    <s v="HJW-941"/>
    <s v="JETTA"/>
    <x v="1"/>
    <x v="145"/>
    <n v="30000"/>
    <n v="21000"/>
    <m/>
    <m/>
    <m/>
    <m/>
    <s v="CANCELADO"/>
    <m/>
  </r>
  <r>
    <x v="33"/>
    <m/>
    <s v="XO-RECICLAJE"/>
    <s v="TSM-562"/>
    <s v="JAC"/>
    <x v="1"/>
    <x v="116"/>
    <n v="15000"/>
    <n v="10500"/>
    <m/>
    <m/>
    <m/>
    <m/>
    <s v="CANCELADO"/>
    <m/>
  </r>
  <r>
    <x v="33"/>
    <m/>
    <s v="TRANSPOCARGA"/>
    <s v="KSP-624"/>
    <s v="FOTON"/>
    <x v="1"/>
    <x v="13"/>
    <n v="10000"/>
    <n v="7000"/>
    <m/>
    <m/>
    <m/>
    <m/>
    <s v="CANCELADO"/>
    <m/>
  </r>
  <r>
    <x v="33"/>
    <m/>
    <s v="MARCAO EQUIPOS"/>
    <s v="GMC GRUA"/>
    <s v="SWP-745"/>
    <x v="8"/>
    <x v="146"/>
    <n v="15000"/>
    <n v="9000"/>
    <m/>
    <m/>
    <m/>
    <m/>
    <s v="CANCELADO"/>
    <m/>
  </r>
  <r>
    <x v="33"/>
    <m/>
    <s v="MARIO ALMONACITA"/>
    <s v="CHEVROLET"/>
    <s v="CRY-082"/>
    <x v="0"/>
    <x v="147"/>
    <n v="20000"/>
    <n v="14000"/>
    <m/>
    <m/>
    <m/>
    <m/>
    <s v="CANCELADO"/>
    <m/>
  </r>
  <r>
    <x v="33"/>
    <m/>
    <m/>
    <s v="LUV 2300"/>
    <s v="AGC-159"/>
    <x v="3"/>
    <x v="148"/>
    <n v="100000"/>
    <n v="70000"/>
    <m/>
    <m/>
    <m/>
    <m/>
    <s v="CANCELADO"/>
    <m/>
  </r>
  <r>
    <x v="33"/>
    <m/>
    <s v="CAMILO BUITRIAGO"/>
    <s v="RENAULT LOGAN"/>
    <s v="ROL-254"/>
    <x v="1"/>
    <x v="149"/>
    <n v="140000"/>
    <n v="98000"/>
    <m/>
    <m/>
    <m/>
    <m/>
    <s v="CANCELADO"/>
    <m/>
  </r>
  <r>
    <x v="33"/>
    <m/>
    <s v="ALBERTO FORERO"/>
    <s v="LOGAN"/>
    <s v="JFN-502"/>
    <x v="3"/>
    <x v="150"/>
    <n v="120000"/>
    <n v="84000"/>
    <m/>
    <m/>
    <m/>
    <m/>
    <s v="CANCELADO"/>
    <m/>
  </r>
  <r>
    <x v="33"/>
    <m/>
    <s v="ALBERTO FORERO"/>
    <s v="LOGAN"/>
    <s v="JFN-502"/>
    <x v="6"/>
    <x v="151"/>
    <n v="40000"/>
    <n v="24000"/>
    <m/>
    <m/>
    <m/>
    <m/>
    <s v="CANCELADO"/>
    <m/>
  </r>
  <r>
    <x v="33"/>
    <m/>
    <s v="ALBERTO FORERO"/>
    <s v="LOGAN"/>
    <s v="JFN-502"/>
    <x v="2"/>
    <x v="152"/>
    <n v="100000"/>
    <n v="60000"/>
    <m/>
    <m/>
    <m/>
    <m/>
    <s v="CANCELADO"/>
    <m/>
  </r>
  <r>
    <x v="33"/>
    <m/>
    <s v="ALBERTO FORERO"/>
    <s v="LOGAN"/>
    <s v="JFN-502"/>
    <x v="1"/>
    <x v="34"/>
    <n v="40000"/>
    <n v="28000"/>
    <m/>
    <m/>
    <m/>
    <m/>
    <s v="CANCELADO"/>
    <m/>
  </r>
  <r>
    <x v="33"/>
    <m/>
    <s v="FREKIFRUTA"/>
    <s v="DFSK"/>
    <s v="TLD-165"/>
    <x v="0"/>
    <x v="153"/>
    <n v="150000"/>
    <n v="105000"/>
    <m/>
    <m/>
    <m/>
    <m/>
    <s v="CANCELADO"/>
    <m/>
  </r>
  <r>
    <x v="33"/>
    <m/>
    <s v="ANDRES TIRIA"/>
    <s v="PEGEOUT"/>
    <m/>
    <x v="0"/>
    <x v="150"/>
    <n v="70000"/>
    <n v="49000"/>
    <m/>
    <m/>
    <m/>
    <m/>
    <s v="CANCELADO"/>
    <m/>
  </r>
  <r>
    <x v="33"/>
    <s v="RM:348"/>
    <s v="GONZALO GARCIA"/>
    <m/>
    <s v="BBL-523"/>
    <x v="2"/>
    <x v="154"/>
    <n v="90000"/>
    <n v="60000"/>
    <m/>
    <m/>
    <m/>
    <m/>
    <s v="CANCELADO"/>
    <m/>
  </r>
  <r>
    <x v="33"/>
    <m/>
    <s v="METALCARGOS"/>
    <s v="FVR"/>
    <s v="GZZ-341"/>
    <x v="2"/>
    <x v="2"/>
    <n v="100000"/>
    <n v="80000"/>
    <m/>
    <m/>
    <m/>
    <m/>
    <s v="CANCELADO"/>
    <m/>
  </r>
  <r>
    <x v="33"/>
    <s v="RM:344"/>
    <s v="JOSE LEON"/>
    <s v="KIAT PICANTO"/>
    <s v="IVX-095"/>
    <x v="0"/>
    <x v="155"/>
    <n v="350000"/>
    <n v="244999.99999999997"/>
    <m/>
    <m/>
    <m/>
    <m/>
    <s v="CANCELADO"/>
    <m/>
  </r>
  <r>
    <x v="34"/>
    <m/>
    <m/>
    <s v="DAEWOO"/>
    <s v="BEA-803"/>
    <x v="8"/>
    <x v="156"/>
    <n v="30000"/>
    <n v="18000"/>
    <m/>
    <m/>
    <m/>
    <m/>
    <m/>
    <m/>
  </r>
  <r>
    <x v="34"/>
    <s v="RM:342"/>
    <s v="EDGAR LAGO"/>
    <s v="HIUNDAY"/>
    <s v="SQI-851"/>
    <x v="3"/>
    <x v="111"/>
    <n v="50000"/>
    <n v="35000"/>
    <m/>
    <m/>
    <m/>
    <m/>
    <m/>
    <m/>
  </r>
  <r>
    <x v="34"/>
    <m/>
    <s v="CARLOS PEDROZA"/>
    <s v="MAZDA"/>
    <s v="KAT-796"/>
    <x v="4"/>
    <x v="157"/>
    <n v="200000"/>
    <n v="120000"/>
    <m/>
    <m/>
    <m/>
    <m/>
    <m/>
    <m/>
  </r>
  <r>
    <x v="34"/>
    <s v="FE: 331"/>
    <s v="METALCARGOS"/>
    <s v="NKR"/>
    <s v="TFT-701"/>
    <x v="3"/>
    <x v="37"/>
    <n v="80000"/>
    <n v="56000"/>
    <m/>
    <m/>
    <m/>
    <m/>
    <m/>
    <m/>
  </r>
  <r>
    <x v="34"/>
    <s v="FE: 331"/>
    <s v="METALCARGOS"/>
    <s v="NKR"/>
    <s v="TFT-701"/>
    <x v="2"/>
    <x v="158"/>
    <n v="50000"/>
    <n v="50000"/>
    <m/>
    <m/>
    <m/>
    <m/>
    <m/>
    <m/>
  </r>
  <r>
    <x v="34"/>
    <m/>
    <m/>
    <s v="SPARK"/>
    <m/>
    <x v="0"/>
    <x v="159"/>
    <n v="35000"/>
    <n v="24500"/>
    <m/>
    <m/>
    <m/>
    <m/>
    <s v="CANCELADO"/>
    <m/>
  </r>
  <r>
    <x v="34"/>
    <s v="RM:345"/>
    <s v="ALVEIRO VILLAMIL"/>
    <s v="SPRINT CITROEN"/>
    <s v="BUK-819"/>
    <x v="3"/>
    <x v="160"/>
    <n v="200000"/>
    <n v="140000"/>
    <m/>
    <m/>
    <m/>
    <m/>
    <m/>
    <m/>
  </r>
  <r>
    <x v="35"/>
    <s v="RM: 346"/>
    <s v="EBER OSORIO"/>
    <s v="MAZDA"/>
    <s v="BAY-545"/>
    <x v="5"/>
    <x v="161"/>
    <n v="40000"/>
    <n v="24000"/>
    <m/>
    <m/>
    <m/>
    <m/>
    <m/>
    <m/>
  </r>
  <r>
    <x v="35"/>
    <s v="FE:333"/>
    <s v="OCATI"/>
    <s v="VOLKWAGEN"/>
    <s v="JKV-447"/>
    <x v="2"/>
    <x v="162"/>
    <n v="100000"/>
    <n v="60000"/>
    <m/>
    <m/>
    <m/>
    <m/>
    <m/>
    <m/>
  </r>
  <r>
    <x v="34"/>
    <s v="FE:334"/>
    <s v="METALCARGOS"/>
    <s v="FVR"/>
    <s v="GZZ-341"/>
    <x v="3"/>
    <x v="163"/>
    <n v="60000"/>
    <n v="42000"/>
    <m/>
    <m/>
    <m/>
    <m/>
    <m/>
    <m/>
  </r>
  <r>
    <x v="36"/>
    <m/>
    <s v="OCATI"/>
    <m/>
    <s v="WOS-474"/>
    <x v="6"/>
    <x v="164"/>
    <n v="300000"/>
    <n v="180000"/>
    <m/>
    <m/>
    <m/>
    <m/>
    <m/>
    <m/>
  </r>
  <r>
    <x v="36"/>
    <s v="RM:347"/>
    <s v="VICTOR DELGADO"/>
    <s v="CHEVROLET"/>
    <s v="AEF-028"/>
    <x v="1"/>
    <x v="165"/>
    <n v="30000"/>
    <n v="21000"/>
    <m/>
    <m/>
    <m/>
    <m/>
    <m/>
    <m/>
  </r>
  <r>
    <x v="36"/>
    <m/>
    <s v="PEDRO"/>
    <m/>
    <m/>
    <x v="2"/>
    <x v="166"/>
    <n v="10000"/>
    <n v="6000"/>
    <m/>
    <m/>
    <m/>
    <m/>
    <m/>
    <m/>
  </r>
  <r>
    <x v="36"/>
    <m/>
    <s v="AIRPLUS"/>
    <s v="CHEVROLET"/>
    <s v="TTZ-926"/>
    <x v="3"/>
    <x v="34"/>
    <n v="50000"/>
    <n v="35000"/>
    <m/>
    <m/>
    <m/>
    <m/>
    <m/>
    <m/>
  </r>
  <r>
    <x v="36"/>
    <m/>
    <s v="CLEMENTO SIERRA"/>
    <s v="JAC"/>
    <s v="TJX-795"/>
    <x v="1"/>
    <x v="167"/>
    <n v="10000"/>
    <n v="7000"/>
    <m/>
    <m/>
    <m/>
    <m/>
    <m/>
    <m/>
  </r>
  <r>
    <x v="36"/>
    <m/>
    <s v="JUAN SARMIENTO"/>
    <s v="FORD"/>
    <s v="SCH-028"/>
    <x v="3"/>
    <x v="168"/>
    <n v="15000"/>
    <n v="10500"/>
    <m/>
    <m/>
    <m/>
    <m/>
    <m/>
    <m/>
  </r>
  <r>
    <x v="36"/>
    <m/>
    <s v="WILLIAN CASTRO"/>
    <s v="MERCEDEZ"/>
    <s v="SKP-121"/>
    <x v="2"/>
    <x v="168"/>
    <n v="15000"/>
    <n v="9000"/>
    <m/>
    <m/>
    <m/>
    <m/>
    <m/>
    <m/>
  </r>
  <r>
    <x v="36"/>
    <m/>
    <s v="JULIO SOLANO"/>
    <s v="HONDA"/>
    <s v="LAF-512"/>
    <x v="2"/>
    <x v="169"/>
    <n v="20000"/>
    <n v="12000"/>
    <m/>
    <m/>
    <m/>
    <m/>
    <m/>
    <m/>
  </r>
  <r>
    <x v="37"/>
    <m/>
    <s v="CARLOS DAZA"/>
    <s v="BMW"/>
    <s v="CYI-951"/>
    <x v="3"/>
    <x v="170"/>
    <n v="30000"/>
    <n v="21000"/>
    <m/>
    <m/>
    <m/>
    <m/>
    <m/>
    <m/>
  </r>
  <r>
    <x v="38"/>
    <m/>
    <m/>
    <s v="AVEO"/>
    <m/>
    <x v="0"/>
    <x v="171"/>
    <n v="20000"/>
    <n v="14000"/>
    <m/>
    <m/>
    <m/>
    <m/>
    <s v="CANCELADO"/>
    <m/>
  </r>
  <r>
    <x v="37"/>
    <m/>
    <s v="MUNAR INGENIERIA"/>
    <s v="HINO"/>
    <s v="USE-572"/>
    <x v="0"/>
    <x v="172"/>
    <n v="150000"/>
    <n v="105000"/>
    <m/>
    <m/>
    <m/>
    <m/>
    <s v="CANCELADO"/>
    <m/>
  </r>
  <r>
    <x v="37"/>
    <m/>
    <s v="DANIEL ROJA"/>
    <s v="HIUNDAY"/>
    <s v="TDL-313"/>
    <x v="2"/>
    <x v="173"/>
    <n v="20000"/>
    <n v="12000"/>
    <m/>
    <m/>
    <m/>
    <m/>
    <m/>
    <m/>
  </r>
  <r>
    <x v="39"/>
    <m/>
    <s v="FRESKIFRUTA"/>
    <s v="JAC"/>
    <s v="VAK-117"/>
    <x v="1"/>
    <x v="174"/>
    <n v="60000"/>
    <n v="42000"/>
    <m/>
    <m/>
    <m/>
    <m/>
    <m/>
    <m/>
  </r>
  <r>
    <x v="39"/>
    <m/>
    <s v="FRESKIFRUTA"/>
    <s v="JAC"/>
    <s v="VAK-117"/>
    <x v="0"/>
    <x v="175"/>
    <n v="200000"/>
    <n v="140000"/>
    <m/>
    <m/>
    <m/>
    <m/>
    <s v="CANCELADO"/>
    <m/>
  </r>
  <r>
    <x v="40"/>
    <m/>
    <s v="FREDY CANTOR"/>
    <s v="JAC"/>
    <s v="TLZ-486"/>
    <x v="1"/>
    <x v="163"/>
    <n v="50000"/>
    <n v="35000"/>
    <m/>
    <m/>
    <m/>
    <m/>
    <m/>
    <m/>
  </r>
  <r>
    <x v="40"/>
    <m/>
    <s v="OCATI"/>
    <s v="NQR"/>
    <s v="WOS-474"/>
    <x v="3"/>
    <x v="176"/>
    <n v="120000"/>
    <n v="84000"/>
    <m/>
    <m/>
    <m/>
    <m/>
    <m/>
    <m/>
  </r>
  <r>
    <x v="37"/>
    <m/>
    <s v="JUSTO ROCHA"/>
    <s v="LAND CRUCER"/>
    <s v="BUI-036"/>
    <x v="3"/>
    <x v="177"/>
    <n v="300000"/>
    <n v="210000"/>
    <m/>
    <m/>
    <m/>
    <m/>
    <m/>
    <m/>
  </r>
  <r>
    <x v="40"/>
    <m/>
    <s v="VICTOR MANUEL NIÑO"/>
    <s v="CH-STEEM"/>
    <s v="BLQ-578"/>
    <x v="4"/>
    <x v="178"/>
    <n v="150000"/>
    <n v="90000"/>
    <m/>
    <m/>
    <m/>
    <m/>
    <m/>
    <m/>
  </r>
  <r>
    <x v="40"/>
    <m/>
    <s v="JESUS LARA"/>
    <s v="MAZDA 3"/>
    <s v="BFL-099"/>
    <x v="1"/>
    <x v="179"/>
    <n v="100000"/>
    <n v="70000"/>
    <m/>
    <m/>
    <m/>
    <m/>
    <m/>
    <m/>
  </r>
  <r>
    <x v="40"/>
    <s v="RM: 10"/>
    <s v="TATIANA ZAMUDIO"/>
    <s v="PEGEOUT 106"/>
    <s v="BJC-966"/>
    <x v="0"/>
    <x v="180"/>
    <n v="600000"/>
    <n v="420000"/>
    <m/>
    <m/>
    <m/>
    <m/>
    <s v="CANCELADO"/>
    <m/>
  </r>
  <r>
    <x v="41"/>
    <m/>
    <s v="CAROLINA"/>
    <s v="HUMMER"/>
    <s v="HBN-909"/>
    <x v="1"/>
    <x v="181"/>
    <n v="100000"/>
    <n v="70000"/>
    <m/>
    <m/>
    <m/>
    <m/>
    <m/>
    <m/>
  </r>
  <r>
    <x v="41"/>
    <m/>
    <s v="CAROLINA"/>
    <s v="HUMMER"/>
    <s v="HBN-909"/>
    <x v="6"/>
    <x v="182"/>
    <n v="50000"/>
    <n v="30000"/>
    <m/>
    <m/>
    <m/>
    <m/>
    <m/>
    <m/>
  </r>
  <r>
    <x v="41"/>
    <m/>
    <s v="CARLOS PEDROZA"/>
    <s v="MAZDA2"/>
    <s v="KAT-796"/>
    <x v="0"/>
    <x v="183"/>
    <n v="150000"/>
    <n v="105000"/>
    <m/>
    <m/>
    <m/>
    <m/>
    <s v="CANCELADO"/>
    <m/>
  </r>
  <r>
    <x v="41"/>
    <m/>
    <s v="EMELSON HENAO"/>
    <s v="TOYOTA"/>
    <s v="BFO-815"/>
    <x v="4"/>
    <x v="184"/>
    <n v="450000"/>
    <n v="270000"/>
    <m/>
    <m/>
    <m/>
    <m/>
    <m/>
    <m/>
  </r>
  <r>
    <x v="41"/>
    <m/>
    <s v="YESI RODRIGUEZ"/>
    <s v="CH SAIL"/>
    <s v="HXW-468"/>
    <x v="3"/>
    <x v="185"/>
    <n v="60000"/>
    <n v="42000"/>
    <m/>
    <m/>
    <m/>
    <m/>
    <m/>
    <m/>
  </r>
  <r>
    <x v="41"/>
    <m/>
    <s v="OSCAR RODRIGUEZ"/>
    <s v="AVEO"/>
    <s v="MNY-524"/>
    <x v="1"/>
    <x v="186"/>
    <n v="280000"/>
    <n v="168000"/>
    <m/>
    <m/>
    <m/>
    <m/>
    <m/>
    <m/>
  </r>
  <r>
    <x v="41"/>
    <s v="RM-1-6"/>
    <s v="ANGELA CORREDOR"/>
    <s v="JEEP"/>
    <s v="BIO-488"/>
    <x v="0"/>
    <x v="187"/>
    <n v="300000"/>
    <n v="180000"/>
    <m/>
    <m/>
    <m/>
    <m/>
    <s v="CANCELADO"/>
    <m/>
  </r>
  <r>
    <x v="41"/>
    <s v="FE: 10"/>
    <s v="INTERCON"/>
    <s v="KENWOERTH"/>
    <s v="XLD-472"/>
    <x v="0"/>
    <x v="188"/>
    <n v="50000"/>
    <n v="30000"/>
    <m/>
    <m/>
    <m/>
    <m/>
    <s v="CANCELADO"/>
    <m/>
  </r>
  <r>
    <x v="42"/>
    <s v="RM:1-8"/>
    <s v="PIEDAD OSORIO"/>
    <s v="CHEVROLET CORSA"/>
    <s v="BHP-482"/>
    <x v="3"/>
    <x v="139"/>
    <n v="20000"/>
    <n v="14000"/>
    <m/>
    <m/>
    <m/>
    <m/>
    <m/>
    <m/>
  </r>
  <r>
    <x v="42"/>
    <s v="RM 1-9"/>
    <s v="NICOLAS AVENDAÑO"/>
    <s v="RENAULT SANDERO"/>
    <s v="MFT-152"/>
    <x v="3"/>
    <x v="183"/>
    <n v="150000"/>
    <n v="105000"/>
    <m/>
    <m/>
    <m/>
    <m/>
    <m/>
    <m/>
  </r>
  <r>
    <x v="42"/>
    <m/>
    <m/>
    <s v="FORD SPACE"/>
    <m/>
    <x v="2"/>
    <x v="189"/>
    <n v="80000"/>
    <n v="48000"/>
    <m/>
    <m/>
    <m/>
    <m/>
    <m/>
    <m/>
  </r>
  <r>
    <x v="43"/>
    <m/>
    <s v="YONATHAN ERAZO"/>
    <s v="CHEVROLET SAIL"/>
    <m/>
    <x v="2"/>
    <x v="190"/>
    <n v="30000"/>
    <n v="18000"/>
    <m/>
    <m/>
    <m/>
    <m/>
    <m/>
    <m/>
  </r>
  <r>
    <x v="44"/>
    <m/>
    <m/>
    <s v="GRAN VITARA"/>
    <m/>
    <x v="0"/>
    <x v="191"/>
    <n v="20000"/>
    <n v="14000"/>
    <m/>
    <m/>
    <m/>
    <m/>
    <s v="CANCELADO"/>
    <m/>
  </r>
  <r>
    <x v="41"/>
    <m/>
    <m/>
    <m/>
    <m/>
    <x v="0"/>
    <x v="171"/>
    <n v="30000"/>
    <n v="18000"/>
    <m/>
    <m/>
    <m/>
    <m/>
    <s v="CANCELADO"/>
    <m/>
  </r>
  <r>
    <x v="45"/>
    <s v="FAS: 11"/>
    <s v="OCATI"/>
    <s v="VITARA"/>
    <s v="RNS-176"/>
    <x v="3"/>
    <x v="192"/>
    <n v="130000"/>
    <n v="91000"/>
    <m/>
    <m/>
    <m/>
    <m/>
    <m/>
    <m/>
  </r>
  <r>
    <x v="46"/>
    <m/>
    <s v="RAFAEL BUENO"/>
    <s v="MITSUBISHI "/>
    <s v="GND-172"/>
    <x v="4"/>
    <x v="193"/>
    <n v="40000"/>
    <n v="24000"/>
    <m/>
    <m/>
    <m/>
    <m/>
    <m/>
    <m/>
  </r>
  <r>
    <x v="46"/>
    <s v="RM:1-14"/>
    <s v="PAOLA CALDERON"/>
    <s v="VITARA"/>
    <s v="CVR-058"/>
    <x v="0"/>
    <x v="183"/>
    <n v="150000"/>
    <n v="105000"/>
    <m/>
    <m/>
    <m/>
    <m/>
    <s v="CANCELADO"/>
    <m/>
  </r>
  <r>
    <x v="46"/>
    <s v="RM: 16"/>
    <s v="JAVIER SASTOQUI"/>
    <s v="CAPTIVA"/>
    <s v="DHP-439"/>
    <x v="1"/>
    <x v="194"/>
    <n v="50000"/>
    <n v="35000"/>
    <m/>
    <m/>
    <m/>
    <m/>
    <m/>
    <m/>
  </r>
  <r>
    <x v="46"/>
    <s v="FE:12 RM: 15"/>
    <s v="LUIS FERNANDO OLARTE"/>
    <s v="MB"/>
    <s v="AGD-224"/>
    <x v="2"/>
    <x v="195"/>
    <n v="120000"/>
    <n v="72000"/>
    <m/>
    <m/>
    <m/>
    <m/>
    <m/>
    <m/>
  </r>
  <r>
    <x v="46"/>
    <m/>
    <s v="OMAIRA RINCON"/>
    <s v="CHINA"/>
    <s v="SPL-874"/>
    <x v="2"/>
    <x v="196"/>
    <n v="15000"/>
    <n v="9000"/>
    <m/>
    <m/>
    <m/>
    <m/>
    <m/>
    <m/>
  </r>
  <r>
    <x v="46"/>
    <m/>
    <m/>
    <s v="RENAULT"/>
    <s v="NCM-147"/>
    <x v="2"/>
    <x v="197"/>
    <n v="30000"/>
    <n v="18000"/>
    <m/>
    <m/>
    <m/>
    <m/>
    <m/>
    <m/>
  </r>
  <r>
    <x v="47"/>
    <s v="RM:17"/>
    <s v="WILLIAMS TORREZ"/>
    <m/>
    <s v="BIJ-394"/>
    <x v="0"/>
    <x v="198"/>
    <n v="800000"/>
    <n v="560000"/>
    <m/>
    <m/>
    <m/>
    <m/>
    <s v="CANCELADO"/>
    <m/>
  </r>
  <r>
    <x v="47"/>
    <s v="RM:17"/>
    <s v="WILLIAMS TORREZ"/>
    <m/>
    <s v="BIJ-394"/>
    <x v="2"/>
    <x v="2"/>
    <n v="180000"/>
    <n v="108000"/>
    <m/>
    <m/>
    <m/>
    <m/>
    <m/>
    <m/>
  </r>
  <r>
    <x v="47"/>
    <m/>
    <m/>
    <s v="SPARK"/>
    <s v="RIT-880"/>
    <x v="0"/>
    <x v="187"/>
    <n v="150000"/>
    <n v="105000"/>
    <m/>
    <m/>
    <m/>
    <m/>
    <s v="CANCELADO"/>
    <m/>
  </r>
  <r>
    <x v="47"/>
    <m/>
    <m/>
    <s v="SPARK GT"/>
    <m/>
    <x v="3"/>
    <x v="199"/>
    <n v="120000"/>
    <n v="84000"/>
    <m/>
    <m/>
    <m/>
    <m/>
    <m/>
    <m/>
  </r>
  <r>
    <x v="48"/>
    <m/>
    <s v="OCATI"/>
    <s v="NQR"/>
    <s v="WOS-474"/>
    <x v="8"/>
    <x v="200"/>
    <n v="30000"/>
    <n v="18000"/>
    <m/>
    <m/>
    <m/>
    <m/>
    <m/>
    <m/>
  </r>
  <r>
    <x v="48"/>
    <m/>
    <s v="JOVANNY AYALA"/>
    <s v="FORD"/>
    <s v="RAT-770"/>
    <x v="3"/>
    <x v="201"/>
    <n v="200000"/>
    <n v="140000"/>
    <m/>
    <m/>
    <m/>
    <m/>
    <m/>
    <m/>
  </r>
  <r>
    <x v="48"/>
    <s v="RM:18"/>
    <s v="EUGENIO CASTILLO"/>
    <s v="MITSUBISHI MONTERO"/>
    <s v="BMR-478"/>
    <x v="3"/>
    <x v="2"/>
    <n v="70000"/>
    <n v="49000"/>
    <m/>
    <m/>
    <m/>
    <m/>
    <m/>
    <m/>
  </r>
  <r>
    <x v="48"/>
    <m/>
    <s v="JULIO CARO"/>
    <s v="HIUNDAY TUCSON"/>
    <s v="CWK-872"/>
    <x v="2"/>
    <x v="202"/>
    <n v="80000"/>
    <n v="48000"/>
    <m/>
    <m/>
    <m/>
    <m/>
    <m/>
    <m/>
  </r>
  <r>
    <x v="48"/>
    <m/>
    <m/>
    <s v="RENAULT LOGAN"/>
    <s v="GSZ-853"/>
    <x v="3"/>
    <x v="203"/>
    <n v="40000"/>
    <n v="28000"/>
    <m/>
    <m/>
    <m/>
    <m/>
    <m/>
    <m/>
  </r>
  <r>
    <x v="48"/>
    <m/>
    <s v="INDELCO"/>
    <s v="CHEVROLET"/>
    <s v="STX-753"/>
    <x v="3"/>
    <x v="73"/>
    <n v="15000"/>
    <n v="10500"/>
    <m/>
    <m/>
    <m/>
    <m/>
    <m/>
    <m/>
  </r>
  <r>
    <x v="48"/>
    <m/>
    <s v="RICARDO CORREA"/>
    <s v="KIAT SORENTO"/>
    <s v="RDT-290"/>
    <x v="3"/>
    <x v="204"/>
    <n v="700000"/>
    <n v="489999.99999999994"/>
    <m/>
    <m/>
    <m/>
    <m/>
    <m/>
    <m/>
  </r>
  <r>
    <x v="48"/>
    <m/>
    <m/>
    <s v="TWINGO"/>
    <s v="CMF-783"/>
    <x v="4"/>
    <x v="205"/>
    <n v="150000"/>
    <n v="90000"/>
    <m/>
    <m/>
    <m/>
    <m/>
    <m/>
    <m/>
  </r>
  <r>
    <x v="49"/>
    <s v="RM:19  FE-:13"/>
    <s v="HERNAN RODRIGUEZ"/>
    <s v="LAND CRUCER"/>
    <s v="KLK-079"/>
    <x v="3"/>
    <x v="206"/>
    <n v="160000"/>
    <n v="112000"/>
    <m/>
    <m/>
    <m/>
    <m/>
    <m/>
    <m/>
  </r>
  <r>
    <x v="49"/>
    <m/>
    <s v="MADERAS Y EQUIPOS CHIA"/>
    <s v="NKR"/>
    <s v="SSX-919"/>
    <x v="2"/>
    <x v="207"/>
    <n v="40000"/>
    <n v="24000"/>
    <m/>
    <m/>
    <m/>
    <m/>
    <m/>
    <m/>
  </r>
  <r>
    <x v="49"/>
    <m/>
    <m/>
    <s v="SYMBOL"/>
    <s v="BSF"/>
    <x v="2"/>
    <x v="47"/>
    <n v="40000"/>
    <n v="24000"/>
    <m/>
    <m/>
    <m/>
    <m/>
    <m/>
    <m/>
  </r>
  <r>
    <x v="49"/>
    <s v="RM:22"/>
    <s v="JULIO DUARTE"/>
    <s v="TOYOTA98"/>
    <s v="BVW-614"/>
    <x v="2"/>
    <x v="208"/>
    <n v="80000"/>
    <n v="48000"/>
    <m/>
    <m/>
    <m/>
    <m/>
    <m/>
    <m/>
  </r>
  <r>
    <x v="49"/>
    <m/>
    <m/>
    <s v="CHEVROLET -SPARK"/>
    <s v="BZI-440"/>
    <x v="0"/>
    <x v="209"/>
    <n v="30000"/>
    <n v="21000"/>
    <m/>
    <m/>
    <m/>
    <m/>
    <s v="CANCELADO"/>
    <m/>
  </r>
  <r>
    <x v="49"/>
    <m/>
    <m/>
    <s v="CHEVROLET -SPARK"/>
    <s v="BZI-440"/>
    <x v="1"/>
    <x v="210"/>
    <n v="30000"/>
    <n v="21000"/>
    <m/>
    <m/>
    <m/>
    <m/>
    <m/>
    <m/>
  </r>
  <r>
    <x v="49"/>
    <m/>
    <s v="NELSON CALDERON"/>
    <s v="FIAAT-750"/>
    <s v="ALI-167"/>
    <x v="3"/>
    <x v="211"/>
    <n v="30000"/>
    <n v="21000"/>
    <m/>
    <m/>
    <m/>
    <m/>
    <m/>
    <m/>
  </r>
  <r>
    <x v="49"/>
    <m/>
    <s v="METALCARGOS"/>
    <s v="FVR"/>
    <s v="GZZ-341"/>
    <x v="9"/>
    <x v="212"/>
    <n v="150000"/>
    <n v="90000"/>
    <m/>
    <m/>
    <m/>
    <m/>
    <m/>
    <m/>
  </r>
  <r>
    <x v="50"/>
    <m/>
    <m/>
    <s v="JAC"/>
    <m/>
    <x v="2"/>
    <x v="166"/>
    <m/>
    <n v="25000"/>
    <m/>
    <m/>
    <m/>
    <m/>
    <m/>
    <m/>
  </r>
  <r>
    <x v="50"/>
    <m/>
    <m/>
    <m/>
    <s v="CHINA"/>
    <x v="2"/>
    <x v="188"/>
    <m/>
    <m/>
    <m/>
    <m/>
    <m/>
    <m/>
    <m/>
    <m/>
  </r>
  <r>
    <x v="51"/>
    <m/>
    <m/>
    <m/>
    <s v="FDJ-497"/>
    <x v="2"/>
    <x v="213"/>
    <n v="10000"/>
    <n v="6000"/>
    <m/>
    <m/>
    <m/>
    <m/>
    <m/>
    <m/>
  </r>
  <r>
    <x v="51"/>
    <m/>
    <s v="JHON LEAL"/>
    <s v="HYUNDAI"/>
    <s v="VFE-665"/>
    <x v="2"/>
    <x v="214"/>
    <n v="70000"/>
    <n v="42000"/>
    <m/>
    <m/>
    <m/>
    <m/>
    <m/>
    <m/>
  </r>
  <r>
    <x v="51"/>
    <m/>
    <s v="NELSON REYES"/>
    <s v="TOYOTA HILUX"/>
    <s v="ABQ-648"/>
    <x v="3"/>
    <x v="215"/>
    <n v="30000"/>
    <n v="21000"/>
    <m/>
    <m/>
    <m/>
    <m/>
    <m/>
    <m/>
  </r>
  <r>
    <x v="52"/>
    <m/>
    <s v="MARCO OVALLES"/>
    <s v="RENAULT 9"/>
    <s v="BIL-530"/>
    <x v="3"/>
    <x v="60"/>
    <n v="60000"/>
    <n v="42000"/>
    <m/>
    <m/>
    <m/>
    <m/>
    <m/>
    <m/>
  </r>
  <r>
    <x v="38"/>
    <m/>
    <m/>
    <s v="JMC"/>
    <m/>
    <x v="9"/>
    <x v="216"/>
    <n v="50000"/>
    <n v="30000"/>
    <m/>
    <m/>
    <m/>
    <m/>
    <m/>
    <m/>
  </r>
  <r>
    <x v="52"/>
    <m/>
    <s v="CESAR ISAZA"/>
    <s v="CHEVROLET"/>
    <s v="BLO-452"/>
    <x v="4"/>
    <x v="217"/>
    <n v="180000"/>
    <n v="108000"/>
    <m/>
    <m/>
    <m/>
    <m/>
    <m/>
    <m/>
  </r>
  <r>
    <x v="52"/>
    <m/>
    <m/>
    <s v="CH ISUZU"/>
    <s v="UFZ-846"/>
    <x v="2"/>
    <x v="218"/>
    <n v="45000"/>
    <n v="27000"/>
    <m/>
    <m/>
    <m/>
    <m/>
    <m/>
    <m/>
  </r>
  <r>
    <x v="52"/>
    <s v="RM-29"/>
    <s v="GABRIEL RODRIGUEZ"/>
    <s v="TWINGO"/>
    <s v="RKL-893"/>
    <x v="3"/>
    <x v="219"/>
    <n v="100000"/>
    <n v="70000"/>
    <m/>
    <m/>
    <m/>
    <m/>
    <m/>
    <m/>
  </r>
  <r>
    <x v="52"/>
    <s v="RM-28"/>
    <s v="NELSON CASTILLO"/>
    <s v="VOLKSWAGEN AMARO"/>
    <s v="HJV-493"/>
    <x v="3"/>
    <x v="220"/>
    <n v="30000"/>
    <n v="21000"/>
    <m/>
    <m/>
    <m/>
    <m/>
    <m/>
    <m/>
  </r>
  <r>
    <x v="52"/>
    <m/>
    <m/>
    <m/>
    <s v="IJL-688"/>
    <x v="2"/>
    <x v="41"/>
    <n v="30000"/>
    <n v="18000"/>
    <m/>
    <m/>
    <m/>
    <m/>
    <m/>
    <m/>
  </r>
  <r>
    <x v="53"/>
    <m/>
    <s v="BORIS LEON"/>
    <s v="MITSUBISHI"/>
    <s v="WLQ-582"/>
    <x v="3"/>
    <x v="221"/>
    <n v="100000"/>
    <n v="70000"/>
    <m/>
    <m/>
    <m/>
    <m/>
    <m/>
    <m/>
  </r>
  <r>
    <x v="53"/>
    <m/>
    <s v="OLIMPIA HERNANDEZ"/>
    <s v="HINO"/>
    <s v="TGK-439"/>
    <x v="1"/>
    <x v="222"/>
    <n v="30000"/>
    <n v="21000"/>
    <m/>
    <m/>
    <m/>
    <m/>
    <m/>
    <m/>
  </r>
  <r>
    <x v="53"/>
    <m/>
    <s v="YANURI SIMACO"/>
    <s v="RENAULT CLIO"/>
    <s v="BYU-890"/>
    <x v="1"/>
    <x v="223"/>
    <n v="100000"/>
    <n v="70000"/>
    <m/>
    <m/>
    <m/>
    <m/>
    <m/>
    <m/>
  </r>
  <r>
    <x v="53"/>
    <m/>
    <s v="ALMACENES LISTA"/>
    <s v="RENAULT KANGU"/>
    <s v="CYA-044"/>
    <x v="0"/>
    <x v="224"/>
    <n v="450000"/>
    <n v="315000"/>
    <m/>
    <m/>
    <m/>
    <m/>
    <s v="CANCELADO"/>
    <m/>
  </r>
  <r>
    <x v="53"/>
    <m/>
    <s v="JOSE DIAZ"/>
    <s v="SPARK VERDE"/>
    <s v="BZX-793"/>
    <x v="4"/>
    <x v="225"/>
    <n v="400000"/>
    <n v="240000"/>
    <m/>
    <m/>
    <m/>
    <m/>
    <m/>
    <m/>
  </r>
  <r>
    <x v="54"/>
    <m/>
    <s v="JUSTO ROCHA"/>
    <s v="CAPTIVA"/>
    <s v="GNO-136"/>
    <x v="4"/>
    <x v="226"/>
    <n v="800000"/>
    <n v="480000"/>
    <m/>
    <m/>
    <m/>
    <m/>
    <m/>
    <m/>
  </r>
  <r>
    <x v="54"/>
    <s v="FE:22"/>
    <s v="INVERSIONES RED"/>
    <s v="KENWORTH"/>
    <s v="SKK-778"/>
    <x v="2"/>
    <x v="227"/>
    <n v="40000"/>
    <n v="24000"/>
    <m/>
    <m/>
    <m/>
    <m/>
    <m/>
    <m/>
  </r>
  <r>
    <x v="54"/>
    <s v="FE:22"/>
    <s v="INVERSIONES RED"/>
    <s v="KENWORTH"/>
    <s v="SKK-778"/>
    <x v="1"/>
    <x v="228"/>
    <n v="30000"/>
    <n v="21000"/>
    <m/>
    <m/>
    <m/>
    <m/>
    <m/>
    <m/>
  </r>
  <r>
    <x v="54"/>
    <s v="RM:38"/>
    <s v="ORLANDO MORENO"/>
    <s v="RENAULT SYMBOL"/>
    <s v="BVC-887"/>
    <x v="1"/>
    <x v="229"/>
    <n v="110000"/>
    <n v="77000"/>
    <m/>
    <m/>
    <m/>
    <m/>
    <m/>
    <m/>
  </r>
  <r>
    <x v="54"/>
    <m/>
    <s v="DISTRIELEC"/>
    <s v="NHR"/>
    <s v="TSW-067"/>
    <x v="1"/>
    <x v="230"/>
    <n v="100000"/>
    <n v="70000"/>
    <m/>
    <m/>
    <m/>
    <m/>
    <m/>
    <m/>
  </r>
  <r>
    <x v="54"/>
    <s v="RM:37"/>
    <s v="DARIO SOLER"/>
    <s v="MAZDA"/>
    <s v="ZYW-305"/>
    <x v="3"/>
    <x v="16"/>
    <n v="30000"/>
    <n v="21000"/>
    <m/>
    <m/>
    <m/>
    <m/>
    <m/>
    <m/>
  </r>
  <r>
    <x v="54"/>
    <m/>
    <s v="GRUAS JB"/>
    <s v="OPTRA"/>
    <s v="RJX-226"/>
    <x v="3"/>
    <x v="13"/>
    <n v="20000"/>
    <n v="14000"/>
    <m/>
    <m/>
    <m/>
    <m/>
    <m/>
    <m/>
  </r>
  <r>
    <x v="54"/>
    <m/>
    <s v="MIGUEL BASTISTA"/>
    <s v="SAPRK"/>
    <s v="DCP-334"/>
    <x v="2"/>
    <x v="13"/>
    <n v="10000"/>
    <n v="6000"/>
    <m/>
    <m/>
    <m/>
    <m/>
    <m/>
    <m/>
  </r>
  <r>
    <x v="54"/>
    <m/>
    <s v="VICENTE PATARROYO"/>
    <m/>
    <m/>
    <x v="3"/>
    <x v="13"/>
    <n v="8000"/>
    <n v="5600"/>
    <m/>
    <m/>
    <m/>
    <m/>
    <m/>
    <m/>
  </r>
  <r>
    <x v="54"/>
    <m/>
    <m/>
    <s v="CHANA"/>
    <m/>
    <x v="3"/>
    <x v="231"/>
    <m/>
    <m/>
    <m/>
    <m/>
    <m/>
    <m/>
    <m/>
    <m/>
  </r>
  <r>
    <x v="54"/>
    <m/>
    <s v="HENRY BENAVIDEZ"/>
    <s v="CHEVROLET"/>
    <s v="BLT-506"/>
    <x v="0"/>
    <x v="232"/>
    <n v="700000"/>
    <n v="500000"/>
    <m/>
    <m/>
    <m/>
    <m/>
    <s v="CANCELADO"/>
    <m/>
  </r>
  <r>
    <x v="54"/>
    <m/>
    <m/>
    <m/>
    <m/>
    <x v="0"/>
    <x v="103"/>
    <n v="80000"/>
    <n v="56000"/>
    <m/>
    <m/>
    <m/>
    <m/>
    <s v="CANCELADO"/>
    <m/>
  </r>
  <r>
    <x v="55"/>
    <m/>
    <s v="JULIO DUARTE"/>
    <s v="TOYOTA"/>
    <s v="BVW-614"/>
    <x v="0"/>
    <x v="233"/>
    <n v="35000"/>
    <n v="24500"/>
    <m/>
    <m/>
    <m/>
    <m/>
    <s v="CANCELADO"/>
    <m/>
  </r>
  <r>
    <x v="55"/>
    <s v="RM:43"/>
    <s v="VICTOR ESCOBAR"/>
    <s v="NISSAN SENTRA"/>
    <s v="CIC-079"/>
    <x v="3"/>
    <x v="234"/>
    <n v="190000"/>
    <n v="133000"/>
    <m/>
    <m/>
    <m/>
    <m/>
    <m/>
    <m/>
  </r>
  <r>
    <x v="55"/>
    <s v="RM-44"/>
    <s v="MANUEL BARRIGA"/>
    <s v="VOLQUETA"/>
    <s v="SAC-324"/>
    <x v="2"/>
    <x v="235"/>
    <n v="150000"/>
    <n v="105000"/>
    <m/>
    <m/>
    <m/>
    <m/>
    <m/>
    <m/>
  </r>
  <r>
    <x v="56"/>
    <s v="RM:45"/>
    <s v="EDELMIRA BRIJALDO"/>
    <s v="GRAN VITARA"/>
    <s v="UGT-472"/>
    <x v="1"/>
    <x v="34"/>
    <n v="40000"/>
    <n v="28000"/>
    <m/>
    <m/>
    <m/>
    <m/>
    <m/>
    <m/>
  </r>
  <r>
    <x v="56"/>
    <m/>
    <s v="YOVANNY AYALA"/>
    <s v="FORD EDGE"/>
    <s v="RAT-770"/>
    <x v="1"/>
    <x v="236"/>
    <n v="30000"/>
    <n v="21000"/>
    <m/>
    <m/>
    <m/>
    <m/>
    <m/>
    <m/>
  </r>
  <r>
    <x v="56"/>
    <s v="RM:48"/>
    <s v="PEDRO GARCIA"/>
    <s v="LUV84"/>
    <s v="AQB-093"/>
    <x v="1"/>
    <x v="237"/>
    <n v="120000"/>
    <n v="84000"/>
    <m/>
    <m/>
    <m/>
    <m/>
    <m/>
    <m/>
  </r>
  <r>
    <x v="57"/>
    <m/>
    <m/>
    <s v="AVEO"/>
    <s v="KIQ-477"/>
    <x v="1"/>
    <x v="238"/>
    <n v="60000"/>
    <n v="42000"/>
    <m/>
    <m/>
    <m/>
    <m/>
    <m/>
    <m/>
  </r>
  <r>
    <x v="57"/>
    <s v="FE:28"/>
    <s v="PLEXIMUNDO"/>
    <s v="NPR"/>
    <s v="BRP-560"/>
    <x v="2"/>
    <x v="239"/>
    <n v="60000"/>
    <n v="36000"/>
    <m/>
    <m/>
    <m/>
    <m/>
    <m/>
    <m/>
  </r>
  <r>
    <x v="57"/>
    <s v="RM:51"/>
    <s v="JAIME CASALLAS"/>
    <s v="RENAULT SYMBOL"/>
    <s v="FAR-619"/>
    <x v="1"/>
    <x v="240"/>
    <n v="100000"/>
    <n v="70000"/>
    <m/>
    <m/>
    <m/>
    <m/>
    <m/>
    <m/>
  </r>
  <r>
    <x v="57"/>
    <s v="RM:50"/>
    <s v="VICTOR NIÑO"/>
    <s v="CHEVROLET STEEM"/>
    <s v="BLQ-578"/>
    <x v="4"/>
    <x v="16"/>
    <n v="40000"/>
    <n v="24000"/>
    <m/>
    <m/>
    <m/>
    <m/>
    <m/>
    <m/>
  </r>
  <r>
    <x v="57"/>
    <m/>
    <s v="ALEJANDRO ALONSO"/>
    <s v="SPARK CRONOS"/>
    <s v="BWK-081"/>
    <x v="3"/>
    <x v="241"/>
    <n v="150000"/>
    <n v="105000"/>
    <m/>
    <m/>
    <m/>
    <m/>
    <m/>
    <m/>
  </r>
  <r>
    <x v="57"/>
    <s v="RM:49"/>
    <s v="MANUEL BARRIGA"/>
    <s v="NISSAN"/>
    <s v="CID-675"/>
    <x v="1"/>
    <x v="242"/>
    <n v="250000"/>
    <n v="175000"/>
    <m/>
    <m/>
    <m/>
    <m/>
    <m/>
    <m/>
  </r>
  <r>
    <x v="58"/>
    <m/>
    <s v="NELSON ROBAYO"/>
    <s v="RENAULT"/>
    <s v="RHV-707"/>
    <x v="1"/>
    <x v="243"/>
    <n v="30000"/>
    <n v="21000"/>
    <m/>
    <m/>
    <m/>
    <m/>
    <m/>
    <m/>
  </r>
  <r>
    <x v="58"/>
    <m/>
    <s v="CRISTIAN DIAZ"/>
    <s v="NISSAN"/>
    <s v="HST-590"/>
    <x v="3"/>
    <x v="244"/>
    <n v="60000"/>
    <n v="42000"/>
    <m/>
    <m/>
    <m/>
    <m/>
    <m/>
    <m/>
  </r>
  <r>
    <x v="58"/>
    <m/>
    <m/>
    <s v="CHEVROLET"/>
    <s v="GRD-869"/>
    <x v="1"/>
    <x v="245"/>
    <n v="30000"/>
    <n v="21000"/>
    <m/>
    <m/>
    <m/>
    <m/>
    <m/>
    <m/>
  </r>
  <r>
    <x v="58"/>
    <m/>
    <s v="JUAN CARLOS GORDO"/>
    <s v="KIA PICANTO"/>
    <s v="CIF-839"/>
    <x v="2"/>
    <x v="246"/>
    <n v="40000"/>
    <n v="24000"/>
    <m/>
    <m/>
    <m/>
    <m/>
    <m/>
    <m/>
  </r>
  <r>
    <x v="58"/>
    <m/>
    <s v="JUAN SANTANA"/>
    <s v="RENAULT KANGOO"/>
    <s v="WPQ-752"/>
    <x v="1"/>
    <x v="247"/>
    <n v="30000"/>
    <n v="21000"/>
    <m/>
    <m/>
    <m/>
    <m/>
    <m/>
    <m/>
  </r>
  <r>
    <x v="58"/>
    <s v="RM: 55"/>
    <s v="LICETH TRIANA "/>
    <s v="VITARA"/>
    <s v="RDR-398"/>
    <x v="0"/>
    <x v="117"/>
    <n v="1000000"/>
    <n v="700000"/>
    <m/>
    <m/>
    <m/>
    <m/>
    <s v="CANCELADO"/>
    <m/>
  </r>
  <r>
    <x v="59"/>
    <m/>
    <s v="JAIRO GALVIS"/>
    <s v="MB"/>
    <s v="ARJ-539"/>
    <x v="1"/>
    <x v="248"/>
    <n v="80000"/>
    <n v="56000"/>
    <m/>
    <m/>
    <m/>
    <m/>
    <m/>
    <m/>
  </r>
  <r>
    <x v="59"/>
    <m/>
    <m/>
    <s v="MAZDA"/>
    <s v="CHE-148"/>
    <x v="3"/>
    <x v="249"/>
    <n v="14000"/>
    <n v="9800"/>
    <m/>
    <m/>
    <m/>
    <m/>
    <m/>
    <m/>
  </r>
  <r>
    <x v="59"/>
    <m/>
    <s v="HENRY BENAVIDEZ"/>
    <s v="CHEVROLET"/>
    <s v="BLT-506"/>
    <x v="0"/>
    <x v="232"/>
    <n v="700000"/>
    <n v="200000"/>
    <m/>
    <m/>
    <m/>
    <m/>
    <s v="CANCELADO"/>
    <m/>
  </r>
  <r>
    <x v="55"/>
    <m/>
    <m/>
    <s v="OPTRA"/>
    <m/>
    <x v="0"/>
    <x v="250"/>
    <n v="20000"/>
    <n v="14000"/>
    <m/>
    <m/>
    <m/>
    <m/>
    <s v="CANCELADO"/>
    <m/>
  </r>
  <r>
    <x v="55"/>
    <m/>
    <m/>
    <m/>
    <m/>
    <x v="2"/>
    <x v="251"/>
    <n v="30000"/>
    <n v="18000"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x v="0"/>
    <s v="F-380"/>
    <m/>
    <s v="CHEVROLET SPARK"/>
    <s v="RMT-940"/>
    <x v="0"/>
    <s v="CAMBIO DE RODAMIENTOS TRASERO IZQ"/>
    <n v="35000"/>
    <n v="21000"/>
    <n v="14000"/>
    <x v="0"/>
    <n v="60500"/>
    <n v="81000"/>
    <s v="CANCELADO"/>
    <n v="20500"/>
  </r>
  <r>
    <x v="0"/>
    <m/>
    <m/>
    <s v="CHEVROLET CHEVY"/>
    <s v="BSB-542"/>
    <x v="1"/>
    <s v="CAMBIO DE CACHO"/>
    <n v="30000"/>
    <n v="18000"/>
    <n v="12000"/>
    <x v="1"/>
    <n v="85000"/>
    <n v="180000"/>
    <s v="CANCELADO"/>
    <n v="95000"/>
  </r>
  <r>
    <x v="0"/>
    <m/>
    <m/>
    <s v="LAND ROVER"/>
    <s v="ANG-006"/>
    <x v="1"/>
    <s v="CAMBIO DE RODAMIENTOS TRASEROS, BANDAS, EMPAQUETADURA DE BOOSTER"/>
    <n v="160000"/>
    <n v="96000"/>
    <n v="64000"/>
    <x v="2"/>
    <n v="23025"/>
    <n v="593000"/>
    <s v="CANCELADO"/>
    <n v="569975"/>
  </r>
  <r>
    <x v="1"/>
    <m/>
    <m/>
    <s v="RENAULT MEGAN"/>
    <m/>
    <x v="2"/>
    <s v="PULIR RINES"/>
    <n v="120000"/>
    <n v="72000"/>
    <n v="48000"/>
    <x v="3"/>
    <m/>
    <m/>
    <s v="CANCELADO"/>
    <n v="0"/>
  </r>
  <r>
    <x v="1"/>
    <m/>
    <m/>
    <s v="NHR"/>
    <s v="WHR-195"/>
    <x v="0"/>
    <s v="DESVARE"/>
    <n v="45000"/>
    <n v="45000"/>
    <n v="18000"/>
    <x v="3"/>
    <m/>
    <m/>
    <s v="CANCELADO"/>
    <n v="0"/>
  </r>
  <r>
    <x v="1"/>
    <m/>
    <m/>
    <s v="NHR"/>
    <s v="WHR-195"/>
    <x v="1"/>
    <s v="DESVARE"/>
    <n v="45000"/>
    <n v="45000"/>
    <n v="18000"/>
    <x v="3"/>
    <m/>
    <m/>
    <s v="CANCELADO"/>
    <n v="0"/>
  </r>
  <r>
    <x v="1"/>
    <s v="RM-1-14"/>
    <m/>
    <s v="CHEVROLET BLAZER"/>
    <s v="DBA-195"/>
    <x v="3"/>
    <s v="ARREGLO DE ALTERNADOR"/>
    <n v="80000"/>
    <n v="48000"/>
    <n v="32000"/>
    <x v="3"/>
    <m/>
    <m/>
    <s v="CANCELADO"/>
    <n v="0"/>
  </r>
  <r>
    <x v="1"/>
    <s v="F-384 / R-15"/>
    <m/>
    <s v="DODGE JOURNEY"/>
    <s v="HHZ-781"/>
    <x v="4"/>
    <s v="SINCORNIZACION, CAMBIO DE MANGUERA Y RETENEDOR DEL DAMPER"/>
    <n v="220000"/>
    <n v="132000"/>
    <n v="88000"/>
    <x v="4"/>
    <n v="47000"/>
    <n v="67000"/>
    <s v="CANCELADO"/>
    <n v="20000"/>
  </r>
  <r>
    <x v="1"/>
    <s v="F-3-82"/>
    <m/>
    <s v="CHEVROLET SAIL"/>
    <s v="DQM-739"/>
    <x v="0"/>
    <s v="CAMBIO DE PASADORES DE MORDAZA "/>
    <n v="50000"/>
    <n v="30000"/>
    <n v="20000"/>
    <x v="5"/>
    <n v="38500"/>
    <n v="110000"/>
    <s v="CANCELADO"/>
    <n v="71500"/>
  </r>
  <r>
    <x v="1"/>
    <s v="F-3-83"/>
    <m/>
    <s v="VOLQUETA"/>
    <s v="FTJ-542"/>
    <x v="1"/>
    <s v="BAJAR RUEDAS DELANTERAS"/>
    <n v="100000"/>
    <n v="60000"/>
    <n v="40000"/>
    <x v="6"/>
    <n v="25000"/>
    <n v="40000"/>
    <s v="CANCELADO"/>
    <n v="15000"/>
  </r>
  <r>
    <x v="1"/>
    <m/>
    <m/>
    <m/>
    <s v="JEEP"/>
    <x v="3"/>
    <s v="CAMBIO DE BOMBILLOS"/>
    <n v="10000"/>
    <n v="6000"/>
    <n v="4000"/>
    <x v="3"/>
    <m/>
    <m/>
    <s v="CANCELADO"/>
    <n v="0"/>
  </r>
  <r>
    <x v="2"/>
    <m/>
    <m/>
    <m/>
    <m/>
    <x v="0"/>
    <s v="LAVADO DE INYECTORES"/>
    <n v="30000"/>
    <n v="18000"/>
    <n v="12000"/>
    <x v="3"/>
    <m/>
    <m/>
    <s v="CANCELADO"/>
    <n v="0"/>
  </r>
  <r>
    <x v="2"/>
    <m/>
    <m/>
    <m/>
    <m/>
    <x v="0"/>
    <s v="CAMBIO DE EMPAQUE EXOSTO"/>
    <n v="20000"/>
    <n v="12000"/>
    <n v="8000"/>
    <x v="3"/>
    <m/>
    <m/>
    <s v="CANCELADO"/>
    <n v="0"/>
  </r>
  <r>
    <x v="2"/>
    <m/>
    <m/>
    <s v="DODGE"/>
    <s v="ELE-893"/>
    <x v="0"/>
    <s v="CAMBIO DE MANGUERA"/>
    <n v="35000"/>
    <n v="21000"/>
    <n v="14000"/>
    <x v="3"/>
    <m/>
    <m/>
    <s v="CANCELADO"/>
    <n v="0"/>
  </r>
  <r>
    <x v="2"/>
    <s v="R-1-17"/>
    <m/>
    <s v="JEEP "/>
    <s v="BIO-488"/>
    <x v="3"/>
    <s v="CAMBIO DE ESPARRAGOS"/>
    <n v="50000"/>
    <n v="30000"/>
    <n v="20000"/>
    <x v="3"/>
    <m/>
    <m/>
    <s v="CANCELADO"/>
    <n v="0"/>
  </r>
  <r>
    <x v="2"/>
    <s v="R-1-16"/>
    <m/>
    <s v="CHEVROLET SAMURAI"/>
    <s v="FLO-194"/>
    <x v="1"/>
    <s v="MANTENIMIENTO DE RUEDAS TRASERAS, SUAVIZAR FRENO DE MANO, CORREGIR RUIDO DE CAMPANA DERECHA"/>
    <n v="50000"/>
    <n v="30000"/>
    <n v="20000"/>
    <x v="7"/>
    <m/>
    <n v="5000"/>
    <s v="CANCELADO"/>
    <n v="5000"/>
  </r>
  <r>
    <x v="2"/>
    <m/>
    <m/>
    <m/>
    <m/>
    <x v="3"/>
    <s v="CAMBIO DE BOMBILLOS"/>
    <n v="10000"/>
    <n v="6000"/>
    <n v="4000"/>
    <x v="3"/>
    <m/>
    <m/>
    <s v="CANCELADO"/>
    <n v="0"/>
  </r>
  <r>
    <x v="2"/>
    <m/>
    <m/>
    <s v="VOLQUETA"/>
    <n v="640000"/>
    <x v="1"/>
    <s v="CORREGIR FUGA DE VALVULINA"/>
    <n v="20000"/>
    <n v="20000"/>
    <n v="8000"/>
    <x v="3"/>
    <m/>
    <m/>
    <s v="CANCELADO"/>
    <n v="0"/>
  </r>
  <r>
    <x v="3"/>
    <m/>
    <m/>
    <m/>
    <m/>
    <x v="5"/>
    <s v="CAMBIO DE TERMINAL DE DIRECCION"/>
    <n v="15000"/>
    <n v="9000"/>
    <n v="6000"/>
    <x v="3"/>
    <m/>
    <m/>
    <s v="CANCELADO"/>
    <n v="0"/>
  </r>
  <r>
    <x v="3"/>
    <s v="F-3-90"/>
    <m/>
    <s v="RENAULT MEGAN"/>
    <s v="BTQ-649"/>
    <x v="5"/>
    <s v="BAJAR CULATA/ CAMBIO DE TIJERAS/ CAMBIO DE SOPORTE MOTOR"/>
    <n v="750000"/>
    <n v="450000"/>
    <n v="300000"/>
    <x v="8"/>
    <n v="189000"/>
    <n v="262000"/>
    <s v="CANCELADO"/>
    <n v="73000"/>
  </r>
  <r>
    <x v="3"/>
    <m/>
    <m/>
    <s v="NKR"/>
    <s v="TFT-701"/>
    <x v="5"/>
    <s v="CAMBIO DE MUELLES"/>
    <n v="90000"/>
    <n v="54000"/>
    <n v="36000"/>
    <x v="3"/>
    <m/>
    <m/>
    <s v="CANCELADO"/>
    <n v="0"/>
  </r>
  <r>
    <x v="3"/>
    <m/>
    <m/>
    <s v="SANYONG"/>
    <s v="CYL-560"/>
    <x v="0"/>
    <s v="MANTENIMIENTO EGR- INTERCOOLER"/>
    <n v="250000"/>
    <n v="150000"/>
    <n v="100000"/>
    <x v="3"/>
    <m/>
    <m/>
    <s v="CANCELADO"/>
    <n v="0"/>
  </r>
  <r>
    <x v="3"/>
    <m/>
    <m/>
    <s v="SANYONG"/>
    <s v="CYL-560"/>
    <x v="1"/>
    <s v="CAMBIO DE SOPORTE DE MOTOR"/>
    <n v="50000"/>
    <n v="30000"/>
    <n v="20000"/>
    <x v="3"/>
    <m/>
    <m/>
    <s v="CANCELADO"/>
    <n v="0"/>
  </r>
  <r>
    <x v="3"/>
    <m/>
    <m/>
    <s v="VOLKSWAGEN"/>
    <s v="GOL"/>
    <x v="5"/>
    <s v="CAMBIO CABLE DE ALTA"/>
    <n v="20000"/>
    <n v="12000"/>
    <n v="8000"/>
    <x v="9"/>
    <n v="100000"/>
    <n v="110000"/>
    <s v="CANCELADO"/>
    <n v="10000"/>
  </r>
  <r>
    <x v="3"/>
    <m/>
    <m/>
    <s v="LUV98"/>
    <s v="BJW-839"/>
    <x v="5"/>
    <s v="CAMBIO DE ANTIRUIDOS"/>
    <n v="30000"/>
    <n v="18000"/>
    <n v="12000"/>
    <x v="10"/>
    <n v="16000"/>
    <n v="38000"/>
    <s v="CANCELADO"/>
    <n v="22000"/>
  </r>
  <r>
    <x v="3"/>
    <m/>
    <m/>
    <s v="MB"/>
    <s v="BOL-902"/>
    <x v="4"/>
    <s v="CAMBIO DE TIJERAS, BARRA ESTAB, BUJES DE DIRECCION"/>
    <n v="350000"/>
    <n v="210000"/>
    <n v="140000"/>
    <x v="3"/>
    <m/>
    <m/>
    <s v="CANCELADO"/>
    <n v="0"/>
  </r>
  <r>
    <x v="3"/>
    <m/>
    <m/>
    <s v="FRR"/>
    <s v="WOS-477"/>
    <x v="4"/>
    <s v="MANTENIMIENTO VALVULA EGR"/>
    <n v="650000"/>
    <n v="390000"/>
    <n v="260000"/>
    <x v="3"/>
    <m/>
    <m/>
    <s v="CANCELADO"/>
    <n v="0"/>
  </r>
  <r>
    <x v="4"/>
    <s v="F-88 / R-1-21"/>
    <m/>
    <s v="RENAULT KANGOO"/>
    <s v="WPQ-752"/>
    <x v="6"/>
    <s v="CAMBIO DE PASTILLAS"/>
    <n v="40000"/>
    <n v="24000"/>
    <n v="16000"/>
    <x v="11"/>
    <n v="109000"/>
    <n v="160000"/>
    <s v="CANCELADO"/>
    <n v="51000"/>
  </r>
  <r>
    <x v="4"/>
    <s v="F-89 /RM-1-22"/>
    <m/>
    <s v="CHEVROLET AVEO"/>
    <s v="RZL-937"/>
    <x v="4"/>
    <s v="CAMBIO DE SOPORTE DE MOTOR"/>
    <n v="30000"/>
    <n v="18000"/>
    <n v="12000"/>
    <x v="12"/>
    <n v="90000"/>
    <n v="130000"/>
    <s v="CANCELADO"/>
    <n v="40000"/>
  </r>
  <r>
    <x v="4"/>
    <s v="RM-1-24"/>
    <m/>
    <s v="CHEVROLET CAPTIVA"/>
    <s v="RZU-740"/>
    <x v="5"/>
    <s v="CAMBIO DE CAJA DE DIRECCION"/>
    <n v="300000"/>
    <n v="180000"/>
    <n v="120000"/>
    <x v="13"/>
    <n v="1400000"/>
    <n v="1600000"/>
    <s v="CANCELADO"/>
    <n v="200000"/>
  </r>
  <r>
    <x v="4"/>
    <s v="F-1-392 / RM 1-25"/>
    <m/>
    <s v="CHEVROLET SAMURAI"/>
    <s v="LLO-194"/>
    <x v="1"/>
    <s v="CAMBIO DE RODAMIENTOS Y CRUCETAS DE CARDAN"/>
    <n v="80000"/>
    <n v="48000"/>
    <n v="32000"/>
    <x v="14"/>
    <n v="155000"/>
    <n v="230000"/>
    <s v="CANCELADO"/>
    <n v="75000"/>
  </r>
  <r>
    <x v="5"/>
    <s v="R-1-27"/>
    <s v="JHONNY TENJO"/>
    <s v="MEGAN"/>
    <s v="BMY-215"/>
    <x v="7"/>
    <s v="REPARAR ARRANQUE"/>
    <n v="80000"/>
    <n v="48000"/>
    <n v="32000"/>
    <x v="3"/>
    <m/>
    <m/>
    <s v="CANCELADO"/>
    <n v="0"/>
  </r>
  <r>
    <x v="5"/>
    <n v="93"/>
    <s v="OCATI"/>
    <s v="NQR"/>
    <s v="WOS-474"/>
    <x v="2"/>
    <s v="REPARAR 4 SOPORTE GUARDABARRO"/>
    <n v="100000"/>
    <n v="60000"/>
    <n v="40000"/>
    <x v="15"/>
    <m/>
    <m/>
    <s v="CANCELADO"/>
    <n v="0"/>
  </r>
  <r>
    <x v="5"/>
    <m/>
    <s v="ADAN TINJANCA"/>
    <s v="FORD"/>
    <s v="MQM-520"/>
    <x v="7"/>
    <s v="CAMBIO DE CAMARA"/>
    <n v="30000"/>
    <n v="18000"/>
    <n v="12000"/>
    <x v="3"/>
    <m/>
    <m/>
    <s v="CANCELADO"/>
    <n v="0"/>
  </r>
  <r>
    <x v="5"/>
    <m/>
    <s v="LUIS BUITRIAGO"/>
    <s v="CHEVROLET BLAZER"/>
    <s v="BGG-491"/>
    <x v="1"/>
    <s v="CAMBIO DE EMPAQUETADURA BOMBA DE FRENO"/>
    <n v="40000"/>
    <n v="24000"/>
    <n v="16000"/>
    <x v="16"/>
    <n v="45500"/>
    <n v="20000"/>
    <s v="CANCELADO"/>
    <n v="-25500"/>
  </r>
  <r>
    <x v="5"/>
    <s v="FV-94"/>
    <s v="CESAR IZASA"/>
    <s v="DODGE"/>
    <s v="ELE-893"/>
    <x v="1"/>
    <s v="REVISION DE RUEDA TRASERA IZQ"/>
    <n v="40000"/>
    <n v="24000"/>
    <n v="16000"/>
    <x v="17"/>
    <n v="15000"/>
    <n v="22000"/>
    <s v="CANCELADO"/>
    <n v="7000"/>
  </r>
  <r>
    <x v="5"/>
    <s v="FV-94"/>
    <s v="CESAR IZASA"/>
    <s v="DODGE"/>
    <s v="ELE-893"/>
    <x v="7"/>
    <s v="CHEQUEO ELECTRICO"/>
    <n v="10000"/>
    <n v="6000"/>
    <n v="4000"/>
    <x v="18"/>
    <n v="1000"/>
    <n v="2000"/>
    <s v="CANCELADO"/>
    <n v="1000"/>
  </r>
  <r>
    <x v="6"/>
    <s v="RM-28"/>
    <s v="ALEJANDRO MARTIN"/>
    <s v="SPARK"/>
    <s v="RMN-506"/>
    <x v="5"/>
    <s v="CAMBIO DE RODAMIENTOS"/>
    <n v="60000"/>
    <n v="36000"/>
    <n v="24000"/>
    <x v="3"/>
    <m/>
    <m/>
    <s v="CANCELADO"/>
    <n v="0"/>
  </r>
  <r>
    <x v="6"/>
    <s v="F-95 / RM-1-30"/>
    <s v="YAMURY SIMACO"/>
    <s v="RENAULT CLIO"/>
    <s v="BYU-890"/>
    <x v="0"/>
    <s v="CAMBIO DE BOCIN Y RODAMIENTOS TRASEROS DERECHO"/>
    <n v="60000"/>
    <n v="36000"/>
    <n v="24000"/>
    <x v="19"/>
    <n v="143000"/>
    <n v="228000"/>
    <s v="CANCELADO"/>
    <n v="85000"/>
  </r>
  <r>
    <x v="6"/>
    <s v="RM-29"/>
    <s v="ANA ROMERO"/>
    <s v="RENAULT STEWAY"/>
    <s v="GTL-424"/>
    <x v="5"/>
    <s v="MANTENIMEINTO DE RUEDAS TRASERAS"/>
    <n v="30000"/>
    <n v="18000"/>
    <n v="12000"/>
    <x v="3"/>
    <m/>
    <m/>
    <s v="CANCELADO"/>
    <n v="0"/>
  </r>
  <r>
    <x v="6"/>
    <s v="FV-96/RM-31"/>
    <s v="JAIME GARCIA"/>
    <s v="MAZDA 2004"/>
    <s v="BNT-159"/>
    <x v="0"/>
    <s v="BAJAR TIJERAS Y TEMPLETES"/>
    <n v="600000"/>
    <n v="360000"/>
    <n v="240000"/>
    <x v="20"/>
    <n v="117000"/>
    <n v="190000"/>
    <s v="CANCELADO"/>
    <n v="73000"/>
  </r>
  <r>
    <x v="6"/>
    <m/>
    <m/>
    <s v="BUS"/>
    <s v="UFT-931"/>
    <x v="1"/>
    <s v="GRADUAR FRENOS"/>
    <n v="10000"/>
    <n v="6000"/>
    <n v="4000"/>
    <x v="3"/>
    <m/>
    <m/>
    <s v="CANCELADO"/>
    <n v="0"/>
  </r>
  <r>
    <x v="7"/>
    <s v="RM-1-32"/>
    <s v="ROBERTO JAIME"/>
    <s v="HONDA"/>
    <s v="BFM-230"/>
    <x v="5"/>
    <s v="CAMBIO DE BUJES DE TIJERAS"/>
    <n v="400000"/>
    <n v="240000"/>
    <n v="160000"/>
    <x v="21"/>
    <m/>
    <m/>
    <s v="CANCELADO"/>
    <n v="0"/>
  </r>
  <r>
    <x v="7"/>
    <s v="F-98"/>
    <s v="AUTORALLY"/>
    <s v="CHEVY"/>
    <s v="ZXT-837"/>
    <x v="0"/>
    <s v="SERVICIO DE ESCANER, REVISION DE TESTIGO"/>
    <n v="100000"/>
    <n v="90000"/>
    <n v="40000"/>
    <x v="3"/>
    <m/>
    <m/>
    <s v="CANCELADO"/>
    <n v="0"/>
  </r>
  <r>
    <x v="8"/>
    <s v="F-97"/>
    <s v="CAROLINA OCHOA"/>
    <s v="MITSUBISHI ECLIPSE"/>
    <s v="RAI-561"/>
    <x v="0"/>
    <s v="CAMBIO DE PERNOS, BAJAR TIJERAS"/>
    <n v="340000"/>
    <n v="204000"/>
    <n v="136000"/>
    <x v="22"/>
    <m/>
    <m/>
    <s v="CANCELADO"/>
    <n v="0"/>
  </r>
  <r>
    <x v="8"/>
    <m/>
    <m/>
    <s v="RENAULT SANDERO"/>
    <m/>
    <x v="5"/>
    <s v="GRADUACION "/>
    <n v="20000"/>
    <n v="12000"/>
    <n v="8000"/>
    <x v="3"/>
    <m/>
    <m/>
    <s v="CANCELADO"/>
    <n v="0"/>
  </r>
  <r>
    <x v="8"/>
    <m/>
    <s v="JOSE LUIS TRIALA"/>
    <s v="JAC"/>
    <s v="ERK-645"/>
    <x v="1"/>
    <s v="GRADUAR FRENOS"/>
    <n v="10000"/>
    <n v="6000"/>
    <n v="4000"/>
    <x v="3"/>
    <m/>
    <m/>
    <s v="CANCELADO"/>
    <n v="0"/>
  </r>
  <r>
    <x v="9"/>
    <s v="FV-101"/>
    <s v="ALEXANDER GUIZA"/>
    <s v="HINO"/>
    <s v="EQZ-261"/>
    <x v="0"/>
    <s v="CAMBIO DE BANDAS Y RODAMIENTOS"/>
    <n v="40000"/>
    <n v="40000"/>
    <s v="-"/>
    <x v="3"/>
    <m/>
    <m/>
    <s v="CANCELADO"/>
    <n v="0"/>
  </r>
  <r>
    <x v="9"/>
    <s v="FE-102 / RM:1-34"/>
    <s v="DAMARYS GONZALES"/>
    <s v="MAZDA 3"/>
    <s v="RBQ-698"/>
    <x v="1"/>
    <s v="CAMBIO DE PASTILLAS DELANTERAS, CAMBIO DE LIQUIDO"/>
    <n v="100000"/>
    <n v="60000"/>
    <n v="40000"/>
    <x v="23"/>
    <n v="160000"/>
    <n v="232000"/>
    <s v="CANCELADO"/>
    <n v="72000"/>
  </r>
  <r>
    <x v="9"/>
    <s v="RM-1-33"/>
    <s v="CAROLINA ROCHA"/>
    <s v="CHEVROLET"/>
    <s v="UFY-425"/>
    <x v="7"/>
    <s v="CHEQUEO DE DIRECCIONALES Y ESTACIONARIAS"/>
    <n v="50000"/>
    <n v="30000"/>
    <n v="20000"/>
    <x v="3"/>
    <m/>
    <m/>
    <s v="CANCELADO"/>
    <n v="0"/>
  </r>
  <r>
    <x v="9"/>
    <m/>
    <m/>
    <s v="JEEP GRAN CHEROKY"/>
    <s v="CFG-298"/>
    <x v="1"/>
    <s v="CAMBIO DE PASTILLAS DELANTERAS Y TRASERAS, ARREGLO FRENO DE MANO"/>
    <n v="80000"/>
    <n v="48000"/>
    <n v="32000"/>
    <x v="3"/>
    <m/>
    <m/>
    <s v="CANCELADO"/>
    <n v="0"/>
  </r>
  <r>
    <x v="9"/>
    <m/>
    <m/>
    <s v="JEEP GRAN CHEROKY"/>
    <s v="CFG-298"/>
    <x v="4"/>
    <s v="CAMBIO DE RETENEDOR CAJA DE DIRECCION"/>
    <n v="190000"/>
    <n v="114000"/>
    <n v="76000"/>
    <x v="3"/>
    <m/>
    <m/>
    <s v="CANCELADO"/>
    <n v="0"/>
  </r>
  <r>
    <x v="9"/>
    <m/>
    <m/>
    <m/>
    <s v="BOP-852"/>
    <x v="2"/>
    <s v="PINTURA"/>
    <n v="206000"/>
    <n v="123600"/>
    <n v="82400"/>
    <x v="3"/>
    <m/>
    <m/>
    <s v="CANCELADO"/>
    <n v="0"/>
  </r>
  <r>
    <x v="10"/>
    <m/>
    <m/>
    <s v="JEEP"/>
    <s v="BDN-052"/>
    <x v="4"/>
    <s v="CAMBIO DE EMPAQUE TAPA VALVULA Y CORREGIR FUGA DE TAIMER"/>
    <n v="50000"/>
    <n v="30000"/>
    <n v="20000"/>
    <x v="24"/>
    <n v="30000"/>
    <n v="40000"/>
    <s v="CANCELADO"/>
    <n v="10000"/>
  </r>
  <r>
    <x v="10"/>
    <m/>
    <m/>
    <s v="FORD EXPLORER"/>
    <s v="MKX-392"/>
    <x v="0"/>
    <s v="CAMBIO DE PASTILLAS DELANTERAS Y TRASERAS"/>
    <n v="70000"/>
    <n v="42000"/>
    <n v="28000"/>
    <x v="25"/>
    <n v="198000"/>
    <n v="270000"/>
    <s v="CANCELADO"/>
    <n v="72000"/>
  </r>
  <r>
    <x v="10"/>
    <s v="FE-106"/>
    <s v="YOVANNY AUSIQUE"/>
    <s v="LOGAN SYMBOL"/>
    <s v="MNT-961"/>
    <x v="0"/>
    <s v="REVISION DE FRENOS, GRADUACION, BAJAR TIJERAS"/>
    <n v="50000"/>
    <n v="30000"/>
    <n v="20000"/>
    <x v="26"/>
    <n v="140000"/>
    <n v="170000"/>
    <s v="CANCELADO"/>
    <n v="30000"/>
  </r>
  <r>
    <x v="10"/>
    <s v="FE-106"/>
    <s v="YOVANNY AUSIQUE"/>
    <s v="LOGAN SYMBOL"/>
    <s v="MNT-961"/>
    <x v="7"/>
    <s v="CHEQUEO DE LUCES"/>
    <n v="15000"/>
    <n v="9000"/>
    <n v="6000"/>
    <x v="3"/>
    <m/>
    <m/>
    <s v="CANCELADO"/>
    <n v="0"/>
  </r>
  <r>
    <x v="10"/>
    <m/>
    <m/>
    <m/>
    <m/>
    <x v="7"/>
    <s v="DESVARE"/>
    <n v="50000"/>
    <n v="50000"/>
    <n v="20000"/>
    <x v="3"/>
    <m/>
    <m/>
    <s v="CANCELADO"/>
    <n v="0"/>
  </r>
  <r>
    <x v="10"/>
    <m/>
    <m/>
    <s v="VOLQUETA"/>
    <m/>
    <x v="1"/>
    <s v="CAMBIO DE VALVULA PARA LLENAR RUEDA"/>
    <n v="20000"/>
    <n v="20000"/>
    <n v="8000"/>
    <x v="3"/>
    <m/>
    <m/>
    <s v="CANCELADO"/>
    <n v="0"/>
  </r>
  <r>
    <x v="10"/>
    <s v="FE-106"/>
    <s v="YOVANNY AUSIQUE"/>
    <s v="LOGAN SYMBOL"/>
    <s v="MNT-961"/>
    <x v="1"/>
    <s v="REVISION FRENOS"/>
    <n v="20000"/>
    <n v="20000"/>
    <n v="8000"/>
    <x v="3"/>
    <m/>
    <m/>
    <s v="CANCELADO"/>
    <n v="0"/>
  </r>
  <r>
    <x v="10"/>
    <m/>
    <m/>
    <s v="JOURNEY"/>
    <m/>
    <x v="4"/>
    <s v="CAMBIO DE MANGUERA DE AGUA Y EMPAQUE TAPA VALVULA"/>
    <n v="100000"/>
    <n v="60000"/>
    <n v="40000"/>
    <x v="3"/>
    <m/>
    <m/>
    <s v="CANCELADO"/>
    <n v="0"/>
  </r>
  <r>
    <x v="11"/>
    <m/>
    <m/>
    <s v="NHR"/>
    <m/>
    <x v="1"/>
    <s v="GRADUAR FRENOS"/>
    <n v="10000"/>
    <n v="6000"/>
    <n v="4000"/>
    <x v="3"/>
    <m/>
    <m/>
    <s v="CANCELADO"/>
    <n v="0"/>
  </r>
  <r>
    <x v="11"/>
    <m/>
    <m/>
    <s v="CLIO"/>
    <s v="CXG-752"/>
    <x v="7"/>
    <s v="AJUSTE DE RADIO"/>
    <n v="10000"/>
    <n v="6000"/>
    <n v="4000"/>
    <x v="3"/>
    <m/>
    <m/>
    <s v="CANCELADO"/>
    <n v="0"/>
  </r>
  <r>
    <x v="11"/>
    <m/>
    <m/>
    <s v="JEEP"/>
    <s v="CFG-298"/>
    <x v="4"/>
    <s v="REPARAR RADIADOR"/>
    <n v="20000"/>
    <n v="12000"/>
    <n v="8000"/>
    <x v="3"/>
    <m/>
    <m/>
    <s v="CANCELADO"/>
    <n v="0"/>
  </r>
  <r>
    <x v="11"/>
    <s v="RM-1-37/FV-3-109"/>
    <s v="JUAN C FORERO"/>
    <s v="MITSUBISHI CAMIONETA"/>
    <s v="SSI-295"/>
    <x v="1"/>
    <s v="CAMBIO DE PASTILLAS"/>
    <n v="30000"/>
    <n v="18000"/>
    <n v="12000"/>
    <x v="27"/>
    <n v="127000"/>
    <n v="170000"/>
    <s v="CANCELADO"/>
    <n v="43000"/>
  </r>
  <r>
    <x v="11"/>
    <s v="FV-108"/>
    <s v="COOTRACAR"/>
    <s v="MB/AUTOBUS"/>
    <s v="ESY-747"/>
    <x v="7"/>
    <s v="CAMBIO DE CORREA DE ALTERNADOR"/>
    <n v="30000"/>
    <n v="18000"/>
    <n v="12000"/>
    <x v="3"/>
    <m/>
    <m/>
    <s v="CANCELADO"/>
    <n v="0"/>
  </r>
  <r>
    <x v="11"/>
    <s v="FV-108"/>
    <s v="COOTRACAR"/>
    <s v="MB/AUTOBUS"/>
    <s v="ESY-747"/>
    <x v="2"/>
    <s v="SOLDAR BASE ALTERNADOR"/>
    <n v="25000"/>
    <n v="20000"/>
    <n v="10000"/>
    <x v="3"/>
    <m/>
    <m/>
    <s v="CANCELADO"/>
    <n v="0"/>
  </r>
  <r>
    <x v="11"/>
    <s v="FV-108"/>
    <s v="COOTRACAR"/>
    <s v="MB/AUTOBUS"/>
    <s v="ESY-747"/>
    <x v="1"/>
    <s v="CAMBIO DE ESPARRAGOS"/>
    <n v="40000"/>
    <n v="24000"/>
    <n v="16000"/>
    <x v="28"/>
    <n v="62000"/>
    <n v="120000"/>
    <s v="CANCELADO"/>
    <n v="58000"/>
  </r>
  <r>
    <x v="11"/>
    <m/>
    <s v="ALEJANDRO RIVERA"/>
    <s v="FIAT UNO"/>
    <s v="BRK-566"/>
    <x v="7"/>
    <s v="SUBIR MINIMA"/>
    <n v="30000"/>
    <n v="18000"/>
    <n v="12000"/>
    <x v="3"/>
    <m/>
    <m/>
    <s v="CANCELADO"/>
    <n v="0"/>
  </r>
  <r>
    <x v="12"/>
    <s v="RM-112"/>
    <s v="JORGE MIRAMA"/>
    <s v="FOTON"/>
    <s v="SPX-710"/>
    <x v="1"/>
    <s v="RECALZAR BANDAS DELANTERA DERECHA"/>
    <n v="30000"/>
    <n v="18000"/>
    <n v="12000"/>
    <x v="3"/>
    <m/>
    <m/>
    <s v="CANCELADO"/>
    <n v="0"/>
  </r>
  <r>
    <x v="12"/>
    <s v="RM-1-40"/>
    <s v="JULIO C GOMEZ"/>
    <s v="TOYOTA"/>
    <s v="ANG-154"/>
    <x v="5"/>
    <s v="CAMBIO DE PASTILLAS DE FRENOS Y CHUPAS"/>
    <n v="70000"/>
    <n v="42000"/>
    <n v="28000"/>
    <x v="29"/>
    <n v="68000"/>
    <n v="107000"/>
    <s v="CANCELADO"/>
    <n v="39000"/>
  </r>
  <r>
    <x v="12"/>
    <m/>
    <s v="JAVIER DIAGAMA"/>
    <s v="MULA"/>
    <s v="XIE-128"/>
    <x v="7"/>
    <s v="INICIADA"/>
    <n v="30000"/>
    <n v="18000"/>
    <n v="12000"/>
    <x v="3"/>
    <m/>
    <m/>
    <s v="CANCELADO"/>
    <n v="0"/>
  </r>
  <r>
    <x v="12"/>
    <s v="RM-1-39"/>
    <s v="MANUEL RODRIGUEZ"/>
    <s v="HINO"/>
    <s v="UFT-931"/>
    <x v="1"/>
    <s v="CAMBIO DE DIAFRAGMA Y RESORTE 7 GRADUAR FRENOS"/>
    <n v="70000"/>
    <n v="42000"/>
    <n v="28000"/>
    <x v="30"/>
    <m/>
    <m/>
    <s v="CANCELADO"/>
    <n v="0"/>
  </r>
  <r>
    <x v="12"/>
    <m/>
    <m/>
    <s v="JEEP"/>
    <s v="BDN-052"/>
    <x v="4"/>
    <s v="REPARACION DE RADIADOR (MONTAR RADIADOR) "/>
    <n v="30000"/>
    <n v="18000"/>
    <n v="12000"/>
    <x v="3"/>
    <m/>
    <m/>
    <s v="CANCELADO"/>
    <n v="0"/>
  </r>
  <r>
    <x v="12"/>
    <m/>
    <m/>
    <s v="JEEP"/>
    <s v="BDN-052"/>
    <x v="2"/>
    <s v="REPARACION DE PUERTAS"/>
    <n v="150000"/>
    <n v="90000"/>
    <n v="60000"/>
    <x v="3"/>
    <m/>
    <m/>
    <s v="CANCELADO"/>
    <n v="0"/>
  </r>
  <r>
    <x v="12"/>
    <s v="FE-113"/>
    <s v="PERFOTECH INGENIERIA"/>
    <s v="DIMAX"/>
    <s v="TZY-870"/>
    <x v="0"/>
    <s v="CAMBIO DE BUJES DE TIJERAS"/>
    <n v="470000"/>
    <n v="282000"/>
    <n v="188000"/>
    <x v="3"/>
    <m/>
    <m/>
    <s v="CANCELADO"/>
    <n v="0"/>
  </r>
  <r>
    <x v="12"/>
    <s v="FE-113"/>
    <s v="PERFOTECH INGENIERIA"/>
    <s v="DIMAX"/>
    <s v="TZY-870"/>
    <x v="2"/>
    <s v="SOLDAR BASE BARILLA TENSORA"/>
    <n v="80000"/>
    <n v="48000"/>
    <n v="32000"/>
    <x v="3"/>
    <m/>
    <m/>
    <s v="CANCELADO"/>
    <n v="0"/>
  </r>
  <r>
    <x v="13"/>
    <s v="RM-1-42"/>
    <s v="WILSON BELTRAN"/>
    <s v="NHR"/>
    <s v="ETM-576"/>
    <x v="1"/>
    <s v="REVISION DE RUEDA TRASERA"/>
    <n v="35000"/>
    <n v="21000"/>
    <n v="14000"/>
    <x v="3"/>
    <m/>
    <m/>
    <s v="CANCELADO"/>
    <n v="0"/>
  </r>
  <r>
    <x v="13"/>
    <s v="FE-114 / RM-43"/>
    <s v="CARLOS PEDROZA"/>
    <s v="MAZDA"/>
    <s v="KAT-796"/>
    <x v="5"/>
    <s v="CAMBIO DE CORREA DE ACCESORIO Y MUÑECO"/>
    <n v="80000"/>
    <n v="48000"/>
    <n v="32000"/>
    <x v="31"/>
    <n v="128000"/>
    <n v="200000"/>
    <s v="CANCELADO"/>
    <n v="72000"/>
  </r>
  <r>
    <x v="13"/>
    <s v="FE-116"/>
    <s v="MONGUIBELLO"/>
    <s v="NISSAN"/>
    <s v="BHX-773"/>
    <x v="4"/>
    <s v="_x000a_BAJAR CAJA /BAJAR CULATA / CAMBIAR CORREA DE REPARTICION"/>
    <n v="680000"/>
    <n v="408000"/>
    <n v="272000"/>
    <x v="3"/>
    <m/>
    <m/>
    <s v="CANCELADO"/>
    <n v="0"/>
  </r>
  <r>
    <x v="13"/>
    <s v="RM-144"/>
    <s v="JAUN SANTANA"/>
    <m/>
    <s v="WPQ-752"/>
    <x v="6"/>
    <s v="CAMBIO DE LIQUIDO"/>
    <n v="35000"/>
    <n v="21000"/>
    <n v="14000"/>
    <x v="32"/>
    <n v="14000"/>
    <n v="25000"/>
    <s v="CANCELADO"/>
    <n v="11000"/>
  </r>
  <r>
    <x v="14"/>
    <s v="FE-117 / RM-45"/>
    <s v="MANUEL RODRIGUEZ"/>
    <s v="HINO"/>
    <s v="UTF-931"/>
    <x v="5"/>
    <s v="CAMBIO DE BLOQUES RUEDA TRASERA"/>
    <n v="40000"/>
    <n v="24000"/>
    <n v="16000"/>
    <x v="3"/>
    <m/>
    <m/>
    <s v="CANCELADO"/>
    <n v="0"/>
  </r>
  <r>
    <x v="14"/>
    <s v="FE-117 / RM-45"/>
    <s v="MANUEL RODRIGUEZ"/>
    <s v="HINO"/>
    <s v="UTF-931"/>
    <x v="1"/>
    <s v="CAMBIO DE BLOQUES RUEDA TRASERA"/>
    <n v="40000"/>
    <n v="24000"/>
    <n v="16000"/>
    <x v="33"/>
    <n v="265000"/>
    <n v="387000"/>
    <s v="CANCELADO"/>
    <n v="122000"/>
  </r>
  <r>
    <x v="14"/>
    <s v="FE-118"/>
    <s v="ALVARO GIRALDO"/>
    <s v="RENAULT"/>
    <s v="BWB-518"/>
    <x v="4"/>
    <s v="CAMBIO DE TIJERAS"/>
    <n v="70000"/>
    <n v="42000"/>
    <n v="28000"/>
    <x v="34"/>
    <n v="230000"/>
    <n v="300000"/>
    <s v="CANCELADO"/>
    <n v="70000"/>
  </r>
  <r>
    <x v="14"/>
    <s v="FE-118"/>
    <s v="ALVARO GIRALDO"/>
    <s v="RENAULT"/>
    <s v="BWB-518"/>
    <x v="1"/>
    <s v="MANTENIMIENTO / GRADUACION TRASERAS"/>
    <n v="50000"/>
    <n v="30000"/>
    <n v="20000"/>
    <x v="3"/>
    <m/>
    <m/>
    <s v="CANCELADO"/>
    <n v="0"/>
  </r>
  <r>
    <x v="14"/>
    <m/>
    <m/>
    <m/>
    <m/>
    <x v="7"/>
    <s v="CAMBIO DE BOMBILLO"/>
    <n v="10000"/>
    <n v="6000"/>
    <n v="4000"/>
    <x v="3"/>
    <m/>
    <m/>
    <s v="CANCELADO"/>
    <n v="0"/>
  </r>
  <r>
    <x v="14"/>
    <m/>
    <s v="PITER LOPEZ"/>
    <s v="CHEVROLET"/>
    <s v="EFM-758"/>
    <x v="1"/>
    <s v="MANTENIMIENTO DELANTERAS"/>
    <n v="30000"/>
    <n v="18000"/>
    <n v="12000"/>
    <x v="3"/>
    <m/>
    <m/>
    <s v="CANCELADO"/>
    <n v="0"/>
  </r>
  <r>
    <x v="14"/>
    <s v="FE-120 / RM-147"/>
    <s v="OSCAR SANCHEZ"/>
    <s v="CHERY TIGGO"/>
    <s v="HTU-901"/>
    <x v="7"/>
    <s v="CAMBIO DE FLOTADOR BOMBA DE GASOLINA"/>
    <n v="100000"/>
    <n v="60000"/>
    <n v="40000"/>
    <x v="35"/>
    <n v="290000"/>
    <n v="340000"/>
    <s v="CANCELADO"/>
    <n v="50000"/>
  </r>
  <r>
    <x v="15"/>
    <s v="FE-121 / RM: 48"/>
    <s v="BRAYAN GOMEZ"/>
    <s v="CHVEROLET"/>
    <s v="HPS-879"/>
    <x v="4"/>
    <s v="CAMBIO DE MANGUERA DE CALEFACCION / CAMBIO DE EMPAQUES"/>
    <n v="150000"/>
    <n v="90000"/>
    <n v="60000"/>
    <x v="36"/>
    <n v="36000"/>
    <n v="121000"/>
    <s v="CANCELADO"/>
    <n v="85000"/>
  </r>
  <r>
    <x v="15"/>
    <s v="RM-49"/>
    <s v="ALVARO ROJAS"/>
    <s v="KIA"/>
    <s v="ANA-914"/>
    <x v="7"/>
    <s v="ARREGLO DE LUCES"/>
    <n v="30000"/>
    <n v="18000"/>
    <n v="12000"/>
    <x v="37"/>
    <n v="4000"/>
    <n v="8000"/>
    <s v="CANCELADO"/>
    <n v="4000"/>
  </r>
  <r>
    <x v="15"/>
    <s v="FE-576"/>
    <s v="SERGIO CARDONA"/>
    <s v="CORSA"/>
    <s v="BYJ-576"/>
    <x v="7"/>
    <s v="ARREGLO DE EXPLORADORA"/>
    <n v="30000"/>
    <n v="18000"/>
    <n v="12000"/>
    <x v="38"/>
    <n v="1400"/>
    <n v="2900"/>
    <s v="CANCELADO"/>
    <n v="1500"/>
  </r>
  <r>
    <x v="16"/>
    <s v="RM-55 / FE: 129"/>
    <s v="SERGIO CARDONA"/>
    <s v="CORSA"/>
    <s v="BYJ-576"/>
    <x v="4"/>
    <s v="CAMBIO DE AMORTIGUADORES"/>
    <n v="80000"/>
    <n v="48000"/>
    <n v="32000"/>
    <x v="39"/>
    <n v="210000"/>
    <n v="272000"/>
    <s v="CANCELADO"/>
    <n v="62000"/>
  </r>
  <r>
    <x v="16"/>
    <s v="FE: 128/  RM-54"/>
    <s v="LUIS ROMERO"/>
    <s v="CHEVROLET"/>
    <s v="SEA-130"/>
    <x v="5"/>
    <s v="CAMBIO DE RETENEDOR DE TRANSMISION Y RETENEDOR EJE TRASERO DERECHO"/>
    <n v="100000"/>
    <n v="60000"/>
    <n v="40000"/>
    <x v="40"/>
    <n v="31000"/>
    <n v="145000"/>
    <s v="CANCELADO"/>
    <n v="114000"/>
  </r>
  <r>
    <x v="16"/>
    <s v="FE:127 / RM: 53"/>
    <s v="LISSANDRO HERRERA"/>
    <s v="RENAULT 19"/>
    <s v="BJH-490"/>
    <x v="0"/>
    <s v="CAMBIO DE PASTILLAS DELANTERAS Y SUAVIZAR MORDAZAS"/>
    <n v="50000"/>
    <n v="30000"/>
    <n v="20000"/>
    <x v="41"/>
    <n v="50000"/>
    <n v="90000"/>
    <s v="CANCELADO"/>
    <n v="40000"/>
  </r>
  <r>
    <x v="16"/>
    <s v="FE:127 / RM: 53"/>
    <s v="LISSANDRO HERRERA"/>
    <s v="RENAULT 19"/>
    <s v="BJH-490"/>
    <x v="4"/>
    <s v="CAMBIO DE RETENDOR DEL DAMPER / LEVA Y BARILLA ESTABILIZADORA"/>
    <n v="190000"/>
    <n v="114000"/>
    <n v="76000"/>
    <x v="42"/>
    <n v="207000"/>
    <n v="287000"/>
    <s v="CANCELADO"/>
    <n v="80000"/>
  </r>
  <r>
    <x v="16"/>
    <s v="FE:127 / RM: 53"/>
    <s v="LISSANDRO HERRERA"/>
    <s v="RENAULT 19"/>
    <s v="BJH-490"/>
    <x v="7"/>
    <s v="MANTENIMIENTO ELECTRICO"/>
    <n v="100000"/>
    <n v="60000"/>
    <n v="40000"/>
    <x v="43"/>
    <n v="60000"/>
    <n v="84000"/>
    <s v="CANCELADO"/>
    <n v="24000"/>
  </r>
  <r>
    <x v="16"/>
    <s v="FE: 125 / RM-51"/>
    <s v="JHONNY TENJO"/>
    <s v="RENAULT MEGAN"/>
    <s v="BMY-215"/>
    <x v="1"/>
    <s v="CAMBIO DE TIJERAS Y BUJES DE BARRA ESTABILIZADORA"/>
    <n v="100000"/>
    <n v="60000"/>
    <n v="40000"/>
    <x v="44"/>
    <n v="240000"/>
    <n v="332000"/>
    <s v="CANCELADO"/>
    <n v="92000"/>
  </r>
  <r>
    <x v="16"/>
    <s v="FE: 126 / RM: 52"/>
    <s v="SAUL ZANABRIA"/>
    <s v="RENAULT SYMBOL"/>
    <s v="SKL-365"/>
    <x v="5"/>
    <s v="CAMBIO DE PUNTA DE EJE"/>
    <n v="100000"/>
    <n v="60000"/>
    <n v="40000"/>
    <x v="45"/>
    <n v="261000"/>
    <n v="200700"/>
    <s v="CANCELADO"/>
    <n v="-60300"/>
  </r>
  <r>
    <x v="17"/>
    <m/>
    <m/>
    <s v="MULA"/>
    <m/>
    <x v="7"/>
    <s v="INICIADA"/>
    <n v="30000"/>
    <n v="18000"/>
    <n v="12000"/>
    <x v="3"/>
    <m/>
    <m/>
    <s v="CANCELADO"/>
    <n v="0"/>
  </r>
  <r>
    <x v="17"/>
    <s v="F-132 / RM: 59"/>
    <s v="BRAYAN GOMEZ"/>
    <s v="CHEVROLET SONIC"/>
    <s v="HPS-879"/>
    <x v="4"/>
    <s v="CAMBIO DE ENFRIADOR DE ACEITE"/>
    <n v="80000"/>
    <n v="48000"/>
    <n v="32000"/>
    <x v="46"/>
    <n v="90000"/>
    <n v="110000"/>
    <s v="CANCELADO"/>
    <n v="20000"/>
  </r>
  <r>
    <x v="17"/>
    <s v="FE: 130 / RM: 57"/>
    <s v="PEDRO SANTANA"/>
    <s v="LOGAN"/>
    <s v="IZM-278"/>
    <x v="1"/>
    <s v="CAMBIO DE PASTILLAS, DISCOS Y LIQUIDO"/>
    <n v="80000"/>
    <n v="48000"/>
    <n v="32000"/>
    <x v="47"/>
    <n v="302000"/>
    <n v="568000"/>
    <s v="CANCELADO"/>
    <n v="266000"/>
  </r>
  <r>
    <x v="17"/>
    <s v="RM-158"/>
    <s v="IVON MASMELA"/>
    <s v="FOTON"/>
    <s v="SPX-665"/>
    <x v="7"/>
    <s v="CHEQUEO ELECTRICO"/>
    <n v="30000"/>
    <n v="18000"/>
    <n v="12000"/>
    <x v="3"/>
    <m/>
    <m/>
    <s v="CANCELADO"/>
    <n v="0"/>
  </r>
  <r>
    <x v="17"/>
    <s v="FE:1-31"/>
    <s v="OCATI"/>
    <s v="FRR"/>
    <s v="WOS-477"/>
    <x v="1"/>
    <s v="GRADUAR FRENOS"/>
    <n v="10000"/>
    <n v="6000"/>
    <n v="4000"/>
    <x v="3"/>
    <m/>
    <m/>
    <s v="CANCELADO"/>
    <n v="0"/>
  </r>
  <r>
    <x v="18"/>
    <s v="F-136"/>
    <s v="VARICHEN"/>
    <s v="FOTON"/>
    <s v="THY-344"/>
    <x v="2"/>
    <s v="REPARACION Y PINTURA DE BOMPER"/>
    <n v="152000"/>
    <n v="91200"/>
    <n v="60800"/>
    <x v="3"/>
    <m/>
    <m/>
    <s v="CANCELADO"/>
    <n v="0"/>
  </r>
  <r>
    <x v="18"/>
    <s v="FE: 137 / RM: 1-63"/>
    <s v="PEDRO GARCIA"/>
    <s v="LUV2300"/>
    <s v="AQB-093"/>
    <x v="0"/>
    <s v="CAMBIO DE CHUPAS TRASERAS DERECHA"/>
    <n v="20000"/>
    <n v="12000"/>
    <n v="8000"/>
    <x v="48"/>
    <n v="23025"/>
    <n v="37000"/>
    <s v="CANCELADO"/>
    <n v="13975"/>
  </r>
  <r>
    <x v="18"/>
    <s v="RM-1-61"/>
    <s v="SERGIO DURAN"/>
    <s v="AVEO GT"/>
    <s v="MSM-840"/>
    <x v="0"/>
    <s v="CAMBIO DE PASTILLAS DELANTERAS"/>
    <n v="25000"/>
    <n v="15000"/>
    <n v="10000"/>
    <x v="3"/>
    <m/>
    <m/>
    <s v="CANCELADO"/>
    <n v="0"/>
  </r>
  <r>
    <x v="18"/>
    <s v="RM-164"/>
    <s v="RODOLFO SERRANO"/>
    <s v="FRAN VITARA"/>
    <s v="CQG-462"/>
    <x v="1"/>
    <s v="GRADUAR FRENOS"/>
    <n v="12000"/>
    <n v="7200"/>
    <n v="4800"/>
    <x v="3"/>
    <m/>
    <m/>
    <s v="CANCELADO"/>
    <n v="0"/>
  </r>
  <r>
    <x v="18"/>
    <s v="RM-164"/>
    <s v="RODOLFO SERRANO"/>
    <s v="FRAN VITARA"/>
    <s v="CQG-462"/>
    <x v="6"/>
    <s v="ESCANEADA"/>
    <n v="28000"/>
    <n v="16800"/>
    <n v="11200"/>
    <x v="3"/>
    <m/>
    <m/>
    <s v="CANCELADO"/>
    <n v="0"/>
  </r>
  <r>
    <x v="18"/>
    <m/>
    <s v="JHONATHAN CHACON"/>
    <s v="FOTON"/>
    <s v="THY-187"/>
    <x v="1"/>
    <s v="GRADUAR FRENOS"/>
    <n v="10000"/>
    <n v="6000"/>
    <n v="4000"/>
    <x v="3"/>
    <m/>
    <m/>
    <s v="CANCELADO"/>
    <n v="0"/>
  </r>
  <r>
    <x v="18"/>
    <s v="FE-135 / RM-1-62"/>
    <s v="LUIS ROMERO"/>
    <s v="LUV2300"/>
    <s v="SEA-130"/>
    <x v="1"/>
    <s v="CAMBIO DE BOMBA DE FRENO"/>
    <n v="30000"/>
    <n v="18000"/>
    <n v="12000"/>
    <x v="49"/>
    <n v="235000"/>
    <n v="312000"/>
    <s v="CANCELADO"/>
    <n v="77000"/>
  </r>
  <r>
    <x v="18"/>
    <s v="F: 133 RM:1-60"/>
    <s v="MARY AVELLANEDA"/>
    <s v="CHEVROLET CHEVY"/>
    <s v="BSB-542"/>
    <x v="5"/>
    <s v="SICRONIZAR Y LAVADO DE INYECTORES"/>
    <n v="180000"/>
    <n v="108000"/>
    <n v="72000"/>
    <x v="50"/>
    <n v="126100"/>
    <n v="186300"/>
    <s v="CANCELADO"/>
    <n v="60200"/>
  </r>
  <r>
    <x v="19"/>
    <m/>
    <s v="LUIS FERNANDO CALDERON"/>
    <s v="FORD ECOESPORT"/>
    <s v="REU-780"/>
    <x v="0"/>
    <s v="CAMBIO DE CADENA DE REPARTICION Y SINCRONIZACION"/>
    <n v="600000"/>
    <n v="360000"/>
    <n v="240000"/>
    <x v="3"/>
    <m/>
    <m/>
    <s v="CANCELADO"/>
    <n v="0"/>
  </r>
  <r>
    <x v="19"/>
    <m/>
    <s v="LUIS FERNANDO CALDERON"/>
    <s v="FORD"/>
    <s v="REU-780"/>
    <x v="0"/>
    <s v="SERVICIO  DE ESCANER"/>
    <n v="60000"/>
    <n v="36000"/>
    <n v="24000"/>
    <x v="3"/>
    <m/>
    <m/>
    <s v="CANCELADO"/>
    <n v="0"/>
  </r>
  <r>
    <x v="19"/>
    <s v="FE: 139 / RM-1-65"/>
    <s v="IVON MASMELA"/>
    <s v="FOTON"/>
    <s v="WOX-099"/>
    <x v="1"/>
    <s v="MANTENIMIENTO DE RUEDAS DELANTERAS, CAMBIO DE RETENEDOR DELANTERO DERECHO"/>
    <n v="60000"/>
    <n v="36000"/>
    <n v="24000"/>
    <x v="3"/>
    <m/>
    <m/>
    <s v="CANCELADO"/>
    <n v="0"/>
  </r>
  <r>
    <x v="19"/>
    <s v="FE: 139 / RM-1-65"/>
    <s v="IVON MASMELA"/>
    <s v="FOTON"/>
    <s v="WOX-099"/>
    <x v="2"/>
    <s v="RECONSTRUCCION PALANCA DE VELOCIDAD"/>
    <n v="80000"/>
    <n v="48000"/>
    <n v="32000"/>
    <x v="3"/>
    <m/>
    <m/>
    <s v="CANCELADO"/>
    <n v="0"/>
  </r>
  <r>
    <x v="20"/>
    <s v="RM-1-66"/>
    <s v="JHON BARRADO"/>
    <s v="NHR"/>
    <s v="FSU-423"/>
    <x v="7"/>
    <s v="CAMBIO DE BATERIAS"/>
    <n v="20000"/>
    <n v="20000"/>
    <m/>
    <x v="3"/>
    <m/>
    <m/>
    <s v="CANCELADO"/>
    <n v="0"/>
  </r>
  <r>
    <x v="20"/>
    <m/>
    <s v="ALEJANDRO DIAZ"/>
    <s v="NISSAN"/>
    <m/>
    <x v="1"/>
    <s v="MANTENIMIENTO RUEDAS"/>
    <n v="50000"/>
    <n v="50000"/>
    <n v="20000"/>
    <x v="3"/>
    <m/>
    <m/>
    <s v="CANCELADO"/>
    <n v="0"/>
  </r>
  <r>
    <x v="20"/>
    <m/>
    <s v="ALEJANDRO DIAZ"/>
    <s v="NISSAN"/>
    <m/>
    <x v="0"/>
    <s v="DESMONTADA Y MONTADA DE CAJA DE DIRECCION"/>
    <n v="180000"/>
    <n v="108000"/>
    <n v="72000"/>
    <x v="3"/>
    <m/>
    <m/>
    <s v="CANCELADO"/>
    <n v="0"/>
  </r>
  <r>
    <x v="20"/>
    <m/>
    <m/>
    <s v="LUV2"/>
    <m/>
    <x v="1"/>
    <s v="CAMBIO DE CHUPAS"/>
    <n v="15000"/>
    <n v="15000"/>
    <n v="6000"/>
    <x v="3"/>
    <m/>
    <m/>
    <s v="CANCELADO"/>
    <n v="0"/>
  </r>
  <r>
    <x v="21"/>
    <m/>
    <m/>
    <s v="RENAULT"/>
    <m/>
    <x v="4"/>
    <s v="COLOCAR PIN SELECTOR DE CAMBIO"/>
    <n v="20000"/>
    <n v="12000"/>
    <n v="8000"/>
    <x v="3"/>
    <m/>
    <m/>
    <s v="CANCELADO"/>
    <n v="0"/>
  </r>
  <r>
    <x v="21"/>
    <m/>
    <s v="MARIO AVELLANEDA"/>
    <s v="FORD  ECOSPORT"/>
    <s v="RBM-966"/>
    <x v="1"/>
    <s v="CAMBIO DE PASTILLAS(GARANTIA)"/>
    <n v="30000"/>
    <n v="18000"/>
    <n v="12000"/>
    <x v="3"/>
    <m/>
    <m/>
    <s v="CANCELADO"/>
    <n v="0"/>
  </r>
  <r>
    <x v="21"/>
    <s v="FE: 144 / RM: 70"/>
    <s v="CESAR QUEKAN"/>
    <s v="TWINGO"/>
    <s v="CKF-173"/>
    <x v="0"/>
    <s v="CAMBIO DE SOPORTE Y RIODAMIENTO DE AMORTIGUADOR"/>
    <n v="40000"/>
    <n v="24000"/>
    <n v="16000"/>
    <x v="51"/>
    <n v="45000"/>
    <n v="70000"/>
    <s v="CANCELADO"/>
    <n v="25000"/>
  </r>
  <r>
    <x v="22"/>
    <s v="FE:148 / RM: 73"/>
    <s v="PEDRO JIMENEZ"/>
    <s v="HYUNDAI ACCENT "/>
    <s v="CYC-155"/>
    <x v="0"/>
    <s v="CAMBIO DE AMORTIGUADORES Y MUÑECOS"/>
    <n v="130000"/>
    <n v="78000"/>
    <n v="52000"/>
    <x v="52"/>
    <n v="329300"/>
    <n v="495000"/>
    <s v="CANCELADO"/>
    <n v="165700"/>
  </r>
  <r>
    <x v="22"/>
    <s v="FE: 3-149"/>
    <s v="JORGE GUTIERREZ"/>
    <s v="FORD 150"/>
    <s v="FAK-163"/>
    <x v="8"/>
    <s v="CAMBIO DE GUAYAS"/>
    <m/>
    <n v="0"/>
    <n v="0"/>
    <x v="53"/>
    <n v="123000"/>
    <n v="186000"/>
    <s v="CANCELADO"/>
    <n v="63000"/>
  </r>
  <r>
    <x v="22"/>
    <s v="FE: 150 / RM: 74"/>
    <s v="CARLOS DUARTE"/>
    <s v="RENAULT 9"/>
    <s v="ATF-879"/>
    <x v="0"/>
    <s v="CAMBIO DE BANDAS Y PASTILLAS Y SUAVIZAR MORDAZA"/>
    <n v="70000"/>
    <n v="42000"/>
    <n v="28000"/>
    <x v="54"/>
    <n v="113000"/>
    <n v="140000"/>
    <s v="CANCELADO"/>
    <n v="27000"/>
  </r>
  <r>
    <x v="22"/>
    <s v="RM-1-75"/>
    <s v="OSCAR ACERO"/>
    <s v="CHERY TIIGO"/>
    <s v="WNY-929"/>
    <x v="1"/>
    <s v="CAMBIO DE BANDAS FRENO DE MANO Y BUJES DE AMORTIGUADORES TRASEROS"/>
    <n v="100000"/>
    <n v="60000"/>
    <n v="40000"/>
    <x v="3"/>
    <m/>
    <m/>
    <s v="CANCELADO"/>
    <n v="0"/>
  </r>
  <r>
    <x v="22"/>
    <s v="FE: 146 /RM: 1-72"/>
    <s v="CARLOS SAMIENTO"/>
    <s v="NISSAN TIIDA"/>
    <s v="RML-816"/>
    <x v="4"/>
    <s v="CAMBIO DE BUJES Y MUÑECO"/>
    <n v="70000"/>
    <n v="42000"/>
    <n v="28000"/>
    <x v="55"/>
    <n v="130400"/>
    <n v="234000"/>
    <s v="CANCELADO"/>
    <n v="103600"/>
  </r>
  <r>
    <x v="22"/>
    <s v="FE: 145 / RM-71"/>
    <s v="JULIAN CRUZ"/>
    <s v="SKODA FELICIA"/>
    <s v="QFY-096"/>
    <x v="1"/>
    <s v="CAMBIO DE RODAMIENTOS DELANTERO, MANTENIMIENTO DELANTERAS Y TRASERAS"/>
    <n v="110000"/>
    <n v="66000"/>
    <n v="44000"/>
    <x v="56"/>
    <n v="168000"/>
    <n v="215000"/>
    <s v="CANCELADO"/>
    <n v="47000"/>
  </r>
  <r>
    <x v="22"/>
    <m/>
    <s v="ERNESTO POVER"/>
    <s v="MAZDA 323"/>
    <m/>
    <x v="6"/>
    <s v="GRADUACION DE FRENOS"/>
    <n v="10000"/>
    <n v="6000"/>
    <n v="4000"/>
    <x v="3"/>
    <m/>
    <m/>
    <s v="CANCELADO"/>
    <n v="0"/>
  </r>
  <r>
    <x v="22"/>
    <s v="FE: 151 "/>
    <s v="CAMPO ABIERTO"/>
    <s v="RENAULT KANGOO"/>
    <s v="WDO-126"/>
    <x v="4"/>
    <s v="CAMBIO DE EMPAQUETADURA DE DIRECCION"/>
    <n v="250000"/>
    <n v="150000"/>
    <n v="100000"/>
    <x v="57"/>
    <n v="275600"/>
    <n v="261000"/>
    <s v="CANCELADO"/>
    <n v="-14600"/>
  </r>
  <r>
    <x v="23"/>
    <s v="RM-1-76"/>
    <s v="CRISTIAN SANCHEZ"/>
    <s v="CHEVROLET SAMURAI"/>
    <s v="FLO-194"/>
    <x v="1"/>
    <s v="CHEQUEO DE RUEDAS (GARANTIA)"/>
    <n v="30000"/>
    <n v="18000"/>
    <n v="12000"/>
    <x v="3"/>
    <m/>
    <m/>
    <s v="CANCELADO"/>
    <n v="0"/>
  </r>
  <r>
    <x v="23"/>
    <s v="FE: 153"/>
    <s v="OCATI"/>
    <m/>
    <s v="WOS-477"/>
    <x v="0"/>
    <s v="INSTALACION FRENO DE AHOGO / CAMBIO DE BATERIAS, REVISION DE LUCES DE FURGON, MANTENIMIENTO PACHES DE MOTOR"/>
    <n v="80000"/>
    <n v="48000"/>
    <n v="32000"/>
    <x v="58"/>
    <m/>
    <m/>
    <s v="CANCELADO"/>
    <n v="0"/>
  </r>
  <r>
    <x v="23"/>
    <s v="FE: 155 RM-77"/>
    <s v="ALVEIRO VILLAMIL"/>
    <s v="CITROEN AX"/>
    <s v="BUK-819"/>
    <x v="5"/>
    <s v="CAMBIO DE KIT DE REPARTICION, RODAMIENTOS, Y GUAYA DE CLOSH"/>
    <n v="280000"/>
    <n v="168000"/>
    <n v="112000"/>
    <x v="59"/>
    <n v="301000"/>
    <n v="412000"/>
    <s v="CANCELADO"/>
    <n v="111000"/>
  </r>
  <r>
    <x v="24"/>
    <m/>
    <s v="WALTER MORALES"/>
    <s v="CHEVROLET"/>
    <s v="ELA-671"/>
    <x v="4"/>
    <s v="DESMONTAJE Y MONTAJE DE TIJERA"/>
    <n v="50000"/>
    <n v="30000"/>
    <n v="20000"/>
    <x v="3"/>
    <m/>
    <m/>
    <s v="CANCELADO"/>
    <n v="0"/>
  </r>
  <r>
    <x v="24"/>
    <s v="FE: 156"/>
    <s v="OCATI"/>
    <s v="CHEVROLET NQR"/>
    <s v="WOS-474"/>
    <x v="1"/>
    <s v="CAMBIO DE RODAMIENTOS, ENGRASE RUEDAS TRASERAS, Y CAMBIO DE BANDAS"/>
    <n v="200000"/>
    <n v="120000"/>
    <n v="80000"/>
    <x v="60"/>
    <n v="221000"/>
    <n v="416424"/>
    <s v="CANCELADO"/>
    <n v="195424"/>
  </r>
  <r>
    <x v="25"/>
    <m/>
    <s v="ANDRES RODRIGUEZ"/>
    <s v="FOTON"/>
    <s v="KOK-228"/>
    <x v="0"/>
    <s v="GRADUACION DE FRENOS"/>
    <n v="12000"/>
    <n v="7200"/>
    <n v="4800"/>
    <x v="3"/>
    <m/>
    <m/>
    <s v="CANCELADO"/>
    <n v="0"/>
  </r>
  <r>
    <x v="25"/>
    <s v="FE:159 RM:1-80"/>
    <s v="JESUS PEÑA DUARTE"/>
    <s v="CHEVROLET AVEO"/>
    <s v="CVM-214"/>
    <x v="0"/>
    <s v="CAMBIO DE BOMBILLOS"/>
    <n v="20000"/>
    <n v="12000"/>
    <n v="8000"/>
    <x v="61"/>
    <n v="10000"/>
    <n v="20500"/>
    <s v="CANCELADO"/>
    <n v="10500"/>
  </r>
  <r>
    <x v="25"/>
    <s v="RM-179"/>
    <s v="ANDRES GAITAN"/>
    <s v="KIA PREGIO"/>
    <s v="SKL-762"/>
    <x v="1"/>
    <s v="CAMBIO DE RESORTES"/>
    <n v="150000"/>
    <n v="90000"/>
    <n v="60000"/>
    <x v="62"/>
    <n v="20000"/>
    <n v="35000"/>
    <s v="CANCELADO"/>
    <n v="15000"/>
  </r>
  <r>
    <x v="25"/>
    <s v="RM-179"/>
    <s v="ANDRES GAITAN"/>
    <s v="KIA PREGIO"/>
    <s v="SKL-762"/>
    <x v="2"/>
    <s v="COLOCAR DOS REMACHES"/>
    <n v="10000"/>
    <n v="10000"/>
    <n v="4000"/>
    <x v="3"/>
    <m/>
    <m/>
    <s v="CANCELADO"/>
    <n v="0"/>
  </r>
  <r>
    <x v="25"/>
    <s v="RM-181"/>
    <s v="JOSE GUTIERREZ"/>
    <s v="CHANA"/>
    <s v="USA-874"/>
    <x v="1"/>
    <s v="CAMBIO DE BUJES DE TEMPLETE, TERMINALES, CAJA DE DIRECCION"/>
    <n v="75000"/>
    <n v="75000"/>
    <n v="50000"/>
    <x v="3"/>
    <m/>
    <m/>
    <s v="CANCELADO"/>
    <n v="0"/>
  </r>
  <r>
    <x v="25"/>
    <s v="RM-181"/>
    <s v="JOSE GUTIERREZ"/>
    <s v="CHANA"/>
    <s v="USA-874"/>
    <x v="0"/>
    <s v="CAMBIO DE BUJES DE TEMPLETE, TERMINALES, CAJA DE DIRECCION"/>
    <n v="75000"/>
    <n v="75000"/>
    <m/>
    <x v="3"/>
    <m/>
    <m/>
    <s v="CANCELADO"/>
    <n v="0"/>
  </r>
  <r>
    <x v="25"/>
    <s v="FE: 167"/>
    <s v="METALCARGOS"/>
    <s v="FVR"/>
    <s v="GZZ-341"/>
    <x v="4"/>
    <s v="MANTENIMIENTO INTERCOOLER EGR"/>
    <n v="350000"/>
    <n v="210000"/>
    <n v="140000"/>
    <x v="3"/>
    <m/>
    <m/>
    <s v="CANCELADO"/>
    <n v="0"/>
  </r>
  <r>
    <x v="25"/>
    <m/>
    <s v="BRAYAN GOMEZ"/>
    <s v="SONIC"/>
    <s v="HPS-879"/>
    <x v="4"/>
    <s v="REPARACION DE MOTOR"/>
    <n v="1200000"/>
    <n v="720000"/>
    <n v="480000"/>
    <x v="63"/>
    <n v="1801000"/>
    <n v="2423000"/>
    <s v="CANCELADO"/>
    <n v="622000"/>
  </r>
  <r>
    <x v="25"/>
    <s v="FE: 167"/>
    <s v="METALCARGOS"/>
    <s v="FVR"/>
    <s v="GZZ-341"/>
    <x v="0"/>
    <s v="ARREGLO FRENO DE AHOGO"/>
    <n v="100000"/>
    <n v="60000"/>
    <n v="40000"/>
    <x v="3"/>
    <m/>
    <m/>
    <s v="CANCELADO"/>
    <n v="0"/>
  </r>
  <r>
    <x v="26"/>
    <s v="FE:  164"/>
    <s v="FRUVECOM"/>
    <s v="DFSK"/>
    <s v="TLO-165"/>
    <x v="5"/>
    <s v="BAJAR TANQUE, SOLADARE SOPORTES FURGON, SOLDAR TANQUE"/>
    <n v="120000"/>
    <n v="72000"/>
    <n v="48000"/>
    <x v="3"/>
    <m/>
    <m/>
    <s v="CANCELADO"/>
    <n v="0"/>
  </r>
  <r>
    <x v="26"/>
    <s v="FE:  164"/>
    <s v="FRUVECOM"/>
    <s v="DFSK"/>
    <s v="TLO-165"/>
    <x v="2"/>
    <s v="SOLDAR SOPORTES DE FURGON"/>
    <n v="30000"/>
    <n v="18000"/>
    <n v="12000"/>
    <x v="3"/>
    <m/>
    <m/>
    <s v="POR CANCELAR"/>
    <n v="0"/>
  </r>
  <r>
    <x v="26"/>
    <s v="FE: 162/RM: 1-83"/>
    <s v="FANY GARZON"/>
    <s v="MAZDA"/>
    <s v="HZM-447"/>
    <x v="0"/>
    <s v="CAMBIO DE DISCOS Y PASTILLAS"/>
    <n v="100000"/>
    <n v="60000"/>
    <n v="40000"/>
    <x v="64"/>
    <n v="462000"/>
    <n v="530000"/>
    <s v="CANCELADO"/>
    <n v="68000"/>
  </r>
  <r>
    <x v="26"/>
    <s v="FE: 163"/>
    <s v="PERFOTECH INGENIERIA"/>
    <s v="CHEVROLET"/>
    <s v="TZY-870"/>
    <x v="0"/>
    <s v="CAMBIO DE BUJES DE AMORTIGUADORES"/>
    <n v="60000"/>
    <n v="36000"/>
    <n v="24000"/>
    <x v="65"/>
    <n v="13000"/>
    <n v="30000"/>
    <s v="CANCELADO"/>
    <n v="17000"/>
  </r>
  <r>
    <x v="26"/>
    <m/>
    <s v="CLIENTE FINAL"/>
    <s v="VOLSWAGEN"/>
    <s v="PEW-924"/>
    <x v="0"/>
    <s v="MATTO RUEDA REV RUEDAS DELANTERAS"/>
    <n v="30000"/>
    <n v="18000"/>
    <n v="12000"/>
    <x v="3"/>
    <m/>
    <m/>
    <s v="CANCELADO"/>
    <n v="0"/>
  </r>
  <r>
    <x v="25"/>
    <s v="FE: 167"/>
    <s v="METALCARGOS"/>
    <s v="FVR"/>
    <s v="GZZ-341"/>
    <x v="2"/>
    <s v="ARREGLO DE FAROLA"/>
    <n v="60000"/>
    <n v="36000"/>
    <n v="24000"/>
    <x v="3"/>
    <m/>
    <m/>
    <s v="CANCELADO"/>
    <n v="0"/>
  </r>
  <r>
    <x v="27"/>
    <s v="FE: 165 RM: 1-84"/>
    <s v="YADIRA CARRO"/>
    <s v="NISSAN"/>
    <s v="IJW-188"/>
    <x v="0"/>
    <s v="CAMBIO DE PASTILLAS DELANTERAS Y MATTO RUEDA TRASERA"/>
    <n v="80000"/>
    <n v="48000"/>
    <n v="32000"/>
    <x v="27"/>
    <n v="135000"/>
    <n v="190000"/>
    <s v="CANCELADO"/>
    <n v="55000"/>
  </r>
  <r>
    <x v="27"/>
    <s v="RM-185 FE: 166"/>
    <s v="ROBERTO SANCHEZ"/>
    <s v="FOTON"/>
    <s v="JOX-062"/>
    <x v="0"/>
    <n v="0"/>
    <n v="240000"/>
    <n v="144000"/>
    <n v="96000"/>
    <x v="66"/>
    <n v="302000"/>
    <n v="464000"/>
    <s v="CANCELADO"/>
    <n v="162000"/>
  </r>
  <r>
    <x v="28"/>
    <m/>
    <m/>
    <m/>
    <m/>
    <x v="0"/>
    <s v="GRADUACION DE FRENOS"/>
    <n v="10000"/>
    <n v="6000"/>
    <n v="4000"/>
    <x v="3"/>
    <m/>
    <m/>
    <s v="CANCELADO"/>
    <n v="0"/>
  </r>
  <r>
    <x v="28"/>
    <m/>
    <m/>
    <m/>
    <m/>
    <x v="5"/>
    <s v="GRADUACION DE CLOSH"/>
    <n v="10000"/>
    <n v="6000"/>
    <n v="4000"/>
    <x v="3"/>
    <m/>
    <m/>
    <s v="CANCELADO"/>
    <n v="0"/>
  </r>
  <r>
    <x v="29"/>
    <m/>
    <m/>
    <m/>
    <m/>
    <x v="0"/>
    <s v="GRADUACION DE FRENOS"/>
    <n v="10000"/>
    <n v="6000"/>
    <n v="4000"/>
    <x v="3"/>
    <m/>
    <m/>
    <s v="CANCELADO"/>
    <n v="0"/>
  </r>
  <r>
    <x v="29"/>
    <s v="FE: 168 / RM: 1-86"/>
    <s v="JORGE MURCIA"/>
    <s v="KENWORTH"/>
    <s v="APG-537"/>
    <x v="5"/>
    <s v="REVISION ESCAPE DE AIRE, CAMBIO DE ESPARRAGOS,BAJAR RUEDAS TROQUE TRASERO Y RUEDAS DELANTERAS/ CAMBIO DIAFRGAMA RUEDA DERECHA TROQUE INTERMEDIO Y CAUCHO VALVULA DE ESCAPE TRASERO"/>
    <n v="300000"/>
    <n v="180000"/>
    <n v="120000"/>
    <x v="67"/>
    <n v="185200"/>
    <n v="297000"/>
    <s v="CANCELADO"/>
    <n v="111800"/>
  </r>
  <r>
    <x v="29"/>
    <s v="RM-1-87 /FE: 171"/>
    <s v="MILLER MUÑOZ"/>
    <s v="VOLQUETA"/>
    <s v="TEA-103"/>
    <x v="5"/>
    <s v="CAMBIO DE RESORTE DE SEGURIDAD Y GRADUAR FRENOS"/>
    <n v="40000"/>
    <n v="24000"/>
    <n v="16000"/>
    <x v="68"/>
    <n v="18000"/>
    <n v="74000"/>
    <s v="CANCELADO"/>
    <n v="56000"/>
  </r>
  <r>
    <x v="29"/>
    <s v="RM-188"/>
    <s v="JOSE RODRIGUEZ"/>
    <s v="JMC"/>
    <s v="KPS-167"/>
    <x v="4"/>
    <s v="CAMBIO DE KIT DE CLOSH"/>
    <n v="180000"/>
    <n v="108000"/>
    <n v="72000"/>
    <x v="69"/>
    <n v="750000"/>
    <n v="1000000"/>
    <s v="CANCELADO"/>
    <n v="250000"/>
  </r>
  <r>
    <x v="29"/>
    <s v="FE: 169"/>
    <s v="OCATI"/>
    <s v="NQR"/>
    <s v="WOS-474"/>
    <x v="2"/>
    <s v="ASEGURAR BASE DE COCUYOS"/>
    <n v="20000"/>
    <n v="12000"/>
    <n v="8000"/>
    <x v="3"/>
    <m/>
    <m/>
    <s v="POR CANCELAR"/>
    <n v="0"/>
  </r>
  <r>
    <x v="30"/>
    <s v="RM-90 / FE: 172"/>
    <s v="CARLOS SARMIENTO"/>
    <s v="NISSAN TIIDA"/>
    <s v="RMI-816"/>
    <x v="0"/>
    <s v="CAMBIO DE JUEGO DE PASADORES DE MORDAZA"/>
    <n v="20000"/>
    <n v="12000"/>
    <n v="8000"/>
    <x v="70"/>
    <n v="26000"/>
    <n v="36000"/>
    <s v="CANCELADO"/>
    <n v="10000"/>
  </r>
  <r>
    <x v="30"/>
    <m/>
    <m/>
    <s v="MAZDA "/>
    <m/>
    <x v="0"/>
    <s v="TENSIONADA DE FRENOS"/>
    <n v="15000"/>
    <n v="9000"/>
    <n v="6000"/>
    <x v="3"/>
    <m/>
    <m/>
    <s v="CANCELADO"/>
    <n v="0"/>
  </r>
  <r>
    <x v="30"/>
    <s v="RM-89"/>
    <s v="DISNEY AMIN"/>
    <s v="SUBARU"/>
    <s v="CYK-558"/>
    <x v="4"/>
    <s v="CAMBIO DE AMORTIGUADORES DELANTEROS"/>
    <n v="100000"/>
    <n v="60000"/>
    <n v="40000"/>
    <x v="3"/>
    <m/>
    <m/>
    <s v="CANCELADO"/>
    <n v="0"/>
  </r>
  <r>
    <x v="30"/>
    <m/>
    <s v="VICENTE PATARROYO"/>
    <s v="CH"/>
    <s v="MAO--470"/>
    <x v="0"/>
    <s v="CAMBIO DE MANGUERA"/>
    <n v="60000"/>
    <n v="36000"/>
    <n v="24000"/>
    <x v="3"/>
    <m/>
    <m/>
    <s v="CANCELADO"/>
    <n v="0"/>
  </r>
  <r>
    <x v="30"/>
    <m/>
    <s v="YEBRAIL MORA"/>
    <s v="NHR"/>
    <s v="UPS-855"/>
    <x v="0"/>
    <s v="CAMBIO DE CHUPAS"/>
    <n v="20000"/>
    <n v="12000"/>
    <n v="8000"/>
    <x v="71"/>
    <n v="2000"/>
    <n v="5000"/>
    <s v="CANCELADO"/>
    <n v="3000"/>
  </r>
  <r>
    <x v="31"/>
    <s v="RM-1-96"/>
    <s v="JUAN BERMUDEZ"/>
    <s v="ESTEEM"/>
    <s v="CIO-865"/>
    <x v="5"/>
    <s v="CAMBIO DE TUBO BOMBA DE AGUA"/>
    <n v="80000"/>
    <n v="48000"/>
    <n v="32000"/>
    <x v="3"/>
    <m/>
    <m/>
    <s v="CANCELADO"/>
    <n v="0"/>
  </r>
  <r>
    <x v="31"/>
    <s v="FE: 176/RM: 1-98"/>
    <s v="EDWIN PRIETO"/>
    <s v="ASIA"/>
    <s v="BHV-650"/>
    <x v="0"/>
    <s v="CAMBIO DE CHUPAS TRASERAS"/>
    <n v="40000"/>
    <n v="24000"/>
    <n v="16000"/>
    <x v="3"/>
    <m/>
    <m/>
    <s v="CANCELADO"/>
    <m/>
  </r>
  <r>
    <x v="31"/>
    <s v="FE: 176/RM: 1-98"/>
    <s v="EDWIN PRIETO"/>
    <s v="ASIA"/>
    <s v="BHV-650"/>
    <x v="4"/>
    <s v="BAJAR TANQUE DE GASOLINA"/>
    <n v="120000"/>
    <n v="72000"/>
    <n v="48000"/>
    <x v="72"/>
    <n v="66000"/>
    <m/>
    <s v="CANCELADO"/>
    <n v="-66000"/>
  </r>
  <r>
    <x v="31"/>
    <s v="RM-1-97"/>
    <s v="GILBERTO RINCON"/>
    <s v="EPICA"/>
    <s v="BQK-766"/>
    <x v="4"/>
    <s v="LIMPIEZA DE BUJIAS"/>
    <n v="20000"/>
    <n v="12000"/>
    <n v="8000"/>
    <x v="3"/>
    <m/>
    <m/>
    <s v="CANCELADO"/>
    <n v="0"/>
  </r>
  <r>
    <x v="31"/>
    <s v="RM-195"/>
    <s v="YANIBE GUZMAN"/>
    <s v="KIA PICANTO"/>
    <s v="HOA-955"/>
    <x v="0"/>
    <s v="CAMBIO DE TOPES DE AMORTIGUADORES DELANTEROS"/>
    <n v="100000"/>
    <n v="60000"/>
    <n v="40000"/>
    <x v="3"/>
    <m/>
    <m/>
    <s v="CANCELADO"/>
    <n v="0"/>
  </r>
  <r>
    <x v="32"/>
    <s v="FE: 181 / RM: 103"/>
    <s v="ANDRES MAYORCA"/>
    <s v="RENAULT LOGAN"/>
    <s v="JDR-513"/>
    <x v="1"/>
    <s v="CAMBIO DE DISCOS Y PASTILLAS"/>
    <n v="40000"/>
    <n v="40000"/>
    <n v="16000"/>
    <x v="73"/>
    <n v="318000"/>
    <n v="360000"/>
    <m/>
    <n v="42000"/>
  </r>
  <r>
    <x v="32"/>
    <s v="FE: 177 / RM: 99"/>
    <s v="WILLIAM CANDIL"/>
    <s v="CHEVROLET CAPTIVA"/>
    <s v="RJT-476"/>
    <x v="1"/>
    <s v="CAMBIO DE GUAYA DE FRENO DE MANO "/>
    <n v="120000"/>
    <n v="72000"/>
    <n v="48000"/>
    <x v="74"/>
    <n v="40000"/>
    <n v="80000"/>
    <m/>
    <n v="40000"/>
  </r>
  <r>
    <x v="32"/>
    <s v="RM: 101 / FE: 179"/>
    <s v="NELSON TAMAYO"/>
    <s v="ECOSPORT"/>
    <s v="MUQ-265"/>
    <x v="1"/>
    <s v="CAMBIO DE PASTILLAS DELANTERAS Y MANTENIMIENTO TRASERO"/>
    <n v="60000"/>
    <n v="36000"/>
    <n v="24000"/>
    <x v="75"/>
    <n v="150000"/>
    <n v="210000"/>
    <m/>
    <n v="60000"/>
  </r>
  <r>
    <x v="32"/>
    <s v="FE: 178"/>
    <s v="ANGEL LEON"/>
    <s v="RENAULT SIMBOL"/>
    <s v="BLT-604"/>
    <x v="1"/>
    <s v="CAMBIO DE CORREA DE ACCESORIO "/>
    <n v="25000"/>
    <n v="15000"/>
    <n v="10000"/>
    <x v="76"/>
    <n v="60900"/>
    <n v="85000"/>
    <m/>
    <n v="24100"/>
  </r>
  <r>
    <x v="32"/>
    <s v="FE: 180 / RM: 102"/>
    <s v="ALEXANDER SOTO"/>
    <s v="SPARK"/>
    <s v="DBR-141"/>
    <x v="4"/>
    <s v="CAMBIO KIT DE EMBRAGUE Y GUAYA"/>
    <n v="180000"/>
    <n v="108000"/>
    <n v="72000"/>
    <x v="77"/>
    <n v="258000"/>
    <n v="290000"/>
    <m/>
    <n v="32000"/>
  </r>
  <r>
    <x v="32"/>
    <m/>
    <m/>
    <s v="VOLSKWAGEN GOL"/>
    <m/>
    <x v="1"/>
    <s v="MANTENIMIENTO RUEDAS TRASERAS"/>
    <n v="30000"/>
    <n v="18000"/>
    <n v="12000"/>
    <x v="3"/>
    <m/>
    <m/>
    <m/>
    <n v="0"/>
  </r>
  <r>
    <x v="32"/>
    <m/>
    <m/>
    <m/>
    <m/>
    <x v="8"/>
    <s v="REVISION RUEDAS TRASERAS"/>
    <n v="30000"/>
    <n v="18000"/>
    <n v="12000"/>
    <x v="3"/>
    <m/>
    <m/>
    <m/>
    <n v="0"/>
  </r>
  <r>
    <x v="32"/>
    <m/>
    <m/>
    <m/>
    <m/>
    <x v="1"/>
    <s v="DESVARE"/>
    <n v="30000"/>
    <n v="18000"/>
    <n v="12000"/>
    <x v="3"/>
    <m/>
    <m/>
    <m/>
    <n v="0"/>
  </r>
  <r>
    <x v="33"/>
    <s v="FE: 184 / RM: 108"/>
    <s v="JESUS PEÑA"/>
    <s v="AVEO"/>
    <s v="CVM-214"/>
    <x v="1"/>
    <s v="CAMBIO DE AUTOMATICO Y RODAMIENTAS "/>
    <n v="130000"/>
    <n v="78000"/>
    <n v="52000"/>
    <x v="78"/>
    <n v="210000"/>
    <n v="145000"/>
    <m/>
    <n v="-65000"/>
  </r>
  <r>
    <x v="33"/>
    <s v="FE: 183 / RM: 105"/>
    <s v="CARLOS MATEUS"/>
    <s v="HONDA CIVICO"/>
    <s v="BHX-931"/>
    <x v="1"/>
    <s v="CAMBIO DE CALIPER DELANTERO IZQ"/>
    <n v="23000"/>
    <n v="13800"/>
    <n v="9200"/>
    <x v="79"/>
    <n v="15000"/>
    <m/>
    <m/>
    <n v="-15000"/>
  </r>
  <r>
    <x v="33"/>
    <s v="RM: 106"/>
    <s v="MARCO OVALLE"/>
    <s v="RENAULT 9"/>
    <s v="BIL-530"/>
    <x v="1"/>
    <s v="CAMBIAR TANQUE DE GASOLINA"/>
    <n v="100000"/>
    <n v="60000"/>
    <n v="40000"/>
    <x v="80"/>
    <n v="8600"/>
    <n v="11000"/>
    <m/>
    <n v="2400"/>
  </r>
  <r>
    <x v="33"/>
    <s v="FE:185 / RM: 109"/>
    <s v="RAFAEL MORA"/>
    <s v="VOLSWAGEN"/>
    <s v="CVL-510"/>
    <x v="1"/>
    <s v="CAMBIO DE TERMINAL IZQ DEL Y RODAMIENTO TRASERO EXTERNO"/>
    <n v="60000"/>
    <n v="36000"/>
    <n v="24000"/>
    <x v="81"/>
    <n v="89000"/>
    <n v="122000"/>
    <m/>
    <n v="33000"/>
  </r>
  <r>
    <x v="34"/>
    <m/>
    <m/>
    <s v="FOTON"/>
    <m/>
    <x v="8"/>
    <s v="GRADUACION DE FRENOS "/>
    <n v="10000"/>
    <n v="6000"/>
    <n v="4000"/>
    <x v="3"/>
    <m/>
    <m/>
    <m/>
    <n v="0"/>
  </r>
  <r>
    <x v="34"/>
    <s v="FE: 187"/>
    <s v="MUNAR INGENIERIA"/>
    <m/>
    <s v="12S-365"/>
    <x v="5"/>
    <s v="CAMBIO DE EMPAQ DE GOBERNADOR"/>
    <n v="20000"/>
    <n v="12000"/>
    <n v="8000"/>
    <x v="3"/>
    <m/>
    <m/>
    <m/>
    <n v="0"/>
  </r>
  <r>
    <x v="34"/>
    <m/>
    <s v="FERNANDO ROMERO"/>
    <s v="CHEVROLET SAIL"/>
    <s v="IKX-010"/>
    <x v="1"/>
    <s v="CAMBIO DE BOMBILLO"/>
    <n v="6500"/>
    <n v="3900"/>
    <n v="2600"/>
    <x v="3"/>
    <m/>
    <m/>
    <m/>
    <n v="0"/>
  </r>
  <r>
    <x v="34"/>
    <m/>
    <s v="ALEXANDER AYALA"/>
    <s v="FORD"/>
    <s v="RAT-770"/>
    <x v="1"/>
    <s v="MANTENIMIENTO TRASERO"/>
    <n v="30000"/>
    <n v="18000"/>
    <n v="12000"/>
    <x v="3"/>
    <m/>
    <m/>
    <m/>
    <n v="0"/>
  </r>
  <r>
    <x v="35"/>
    <s v="FE: 191 / RM: 115"/>
    <s v="EDWIN PRIETO"/>
    <s v="ASIA"/>
    <s v="BHX-650"/>
    <x v="1"/>
    <s v="SINCRONIZADA"/>
    <n v="120000"/>
    <n v="72000"/>
    <n v="48000"/>
    <x v="82"/>
    <n v="100000"/>
    <n v="120000"/>
    <m/>
    <n v="20000"/>
  </r>
  <r>
    <x v="35"/>
    <s v="RM-113"/>
    <s v="URIEL HERRERA"/>
    <s v="JAC"/>
    <s v="SZN-245"/>
    <x v="1"/>
    <s v="MANTENIMIENTO VALVULA RELAY"/>
    <n v="30000"/>
    <n v="18000"/>
    <n v="12000"/>
    <x v="3"/>
    <m/>
    <m/>
    <m/>
    <n v="0"/>
  </r>
  <r>
    <x v="35"/>
    <s v="RM-112"/>
    <s v="FREVECOM"/>
    <s v="DESK"/>
    <s v="TLO-165"/>
    <x v="5"/>
    <s v="CAMBIAR CRUCETA"/>
    <n v="40000"/>
    <n v="24000"/>
    <n v="16000"/>
    <x v="3"/>
    <m/>
    <m/>
    <m/>
    <n v="0"/>
  </r>
  <r>
    <x v="35"/>
    <s v="RM-117"/>
    <s v="FREDY SASTOQUI"/>
    <s v="VOLSWAGEN"/>
    <s v="CSM-853"/>
    <x v="5"/>
    <s v="SINCRONIZADA, CAMBIO TAPA VALVULA, CAMBIO KIT DE REPARTICION"/>
    <n v="330000"/>
    <n v="198000"/>
    <n v="132000"/>
    <x v="83"/>
    <n v="10000"/>
    <n v="15000"/>
    <m/>
    <n v="5000"/>
  </r>
  <r>
    <x v="35"/>
    <s v="RM-116"/>
    <s v="JOSE OSPINA"/>
    <s v="MAZDA"/>
    <s v="BBA-677"/>
    <x v="1"/>
    <s v="REVISION DE FRENOS"/>
    <n v="50000"/>
    <n v="30000"/>
    <n v="20000"/>
    <x v="3"/>
    <m/>
    <m/>
    <m/>
    <n v="0"/>
  </r>
  <r>
    <x v="35"/>
    <s v="FE: 190"/>
    <s v="MARA LOPEZ"/>
    <s v="RENAULT MEGAN 1"/>
    <s v="BSF-412"/>
    <x v="1"/>
    <s v="CAMBIO DE GRADUACION DE FRENOS"/>
    <n v="20000"/>
    <n v="12000"/>
    <n v="8000"/>
    <x v="84"/>
    <n v="38000"/>
    <n v="60000"/>
    <m/>
    <n v="22000"/>
  </r>
  <r>
    <x v="36"/>
    <s v="RM-118"/>
    <s v="JOSE SIERRA"/>
    <s v="NPR"/>
    <s v="ZIO-178"/>
    <x v="4"/>
    <s v="CAMBIO DE CENTRAL"/>
    <n v="50000"/>
    <n v="30000"/>
    <n v="20000"/>
    <x v="85"/>
    <n v="3200"/>
    <n v="6000"/>
    <m/>
    <n v="2800"/>
  </r>
  <r>
    <x v="36"/>
    <m/>
    <s v="JHON JAIRO RAMIREZ"/>
    <s v="VOLSWAGEN"/>
    <s v="BNC-815"/>
    <x v="4"/>
    <s v="CAMBIO DE KIT DE CLOSH"/>
    <n v="150000"/>
    <n v="90000"/>
    <n v="60000"/>
    <x v="3"/>
    <m/>
    <m/>
    <m/>
    <n v="0"/>
  </r>
  <r>
    <x v="37"/>
    <s v="RM-122"/>
    <m/>
    <m/>
    <m/>
    <x v="2"/>
    <s v="SOLDADURA CARDAN"/>
    <n v="10000"/>
    <n v="10000"/>
    <n v="4000"/>
    <x v="3"/>
    <m/>
    <m/>
    <m/>
    <n v="0"/>
  </r>
  <r>
    <x v="37"/>
    <m/>
    <m/>
    <m/>
    <m/>
    <x v="4"/>
    <s v="DESVARE"/>
    <n v="50000"/>
    <n v="30000"/>
    <n v="20000"/>
    <x v="3"/>
    <m/>
    <m/>
    <m/>
    <n v="0"/>
  </r>
  <r>
    <x v="37"/>
    <s v="RM: 194"/>
    <s v="HECTOR PINTO"/>
    <s v="FORD EXPLORER"/>
    <s v="DDM-680"/>
    <x v="1"/>
    <s v="CAMBIO DE PASTILLAS DELANTERAS Y MTTO. TRASERO"/>
    <n v="80000"/>
    <n v="48000"/>
    <n v="32000"/>
    <x v="86"/>
    <n v="163000"/>
    <n v="230000"/>
    <m/>
    <n v="67000"/>
  </r>
  <r>
    <x v="37"/>
    <s v="FE: 193"/>
    <s v="CESAR ISAZA"/>
    <s v="JAC"/>
    <s v="WDC-287"/>
    <x v="1"/>
    <s v="CAMBIO EMP VALVULA DE ESCAPE/ MTTO BOTON PP1"/>
    <n v="40000"/>
    <n v="24000"/>
    <n v="16000"/>
    <x v="3"/>
    <m/>
    <m/>
    <m/>
    <n v="0"/>
  </r>
  <r>
    <x v="37"/>
    <s v="RM: 121"/>
    <s v="ANA VELASQUE"/>
    <s v="SPARK"/>
    <s v="CYJ-239"/>
    <x v="4"/>
    <s v="CAMBIO DE BOMBA DE AGUA"/>
    <n v="70000"/>
    <n v="42000"/>
    <n v="28000"/>
    <x v="3"/>
    <m/>
    <m/>
    <m/>
    <n v="0"/>
  </r>
  <r>
    <x v="37"/>
    <m/>
    <m/>
    <s v="TWINGO"/>
    <m/>
    <x v="4"/>
    <s v="REPARAR MOTOR"/>
    <n v="1200000"/>
    <n v="720000"/>
    <n v="480000"/>
    <x v="3"/>
    <m/>
    <m/>
    <m/>
    <n v="0"/>
  </r>
  <r>
    <x v="37"/>
    <m/>
    <m/>
    <s v="HIUNDAY"/>
    <s v="TSM-266"/>
    <x v="1"/>
    <s v="GRADUACION DE FRENOS"/>
    <n v="10000"/>
    <n v="6000"/>
    <n v="4000"/>
    <x v="3"/>
    <m/>
    <m/>
    <m/>
    <n v="0"/>
  </r>
  <r>
    <x v="37"/>
    <s v="RM-123"/>
    <s v="DAVID CASTELLANOS"/>
    <s v="JAC"/>
    <s v="DXM-189"/>
    <x v="1"/>
    <s v="MANTENIMIENTO, BAJAR DISCOS"/>
    <n v="100000"/>
    <n v="60000"/>
    <n v="40000"/>
    <x v="3"/>
    <m/>
    <m/>
    <m/>
    <n v="0"/>
  </r>
  <r>
    <x v="33"/>
    <m/>
    <m/>
    <m/>
    <m/>
    <x v="1"/>
    <s v="GRADUACION DE FRENOS"/>
    <n v="5000"/>
    <n v="3000"/>
    <n v="2000"/>
    <x v="3"/>
    <m/>
    <m/>
    <m/>
    <n v="0"/>
  </r>
  <r>
    <x v="38"/>
    <m/>
    <s v="DAVID ROJAS"/>
    <s v="CHEVROLET SAIL"/>
    <s v="EOL-262"/>
    <x v="1"/>
    <s v="RECTIFICACION DE DISCOS , MATTO DELA Y TRASERO"/>
    <n v="80000"/>
    <n v="48000"/>
    <n v="32000"/>
    <x v="87"/>
    <n v="40000"/>
    <n v="70000"/>
    <m/>
    <n v="30000"/>
  </r>
  <r>
    <x v="39"/>
    <m/>
    <s v="JOSE RIBERO"/>
    <s v="NISSAN TIIDA"/>
    <s v="FZQ-020"/>
    <x v="1"/>
    <s v="MANTENIMIENTO DE FRENOS"/>
    <n v="50000"/>
    <n v="30000"/>
    <n v="20000"/>
    <x v="3"/>
    <m/>
    <m/>
    <m/>
    <n v="0"/>
  </r>
  <r>
    <x v="39"/>
    <m/>
    <s v="ALEJANDRO RIVERA"/>
    <s v="FIAT UNO"/>
    <s v="BRK-566"/>
    <x v="0"/>
    <s v="LAVADO DE INYECTORES"/>
    <n v="50000"/>
    <n v="30000"/>
    <n v="20000"/>
    <x v="3"/>
    <m/>
    <m/>
    <m/>
    <n v="0"/>
  </r>
  <r>
    <x v="39"/>
    <s v="FE: 196"/>
    <s v="NASAGRO"/>
    <s v="RENAULT OROCH"/>
    <s v="FPU-121"/>
    <x v="1"/>
    <s v="MANTENIMEINTO TRASERO"/>
    <n v="20000"/>
    <n v="12000"/>
    <n v="8000"/>
    <x v="3"/>
    <m/>
    <m/>
    <m/>
    <n v="0"/>
  </r>
  <r>
    <x v="40"/>
    <s v="FE: 198"/>
    <s v="MONICA JAIME"/>
    <s v="CAMION INTERNACIONAL"/>
    <s v="SUK-068"/>
    <x v="0"/>
    <s v="CAMBIO DE MANGUERA"/>
    <n v="30000"/>
    <n v="18000"/>
    <n v="12000"/>
    <x v="3"/>
    <m/>
    <m/>
    <m/>
    <n v="0"/>
  </r>
  <r>
    <x v="40"/>
    <s v="RM: 128"/>
    <s v="JOSE GUTIERREZ"/>
    <s v="CHANA"/>
    <s v="USA-874"/>
    <x v="5"/>
    <s v="CAMBIO DE BOMBA DE AGUA, KIT DE REPARTICION, BASE DE TERMOSTATO"/>
    <n v="200000"/>
    <n v="120000"/>
    <n v="80000"/>
    <x v="3"/>
    <m/>
    <m/>
    <m/>
    <n v="0"/>
  </r>
  <r>
    <x v="40"/>
    <s v="FE: 197 / RM: 127"/>
    <s v="WENCESLAO POVEDA"/>
    <s v="SKODA FELICIA"/>
    <s v="CRV-992"/>
    <x v="1"/>
    <s v="CAMBIO DE PASTILLAS DELANTERAS/ RECTIFICACION DE DISCOS/ CAMBIO DE MANGUERA DE FRENOS"/>
    <n v="50000"/>
    <n v="30000"/>
    <n v="20000"/>
    <x v="88"/>
    <n v="145000"/>
    <n v="220000"/>
    <m/>
    <n v="75000"/>
  </r>
  <r>
    <x v="40"/>
    <s v="RM-126"/>
    <s v="ERNESTO POVEDA"/>
    <s v="MAZDA"/>
    <s v="BFH-766"/>
    <x v="0"/>
    <s v="CAMBIO DE BOMBA DE FRENO"/>
    <n v="30000"/>
    <n v="18000"/>
    <n v="12000"/>
    <x v="3"/>
    <m/>
    <m/>
    <m/>
    <n v="0"/>
  </r>
  <r>
    <x v="41"/>
    <s v="FE: 202 / RM: 131"/>
    <s v="EDWIN PRIETO"/>
    <s v="ASIA"/>
    <s v="BHS-650"/>
    <x v="1"/>
    <s v="MANTTO COMPLETOY CAMBIO NDE RODAMIENTO DELANTERO DERECHO /BAJAR BOMBA"/>
    <n v="150000"/>
    <n v="90000"/>
    <n v="60000"/>
    <x v="3"/>
    <m/>
    <m/>
    <m/>
    <n v="0"/>
  </r>
  <r>
    <x v="41"/>
    <m/>
    <m/>
    <s v="MITSUBISHI"/>
    <s v="SKK-862"/>
    <x v="0"/>
    <s v="GRADUAR FRENOS"/>
    <n v="12000"/>
    <n v="7200"/>
    <n v="4800"/>
    <x v="3"/>
    <m/>
    <m/>
    <m/>
    <n v="0"/>
  </r>
  <r>
    <x v="42"/>
    <m/>
    <s v="MAURICIO"/>
    <s v="NISSAN"/>
    <m/>
    <x v="4"/>
    <s v="LIMPIAR INYECTORES / CAMBIO DE BUJIAS"/>
    <n v="120000"/>
    <n v="72000"/>
    <n v="48000"/>
    <x v="3"/>
    <m/>
    <m/>
    <m/>
    <n v="0"/>
  </r>
  <r>
    <x v="41"/>
    <s v="RM-132"/>
    <s v="SEBASTIAN RAMIREZ"/>
    <s v="SYMBOL"/>
    <s v="KGW-180"/>
    <x v="0"/>
    <s v="CAMBIO BOMBA DE FRENO"/>
    <n v="80000"/>
    <n v="48000"/>
    <n v="32000"/>
    <x v="3"/>
    <m/>
    <m/>
    <m/>
    <n v="0"/>
  </r>
  <r>
    <x v="43"/>
    <m/>
    <s v="MONGUIBELLO"/>
    <s v="DOGGE VERDE"/>
    <m/>
    <x v="1"/>
    <s v="GRADUACION DE FRENOS"/>
    <n v="10000"/>
    <n v="6000"/>
    <n v="4000"/>
    <x v="3"/>
    <m/>
    <m/>
    <m/>
    <n v="0"/>
  </r>
  <r>
    <x v="42"/>
    <s v="FE: 207 /RM:134"/>
    <s v="LEONARDO PINZON"/>
    <s v="SPARK GT"/>
    <s v="DOZ-064"/>
    <x v="1"/>
    <s v="CAMBIO DE MUÑECOS DELANTEROS"/>
    <n v="40000"/>
    <n v="24000"/>
    <n v="16000"/>
    <x v="89"/>
    <n v="73000"/>
    <n v="130000"/>
    <m/>
    <n v="57000"/>
  </r>
  <r>
    <x v="42"/>
    <s v="FE:206 / RM:133"/>
    <s v="YOVANNY PINEDA"/>
    <s v="CHEVROLET NHR"/>
    <s v="USD-121"/>
    <x v="5"/>
    <s v="AJUSTAR TRANSMISION"/>
    <n v="300000"/>
    <n v="180000"/>
    <n v="120000"/>
    <x v="3"/>
    <m/>
    <m/>
    <m/>
    <n v="0"/>
  </r>
  <r>
    <x v="44"/>
    <s v="RM:135"/>
    <s v="YADIRA CARRO"/>
    <s v="NISSAN"/>
    <s v="IJW-188"/>
    <x v="1"/>
    <s v="RECTIFICAR DISCOS, LAVADO DE SILLAS"/>
    <n v="80000"/>
    <n v="48000"/>
    <n v="32000"/>
    <x v="90"/>
    <m/>
    <n v="100000"/>
    <m/>
    <n v="100000"/>
  </r>
  <r>
    <x v="44"/>
    <s v="FE: 208"/>
    <s v="VICTOR HERNANDEZ"/>
    <s v="RENAULT SYMBOL"/>
    <s v="FDL-662"/>
    <x v="1"/>
    <s v="CAMBIO DE KIT DE BOTA"/>
    <n v="50000"/>
    <n v="30000"/>
    <n v="20000"/>
    <x v="91"/>
    <n v="60000"/>
    <n v="80000"/>
    <m/>
    <n v="20000"/>
  </r>
  <r>
    <x v="44"/>
    <m/>
    <s v="TOT"/>
    <s v="CHEVROLET"/>
    <s v="SKK-590"/>
    <x v="1"/>
    <s v="GRADUAR FRENOS"/>
    <n v="10000"/>
    <n v="6000"/>
    <n v="4000"/>
    <x v="3"/>
    <m/>
    <m/>
    <m/>
    <n v="0"/>
  </r>
  <r>
    <x v="45"/>
    <m/>
    <m/>
    <s v="PRADO"/>
    <s v="LUE-983"/>
    <x v="5"/>
    <s v="CAMBIO DE CAUCHO BRAZO AXIAL"/>
    <n v="20000"/>
    <n v="12000"/>
    <n v="8000"/>
    <x v="3"/>
    <m/>
    <m/>
    <m/>
    <n v="0"/>
  </r>
  <r>
    <x v="45"/>
    <s v="RM-137"/>
    <s v="AUTORALLY"/>
    <s v="LOGAN"/>
    <s v="INL-675"/>
    <x v="5"/>
    <s v="SINCRONIZADA"/>
    <n v="150000"/>
    <n v="90000"/>
    <n v="60000"/>
    <x v="3"/>
    <m/>
    <m/>
    <m/>
    <n v="0"/>
  </r>
  <r>
    <x v="46"/>
    <m/>
    <s v="JESUS PEÑA"/>
    <s v="AVEO"/>
    <s v="CVM-214"/>
    <x v="1"/>
    <s v="ROTAR CAUCHOS"/>
    <n v="15000"/>
    <n v="9000"/>
    <n v="6000"/>
    <x v="92"/>
    <n v="2100"/>
    <n v="4300"/>
    <m/>
    <n v="2200"/>
  </r>
  <r>
    <x v="46"/>
    <s v="RM-138"/>
    <s v="OLMEDO RODRIGUEZ"/>
    <s v="HONDA"/>
    <s v="LOK-390"/>
    <x v="5"/>
    <s v="CORREGIR BOTE DE ACEITE CARTER"/>
    <n v="130000"/>
    <n v="78000"/>
    <n v="52000"/>
    <x v="93"/>
    <n v="14000"/>
    <n v="20000"/>
    <m/>
    <n v="6000"/>
  </r>
  <r>
    <x v="46"/>
    <m/>
    <s v="OCATI"/>
    <s v="NQR"/>
    <s v="WOS-474"/>
    <x v="1"/>
    <s v="GRADUAR FRENOS"/>
    <n v="10000"/>
    <n v="6000"/>
    <n v="4000"/>
    <x v="3"/>
    <m/>
    <m/>
    <m/>
    <n v="0"/>
  </r>
  <r>
    <x v="47"/>
    <s v="RM-142"/>
    <s v="PEDRO RUIZ "/>
    <s v="FORD"/>
    <s v="RCL-744"/>
    <x v="0"/>
    <s v="CAMBIO DE BUJES DE TIJERAS, BJAR SUSPENSION TRASERA"/>
    <n v="500000"/>
    <n v="300000"/>
    <n v="200000"/>
    <x v="3"/>
    <m/>
    <m/>
    <m/>
    <n v="0"/>
  </r>
  <r>
    <x v="47"/>
    <s v="FE: 215"/>
    <s v="ALIMENTOS LEYLA"/>
    <s v="JAC"/>
    <s v="ERL-515"/>
    <x v="5"/>
    <s v="CAMBIO DE KIT DE CLOSH Y GUAYA DE CAMBIOS"/>
    <n v="250000"/>
    <n v="150000"/>
    <n v="100000"/>
    <x v="3"/>
    <m/>
    <m/>
    <m/>
    <n v="0"/>
  </r>
  <r>
    <x v="47"/>
    <s v="RM-139"/>
    <s v="PAOLA MONTAÑA"/>
    <s v="CHEVROLET"/>
    <s v="HFR-311"/>
    <x v="0"/>
    <s v="CAMBIO DE GUARDAPOLVO Y AMORTIGUADORES"/>
    <n v="40000"/>
    <n v="24000"/>
    <n v="16000"/>
    <x v="3"/>
    <m/>
    <m/>
    <m/>
    <n v="0"/>
  </r>
  <r>
    <x v="47"/>
    <s v="RM-141"/>
    <s v="MARITZA GAMBOA"/>
    <s v="DODGE"/>
    <s v="HHZ-781"/>
    <x v="8"/>
    <s v="REPARACION DE MOTOR"/>
    <n v="1400000"/>
    <n v="840000"/>
    <n v="560000"/>
    <x v="3"/>
    <m/>
    <m/>
    <m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">
  <r>
    <x v="0"/>
    <n v="363"/>
    <m/>
    <s v="CORSA"/>
    <m/>
    <x v="0"/>
    <x v="0"/>
    <n v="30000"/>
    <n v="18000"/>
    <n v="12000"/>
    <m/>
    <m/>
    <m/>
    <s v="CANCELADO"/>
  </r>
  <r>
    <x v="0"/>
    <n v="362"/>
    <m/>
    <s v="FIAT"/>
    <s v="BDY-618"/>
    <x v="1"/>
    <x v="1"/>
    <n v="80000"/>
    <n v="48000"/>
    <n v="32000"/>
    <m/>
    <m/>
    <m/>
    <s v="CANCELADO"/>
  </r>
  <r>
    <x v="0"/>
    <m/>
    <m/>
    <s v="RENAULT"/>
    <s v="RBM-093"/>
    <x v="1"/>
    <x v="2"/>
    <n v="30000"/>
    <n v="18000"/>
    <n v="12000"/>
    <m/>
    <m/>
    <m/>
    <s v="CANCELADO"/>
  </r>
  <r>
    <x v="0"/>
    <m/>
    <m/>
    <s v="PEUGEOT"/>
    <s v="CSE-257"/>
    <x v="1"/>
    <x v="3"/>
    <n v="30000"/>
    <n v="18000"/>
    <n v="12000"/>
    <m/>
    <m/>
    <m/>
    <s v="CANCELADO"/>
  </r>
  <r>
    <x v="1"/>
    <n v="369"/>
    <m/>
    <s v="RENAULT CLIO"/>
    <s v="BRT-104"/>
    <x v="0"/>
    <x v="4"/>
    <n v="50000"/>
    <n v="30000"/>
    <n v="20000"/>
    <m/>
    <m/>
    <m/>
    <s v="CANCELADO"/>
  </r>
  <r>
    <x v="1"/>
    <m/>
    <m/>
    <s v="RENAULT MEGAN"/>
    <s v="NAD-805"/>
    <x v="1"/>
    <x v="5"/>
    <n v="25000"/>
    <n v="15000"/>
    <n v="10000"/>
    <m/>
    <m/>
    <m/>
    <s v="CANCELADO"/>
  </r>
  <r>
    <x v="1"/>
    <m/>
    <m/>
    <s v="MITSUBISHI"/>
    <s v="SQD-230"/>
    <x v="1"/>
    <x v="6"/>
    <n v="10000"/>
    <n v="6000"/>
    <n v="4000"/>
    <m/>
    <m/>
    <m/>
    <s v="CANCELADO"/>
  </r>
  <r>
    <x v="1"/>
    <m/>
    <m/>
    <s v="FOTON"/>
    <s v="EXX-268"/>
    <x v="1"/>
    <x v="7"/>
    <n v="60000"/>
    <n v="36000"/>
    <n v="24000"/>
    <s v="BANDAS"/>
    <n v="110000"/>
    <n v="156000"/>
    <s v="CANCELADO"/>
  </r>
  <r>
    <x v="1"/>
    <m/>
    <m/>
    <s v="NPR"/>
    <s v="USC-456"/>
    <x v="2"/>
    <x v="6"/>
    <n v="10000"/>
    <n v="6000"/>
    <n v="4000"/>
    <m/>
    <m/>
    <m/>
    <s v="CANCELADO"/>
  </r>
  <r>
    <x v="1"/>
    <n v="366"/>
    <m/>
    <s v="CHEVROLET"/>
    <s v="BDE-370"/>
    <x v="1"/>
    <x v="8"/>
    <n v="30000"/>
    <n v="18000"/>
    <n v="12000"/>
    <s v="LIQUIDO"/>
    <m/>
    <n v="10000"/>
    <s v="CANCELADO"/>
  </r>
  <r>
    <x v="1"/>
    <s v="FE-3"/>
    <m/>
    <s v="JAC"/>
    <s v="ERL-515"/>
    <x v="1"/>
    <x v="9"/>
    <n v="30000"/>
    <n v="18000"/>
    <n v="12000"/>
    <s v="RECTIFICAR CAMPANA"/>
    <n v="30000"/>
    <n v="30000"/>
    <s v="CANCELADO"/>
  </r>
  <r>
    <x v="1"/>
    <m/>
    <m/>
    <s v="JMC"/>
    <s v="KSP-167"/>
    <x v="1"/>
    <x v="6"/>
    <n v="10000"/>
    <n v="6000"/>
    <n v="4000"/>
    <m/>
    <m/>
    <m/>
    <s v="CANCELADO"/>
  </r>
  <r>
    <x v="1"/>
    <n v="367"/>
    <m/>
    <s v="TOYOTA"/>
    <s v="DHZ-935"/>
    <x v="1"/>
    <x v="10"/>
    <n v="80000"/>
    <n v="48000"/>
    <n v="32000"/>
    <s v="JUGO DE PASTILLAS Y DISCOS DE FRENOS"/>
    <m/>
    <n v="750000"/>
    <s v="CANCELADO"/>
  </r>
  <r>
    <x v="1"/>
    <m/>
    <m/>
    <s v="FIAT SIENA"/>
    <s v="UCW-460"/>
    <x v="1"/>
    <x v="11"/>
    <n v="30000"/>
    <n v="18000"/>
    <n v="12000"/>
    <s v="PASTILLAS DELANTERAS"/>
    <n v="93000"/>
    <n v="151000"/>
    <s v="CANCELADO"/>
  </r>
  <r>
    <x v="2"/>
    <m/>
    <m/>
    <s v="FIAT SIENA"/>
    <s v="UCW-460"/>
    <x v="1"/>
    <x v="12"/>
    <n v="20000"/>
    <n v="12000"/>
    <n v="8000"/>
    <s v="PASTILLAS DELANTERAS"/>
    <n v="93000"/>
    <n v="151000"/>
    <s v="CANCELADO"/>
  </r>
  <r>
    <x v="1"/>
    <s v="FE-5"/>
    <m/>
    <s v="RENAULT"/>
    <s v="RJP-935"/>
    <x v="0"/>
    <x v="13"/>
    <n v="50000"/>
    <n v="30000"/>
    <n v="20000"/>
    <m/>
    <m/>
    <m/>
    <s v="CANCELADO"/>
  </r>
  <r>
    <x v="2"/>
    <s v="FE-8"/>
    <m/>
    <s v="MAZDA"/>
    <s v="CJH-414"/>
    <x v="2"/>
    <x v="14"/>
    <n v="80000"/>
    <n v="48000"/>
    <n v="32000"/>
    <s v="LIQUIDO"/>
    <m/>
    <n v="20000"/>
    <s v="CANCELADO"/>
  </r>
  <r>
    <x v="2"/>
    <s v="FE-6"/>
    <m/>
    <s v="CHEVROLET"/>
    <s v="BGM-688"/>
    <x v="0"/>
    <x v="15"/>
    <n v="40000"/>
    <n v="24000"/>
    <n v="16000"/>
    <s v="FUSIBLE"/>
    <m/>
    <n v="1000"/>
    <s v="CANCELADO"/>
  </r>
  <r>
    <x v="2"/>
    <s v="FV-7"/>
    <m/>
    <s v="NHR"/>
    <s v="UPS-855"/>
    <x v="1"/>
    <x v="16"/>
    <n v="50000"/>
    <n v="30000"/>
    <n v="20000"/>
    <s v="CAMPANA, BANDAS, GRASA Y PINES"/>
    <m/>
    <n v="180000"/>
    <s v="CANCELADO"/>
  </r>
  <r>
    <x v="2"/>
    <n v="371"/>
    <m/>
    <s v="MEGAN"/>
    <s v="CJH-613"/>
    <x v="3"/>
    <x v="17"/>
    <n v="600000"/>
    <n v="360000"/>
    <n v="240000"/>
    <s v="JUEGO DE VALVULAS, GUIAS EN BRONCE, JUEGO RETENEDORES DE VALAVULA, KIT DE REPARTICION, SENDOR, PIÑON, EJE DE LEVA, TAPONES EJE DE LEVAS"/>
    <m/>
    <n v="1890000"/>
    <s v="CANCELADO"/>
  </r>
  <r>
    <x v="2"/>
    <s v="FE-9"/>
    <m/>
    <s v="JAC"/>
    <s v="JKV-331"/>
    <x v="2"/>
    <x v="18"/>
    <n v="800000"/>
    <n v="480000"/>
    <n v="320000"/>
    <s v="GRASA, JUEGO DE BLOQUES, GASOLINA, SILICONA "/>
    <m/>
    <n v="276000"/>
    <s v="CANCELADO"/>
  </r>
  <r>
    <x v="3"/>
    <m/>
    <m/>
    <s v="BRU-582"/>
    <s v="PEGEOT"/>
    <x v="4"/>
    <x v="19"/>
    <n v="200000"/>
    <n v="120000"/>
    <n v="80000"/>
    <m/>
    <m/>
    <m/>
    <s v="CANCELADO"/>
  </r>
  <r>
    <x v="3"/>
    <s v="FE-12"/>
    <m/>
    <s v="RMP-776"/>
    <s v="RENAULT SANDERO"/>
    <x v="4"/>
    <x v="20"/>
    <n v="50000"/>
    <n v="30000"/>
    <n v="20000"/>
    <s v="KIT GP-EJE IZQ COMP ORIGINAL"/>
    <n v="50420"/>
    <n v="63554"/>
    <s v="CANCELADO"/>
  </r>
  <r>
    <x v="3"/>
    <m/>
    <m/>
    <s v="DODGE"/>
    <s v="AKG-375"/>
    <x v="0"/>
    <x v="21"/>
    <n v="70000"/>
    <n v="42000"/>
    <n v="28000"/>
    <s v="ARRANQUE"/>
    <n v="235294.11764705883"/>
    <n v="352941.17647058825"/>
    <s v="CANCELADO"/>
  </r>
  <r>
    <x v="3"/>
    <s v="F-11"/>
    <m/>
    <s v="CHEVY"/>
    <s v="BCB-542"/>
    <x v="1"/>
    <x v="22"/>
    <n v="80000"/>
    <n v="48000"/>
    <n v="32000"/>
    <s v="DISCOS"/>
    <m/>
    <n v="184873.94957983194"/>
    <s v="CANCELADO"/>
  </r>
  <r>
    <x v="3"/>
    <s v="FE-10"/>
    <m/>
    <s v="FOTON"/>
    <s v="WGZ-517"/>
    <x v="1"/>
    <x v="6"/>
    <n v="10000"/>
    <n v="6000"/>
    <n v="4000"/>
    <m/>
    <m/>
    <m/>
    <s v="CANCELADO"/>
  </r>
  <r>
    <x v="3"/>
    <m/>
    <m/>
    <s v="RENAULT CLIO"/>
    <s v="BZH-047"/>
    <x v="3"/>
    <x v="23"/>
    <n v="30000"/>
    <n v="18000"/>
    <n v="12000"/>
    <s v="BASE Y TERMOSTATO"/>
    <n v="50420.168067226892"/>
    <n v="100840.33613445378"/>
    <s v="CANCELADO"/>
  </r>
  <r>
    <x v="3"/>
    <s v="F-373"/>
    <m/>
    <s v="NISSAN"/>
    <s v="RLN-289"/>
    <x v="5"/>
    <x v="24"/>
    <n v="30000"/>
    <n v="30000"/>
    <n v="12000"/>
    <m/>
    <m/>
    <m/>
    <s v="CANCELADO"/>
  </r>
  <r>
    <x v="3"/>
    <m/>
    <m/>
    <s v="DCY-637"/>
    <s v="BMWX3"/>
    <x v="0"/>
    <x v="25"/>
    <n v="15000"/>
    <n v="9000"/>
    <n v="6000"/>
    <m/>
    <m/>
    <m/>
    <s v="CANCELADO"/>
  </r>
  <r>
    <x v="4"/>
    <s v="F-16"/>
    <m/>
    <s v="SANDERO"/>
    <s v="HVK-612"/>
    <x v="4"/>
    <x v="26"/>
    <n v="70000"/>
    <n v="42000"/>
    <n v="28000"/>
    <m/>
    <m/>
    <m/>
    <s v="CANCELADO"/>
  </r>
  <r>
    <x v="4"/>
    <s v="F-16"/>
    <m/>
    <s v="SANDERO"/>
    <s v="HVK-612"/>
    <x v="2"/>
    <x v="27"/>
    <n v="50000"/>
    <n v="30000"/>
    <n v="20000"/>
    <m/>
    <m/>
    <m/>
    <s v="CANCELADO"/>
  </r>
  <r>
    <x v="4"/>
    <m/>
    <m/>
    <s v="RENAULT"/>
    <s v="HKM-899"/>
    <x v="1"/>
    <x v="28"/>
    <n v="50000"/>
    <n v="30000"/>
    <n v="20000"/>
    <m/>
    <m/>
    <m/>
    <s v="CANCELADO"/>
  </r>
  <r>
    <x v="4"/>
    <s v="F-374"/>
    <m/>
    <s v="DAEWOO"/>
    <s v="BIZ-866"/>
    <x v="0"/>
    <x v="29"/>
    <n v="80000"/>
    <n v="48000"/>
    <n v="32000"/>
    <m/>
    <m/>
    <m/>
    <s v="CANCELADO"/>
  </r>
  <r>
    <x v="4"/>
    <m/>
    <m/>
    <s v="MITSUBISHI"/>
    <s v="TGU-963"/>
    <x v="1"/>
    <x v="6"/>
    <n v="10000"/>
    <n v="6000"/>
    <n v="4000"/>
    <m/>
    <m/>
    <m/>
    <s v="CANCELADO"/>
  </r>
  <r>
    <x v="4"/>
    <s v="F-318"/>
    <m/>
    <s v="NHR"/>
    <s v="UPS-855"/>
    <x v="5"/>
    <x v="30"/>
    <n v="80000"/>
    <n v="48000"/>
    <n v="32000"/>
    <m/>
    <m/>
    <m/>
    <s v="CANCELADO"/>
  </r>
  <r>
    <x v="4"/>
    <m/>
    <m/>
    <s v="CHEVROLET"/>
    <s v="FDJ-497"/>
    <x v="1"/>
    <x v="31"/>
    <n v="80000"/>
    <n v="48000"/>
    <n v="32000"/>
    <m/>
    <m/>
    <m/>
    <s v="CANCELADO"/>
  </r>
  <r>
    <x v="4"/>
    <s v="F-19"/>
    <m/>
    <s v="NQR"/>
    <s v="WOS-474"/>
    <x v="2"/>
    <x v="6"/>
    <n v="10000"/>
    <n v="6000"/>
    <n v="4000"/>
    <m/>
    <m/>
    <m/>
    <s v="CANCELADO"/>
  </r>
  <r>
    <x v="4"/>
    <s v="F-19"/>
    <m/>
    <s v="NQR"/>
    <s v="WOS-474"/>
    <x v="4"/>
    <x v="32"/>
    <n v="90000"/>
    <n v="54000"/>
    <n v="36000"/>
    <m/>
    <m/>
    <m/>
    <s v="CANCELADO"/>
  </r>
  <r>
    <x v="4"/>
    <s v="F-19"/>
    <m/>
    <s v="NQR"/>
    <s v="WOS-474"/>
    <x v="0"/>
    <x v="33"/>
    <n v="50000"/>
    <n v="30000"/>
    <n v="20000"/>
    <m/>
    <m/>
    <m/>
    <s v="CANCELADO"/>
  </r>
  <r>
    <x v="4"/>
    <s v="F-19"/>
    <m/>
    <s v="NQR"/>
    <s v="WOS-474"/>
    <x v="0"/>
    <x v="34"/>
    <n v="30000"/>
    <n v="18000"/>
    <n v="12000"/>
    <s v="CABLE, TERMINALES, "/>
    <m/>
    <n v="13680"/>
    <s v="CANCELADO"/>
  </r>
  <r>
    <x v="4"/>
    <s v="F-19"/>
    <m/>
    <s v="NQR"/>
    <s v="WOS-474"/>
    <x v="5"/>
    <x v="35"/>
    <n v="30000"/>
    <n v="18000"/>
    <n v="12000"/>
    <s v="REMACHES"/>
    <m/>
    <n v="10080"/>
    <s v="CANCELADO"/>
  </r>
  <r>
    <x v="4"/>
    <s v="F-19"/>
    <m/>
    <s v="NQR"/>
    <s v="WOS-474"/>
    <x v="5"/>
    <x v="36"/>
    <n v="50000"/>
    <n v="30000"/>
    <n v="20000"/>
    <m/>
    <m/>
    <m/>
    <s v="CANCELADO"/>
  </r>
  <r>
    <x v="4"/>
    <s v="F-20"/>
    <m/>
    <s v="FRR"/>
    <s v="WOS-477"/>
    <x v="0"/>
    <x v="34"/>
    <n v="30000"/>
    <n v="18000"/>
    <n v="12000"/>
    <m/>
    <m/>
    <m/>
    <s v="CANCELADO"/>
  </r>
  <r>
    <x v="4"/>
    <s v="F-20"/>
    <m/>
    <s v="FRR"/>
    <s v="WOS-477"/>
    <x v="0"/>
    <x v="37"/>
    <n v="80000"/>
    <n v="48000"/>
    <n v="32000"/>
    <s v="CABLE, BORNES, ABRAZADERAS"/>
    <m/>
    <n v="30600"/>
    <s v="CANCELADO"/>
  </r>
  <r>
    <x v="4"/>
    <s v="F-20"/>
    <m/>
    <s v="FRR"/>
    <s v="WOS-477"/>
    <x v="5"/>
    <x v="35"/>
    <n v="30000"/>
    <n v="18000"/>
    <n v="12000"/>
    <s v="REMACHES"/>
    <m/>
    <n v="8400"/>
    <s v="CANCELADO"/>
  </r>
  <r>
    <x v="4"/>
    <s v="F-20"/>
    <m/>
    <s v="FRR"/>
    <s v="WOS-477"/>
    <x v="5"/>
    <x v="38"/>
    <n v="30000"/>
    <n v="18000"/>
    <n v="12000"/>
    <m/>
    <m/>
    <m/>
    <s v="CANCELADO"/>
  </r>
  <r>
    <x v="4"/>
    <s v="F-17"/>
    <m/>
    <s v="JAC"/>
    <s v="JKV-331"/>
    <x v="4"/>
    <x v="39"/>
    <n v="180000"/>
    <n v="108000"/>
    <n v="72000"/>
    <m/>
    <m/>
    <m/>
    <s v="CANCELADO"/>
  </r>
  <r>
    <x v="5"/>
    <m/>
    <m/>
    <s v="TWINGO"/>
    <s v="RAX-199"/>
    <x v="3"/>
    <x v="40"/>
    <n v="30000"/>
    <n v="18000"/>
    <n v="12000"/>
    <s v="GUAYA DE CLOHS"/>
    <n v="29411.764705882353"/>
    <n v="50420.168067226892"/>
    <s v="CANCELADO"/>
  </r>
  <r>
    <x v="5"/>
    <s v="F-23"/>
    <m/>
    <s v="RENAULT CLIO"/>
    <s v="CIT-955"/>
    <x v="1"/>
    <x v="41"/>
    <n v="80000"/>
    <n v="48000"/>
    <n v="32000"/>
    <s v="RODAMIENTOS, SERVICIO DE PRENSA, JUEGO DE BANDAS"/>
    <n v="196436.76"/>
    <n v="285461"/>
    <s v="CANCELADO"/>
  </r>
  <r>
    <x v="5"/>
    <s v="F-22"/>
    <m/>
    <s v="RENAULT LOGAN"/>
    <s v="BXM-740"/>
    <x v="1"/>
    <x v="18"/>
    <n v="30000"/>
    <n v="18000"/>
    <n v="12000"/>
    <s v="BANDAS, GRADUACIONES"/>
    <n v="105881"/>
    <n v="151260"/>
    <s v="CANCELADO"/>
  </r>
  <r>
    <x v="5"/>
    <m/>
    <m/>
    <s v="NISSAN"/>
    <s v="DCZ-452"/>
    <x v="4"/>
    <x v="42"/>
    <n v="300000"/>
    <n v="180000"/>
    <n v="120000"/>
    <m/>
    <m/>
    <m/>
    <s v="CANCELADO"/>
  </r>
  <r>
    <x v="5"/>
    <m/>
    <m/>
    <s v="HIUNDAY"/>
    <m/>
    <x v="3"/>
    <x v="43"/>
    <n v="1600000"/>
    <n v="960000"/>
    <n v="640000"/>
    <m/>
    <m/>
    <m/>
    <s v="CANCELADO"/>
  </r>
  <r>
    <x v="6"/>
    <s v="F-25"/>
    <m/>
    <s v="FORD"/>
    <s v="RBV-506"/>
    <x v="0"/>
    <x v="44"/>
    <n v="40000"/>
    <n v="24000"/>
    <n v="16000"/>
    <m/>
    <m/>
    <m/>
    <s v="CANCELADO"/>
  </r>
  <r>
    <x v="6"/>
    <s v="  F-3-27"/>
    <m/>
    <s v="CORSA"/>
    <s v="BKY-244"/>
    <x v="1"/>
    <x v="11"/>
    <n v="60000"/>
    <n v="36000"/>
    <n v="24000"/>
    <m/>
    <m/>
    <n v="150000"/>
    <s v="CANCELADO"/>
  </r>
  <r>
    <x v="6"/>
    <s v="F-26"/>
    <m/>
    <s v="CHANA"/>
    <s v="WRL-545"/>
    <x v="4"/>
    <x v="45"/>
    <n v="50000"/>
    <n v="30000"/>
    <n v="20000"/>
    <m/>
    <m/>
    <m/>
    <s v="CANCELADO"/>
  </r>
  <r>
    <x v="6"/>
    <s v="F-24"/>
    <m/>
    <s v="WILLYS"/>
    <s v="HZJ-233"/>
    <x v="1"/>
    <x v="45"/>
    <n v="80000"/>
    <n v="48000"/>
    <n v="32000"/>
    <s v="LIQUIDO, CHUPAS"/>
    <m/>
    <n v="60000"/>
    <s v="CANCELADO"/>
  </r>
  <r>
    <x v="6"/>
    <m/>
    <m/>
    <s v="PEUGEOT"/>
    <s v="BRU-582"/>
    <x v="1"/>
    <x v="46"/>
    <n v="50000"/>
    <n v="30000"/>
    <n v="20000"/>
    <s v="PASTILLAS"/>
    <n v="112000"/>
    <m/>
    <s v="CANCELADO"/>
  </r>
  <r>
    <x v="6"/>
    <m/>
    <m/>
    <s v="PEUGEOT"/>
    <s v="BRU-582"/>
    <x v="0"/>
    <x v="47"/>
    <n v="100000"/>
    <n v="60000"/>
    <n v="40000"/>
    <s v="ARRANQUE"/>
    <m/>
    <n v="380000"/>
    <s v="CANCELADO"/>
  </r>
  <r>
    <x v="6"/>
    <s v="HYUNDAI"/>
    <m/>
    <m/>
    <m/>
    <x v="0"/>
    <x v="48"/>
    <n v="80000"/>
    <n v="48000"/>
    <n v="32000"/>
    <m/>
    <m/>
    <m/>
    <s v="CANCELADO"/>
  </r>
  <r>
    <x v="6"/>
    <m/>
    <m/>
    <s v="CHEVROLET"/>
    <s v="FDJ-497"/>
    <x v="0"/>
    <x v="4"/>
    <n v="80000"/>
    <n v="48000"/>
    <n v="32000"/>
    <s v="FUSIBLES, RELAY GPM, CABLE, ABRAZADERAS"/>
    <m/>
    <n v="34000"/>
    <s v="CANCELADO"/>
  </r>
  <r>
    <x v="6"/>
    <m/>
    <m/>
    <s v="CHEVROLET"/>
    <s v="VICENTE PATARROYO"/>
    <x v="0"/>
    <x v="44"/>
    <n v="50000"/>
    <n v="30000"/>
    <n v="20000"/>
    <m/>
    <m/>
    <m/>
    <s v="CANCELADO"/>
  </r>
  <r>
    <x v="6"/>
    <m/>
    <m/>
    <s v="FIAT PALIO"/>
    <m/>
    <x v="1"/>
    <x v="49"/>
    <n v="20000"/>
    <n v="12000"/>
    <n v="8000"/>
    <m/>
    <m/>
    <m/>
    <s v="CANCELADO"/>
  </r>
  <r>
    <x v="6"/>
    <s v="METALCARGOS"/>
    <m/>
    <s v="NKR"/>
    <s v="TFT-701"/>
    <x v="0"/>
    <x v="4"/>
    <n v="100000"/>
    <n v="100000"/>
    <n v="40000"/>
    <m/>
    <m/>
    <m/>
    <s v="CANCELADO"/>
  </r>
  <r>
    <x v="7"/>
    <n v="32"/>
    <m/>
    <s v="VOLKSWAGEN"/>
    <s v="BLU-521"/>
    <x v="3"/>
    <x v="50"/>
    <n v="150000"/>
    <n v="90000"/>
    <n v="60000"/>
    <s v="BUJES, PÚNTA EJE, ROTULAS, SERVICIO DE PRENSA"/>
    <n v="434000"/>
    <n v="541500"/>
    <s v="CANCELADO"/>
  </r>
  <r>
    <x v="7"/>
    <m/>
    <m/>
    <s v="CHVROLET NHR"/>
    <s v="JOW-086"/>
    <x v="1"/>
    <x v="6"/>
    <n v="10000"/>
    <n v="6000"/>
    <n v="4000"/>
    <m/>
    <m/>
    <m/>
    <s v="CANCELADO"/>
  </r>
  <r>
    <x v="7"/>
    <n v="33"/>
    <m/>
    <s v="CHEVROLET NHR"/>
    <s v="NAE-302"/>
    <x v="4"/>
    <x v="51"/>
    <n v="200000"/>
    <n v="120000"/>
    <n v="80000"/>
    <s v="CAMBIAR SPLINDER Y TERMINALES DE DIRECCION"/>
    <m/>
    <n v="392352.79"/>
    <s v="CANCELADO"/>
  </r>
  <r>
    <x v="7"/>
    <m/>
    <m/>
    <s v="NISSAN MARCH"/>
    <s v="HST-590"/>
    <x v="1"/>
    <x v="52"/>
    <n v="50000"/>
    <n v="30000"/>
    <n v="20000"/>
    <s v="ANTIRUIDOS"/>
    <n v="30000"/>
    <n v="30000"/>
    <s v="CANCELADO"/>
  </r>
  <r>
    <x v="7"/>
    <n v="378"/>
    <m/>
    <s v="NISSAN VERSA"/>
    <s v="HKK-746"/>
    <x v="4"/>
    <x v="53"/>
    <n v="40000"/>
    <n v="24000"/>
    <n v="16000"/>
    <s v="PASTILLAS Y DISCOS"/>
    <m/>
    <n v="280000"/>
    <s v="CANCELADO"/>
  </r>
  <r>
    <x v="7"/>
    <m/>
    <m/>
    <s v="ISUZU "/>
    <s v="SPM-575"/>
    <x v="1"/>
    <x v="54"/>
    <n v="50000"/>
    <n v="30000"/>
    <n v="20000"/>
    <s v="CHUPAS, LIQUIDO, GRASA"/>
    <m/>
    <n v="45000"/>
    <s v="CANCELADO"/>
  </r>
  <r>
    <x v="7"/>
    <m/>
    <m/>
    <s v="WPS-178"/>
    <s v="HINO"/>
    <x v="4"/>
    <x v="6"/>
    <n v="10000"/>
    <n v="6000"/>
    <n v="4000"/>
    <m/>
    <m/>
    <m/>
    <s v="CANCELADO"/>
  </r>
  <r>
    <x v="8"/>
    <m/>
    <m/>
    <s v="FORD"/>
    <s v="RBV-506"/>
    <x v="0"/>
    <x v="25"/>
    <n v="20000"/>
    <n v="12000"/>
    <n v="8000"/>
    <m/>
    <m/>
    <m/>
    <s v="CANCELADO"/>
  </r>
  <r>
    <x v="8"/>
    <s v="F-3-36"/>
    <m/>
    <s v="RENAULT SYMBOL"/>
    <s v="BLT-604"/>
    <x v="4"/>
    <x v="55"/>
    <n v="160000"/>
    <n v="96000"/>
    <n v="64000"/>
    <s v="RETENEDOR, TORNILLOS"/>
    <n v="41000"/>
    <n v="58000"/>
    <s v="CANCELADO"/>
  </r>
  <r>
    <x v="8"/>
    <s v="F-3-35"/>
    <m/>
    <s v="CHEVROLET "/>
    <s v="QGZ-617"/>
    <x v="3"/>
    <x v="56"/>
    <n v="100000"/>
    <n v="60000"/>
    <n v="40000"/>
    <s v="EMPAQUETADURA, TERMINAL, GUARDAPOLVO"/>
    <n v="152600"/>
    <n v="195000"/>
    <s v="CANCELADO"/>
  </r>
  <r>
    <x v="8"/>
    <s v="F-3-35"/>
    <m/>
    <s v="CHEVROLET "/>
    <s v="QGZ-617"/>
    <x v="0"/>
    <x v="57"/>
    <n v="20000"/>
    <n v="12000"/>
    <n v="8000"/>
    <s v="BOMBILLOS"/>
    <m/>
    <n v="45000"/>
    <s v="CANCELADO"/>
  </r>
  <r>
    <x v="8"/>
    <s v="F-3-37"/>
    <m/>
    <s v=" CORSA"/>
    <s v="FLK-249"/>
    <x v="1"/>
    <x v="58"/>
    <n v="25000"/>
    <n v="15000"/>
    <n v="10000"/>
    <s v="CHUPAS, LIQUIDO"/>
    <m/>
    <n v="25000"/>
    <s v="CANCELADO"/>
  </r>
  <r>
    <x v="8"/>
    <m/>
    <m/>
    <s v="CAMION KENWORD"/>
    <m/>
    <x v="5"/>
    <x v="59"/>
    <n v="148000"/>
    <n v="88800"/>
    <n v="59200"/>
    <m/>
    <m/>
    <m/>
    <s v="CANCELADO"/>
  </r>
  <r>
    <x v="9"/>
    <m/>
    <m/>
    <s v="RUNNER"/>
    <s v="IIV-261"/>
    <x v="1"/>
    <x v="60"/>
    <n v="80000"/>
    <n v="48000"/>
    <n v="32000"/>
    <m/>
    <m/>
    <m/>
    <s v="CANCELADO"/>
  </r>
  <r>
    <x v="9"/>
    <s v="F-40"/>
    <m/>
    <s v="FOTON"/>
    <s v="EXX-566"/>
    <x v="4"/>
    <x v="61"/>
    <n v="170000"/>
    <n v="102000"/>
    <n v="68000"/>
    <s v="SPLINDER, ABRAZADERAS, GASOLINA"/>
    <n v="170000"/>
    <n v="196000"/>
    <s v="CANCELADO"/>
  </r>
  <r>
    <x v="9"/>
    <m/>
    <m/>
    <s v="JAC"/>
    <s v="WPS-773"/>
    <x v="1"/>
    <x v="6"/>
    <n v="10000"/>
    <n v="6000"/>
    <n v="4000"/>
    <m/>
    <m/>
    <m/>
    <s v="CANCELADO"/>
  </r>
  <r>
    <x v="10"/>
    <s v="F-379"/>
    <m/>
    <s v="DUSTER"/>
    <s v="WCZ-712"/>
    <x v="0"/>
    <x v="62"/>
    <n v="100000"/>
    <n v="100000"/>
    <n v="40000"/>
    <m/>
    <m/>
    <m/>
    <s v="CANCELADO"/>
  </r>
  <r>
    <x v="10"/>
    <m/>
    <m/>
    <s v="RENAULT BUSETA"/>
    <m/>
    <x v="1"/>
    <x v="63"/>
    <n v="30000"/>
    <n v="18000"/>
    <n v="12000"/>
    <m/>
    <m/>
    <m/>
    <s v="CANCELADO"/>
  </r>
  <r>
    <x v="10"/>
    <m/>
    <m/>
    <s v="JAC"/>
    <s v="ERK-645"/>
    <x v="4"/>
    <x v="64"/>
    <n v="40000"/>
    <n v="24000"/>
    <n v="16000"/>
    <s v="TORNILLO, GRASA, CHUPAS, GASOLINA, SILICONA"/>
    <m/>
    <n v="80000"/>
    <s v="CANCELADO"/>
  </r>
  <r>
    <x v="10"/>
    <s v="F-41"/>
    <m/>
    <s v="MAZDA"/>
    <s v="CTB-623"/>
    <x v="1"/>
    <x v="65"/>
    <n v="130000"/>
    <n v="78000"/>
    <n v="52000"/>
    <s v="BANDAS, CHUPAS"/>
    <n v="25000"/>
    <n v="90000"/>
    <s v="CANCELADO"/>
  </r>
  <r>
    <x v="11"/>
    <s v="f-380"/>
    <m/>
    <s v="FORD 4*4"/>
    <s v="GBM-671"/>
    <x v="1"/>
    <x v="66"/>
    <n v="80000"/>
    <n v="48000"/>
    <n v="32000"/>
    <s v="EXCEDENTE DE BANDAS"/>
    <n v="42000"/>
    <n v="100000"/>
    <s v="CANCELADO"/>
  </r>
  <r>
    <x v="11"/>
    <m/>
    <m/>
    <s v="RENAULT SYMBOL"/>
    <s v="RGU-936"/>
    <x v="1"/>
    <x v="67"/>
    <n v="90000"/>
    <n v="54000"/>
    <n v="36000"/>
    <s v="BOMBA DE FRENO Y LIQUIDO"/>
    <n v="256000"/>
    <n v="350000"/>
    <s v="CANCELADO"/>
  </r>
  <r>
    <x v="11"/>
    <s v="F-381"/>
    <m/>
    <s v="HYUNDAI TUCSON"/>
    <m/>
    <x v="2"/>
    <x v="68"/>
    <n v="100000"/>
    <n v="60000"/>
    <n v="40000"/>
    <s v="BANDAS Y DISCOS"/>
    <n v="404000"/>
    <n v="580000"/>
    <s v="CANCELADO"/>
  </r>
  <r>
    <x v="12"/>
    <m/>
    <m/>
    <s v="CHEVROLET"/>
    <s v="EGZ-958"/>
    <x v="1"/>
    <x v="6"/>
    <n v="10000"/>
    <n v="6000"/>
    <n v="6000"/>
    <m/>
    <m/>
    <m/>
    <s v="CANCELADO"/>
  </r>
  <r>
    <x v="12"/>
    <m/>
    <m/>
    <s v="HYUNDAI"/>
    <s v="ETM-604"/>
    <x v="1"/>
    <x v="6"/>
    <n v="10000"/>
    <n v="6000"/>
    <n v="6000"/>
    <m/>
    <m/>
    <m/>
    <s v="CANCELADO"/>
  </r>
  <r>
    <x v="12"/>
    <m/>
    <m/>
    <s v="MAZDA 323"/>
    <s v="HJI-515"/>
    <x v="3"/>
    <x v="69"/>
    <n v="50000"/>
    <n v="30000"/>
    <n v="20000"/>
    <m/>
    <m/>
    <m/>
    <s v="CANCELADO"/>
  </r>
  <r>
    <x v="13"/>
    <s v="F-3-44"/>
    <m/>
    <s v="TOYOTA"/>
    <s v="BTA-457"/>
    <x v="0"/>
    <x v="70"/>
    <n v="20000"/>
    <n v="12000"/>
    <n v="8000"/>
    <s v="FUSIBLE"/>
    <n v="500"/>
    <n v="1000"/>
    <s v="CANCELADO"/>
  </r>
  <r>
    <x v="13"/>
    <m/>
    <m/>
    <s v="CHEVROLET"/>
    <s v="HTS-113"/>
    <x v="1"/>
    <x v="71"/>
    <n v="30000"/>
    <n v="18000"/>
    <n v="12000"/>
    <m/>
    <m/>
    <m/>
    <s v="CANCELADO"/>
  </r>
  <r>
    <x v="13"/>
    <n v="384"/>
    <m/>
    <s v="GRAN VITARA"/>
    <s v="BC-441"/>
    <x v="1"/>
    <x v="72"/>
    <n v="30000"/>
    <n v="30000"/>
    <n v="12000"/>
    <m/>
    <m/>
    <m/>
    <s v="CANCELADO"/>
  </r>
  <r>
    <x v="13"/>
    <n v="384"/>
    <m/>
    <s v="GRAN VITARA"/>
    <s v="BC-441"/>
    <x v="4"/>
    <x v="73"/>
    <n v="150000"/>
    <n v="90000"/>
    <n v="60000"/>
    <s v="TERMINALES/GUARDAPOLVO/GRASA/GASOLINA"/>
    <n v="80000"/>
    <n v="150000"/>
    <s v="CANCELADO"/>
  </r>
  <r>
    <x v="13"/>
    <n v="385"/>
    <m/>
    <s v="RENAULT"/>
    <s v="JDR-513"/>
    <x v="0"/>
    <x v="74"/>
    <n v="10000"/>
    <n v="6000"/>
    <n v="4000"/>
    <s v="TERMINALES/PORTA FUSIBLE/FUSIBLE"/>
    <n v="4800"/>
    <n v="8000"/>
    <s v="CANCELADO"/>
  </r>
  <r>
    <x v="13"/>
    <s v="F-47"/>
    <m/>
    <s v="NQR"/>
    <s v="WOS-474"/>
    <x v="3"/>
    <x v="75"/>
    <n v="600000"/>
    <n v="360000"/>
    <n v="340000"/>
    <s v="CORREA DE ACCESORIO, SODA CAUSTICA, LIQUIDO ACPM, TORNILLOS"/>
    <n v="63000"/>
    <n v="110000"/>
    <s v="CANCELADO"/>
  </r>
  <r>
    <x v="14"/>
    <s v="F-48"/>
    <m/>
    <s v="TWINGO"/>
    <s v="CKE-173"/>
    <x v="4"/>
    <x v="76"/>
    <n v="100000"/>
    <n v="60000"/>
    <n v="40000"/>
    <s v="EMPAQUETADURA TAPA VALVULA, GASOLINA, SILICONA"/>
    <n v="20000"/>
    <n v="40000"/>
    <s v="CANCELADO"/>
  </r>
  <r>
    <x v="14"/>
    <s v="F-345"/>
    <m/>
    <s v="WILLYS"/>
    <s v="HZJ-233"/>
    <x v="0"/>
    <x v="62"/>
    <n v="100000"/>
    <n v="60000"/>
    <n v="40000"/>
    <m/>
    <m/>
    <m/>
    <s v="CANCELADO"/>
  </r>
  <r>
    <x v="14"/>
    <s v="F-386"/>
    <m/>
    <s v="VOLKSWAGEN"/>
    <s v="JKZ-160"/>
    <x v="1"/>
    <x v="77"/>
    <n v="30000"/>
    <n v="18000"/>
    <n v="12000"/>
    <s v="ESPARRAGOS"/>
    <n v="19000"/>
    <n v="28000"/>
    <s v="CANCELADO"/>
  </r>
  <r>
    <x v="14"/>
    <m/>
    <m/>
    <s v="RENAULT LOGAN"/>
    <s v="RZJ-269"/>
    <x v="1"/>
    <x v="6"/>
    <n v="10000"/>
    <n v="6000"/>
    <n v="4000"/>
    <m/>
    <m/>
    <m/>
    <s v="CANCELADO"/>
  </r>
  <r>
    <x v="15"/>
    <s v="F-3-49"/>
    <m/>
    <s v="CHVROLET  SAIL"/>
    <s v="MHS-478"/>
    <x v="1"/>
    <x v="78"/>
    <n v="40000"/>
    <n v="24000"/>
    <n v="16000"/>
    <s v="TORRE DE AMORTIGUADOR"/>
    <n v="38000"/>
    <n v="55000"/>
    <s v="CANCELADO"/>
  </r>
  <r>
    <x v="15"/>
    <m/>
    <m/>
    <s v="PEUGEOT"/>
    <s v="BMX-676"/>
    <x v="4"/>
    <x v="79"/>
    <n v="120000"/>
    <n v="100000"/>
    <n v="20000"/>
    <m/>
    <m/>
    <m/>
    <s v="CANCELADO"/>
  </r>
  <r>
    <x v="16"/>
    <m/>
    <m/>
    <s v="JMC ISUZU"/>
    <s v="TSM-580"/>
    <x v="2"/>
    <x v="80"/>
    <n v="10000"/>
    <n v="6000"/>
    <n v="4000"/>
    <m/>
    <m/>
    <m/>
    <s v="CANCELADO"/>
  </r>
  <r>
    <x v="16"/>
    <m/>
    <m/>
    <s v="CHEVROLET"/>
    <s v="BSZ-607"/>
    <x v="3"/>
    <x v="81"/>
    <n v="120000"/>
    <n v="72000"/>
    <n v="48000"/>
    <m/>
    <m/>
    <m/>
    <s v="CANCELADO"/>
  </r>
  <r>
    <x v="16"/>
    <s v="F-3-50"/>
    <m/>
    <s v="RENAULT"/>
    <s v="JIC-984"/>
    <x v="1"/>
    <x v="82"/>
    <n v="20000"/>
    <n v="12000"/>
    <n v="8000"/>
    <s v="EMPAQUETADURA BOMBA DE GASOLINA, CHICLERES"/>
    <n v="18000"/>
    <n v="24000"/>
    <s v="CANCELADO"/>
  </r>
  <r>
    <x v="16"/>
    <m/>
    <m/>
    <s v="CHEVROLET"/>
    <s v="TGK-040"/>
    <x v="0"/>
    <x v="83"/>
    <n v="20000"/>
    <n v="12000"/>
    <n v="8000"/>
    <s v="MANGUERA"/>
    <n v="15000"/>
    <n v="20000"/>
    <s v="CANCELADO"/>
  </r>
  <r>
    <x v="16"/>
    <s v="F-3-52"/>
    <m/>
    <s v="CHEVROLET CHEVY"/>
    <s v="BSB-542"/>
    <x v="1"/>
    <x v="84"/>
    <n v="30000"/>
    <n v="18000"/>
    <n v="12000"/>
    <s v="JUEGO DE RESORTES DE BANDAS, PIN"/>
    <n v="41000"/>
    <n v="90000"/>
    <s v="CANCELADO"/>
  </r>
  <r>
    <x v="16"/>
    <s v="F-3-53"/>
    <m/>
    <s v="DODGE JOURNEY"/>
    <s v="HHZ-781"/>
    <x v="1"/>
    <x v="85"/>
    <n v="80000"/>
    <n v="48000"/>
    <n v="32000"/>
    <s v="BRAZOS AXIALES Y TERMINAL"/>
    <n v="245000"/>
    <n v="370000"/>
    <s v="CANCELADO"/>
  </r>
  <r>
    <x v="16"/>
    <s v="F-3-54"/>
    <m/>
    <s v="HINO"/>
    <s v="WFG-235"/>
    <x v="1"/>
    <x v="11"/>
    <n v="70000"/>
    <n v="42000"/>
    <n v="28000"/>
    <s v="PASTILLAS DELANTERAS"/>
    <n v="133000"/>
    <n v="196000"/>
    <s v="CANCELADO"/>
  </r>
  <r>
    <x v="16"/>
    <s v="F-387"/>
    <m/>
    <s v="FOTON"/>
    <s v="SPX-665"/>
    <x v="0"/>
    <x v="86"/>
    <n v="50000"/>
    <n v="30000"/>
    <n v="20000"/>
    <s v="CINTA LED BLANCA"/>
    <n v="19000"/>
    <n v="25000"/>
    <s v="CANCELADO"/>
  </r>
  <r>
    <x v="16"/>
    <m/>
    <m/>
    <s v="VOLKSWAGEN"/>
    <s v="RCJ-448"/>
    <x v="1"/>
    <x v="87"/>
    <n v="60000"/>
    <n v="36000"/>
    <n v="24000"/>
    <s v="RETEN, CHUPAS, GASOLINA, GRASA"/>
    <n v="55000"/>
    <n v="35000"/>
    <s v="CANCELADO"/>
  </r>
  <r>
    <x v="16"/>
    <m/>
    <m/>
    <s v="RENAULT"/>
    <m/>
    <x v="4"/>
    <x v="88"/>
    <n v="30000"/>
    <n v="18000"/>
    <n v="12000"/>
    <m/>
    <m/>
    <m/>
    <s v="CANCELADO"/>
  </r>
  <r>
    <x v="17"/>
    <s v="COTIZACION "/>
    <m/>
    <s v="RENAULT CLIO"/>
    <s v="BJL-826"/>
    <x v="1"/>
    <x v="89"/>
    <n v="60000"/>
    <n v="50000"/>
    <n v="24000"/>
    <s v="MANGUERA DE FRENOS, BANDAS, GRADUACIONES,"/>
    <n v="146051"/>
    <n v="420000"/>
    <s v="CANCELADO"/>
  </r>
  <r>
    <x v="17"/>
    <s v="COTIZACION "/>
    <m/>
    <s v="RENAULT CLIO"/>
    <s v="BJL-826"/>
    <x v="3"/>
    <x v="90"/>
    <n v="100000"/>
    <n v="60000"/>
    <n v="40000"/>
    <s v=" KIT DE REPARTICION"/>
    <m/>
    <m/>
    <s v="CANCELADO"/>
  </r>
  <r>
    <x v="17"/>
    <s v="FACTURA 56"/>
    <m/>
    <s v="JAC"/>
    <s v="ERL-333"/>
    <x v="1"/>
    <x v="91"/>
    <n v="40000"/>
    <n v="24000"/>
    <n v="16000"/>
    <s v="EL CLIENTE TRAJO LAS BANDAS"/>
    <m/>
    <m/>
    <s v="CANCELADO"/>
  </r>
  <r>
    <x v="18"/>
    <s v="FACT-56"/>
    <m/>
    <s v="FOTON"/>
    <s v="SPX-665"/>
    <x v="4"/>
    <x v="92"/>
    <n v="200000"/>
    <n v="120000"/>
    <n v="80000"/>
    <m/>
    <m/>
    <m/>
    <s v="CANCELADO"/>
  </r>
  <r>
    <x v="18"/>
    <m/>
    <m/>
    <s v="SPARK"/>
    <s v="CHEVROLET"/>
    <x v="6"/>
    <x v="27"/>
    <n v="30000"/>
    <n v="30000"/>
    <n v="20000"/>
    <m/>
    <m/>
    <m/>
    <s v="CANCELADO"/>
  </r>
  <r>
    <x v="18"/>
    <m/>
    <m/>
    <s v="SPARK"/>
    <s v="CHEVROLET"/>
    <x v="4"/>
    <x v="93"/>
    <n v="100000"/>
    <n v="60000"/>
    <n v="40000"/>
    <m/>
    <m/>
    <m/>
    <s v="CANCELADO"/>
  </r>
  <r>
    <x v="18"/>
    <m/>
    <m/>
    <s v="MITSUBISHI"/>
    <s v="SKK-862"/>
    <x v="0"/>
    <x v="28"/>
    <n v="35000"/>
    <n v="35000"/>
    <n v="14000"/>
    <m/>
    <m/>
    <m/>
    <s v="CANCELADO"/>
  </r>
  <r>
    <x v="18"/>
    <m/>
    <m/>
    <s v="MITSUBISHI"/>
    <s v="SKK-862"/>
    <x v="1"/>
    <x v="28"/>
    <n v="35000"/>
    <n v="35000"/>
    <n v="14000"/>
    <m/>
    <m/>
    <m/>
    <s v="CANCELADO"/>
  </r>
  <r>
    <x v="18"/>
    <m/>
    <m/>
    <s v="RENAULT CLIO"/>
    <s v="CYV-936"/>
    <x v="3"/>
    <x v="94"/>
    <n v="150000"/>
    <n v="90000"/>
    <n v="60000"/>
    <m/>
    <m/>
    <m/>
    <s v="CANCELADO"/>
  </r>
  <r>
    <x v="18"/>
    <s v="CT- 21"/>
    <m/>
    <s v="NISSAN SENTRA"/>
    <s v="CXV-980"/>
    <x v="1"/>
    <x v="95"/>
    <n v="150000"/>
    <n v="90000"/>
    <n v="60000"/>
    <m/>
    <m/>
    <m/>
    <s v="CANCELADO"/>
  </r>
  <r>
    <x v="18"/>
    <s v="CT-25"/>
    <m/>
    <s v="TOYOTA HILUX"/>
    <s v="RGX-896"/>
    <x v="6"/>
    <x v="96"/>
    <n v="410000"/>
    <n v="246000"/>
    <n v="164000"/>
    <s v="CAJA DE DIRECCION"/>
    <n v="1050000"/>
    <n v="1380000"/>
    <s v="CANCELADO"/>
  </r>
  <r>
    <x v="18"/>
    <s v="CT-18"/>
    <m/>
    <s v="CHERY TIGO"/>
    <s v="WNY-929"/>
    <x v="1"/>
    <x v="45"/>
    <n v="70000"/>
    <n v="42000"/>
    <n v="28000"/>
    <m/>
    <m/>
    <m/>
    <s v="CANCELADO"/>
  </r>
  <r>
    <x v="18"/>
    <s v="CT- 22"/>
    <m/>
    <s v="RENAULT"/>
    <s v="TFQ-819"/>
    <x v="3"/>
    <x v="97"/>
    <n v="200000"/>
    <n v="120000"/>
    <n v="80000"/>
    <m/>
    <m/>
    <m/>
    <s v="CANCELADO"/>
  </r>
  <r>
    <x v="18"/>
    <s v="CT-27"/>
    <m/>
    <s v="NISSAN D21"/>
    <s v="DYQ-134"/>
    <x v="1"/>
    <x v="98"/>
    <n v="50000"/>
    <n v="30000"/>
    <n v="20000"/>
    <s v="GUAYA"/>
    <n v="220000"/>
    <n v="250000"/>
    <s v="CANCELADO"/>
  </r>
  <r>
    <x v="18"/>
    <s v="CT- 27"/>
    <m/>
    <s v="NISSAN D21"/>
    <s v="DYQ-134"/>
    <x v="0"/>
    <x v="99"/>
    <n v="70000"/>
    <n v="42000"/>
    <n v="28000"/>
    <s v="PORTADIODO Y CARBONERA"/>
    <n v="140000"/>
    <n v="150000"/>
    <s v="CANCELADO"/>
  </r>
  <r>
    <x v="18"/>
    <m/>
    <m/>
    <s v="FORD 150"/>
    <s v="FAK-163"/>
    <x v="6"/>
    <x v="100"/>
    <n v="250000"/>
    <n v="150000"/>
    <n v="100000"/>
    <s v="PASTILLAS DELANTERAS, RETENEDOR, BANDAS, GRADUACIONES"/>
    <n v="322000"/>
    <n v="397000"/>
    <s v="CANCELADO"/>
  </r>
  <r>
    <x v="18"/>
    <m/>
    <m/>
    <s v="HINO"/>
    <s v="WNO-408"/>
    <x v="1"/>
    <x v="6"/>
    <n v="10000"/>
    <n v="6000"/>
    <n v="4000"/>
    <m/>
    <m/>
    <m/>
    <s v="CANCELADO"/>
  </r>
  <r>
    <x v="18"/>
    <m/>
    <m/>
    <s v="TURBO NPR"/>
    <s v="SKH-709"/>
    <x v="1"/>
    <x v="101"/>
    <n v="40000"/>
    <n v="24000"/>
    <n v="16000"/>
    <m/>
    <m/>
    <m/>
    <s v="CANCELADO"/>
  </r>
  <r>
    <x v="19"/>
    <m/>
    <m/>
    <s v="CHEVROLET SPARK"/>
    <s v="IIT-735"/>
    <x v="6"/>
    <x v="102"/>
    <n v="10000"/>
    <n v="6000"/>
    <n v="4000"/>
    <m/>
    <m/>
    <m/>
    <s v="CANCELADO"/>
  </r>
  <r>
    <x v="19"/>
    <s v="CT-23"/>
    <m/>
    <s v="MAZDA 3"/>
    <s v="IYN-045"/>
    <x v="6"/>
    <x v="103"/>
    <n v="100000"/>
    <n v="60000"/>
    <n v="40000"/>
    <s v="RODAMIENTOS, GUARDAPOLVO"/>
    <n v="281200"/>
    <n v="410000"/>
    <s v="CANCELADO"/>
  </r>
  <r>
    <x v="19"/>
    <m/>
    <m/>
    <s v="CHEVROLET"/>
    <s v="AEF-028"/>
    <x v="1"/>
    <x v="104"/>
    <n v="100000"/>
    <n v="60000"/>
    <n v="40000"/>
    <m/>
    <m/>
    <m/>
    <s v="CANCELADO"/>
  </r>
  <r>
    <x v="19"/>
    <m/>
    <m/>
    <s v="HYUNDAI"/>
    <n v="72"/>
    <x v="4"/>
    <x v="19"/>
    <n v="450000"/>
    <n v="270000"/>
    <n v="180000"/>
    <m/>
    <m/>
    <m/>
    <s v="CANCELADO"/>
  </r>
  <r>
    <x v="19"/>
    <s v="CT-26"/>
    <m/>
    <s v="CHEVROLET ONIX"/>
    <s v="JIO-052"/>
    <x v="1"/>
    <x v="28"/>
    <n v="50000"/>
    <n v="30000"/>
    <n v="20000"/>
    <m/>
    <m/>
    <m/>
    <s v="CANCELADO"/>
  </r>
  <r>
    <x v="20"/>
    <m/>
    <m/>
    <m/>
    <m/>
    <x v="0"/>
    <x v="105"/>
    <n v="20000"/>
    <n v="12000"/>
    <n v="8000"/>
    <m/>
    <m/>
    <m/>
    <s v="CANCELADO"/>
  </r>
  <r>
    <x v="20"/>
    <m/>
    <m/>
    <s v="KIA"/>
    <s v="DCN-248"/>
    <x v="3"/>
    <x v="106"/>
    <n v="20000"/>
    <n v="12000"/>
    <n v="8000"/>
    <m/>
    <m/>
    <m/>
    <s v="CANCELADO"/>
  </r>
  <r>
    <x v="20"/>
    <m/>
    <m/>
    <s v="RENAULT CLIO"/>
    <s v="BDV-427"/>
    <x v="1"/>
    <x v="45"/>
    <n v="50000"/>
    <n v="30000"/>
    <n v="20000"/>
    <m/>
    <m/>
    <m/>
    <s v="CANCELADO"/>
  </r>
  <r>
    <x v="20"/>
    <m/>
    <m/>
    <s v="CHERY"/>
    <s v="TTO-157"/>
    <x v="6"/>
    <x v="107"/>
    <n v="150000"/>
    <n v="80000"/>
    <n v="60000"/>
    <s v="BUJIAS, FILTRO DE GASOLINA"/>
    <n v="58000"/>
    <n v="75000"/>
    <s v="CANCELADO"/>
  </r>
  <r>
    <x v="20"/>
    <m/>
    <m/>
    <s v="PEUGEOT"/>
    <s v="BJC-966"/>
    <x v="3"/>
    <x v="108"/>
    <n v="300000"/>
    <n v="180000"/>
    <n v="120000"/>
    <s v="KIT DE CLOSH"/>
    <m/>
    <m/>
    <s v="CANCELADO"/>
  </r>
  <r>
    <x v="20"/>
    <m/>
    <m/>
    <s v="FOTON"/>
    <s v="JOX-062"/>
    <x v="4"/>
    <x v="109"/>
    <n v="120000"/>
    <n v="72000"/>
    <n v="48000"/>
    <s v="AMORTIGUADORES, GUARDAPOLVO"/>
    <n v="350000"/>
    <n v="520000"/>
    <s v="CANCELADO"/>
  </r>
  <r>
    <x v="20"/>
    <m/>
    <m/>
    <s v="CAMION"/>
    <s v="CIF-574"/>
    <x v="2"/>
    <x v="80"/>
    <n v="10000"/>
    <n v="6000"/>
    <n v="4000"/>
    <m/>
    <m/>
    <m/>
    <s v="CANCELADO"/>
  </r>
  <r>
    <x v="19"/>
    <m/>
    <m/>
    <s v="NISSAN FRONTIER"/>
    <s v="FWX-911"/>
    <x v="2"/>
    <x v="110"/>
    <n v="150000"/>
    <n v="90000"/>
    <n v="60000"/>
    <m/>
    <m/>
    <m/>
    <s v="CANCELADO"/>
  </r>
  <r>
    <x v="21"/>
    <s v="F-68"/>
    <m/>
    <s v="RENAULT SYMBOL"/>
    <s v="CVL-925"/>
    <x v="6"/>
    <x v="111"/>
    <n v="40000"/>
    <n v="24000"/>
    <n v="16000"/>
    <s v="GRADUACION DE FRENOS, CILINDRO DE FRENOS"/>
    <n v="94000"/>
    <n v="120000"/>
    <s v="CANCELADO"/>
  </r>
  <r>
    <x v="21"/>
    <s v="F-67"/>
    <m/>
    <s v="CHEYENNE"/>
    <s v="BJT-038"/>
    <x v="1"/>
    <x v="46"/>
    <n v="30000"/>
    <n v="18000"/>
    <n v="12000"/>
    <s v="PASTILLAS"/>
    <n v="120000"/>
    <n v="180000"/>
    <s v="CANCELADO"/>
  </r>
  <r>
    <x v="21"/>
    <m/>
    <m/>
    <s v="FREIGHTLINER"/>
    <s v="SXW-201"/>
    <x v="6"/>
    <x v="112"/>
    <n v="80000"/>
    <n v="48000"/>
    <n v="32000"/>
    <m/>
    <m/>
    <m/>
    <s v="CANCELADO"/>
  </r>
  <r>
    <x v="21"/>
    <s v="F-65 / R-2"/>
    <m/>
    <s v="CHEVROLET SAIL"/>
    <s v="UEY-770"/>
    <x v="6"/>
    <x v="113"/>
    <n v="160000"/>
    <n v="96000"/>
    <n v="64000"/>
    <s v="(2) TIJERAS, MUÑECO LADO IZQ"/>
    <n v="275000"/>
    <n v="350000"/>
    <s v="CANCELADO"/>
  </r>
  <r>
    <x v="21"/>
    <m/>
    <m/>
    <s v="NHR"/>
    <s v="WOS-908"/>
    <x v="2"/>
    <x v="6"/>
    <n v="10000"/>
    <n v="6000"/>
    <n v="4000"/>
    <m/>
    <m/>
    <m/>
    <s v="CANCELADO"/>
  </r>
  <r>
    <x v="22"/>
    <s v="F69 /R-1-3"/>
    <m/>
    <s v="CLIO 1ERA SERIE"/>
    <s v="BUL-826"/>
    <x v="3"/>
    <x v="114"/>
    <n v="180000"/>
    <n v="108000"/>
    <n v="72000"/>
    <s v="KIT DE CLOSH, EMPAQUE, INYECTOR, SOPORTE DE CAJA , VALVULINA"/>
    <n v="445000"/>
    <n v="565000"/>
    <s v="CANCELADO"/>
  </r>
  <r>
    <x v="22"/>
    <s v="CT-31"/>
    <m/>
    <s v="FORD 150"/>
    <s v="SYK-627"/>
    <x v="1"/>
    <x v="115"/>
    <n v="30000"/>
    <n v="18000"/>
    <n v="12000"/>
    <s v="BUJES DE MORDAZA"/>
    <n v="28000"/>
    <n v="45000"/>
    <s v="CANCELADO"/>
  </r>
  <r>
    <x v="23"/>
    <m/>
    <m/>
    <s v="CHEVROLET NPR"/>
    <s v="SQW-799"/>
    <x v="1"/>
    <x v="6"/>
    <n v="10000"/>
    <n v="6000"/>
    <n v="4000"/>
    <m/>
    <m/>
    <m/>
    <s v="CANCELADO"/>
  </r>
  <r>
    <x v="23"/>
    <m/>
    <m/>
    <s v="CAMION DE V PATARROYO"/>
    <m/>
    <x v="6"/>
    <x v="6"/>
    <n v="10000"/>
    <n v="6000"/>
    <n v="4000"/>
    <m/>
    <m/>
    <m/>
    <s v="CANCELADO"/>
  </r>
  <r>
    <x v="23"/>
    <s v="F-71 /R-4"/>
    <m/>
    <s v="SPARK"/>
    <s v="KGE-941"/>
    <x v="3"/>
    <x v="41"/>
    <n v="130000"/>
    <n v="78000"/>
    <n v="52000"/>
    <s v="RODAMIENTOS DELANTEROS Y TRASEROS"/>
    <n v="215600"/>
    <n v="310000"/>
    <s v="CANCELADO"/>
  </r>
  <r>
    <x v="23"/>
    <s v="F-71 /R-4"/>
    <m/>
    <s v="SPARK"/>
    <s v="KGE-941"/>
    <x v="6"/>
    <x v="116"/>
    <n v="40000"/>
    <n v="24000"/>
    <n v="16000"/>
    <m/>
    <m/>
    <m/>
    <s v="CANCELADO"/>
  </r>
  <r>
    <x v="23"/>
    <s v="F-74 / R -5"/>
    <m/>
    <s v="RENAULT TRAFICT"/>
    <s v="WCZ-799"/>
    <x v="1"/>
    <x v="117"/>
    <n v="90000"/>
    <n v="54000"/>
    <n v="36000"/>
    <s v="PASTILLAS, DISCOS, LIQUIDO, SERVICIO DE PRENSA"/>
    <n v="601050"/>
    <n v="872000"/>
    <s v="CANCELADO"/>
  </r>
  <r>
    <x v="24"/>
    <m/>
    <m/>
    <s v="DAEWOO"/>
    <s v="CRY-950"/>
    <x v="0"/>
    <x v="118"/>
    <n v="50000"/>
    <n v="30000"/>
    <n v="20000"/>
    <m/>
    <m/>
    <m/>
    <s v="CANCELADO"/>
  </r>
  <r>
    <x v="24"/>
    <s v="F-78 / R1-8"/>
    <m/>
    <s v="RENAULT TWINGO"/>
    <s v="CKF-173"/>
    <x v="6"/>
    <x v="119"/>
    <n v="40000"/>
    <n v="24000"/>
    <n v="16000"/>
    <s v="LIQUIDO DOT 3 240CM"/>
    <n v="4500"/>
    <m/>
    <s v="CANCELADO"/>
  </r>
  <r>
    <x v="24"/>
    <s v="F-75 / R1-6"/>
    <m/>
    <s v="SUZUKI VITARA"/>
    <s v="GDW-136"/>
    <x v="6"/>
    <x v="120"/>
    <n v="80000"/>
    <n v="48000"/>
    <n v="32000"/>
    <s v="PASTILLAS DELANTERAS, TRASERAS, LIQUIDO"/>
    <n v="257757"/>
    <n v="371000"/>
    <s v="CANCELADO"/>
  </r>
  <r>
    <x v="24"/>
    <s v="RM-1-9"/>
    <m/>
    <s v="RENAULT CLIO"/>
    <s v="CYN-936"/>
    <x v="3"/>
    <x v="121"/>
    <n v="380000"/>
    <n v="228000"/>
    <n v="152000"/>
    <m/>
    <m/>
    <m/>
    <s v="CANCELADO"/>
  </r>
  <r>
    <x v="24"/>
    <s v="F-3-77"/>
    <m/>
    <s v="LAND CRUSER"/>
    <s v="CZI-909"/>
    <x v="2"/>
    <x v="122"/>
    <n v="60000"/>
    <n v="36000"/>
    <n v="24000"/>
    <s v="AMORTIGUADORES TRASEROS"/>
    <n v="360000"/>
    <n v="490000"/>
    <s v="CANCELADO"/>
  </r>
  <r>
    <x v="25"/>
    <s v="F-380"/>
    <m/>
    <s v="CHEVROLET SPARK"/>
    <s v="RMT-940"/>
    <x v="6"/>
    <x v="123"/>
    <n v="35000"/>
    <n v="21000"/>
    <n v="14000"/>
    <s v="RODAMIENTOS, BOMBILLO"/>
    <n v="60500"/>
    <n v="81000"/>
    <s v="CANCELADO"/>
  </r>
  <r>
    <x v="25"/>
    <m/>
    <m/>
    <s v="CHEVROLET CHEVY"/>
    <s v="BSB-542"/>
    <x v="1"/>
    <x v="124"/>
    <n v="30000"/>
    <n v="18000"/>
    <n v="12000"/>
    <s v="CACHO, TUERCA, PIN CACHO"/>
    <n v="85000"/>
    <n v="180000"/>
    <s v="CANCELADO"/>
  </r>
  <r>
    <x v="25"/>
    <m/>
    <m/>
    <s v="LAND ROVER"/>
    <s v="ANG-006"/>
    <x v="1"/>
    <x v="125"/>
    <n v="160000"/>
    <n v="96000"/>
    <n v="64000"/>
    <s v="GASOLINA, RODAMIENTOS TRASEROS, RETENEDORES, JUEGO DE BANDAS, SILICONA, PIN CACHO, LIQUIDO DOT3, ABRAZADERAS, EMP BOOSTER"/>
    <n v="23025"/>
    <n v="593000"/>
    <s v="CANCELADO"/>
  </r>
  <r>
    <x v="26"/>
    <m/>
    <m/>
    <s v="RENAULT MEGAN"/>
    <m/>
    <x v="5"/>
    <x v="126"/>
    <n v="120000"/>
    <n v="72000"/>
    <n v="48000"/>
    <m/>
    <m/>
    <m/>
    <s v="CANCELADO"/>
  </r>
  <r>
    <x v="26"/>
    <m/>
    <m/>
    <s v="NHR"/>
    <s v="WHR-195"/>
    <x v="6"/>
    <x v="105"/>
    <n v="45000"/>
    <n v="45000"/>
    <n v="18000"/>
    <m/>
    <m/>
    <m/>
    <s v="CANCELADO"/>
  </r>
  <r>
    <x v="26"/>
    <m/>
    <m/>
    <s v="NHR"/>
    <s v="WHR-195"/>
    <x v="1"/>
    <x v="105"/>
    <n v="45000"/>
    <n v="45000"/>
    <n v="18000"/>
    <m/>
    <m/>
    <m/>
    <s v="CANCELADO"/>
  </r>
  <r>
    <x v="26"/>
    <s v="RM-1-14"/>
    <m/>
    <s v="CHEVROLET BLAZER"/>
    <s v="DBA-195"/>
    <x v="0"/>
    <x v="127"/>
    <n v="80000"/>
    <n v="48000"/>
    <n v="32000"/>
    <m/>
    <m/>
    <m/>
    <s v="CANCELADO"/>
  </r>
  <r>
    <x v="26"/>
    <s v="F-384 / R-15"/>
    <m/>
    <s v="DODGE JOURNEY"/>
    <s v="HHZ-781"/>
    <x v="3"/>
    <x v="128"/>
    <n v="220000"/>
    <n v="132000"/>
    <n v="88000"/>
    <s v="LIMPIEZA INYECTORES, ABRAZADERAS, BUJIAS"/>
    <n v="47000"/>
    <n v="67000"/>
    <s v="CANCELADO"/>
  </r>
  <r>
    <x v="26"/>
    <s v="F-3-82"/>
    <m/>
    <s v="CHEVROLET SAIL"/>
    <s v="DQM-739"/>
    <x v="6"/>
    <x v="129"/>
    <n v="50000"/>
    <n v="30000"/>
    <n v="20000"/>
    <s v="JUEGO DE PASADORES, BOMBILLO H4, BOMBILLO 1034"/>
    <n v="38500"/>
    <n v="110000"/>
    <s v="CANCELADO"/>
  </r>
  <r>
    <x v="26"/>
    <s v="F-3-83"/>
    <m/>
    <s v="VOLQUETA"/>
    <s v="FTJ-542"/>
    <x v="1"/>
    <x v="130"/>
    <n v="100000"/>
    <n v="60000"/>
    <n v="40000"/>
    <s v="GASOLINA, GRASA"/>
    <n v="25000"/>
    <n v="40000"/>
    <s v="CANCELADO"/>
  </r>
  <r>
    <x v="26"/>
    <m/>
    <m/>
    <m/>
    <s v="JEEP"/>
    <x v="0"/>
    <x v="57"/>
    <n v="10000"/>
    <n v="6000"/>
    <n v="4000"/>
    <m/>
    <m/>
    <m/>
    <s v="CANCELADO"/>
  </r>
  <r>
    <x v="27"/>
    <m/>
    <m/>
    <m/>
    <m/>
    <x v="6"/>
    <x v="131"/>
    <n v="30000"/>
    <n v="18000"/>
    <n v="12000"/>
    <m/>
    <m/>
    <m/>
    <s v="CANCELADO"/>
  </r>
  <r>
    <x v="27"/>
    <m/>
    <m/>
    <m/>
    <m/>
    <x v="6"/>
    <x v="132"/>
    <n v="20000"/>
    <n v="12000"/>
    <n v="8000"/>
    <m/>
    <m/>
    <m/>
    <s v="CANCELADO"/>
  </r>
  <r>
    <x v="27"/>
    <m/>
    <m/>
    <s v="DODGE"/>
    <s v="ELE-893"/>
    <x v="6"/>
    <x v="106"/>
    <n v="35000"/>
    <n v="21000"/>
    <n v="14000"/>
    <m/>
    <m/>
    <m/>
    <s v="CANCELADO"/>
  </r>
  <r>
    <x v="27"/>
    <s v="R-1-17"/>
    <m/>
    <s v="JEEP "/>
    <s v="BIO-488"/>
    <x v="0"/>
    <x v="77"/>
    <n v="50000"/>
    <n v="30000"/>
    <n v="20000"/>
    <m/>
    <m/>
    <m/>
    <s v="CANCELADO"/>
  </r>
  <r>
    <x v="27"/>
    <s v="R-1-16"/>
    <m/>
    <s v="CHEVROLET SAMURAI"/>
    <s v="FLO-194"/>
    <x v="1"/>
    <x v="133"/>
    <n v="50000"/>
    <n v="30000"/>
    <n v="20000"/>
    <s v="ARANDELAS"/>
    <m/>
    <n v="5000"/>
    <s v="CANCELADO"/>
  </r>
  <r>
    <x v="27"/>
    <m/>
    <m/>
    <m/>
    <m/>
    <x v="0"/>
    <x v="57"/>
    <n v="10000"/>
    <n v="6000"/>
    <n v="4000"/>
    <m/>
    <m/>
    <m/>
    <s v="CANCELADO"/>
  </r>
  <r>
    <x v="27"/>
    <m/>
    <m/>
    <s v="VOLQUETA"/>
    <m/>
    <x v="1"/>
    <x v="134"/>
    <n v="20000"/>
    <n v="20000"/>
    <n v="8000"/>
    <m/>
    <m/>
    <m/>
    <s v="CANCELADO"/>
  </r>
  <r>
    <x v="28"/>
    <m/>
    <m/>
    <m/>
    <m/>
    <x v="4"/>
    <x v="135"/>
    <n v="15000"/>
    <n v="9000"/>
    <n v="6000"/>
    <m/>
    <m/>
    <m/>
    <s v="CANCELADO"/>
  </r>
  <r>
    <x v="28"/>
    <s v="F-3-90"/>
    <m/>
    <s v="RENAULT MEGAN"/>
    <s v="BTQ-649"/>
    <x v="4"/>
    <x v="136"/>
    <n v="750000"/>
    <n v="450000"/>
    <n v="300000"/>
    <s v="GASOLINA, EMP DE CULTA, SILICONA, BUJIAS, CORREA DE ACCESORIO, PINES PLASTICOS, ABRAZADERAS"/>
    <n v="189000"/>
    <n v="262000"/>
    <s v="CANCELADO"/>
  </r>
  <r>
    <x v="28"/>
    <m/>
    <m/>
    <s v="NKR"/>
    <s v="TFT-701"/>
    <x v="4"/>
    <x v="137"/>
    <n v="90000"/>
    <n v="54000"/>
    <n v="36000"/>
    <m/>
    <m/>
    <m/>
    <s v="CANCELADO"/>
  </r>
  <r>
    <x v="28"/>
    <m/>
    <m/>
    <s v="SANYONG"/>
    <s v="CYL-560"/>
    <x v="6"/>
    <x v="138"/>
    <n v="250000"/>
    <n v="150000"/>
    <n v="100000"/>
    <m/>
    <m/>
    <m/>
    <s v="CANCELADO"/>
  </r>
  <r>
    <x v="28"/>
    <m/>
    <m/>
    <s v="SANYONG"/>
    <s v="CYL-560"/>
    <x v="1"/>
    <x v="139"/>
    <n v="50000"/>
    <n v="30000"/>
    <n v="20000"/>
    <m/>
    <m/>
    <m/>
    <s v="CANCELADO"/>
  </r>
  <r>
    <x v="28"/>
    <m/>
    <m/>
    <s v="VOLKSWAGEN"/>
    <s v="GOL"/>
    <x v="4"/>
    <x v="140"/>
    <n v="20000"/>
    <n v="12000"/>
    <n v="8000"/>
    <s v="CABLE DE ALTA"/>
    <n v="100000"/>
    <n v="110000"/>
    <s v="CANCELADO"/>
  </r>
  <r>
    <x v="28"/>
    <m/>
    <m/>
    <s v="LUV98"/>
    <s v="BJW-839"/>
    <x v="4"/>
    <x v="141"/>
    <n v="30000"/>
    <n v="18000"/>
    <n v="12000"/>
    <s v="ANTIRUIDOS"/>
    <n v="16000"/>
    <n v="38000"/>
    <s v="CANCELADO"/>
  </r>
  <r>
    <x v="28"/>
    <m/>
    <m/>
    <s v="MB"/>
    <s v="BOL-902"/>
    <x v="3"/>
    <x v="142"/>
    <n v="350000"/>
    <n v="210000"/>
    <n v="140000"/>
    <m/>
    <m/>
    <m/>
    <m/>
  </r>
  <r>
    <x v="28"/>
    <m/>
    <m/>
    <s v="FRR"/>
    <s v="WOS-477"/>
    <x v="3"/>
    <x v="143"/>
    <n v="650000"/>
    <n v="390000"/>
    <n v="260000"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n v="0"/>
    <n v="0"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  <r>
    <x v="29"/>
    <m/>
    <m/>
    <m/>
    <m/>
    <x v="7"/>
    <x v="144"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x v="0"/>
    <m/>
    <s v="SAUL BETANCOURT"/>
    <s v="BEU-479"/>
    <s v="CHEVROLET "/>
    <x v="0"/>
    <s v="REVISION DE FRENOS COMPLETO"/>
    <n v="50000"/>
    <n v="35000"/>
    <n v="15000"/>
    <m/>
    <m/>
    <n v="0"/>
    <n v="0"/>
    <m/>
    <n v="0"/>
    <n v="0"/>
    <n v="0"/>
    <n v="0"/>
    <s v="CANCELADO"/>
  </r>
  <r>
    <x v="0"/>
    <m/>
    <s v="VIOLETA ALIERDO"/>
    <s v="NER-493"/>
    <s v="MAZDA 3"/>
    <x v="1"/>
    <s v="CAMBIO DE CORREA"/>
    <n v="50000"/>
    <n v="35000"/>
    <n v="15000"/>
    <s v="CORREA DE AIRE ACOND"/>
    <n v="63000"/>
    <n v="52941.176470588238"/>
    <n v="10058.823529411766"/>
    <n v="50000"/>
    <n v="42016.806722689078"/>
    <n v="7983.1932773109247"/>
    <n v="-2075.6302521008411"/>
    <n v="-10924.36974789916"/>
    <s v="CANCELADO"/>
  </r>
  <r>
    <x v="0"/>
    <s v="RM-109"/>
    <s v="FRANCISCO AZCARATE"/>
    <s v="RZN-555"/>
    <s v="SPARK"/>
    <x v="2"/>
    <s v="ARREGLO DE SUBE VIDRIO"/>
    <n v="150000"/>
    <n v="90000"/>
    <n v="60000"/>
    <s v="TERMINALES, FUSIBLES, CABLE"/>
    <n v="23000"/>
    <n v="19327.731092436974"/>
    <m/>
    <n v="12000"/>
    <m/>
    <n v="0"/>
    <n v="0"/>
    <n v="-11000"/>
    <s v="CANCELADO"/>
  </r>
  <r>
    <x v="0"/>
    <m/>
    <s v="MIGUEL BAUTISTA"/>
    <s v="TSX-986"/>
    <s v="VOLKSWAGEN"/>
    <x v="0"/>
    <s v="GRADUACION DE FRENOS"/>
    <n v="10000"/>
    <n v="7000"/>
    <n v="3000"/>
    <m/>
    <m/>
    <n v="0"/>
    <n v="0"/>
    <m/>
    <n v="0"/>
    <n v="0"/>
    <n v="0"/>
    <n v="0"/>
    <s v="CANCELADO"/>
  </r>
  <r>
    <x v="0"/>
    <m/>
    <s v="EMILIO PAEZ"/>
    <s v="AKG-853"/>
    <s v="DAITHASU"/>
    <x v="2"/>
    <s v="DESVARE/ CHEQUEO DE ARRANQUE"/>
    <n v="30000"/>
    <n v="18000"/>
    <n v="12000"/>
    <m/>
    <m/>
    <n v="0"/>
    <n v="0"/>
    <m/>
    <n v="0"/>
    <n v="0"/>
    <n v="0"/>
    <n v="0"/>
    <s v="CANCELADO"/>
  </r>
  <r>
    <x v="0"/>
    <m/>
    <s v="METALCARGOS"/>
    <s v="GZZ-341"/>
    <s v="NQR"/>
    <x v="2"/>
    <s v="APAGAR BOMBILLO ABS"/>
    <m/>
    <n v="30000"/>
    <n v="-30000"/>
    <m/>
    <m/>
    <n v="0"/>
    <n v="0"/>
    <m/>
    <n v="0"/>
    <n v="0"/>
    <n v="0"/>
    <n v="0"/>
    <s v="CANCELADO"/>
  </r>
  <r>
    <x v="1"/>
    <m/>
    <s v="HUGO MARIÑO"/>
    <s v="WCW-648"/>
    <s v="DFSK"/>
    <x v="1"/>
    <s v="CAMBIO DE MANGUERA Y SENSOR DE OXIGENO"/>
    <n v="50000"/>
    <n v="35000"/>
    <n v="15000"/>
    <m/>
    <m/>
    <n v="0"/>
    <n v="0"/>
    <m/>
    <n v="0"/>
    <n v="0"/>
    <n v="0"/>
    <n v="0"/>
    <s v="CANCELADO"/>
  </r>
  <r>
    <x v="1"/>
    <m/>
    <s v="HUGO MARIÑO"/>
    <s v="WCW-648"/>
    <s v="DFSK"/>
    <x v="2"/>
    <s v="CAMBIO DE PASTILLAS"/>
    <n v="30000"/>
    <n v="18000"/>
    <n v="12000"/>
    <m/>
    <m/>
    <n v="0"/>
    <n v="0"/>
    <m/>
    <n v="0"/>
    <n v="0"/>
    <n v="0"/>
    <n v="0"/>
    <s v="CANCELADO"/>
  </r>
  <r>
    <x v="1"/>
    <s v="RM-112"/>
    <s v="JUAN CAMERO"/>
    <s v="MPQ-345"/>
    <s v="LOGAN"/>
    <x v="0"/>
    <s v="CAMBIO DE GUARDAPOLVO LADO CAJA"/>
    <n v="50000"/>
    <n v="35000"/>
    <n v="15000"/>
    <s v="GUARDAPOLVO"/>
    <n v="10000"/>
    <n v="8403.361344537816"/>
    <n v="1596.6386554621849"/>
    <n v="50000"/>
    <n v="42016.806722689078"/>
    <n v="7983.1932773109247"/>
    <n v="6386.5546218487398"/>
    <n v="33613.445378151257"/>
    <s v="CANCELADO"/>
  </r>
  <r>
    <x v="1"/>
    <s v="RM:110 / FE: 58"/>
    <s v="WILMER HERNANDEZ"/>
    <s v="FNK-342"/>
    <s v="SPARK"/>
    <x v="1"/>
    <s v="CAMBIO DE GUAYA"/>
    <n v="50000"/>
    <n v="35000"/>
    <n v="15000"/>
    <s v="GUAYA "/>
    <m/>
    <n v="0"/>
    <n v="0"/>
    <m/>
    <n v="0"/>
    <n v="0"/>
    <n v="0"/>
    <n v="0"/>
    <s v="CANCELADO"/>
  </r>
  <r>
    <x v="1"/>
    <m/>
    <s v="ALEJANDRO ROJAS"/>
    <s v="FNK-342"/>
    <s v="SPARK"/>
    <x v="0"/>
    <s v="CAMBIO DE PASTILLAS TRASERAS"/>
    <n v="30000"/>
    <n v="21000"/>
    <n v="9000"/>
    <m/>
    <m/>
    <n v="0"/>
    <n v="0"/>
    <m/>
    <n v="0"/>
    <n v="0"/>
    <n v="0"/>
    <n v="0"/>
    <s v="CANCELADO"/>
  </r>
  <r>
    <x v="1"/>
    <m/>
    <s v="JYR CENTRO DE ENSEÑANZA "/>
    <s v="JEQ-870"/>
    <s v="CHEVROLET "/>
    <x v="2"/>
    <s v="ARREGLO DE LUCES"/>
    <n v="30000"/>
    <n v="18000"/>
    <n v="12000"/>
    <m/>
    <m/>
    <n v="0"/>
    <n v="0"/>
    <m/>
    <n v="0"/>
    <n v="0"/>
    <n v="0"/>
    <n v="0"/>
    <s v="CANCELADO"/>
  </r>
  <r>
    <x v="1"/>
    <m/>
    <s v="CESAR IZASA"/>
    <s v="GZZ-2280"/>
    <s v="VOLQUETA"/>
    <x v="2"/>
    <s v="CAMBIO DE FUSIBLE"/>
    <n v="10000"/>
    <n v="6000"/>
    <n v="4000"/>
    <m/>
    <m/>
    <n v="0"/>
    <n v="0"/>
    <m/>
    <n v="0"/>
    <n v="0"/>
    <n v="0"/>
    <n v="0"/>
    <s v="CANCELADO"/>
  </r>
  <r>
    <x v="1"/>
    <m/>
    <s v="RIGOBERTO ALVARADO"/>
    <s v="BKN-911"/>
    <s v="VOLSWAGEN"/>
    <x v="3"/>
    <s v="CAMBIO DE PASTILLAS Y DISCO"/>
    <n v="50000"/>
    <n v="30000"/>
    <n v="20000"/>
    <m/>
    <m/>
    <n v="0"/>
    <n v="0"/>
    <m/>
    <n v="0"/>
    <n v="0"/>
    <n v="0"/>
    <n v="0"/>
    <s v="CANCELADO"/>
  </r>
  <r>
    <x v="1"/>
    <m/>
    <s v="JUAN ACEVEDO"/>
    <s v="EFX-747"/>
    <s v="CHEVROLET "/>
    <x v="0"/>
    <s v="REVISION DE FRENOS DELANTEROS"/>
    <n v="30000"/>
    <n v="21000"/>
    <n v="9000"/>
    <m/>
    <m/>
    <n v="0"/>
    <n v="0"/>
    <m/>
    <n v="0"/>
    <n v="0"/>
    <n v="0"/>
    <n v="0"/>
    <s v="CANCELADO"/>
  </r>
  <r>
    <x v="1"/>
    <m/>
    <s v="VICENTE OPATARROYO"/>
    <m/>
    <s v="CHEVROLET "/>
    <x v="0"/>
    <s v="GRADAUCION DE FRENOS"/>
    <n v="10000"/>
    <n v="7000"/>
    <n v="3000"/>
    <m/>
    <m/>
    <n v="0"/>
    <n v="0"/>
    <m/>
    <n v="0"/>
    <n v="0"/>
    <n v="0"/>
    <n v="0"/>
    <s v="CANCELADO"/>
  </r>
  <r>
    <x v="2"/>
    <m/>
    <s v="PATRICIA CONTRERAS"/>
    <s v="RJS-738"/>
    <s v="AVEO"/>
    <x v="0"/>
    <s v="CAMBIO DE SDISCOS, PASTILLAS, BUJES, AMORTIGUADORES, BRAZOS AXIALES, MUÑECOS, TERMINALES DE DIRECCION"/>
    <n v="300000"/>
    <n v="210000"/>
    <n v="90000"/>
    <s v="DISCOS, PASTILLAS, TIJERAS, BUJES, AMORTIGUADORES, BRAZOS AXIALES, MUÑECOS, TERMINALES DE DIRECCION"/>
    <n v="827555.3"/>
    <n v="695424.62184873957"/>
    <n v="132130.67815126051"/>
    <n v="1330000"/>
    <n v="1117647.0588235294"/>
    <n v="212352.9411764706"/>
    <n v="80222.263025210093"/>
    <n v="422222.43697478983"/>
    <s v="CANCELADO"/>
  </r>
  <r>
    <x v="2"/>
    <m/>
    <s v="JHON CERVANTES"/>
    <s v="HCN-571"/>
    <s v="CH-SONIC"/>
    <x v="0"/>
    <s v="REVISION DE FRENOS COMPLETO- CAMBIO DE CAMPANAS-CAMBIO DE ESPARRAGOS"/>
    <n v="80000"/>
    <n v="56000"/>
    <n v="24000"/>
    <s v="ESPARRAGOS Y TUERCA"/>
    <n v="14900"/>
    <n v="12521.008403361346"/>
    <n v="2378.9915966386557"/>
    <n v="10000"/>
    <n v="8403.361344537816"/>
    <n v="1596.6386554621849"/>
    <n v="-782.35294117647072"/>
    <n v="-4117.6470588235297"/>
    <s v="CANCELADO"/>
  </r>
  <r>
    <x v="2"/>
    <m/>
    <s v="JUAN MANUEL RESTREPO"/>
    <s v="IBX-943"/>
    <s v="CHEVY"/>
    <x v="3"/>
    <s v="CAMBIO DE DISCOS DEL"/>
    <n v="40000"/>
    <n v="24000"/>
    <n v="16000"/>
    <m/>
    <m/>
    <n v="0"/>
    <n v="0"/>
    <m/>
    <n v="0"/>
    <n v="0"/>
    <n v="0"/>
    <n v="0"/>
    <s v="CANCELADO"/>
  </r>
  <r>
    <x v="2"/>
    <m/>
    <s v="JAIME MONCADA"/>
    <s v="SKK-862"/>
    <s v="MITSUBISHI"/>
    <x v="0"/>
    <s v="GRADUAR FRENOS"/>
    <n v="10000"/>
    <n v="7000"/>
    <n v="3000"/>
    <m/>
    <m/>
    <n v="0"/>
    <n v="0"/>
    <m/>
    <n v="0"/>
    <n v="0"/>
    <n v="0"/>
    <n v="0"/>
    <s v="CANCELADO"/>
  </r>
  <r>
    <x v="2"/>
    <m/>
    <m/>
    <m/>
    <m/>
    <x v="2"/>
    <s v="GRADUAR FRENOS"/>
    <n v="10000"/>
    <n v="6000"/>
    <n v="4000"/>
    <s v="LIQUIDO"/>
    <n v="5000"/>
    <n v="4201.680672268908"/>
    <n v="798.31932773109247"/>
    <n v="10000"/>
    <n v="8403.361344537816"/>
    <n v="1596.6386554621849"/>
    <n v="798.31932773109247"/>
    <n v="4201.6806722689071"/>
    <s v="CANCELADO"/>
  </r>
  <r>
    <x v="3"/>
    <m/>
    <s v="RICARDO SALGADO"/>
    <s v="KDR-175"/>
    <s v="MAZDA5"/>
    <x v="3"/>
    <s v="MONTAR ALTERNADOR"/>
    <n v="80000"/>
    <n v="48000"/>
    <n v="32000"/>
    <m/>
    <m/>
    <n v="0"/>
    <n v="0"/>
    <m/>
    <n v="0"/>
    <n v="0"/>
    <n v="0"/>
    <n v="0"/>
    <s v="CANCELADO"/>
  </r>
  <r>
    <x v="3"/>
    <m/>
    <s v="ANDRES SOCHA"/>
    <s v="EXX-566"/>
    <s v="FOTON"/>
    <x v="0"/>
    <s v="GRADUAR FRENOS "/>
    <n v="10000"/>
    <n v="7000"/>
    <n v="3000"/>
    <m/>
    <m/>
    <n v="0"/>
    <n v="0"/>
    <m/>
    <n v="0"/>
    <n v="0"/>
    <n v="0"/>
    <n v="0"/>
    <s v="CANCELADO"/>
  </r>
  <r>
    <x v="3"/>
    <m/>
    <s v="YEISON MARTINEZ"/>
    <s v="GSQ-417"/>
    <s v="RENAULT KWIO"/>
    <x v="3"/>
    <s v="MATTO COMPLETO/ CAMBIO DE DISCOS, PASTILLAS, TIJERAS SOPORTE DE CAJA"/>
    <n v="190000"/>
    <n v="114000"/>
    <n v="76000"/>
    <s v="PASTILLAS, DISCOS, SOPORTE DE CAJA, TIJERAS"/>
    <n v="900000"/>
    <n v="756302.52100840339"/>
    <n v="143697.47899159664"/>
    <n v="1130000"/>
    <n v="949579.83193277312"/>
    <n v="180420.16806722688"/>
    <n v="36722.689075630245"/>
    <n v="693277.31092436973"/>
    <s v="CANCELADO"/>
  </r>
  <r>
    <x v="3"/>
    <m/>
    <s v="JOSE TRIANA "/>
    <s v="ERK-645"/>
    <s v="JAC"/>
    <x v="0"/>
    <s v="GRADUAR FRENOS"/>
    <n v="10000"/>
    <n v="7000"/>
    <n v="3000"/>
    <m/>
    <m/>
    <n v="0"/>
    <n v="0"/>
    <m/>
    <n v="0"/>
    <n v="0"/>
    <n v="0"/>
    <n v="0"/>
    <s v="CANCELADO"/>
  </r>
  <r>
    <x v="4"/>
    <m/>
    <s v="AGUSTIN ESPINOZA"/>
    <s v="SMD-478"/>
    <s v="BANZ"/>
    <x v="1"/>
    <s v="CAMBIO DE RETENEDOR DE CUPLIN"/>
    <n v="30000"/>
    <n v="21000"/>
    <n v="9000"/>
    <m/>
    <m/>
    <n v="0"/>
    <n v="0"/>
    <m/>
    <n v="0"/>
    <n v="0"/>
    <n v="0"/>
    <n v="0"/>
    <s v="CANCELADO"/>
  </r>
  <r>
    <x v="4"/>
    <m/>
    <s v="VICENTE COJO"/>
    <s v="DODGE"/>
    <s v="DXD-905"/>
    <x v="0"/>
    <s v="RECALZAR BNADAS TRASERAS"/>
    <n v="40000"/>
    <n v="40000"/>
    <n v="0"/>
    <s v="JUEGO DE BLOQUES"/>
    <n v="115000"/>
    <n v="96638.655462184877"/>
    <n v="18361.344537815126"/>
    <n v="140000"/>
    <n v="117647.05882352941"/>
    <n v="22352.941176470587"/>
    <n v="3991.596638655461"/>
    <n v="21008.403361344535"/>
    <s v="CANCELADO"/>
  </r>
  <r>
    <x v="4"/>
    <s v="RM:119"/>
    <s v="IVAN LOPEZ"/>
    <s v="AVEO"/>
    <s v="RCR-206"/>
    <x v="0"/>
    <s v="CAMBIO DE ESPARRAGOS"/>
    <n v="50000"/>
    <n v="35000"/>
    <n v="15000"/>
    <m/>
    <m/>
    <n v="0"/>
    <n v="0"/>
    <m/>
    <n v="0"/>
    <n v="0"/>
    <n v="0"/>
    <n v="0"/>
    <s v="CANCELADO"/>
  </r>
  <r>
    <x v="4"/>
    <m/>
    <s v="DISNY AMIN"/>
    <s v="SUBARU"/>
    <s v="CXK-558"/>
    <x v="3"/>
    <s v="CAMBIO DE BUJES DE TIJERAS DEL/ CAMBIO BUJES BARRA ESTABILIZADORA"/>
    <n v="140000"/>
    <n v="84000"/>
    <n v="56000"/>
    <m/>
    <m/>
    <n v="0"/>
    <n v="0"/>
    <m/>
    <n v="0"/>
    <n v="0"/>
    <n v="0"/>
    <n v="0"/>
    <s v="CANCELADO"/>
  </r>
  <r>
    <x v="5"/>
    <m/>
    <s v="ANDRES NIVIAYO"/>
    <s v="VOLKWAGEN"/>
    <s v="XGD-673"/>
    <x v="0"/>
    <s v="CAMBIO DE PASTILLAS DEL"/>
    <n v="40000"/>
    <n v="24000"/>
    <n v="16000"/>
    <m/>
    <m/>
    <n v="0"/>
    <n v="0"/>
    <m/>
    <n v="0"/>
    <n v="0"/>
    <n v="0"/>
    <n v="0"/>
    <s v="CANCELADO"/>
  </r>
  <r>
    <x v="5"/>
    <m/>
    <m/>
    <m/>
    <m/>
    <x v="2"/>
    <s v="DESVARE"/>
    <n v="50000"/>
    <n v="30000"/>
    <n v="20000"/>
    <m/>
    <m/>
    <n v="0"/>
    <n v="0"/>
    <m/>
    <n v="0"/>
    <n v="0"/>
    <n v="0"/>
    <n v="0"/>
    <s v="CANCELADO"/>
  </r>
  <r>
    <x v="5"/>
    <m/>
    <s v="CARLOS PEDROZA"/>
    <s v="KAT-796"/>
    <s v="MAZDA 2"/>
    <x v="0"/>
    <s v="CAMBIO DE BUJES DE TIJERA/ CAMBIO DE BRAZOS A AXIALES/ TERMINALES/ CAMBIO DE COPA CAJA "/>
    <n v="220000"/>
    <n v="154000"/>
    <n v="66000"/>
    <m/>
    <m/>
    <n v="0"/>
    <n v="0"/>
    <m/>
    <n v="0"/>
    <n v="0"/>
    <n v="0"/>
    <n v="0"/>
    <s v="CANCELADO"/>
  </r>
  <r>
    <x v="5"/>
    <s v="RM:125"/>
    <s v="CARLOS PEDROZA"/>
    <s v="KAT-796"/>
    <s v="MAZDA 2"/>
    <x v="1"/>
    <s v="REPARACION PARCIAL MOTOR"/>
    <n v="900000"/>
    <n v="630000"/>
    <n v="270000"/>
    <m/>
    <m/>
    <n v="0"/>
    <n v="0"/>
    <m/>
    <n v="0"/>
    <n v="0"/>
    <n v="0"/>
    <n v="0"/>
    <s v="CANCELADO"/>
  </r>
  <r>
    <x v="5"/>
    <m/>
    <s v="ALEJANDRO ROMERO"/>
    <s v="UDL-913"/>
    <s v="MAZDA 5"/>
    <x v="0"/>
    <s v="CAMBIO DE PASTILLAS DELANTERAS Y TRASERAS"/>
    <n v="80000"/>
    <n v="56000"/>
    <n v="24000"/>
    <s v="PASTILLAS DELANTERAS Y TRASERAS"/>
    <n v="312000"/>
    <n v="262184.87394957984"/>
    <n v="49815.126050420171"/>
    <n v="371000"/>
    <n v="311764.70588235295"/>
    <n v="59235.294117647063"/>
    <n v="9420.1680672268922"/>
    <n v="49579.831932773115"/>
    <s v="CANCELADO"/>
  </r>
  <r>
    <x v="5"/>
    <m/>
    <s v="JULIO DUARTE"/>
    <s v="BUW-614"/>
    <s v="HILUX"/>
    <x v="1"/>
    <s v="REPARACION DE MOTOR"/>
    <n v="1000000"/>
    <n v="700000"/>
    <n v="300000"/>
    <m/>
    <n v="1604000"/>
    <m/>
    <n v="0"/>
    <n v="2772000"/>
    <n v="2329411.7647058824"/>
    <n v="442588.23529411765"/>
    <n v="442588.23529411765"/>
    <n v="725411.76470588241"/>
    <m/>
  </r>
  <r>
    <x v="5"/>
    <m/>
    <s v="JULIO DUARTE"/>
    <s v="BUW-614"/>
    <s v="HILUX"/>
    <x v="2"/>
    <s v="MATTO DE ALTERNADOR Y ARRANQUE"/>
    <n v="100000"/>
    <n v="60000"/>
    <n v="40000"/>
    <m/>
    <m/>
    <n v="0"/>
    <n v="0"/>
    <m/>
    <n v="0"/>
    <n v="0"/>
    <n v="0"/>
    <n v="0"/>
    <m/>
  </r>
  <r>
    <x v="6"/>
    <m/>
    <m/>
    <s v="DBT-851"/>
    <m/>
    <x v="2"/>
    <s v="CAMBIO DE ESPARRAGOS"/>
    <n v="30000"/>
    <n v="18000"/>
    <n v="12000"/>
    <m/>
    <m/>
    <n v="0"/>
    <n v="0"/>
    <m/>
    <n v="0"/>
    <n v="0"/>
    <n v="0"/>
    <n v="0"/>
    <m/>
  </r>
  <r>
    <x v="6"/>
    <s v="RM:124"/>
    <s v="ALVARO VARGAS"/>
    <s v="WNN-834"/>
    <s v="NHR"/>
    <x v="4"/>
    <s v="MATTO FRENO DE AHOGO"/>
    <n v="60000"/>
    <n v="42000"/>
    <n v="18000"/>
    <m/>
    <m/>
    <n v="0"/>
    <n v="0"/>
    <m/>
    <n v="0"/>
    <n v="0"/>
    <n v="0"/>
    <n v="0"/>
    <m/>
  </r>
  <r>
    <x v="6"/>
    <m/>
    <s v="JAIME RODRIGUEZ"/>
    <s v="HIUNDAY"/>
    <s v="NDQ-997"/>
    <x v="4"/>
    <s v="CAMBIO DE PASTILLAS FRENOS DE MANO Y PASTILLAS "/>
    <n v="60000"/>
    <n v="60000"/>
    <n v="0"/>
    <m/>
    <m/>
    <n v="0"/>
    <n v="0"/>
    <m/>
    <n v="0"/>
    <n v="0"/>
    <n v="0"/>
    <n v="0"/>
    <s v="CANCELADO"/>
  </r>
  <r>
    <x v="7"/>
    <s v="RM:128"/>
    <s v="JUAN CAMERO"/>
    <s v="RENAULT"/>
    <s v="MPQ-345"/>
    <x v="2"/>
    <s v="CAMBIO DE PASTILLAS DELANTERAS"/>
    <n v="20000"/>
    <n v="18000"/>
    <n v="2000"/>
    <m/>
    <m/>
    <n v="0"/>
    <n v="0"/>
    <m/>
    <n v="0"/>
    <n v="0"/>
    <n v="0"/>
    <n v="0"/>
    <m/>
  </r>
  <r>
    <x v="7"/>
    <s v="FE:  63"/>
    <s v="OLIMPIA HERNANDEZ"/>
    <s v="HINO"/>
    <s v="TGK-439"/>
    <x v="4"/>
    <s v="BAJAR MUELLES DEL IZQ, CAMBIO DE BUJES DE AMORTIGUADOR Y TIJERAS"/>
    <n v="150000"/>
    <n v="105000"/>
    <n v="45000"/>
    <m/>
    <m/>
    <n v="0"/>
    <n v="0"/>
    <m/>
    <n v="0"/>
    <n v="0"/>
    <n v="0"/>
    <n v="0"/>
    <m/>
  </r>
  <r>
    <x v="7"/>
    <m/>
    <s v="EDUARDO GAMBOA"/>
    <s v="MITSUBISHI"/>
    <s v="BLU-451"/>
    <x v="1"/>
    <s v="CAMBIO DE CORREA DE ACCESORIO"/>
    <n v="20000"/>
    <n v="14000"/>
    <n v="6000"/>
    <m/>
    <m/>
    <n v="0"/>
    <n v="0"/>
    <m/>
    <n v="0"/>
    <n v="0"/>
    <n v="0"/>
    <n v="0"/>
    <m/>
  </r>
  <r>
    <x v="7"/>
    <m/>
    <s v="SAUL BETANCOURT"/>
    <s v="LUV2300"/>
    <s v="BEU-479"/>
    <x v="5"/>
    <s v="CAMBIO DE PASADORES DE MORDAZA"/>
    <n v="40000"/>
    <n v="28000"/>
    <n v="12000"/>
    <s v="PASADORES"/>
    <n v="70000"/>
    <n v="58823.529411764706"/>
    <n v="11176.470588235294"/>
    <n v="100000"/>
    <n v="84033.613445378156"/>
    <n v="15966.386554621849"/>
    <n v="4789.9159663865557"/>
    <n v="25210.084033613442"/>
    <m/>
  </r>
  <r>
    <x v="7"/>
    <m/>
    <s v="LORENZO FRANCO"/>
    <s v="HILUX"/>
    <s v="FJW-543"/>
    <x v="3"/>
    <s v="CAMBIO DE PASTILLAS Y RECTIFICACION DE DISCOS"/>
    <n v="60000"/>
    <n v="36000"/>
    <n v="24000"/>
    <s v="PASTILLAS"/>
    <n v="170000"/>
    <n v="142857.14285714287"/>
    <n v="27142.857142857145"/>
    <n v="240000"/>
    <n v="201680.67226890757"/>
    <n v="38319.327731092439"/>
    <n v="11176.470588235294"/>
    <n v="58823.529411764699"/>
    <m/>
  </r>
  <r>
    <x v="7"/>
    <s v="FE: 634"/>
    <s v="RYD JARDINEROS "/>
    <s v="JAC"/>
    <s v="TSM-325"/>
    <x v="4"/>
    <s v="REVISION DE FRENOS COMPLETO"/>
    <n v="100000"/>
    <n v="70000"/>
    <n v="30000"/>
    <m/>
    <m/>
    <n v="0"/>
    <n v="0"/>
    <m/>
    <n v="0"/>
    <n v="0"/>
    <n v="0"/>
    <n v="0"/>
    <m/>
  </r>
  <r>
    <x v="7"/>
    <s v="RM: 129"/>
    <s v="INDUSTRIAL DE ACEROS JV SAS"/>
    <s v="BUSETA "/>
    <s v="TLO-471"/>
    <x v="5"/>
    <s v="CAMBIO DE TIJERAS-CAMBIO DE BUJES BARRA ESTABILIZADORA-BUJES DE TEMPLETES-MUÑECOS-CAMBIO DE CILINDRO DE FRENOS-LIQUIDO DE FRENO- MTTO DE FRENOS"/>
    <n v="350000"/>
    <n v="244999.99999999997"/>
    <n v="105000.00000000003"/>
    <m/>
    <m/>
    <n v="0"/>
    <n v="0"/>
    <m/>
    <n v="0"/>
    <n v="0"/>
    <n v="0"/>
    <n v="0"/>
    <m/>
  </r>
  <r>
    <x v="7"/>
    <s v="RM: 129"/>
    <s v="INDUSTRIAL DE ACEROS JV SAS"/>
    <s v="BUSETA "/>
    <s v="TLO-471"/>
    <x v="2"/>
    <s v="MANTENIMIENTO DE ARRANQUE-- MATTO DE LUCES"/>
    <n v="130000"/>
    <n v="78000"/>
    <n v="52000"/>
    <m/>
    <m/>
    <n v="0"/>
    <n v="0"/>
    <m/>
    <n v="0"/>
    <n v="0"/>
    <n v="0"/>
    <n v="0"/>
    <m/>
  </r>
  <r>
    <x v="7"/>
    <m/>
    <s v="CAMILO JARAMILLO"/>
    <s v="MEGAN"/>
    <s v="DBT-851"/>
    <x v="1"/>
    <s v="CAMBIO DE KIT DE REPARTICION / EMPAQUE DE ADMISION /MANGUERA PURIFICADOR DE AIRE/ TAPONES DE LEVA"/>
    <n v="420000"/>
    <n v="294000"/>
    <n v="126000"/>
    <s v="KIT DE REPARTICION-EMPAQUE DE ADMISION-MANGUERA PURIFICADOR DE AIRE-TAPONES DE LEVA-GASOLINA"/>
    <n v="343000"/>
    <n v="288235.29411764705"/>
    <n v="54764.705882352937"/>
    <n v="425000"/>
    <m/>
    <n v="0"/>
    <m/>
    <n v="82000"/>
    <m/>
  </r>
  <r>
    <x v="8"/>
    <m/>
    <s v="JIMMY GALINDO"/>
    <s v="KIA"/>
    <s v="DBI-490"/>
    <x v="5"/>
    <s v="MANTENIMEINTO COMPLETO DE FRENOS /CAMBIO DE LIQUIDO"/>
    <n v="120000"/>
    <n v="84000"/>
    <n v="36000"/>
    <s v="LIQUIDO"/>
    <n v="12000"/>
    <n v="10084.033613445379"/>
    <n v="1915.966386554622"/>
    <n v="24000"/>
    <n v="20168.067226890758"/>
    <n v="3831.932773109244"/>
    <n v="1915.966386554622"/>
    <n v="10084.033613445377"/>
    <m/>
  </r>
  <r>
    <x v="8"/>
    <m/>
    <s v="JIMMY GALINDO"/>
    <s v="KIA"/>
    <s v="DBI-490"/>
    <x v="2"/>
    <s v="CAMBIO DE BOMBILLO"/>
    <n v="10000"/>
    <n v="6000"/>
    <n v="4000"/>
    <m/>
    <m/>
    <n v="0"/>
    <n v="0"/>
    <m/>
    <n v="0"/>
    <n v="0"/>
    <n v="0"/>
    <n v="0"/>
    <m/>
  </r>
  <r>
    <x v="8"/>
    <m/>
    <m/>
    <s v="SKI-838"/>
    <s v="NPR"/>
    <x v="2"/>
    <s v="CAMBIO KIT  BOMBA EMBRAGUE"/>
    <n v="45000"/>
    <n v="27000"/>
    <n v="18000"/>
    <s v="KIT BOMBA EMBRAGUE"/>
    <n v="15000"/>
    <n v="12605.042016806723"/>
    <n v="2394.9579831932774"/>
    <n v="35000"/>
    <n v="29411.764705882353"/>
    <n v="5588.2352941176468"/>
    <n v="3193.2773109243694"/>
    <n v="16806.722689075632"/>
    <m/>
  </r>
  <r>
    <x v="9"/>
    <m/>
    <m/>
    <s v="HINO"/>
    <s v="SZP-145"/>
    <x v="3"/>
    <s v="CAMBIO DE MANGUERA"/>
    <n v="30000"/>
    <n v="18000"/>
    <n v="12000"/>
    <m/>
    <m/>
    <n v="0"/>
    <n v="0"/>
    <m/>
    <n v="0"/>
    <n v="0"/>
    <n v="0"/>
    <n v="0"/>
    <m/>
  </r>
  <r>
    <x v="9"/>
    <s v="RM:135"/>
    <s v="VICENTE PATARROYO"/>
    <s v="CHEVROLET"/>
    <s v="MAO-470"/>
    <x v="3"/>
    <s v="REVISION DE LUCES"/>
    <n v="50000"/>
    <n v="30000"/>
    <n v="20000"/>
    <m/>
    <m/>
    <n v="0"/>
    <n v="0"/>
    <m/>
    <n v="0"/>
    <n v="0"/>
    <n v="0"/>
    <n v="0"/>
    <m/>
  </r>
  <r>
    <x v="9"/>
    <s v="RM:135"/>
    <s v="VICENTE PATARROYO"/>
    <s v="CHEVROLET"/>
    <s v="MAO-470"/>
    <x v="4"/>
    <s v="REVISION GENERAL DE FRENOS/ CAMBIO DE CILINDRO TRASERO IZQ/ REVISAR MANGUERA PRESION ACEITE"/>
    <n v="120000"/>
    <n v="84000"/>
    <n v="36000"/>
    <m/>
    <m/>
    <n v="0"/>
    <n v="0"/>
    <m/>
    <n v="0"/>
    <n v="0"/>
    <n v="0"/>
    <n v="0"/>
    <m/>
  </r>
  <r>
    <x v="9"/>
    <s v="RM:136"/>
    <s v="JULIO DUARTE"/>
    <s v="BUW-614"/>
    <s v="HILUX"/>
    <x v="1"/>
    <s v="CAMBIO SOPORTE CARDAN"/>
    <n v="50000"/>
    <n v="35000"/>
    <n v="15000"/>
    <m/>
    <m/>
    <n v="0"/>
    <n v="0"/>
    <m/>
    <n v="0"/>
    <n v="0"/>
    <n v="0"/>
    <n v="0"/>
    <m/>
  </r>
  <r>
    <x v="10"/>
    <m/>
    <s v="ALEJANDRO MARTIN"/>
    <s v="RNN-506"/>
    <s v="SPARK"/>
    <x v="3"/>
    <s v="CAMBIO DE TIJERAS- Y BUJES DE LA BARRA ESTABILIZADORA"/>
    <n v="100000"/>
    <n v="60000"/>
    <n v="40000"/>
    <m/>
    <m/>
    <m/>
    <m/>
    <m/>
    <m/>
    <m/>
    <m/>
    <m/>
    <m/>
  </r>
  <r>
    <x v="10"/>
    <m/>
    <m/>
    <s v="CFG-298"/>
    <m/>
    <x v="1"/>
    <s v="CAMBIO DE BOMBA DE AGUA / CORREGIR FUGA DE ACEITE"/>
    <n v="420000"/>
    <n v="294000"/>
    <n v="126000"/>
    <m/>
    <m/>
    <m/>
    <m/>
    <m/>
    <m/>
    <m/>
    <m/>
    <m/>
    <m/>
  </r>
  <r>
    <x v="11"/>
    <m/>
    <s v="CARLOS PEDROZA"/>
    <s v="KAT-796"/>
    <s v="MAZDA2"/>
    <x v="0"/>
    <s v="CAMBIO DE TOPES DE AMORTIGUADOR"/>
    <n v="80000"/>
    <n v="56000"/>
    <n v="24000"/>
    <m/>
    <m/>
    <n v="0"/>
    <n v="0"/>
    <m/>
    <n v="0"/>
    <n v="0"/>
    <n v="0"/>
    <n v="0"/>
    <m/>
  </r>
  <r>
    <x v="10"/>
    <m/>
    <m/>
    <m/>
    <s v="BUSETA"/>
    <x v="4"/>
    <s v="GRADUACION DE FRENOS"/>
    <n v="15000"/>
    <n v="10500"/>
    <n v="4500"/>
    <m/>
    <m/>
    <n v="0"/>
    <n v="0"/>
    <m/>
    <n v="0"/>
    <n v="0"/>
    <n v="0"/>
    <n v="0"/>
    <m/>
  </r>
  <r>
    <x v="10"/>
    <m/>
    <s v="MIGUEL BAUTISTA"/>
    <s v="XJA-514"/>
    <s v="HINO"/>
    <x v="4"/>
    <s v="GRADUACION DE FRENOS"/>
    <n v="10000"/>
    <n v="7000"/>
    <n v="3000"/>
    <s v="PINTA DE LIQUIDO"/>
    <n v="5000"/>
    <n v="4201.680672268908"/>
    <n v="798.31932773109247"/>
    <n v="12000"/>
    <n v="10084.033613445379"/>
    <n v="1915.966386554622"/>
    <n v="1117.6470588235295"/>
    <n v="5882.3529411764703"/>
    <m/>
  </r>
  <r>
    <x v="10"/>
    <m/>
    <s v="RODRRIGO CALA "/>
    <s v="HJX-938"/>
    <s v="CHEVROLET TRAVERSE"/>
    <x v="3"/>
    <s v="CAMBIO DE LIQUIDO/ REVISION DE FRENOS/ FRENO DE MANO/ CAMBIO DE AMORTIGUADORE/PASTILLAS"/>
    <n v="150000"/>
    <n v="90000"/>
    <n v="60000"/>
    <s v="PASTILLAS / AMORTIGUADORES"/>
    <n v="538000"/>
    <n v="452100.84033613448"/>
    <n v="85899.159663865546"/>
    <n v="800000"/>
    <n v="672268.90756302525"/>
    <n v="127731.0924369748"/>
    <n v="41831.932773109249"/>
    <n v="220168.06722689071"/>
    <m/>
  </r>
  <r>
    <x v="10"/>
    <m/>
    <s v="RODRRIGO CALA "/>
    <s v="HJX-938"/>
    <s v="CHEVROLET TRAVERSE"/>
    <x v="4"/>
    <s v="SERVICIO DE ESCANER"/>
    <n v="50000"/>
    <n v="35000"/>
    <n v="15000"/>
    <m/>
    <m/>
    <n v="0"/>
    <n v="0"/>
    <m/>
    <n v="0"/>
    <n v="0"/>
    <n v="0"/>
    <n v="0"/>
    <m/>
  </r>
  <r>
    <x v="10"/>
    <m/>
    <s v="IVAN LOPEZ"/>
    <s v="RCR-206"/>
    <s v="AVEO"/>
    <x v="3"/>
    <s v="CAMBIO DE AMORTIGUADORES"/>
    <n v="60000"/>
    <n v="36000"/>
    <n v="24000"/>
    <m/>
    <m/>
    <n v="0"/>
    <n v="0"/>
    <m/>
    <n v="0"/>
    <n v="0"/>
    <n v="0"/>
    <n v="0"/>
    <m/>
  </r>
  <r>
    <x v="10"/>
    <s v="RM: 139"/>
    <s v="SERGIO CASTANO"/>
    <s v="DRR-627"/>
    <s v="SAIL"/>
    <x v="5"/>
    <s v="REVISION DE FRENOS COMPLETO"/>
    <n v="60000"/>
    <n v="42000"/>
    <n v="18000"/>
    <m/>
    <m/>
    <n v="0"/>
    <n v="0"/>
    <m/>
    <n v="0"/>
    <n v="0"/>
    <n v="0"/>
    <n v="0"/>
    <m/>
  </r>
  <r>
    <x v="10"/>
    <s v="RM: 141"/>
    <m/>
    <s v="NER-493"/>
    <s v="MAZDA"/>
    <x v="2"/>
    <s v="REVISION DE LUCES"/>
    <n v="30000"/>
    <n v="18000"/>
    <n v="12000"/>
    <s v="BOMBILLO"/>
    <n v="37000"/>
    <n v="31092.436974789918"/>
    <n v="5907.5630252100846"/>
    <n v="50000"/>
    <n v="42016.806722689078"/>
    <n v="7983.1932773109247"/>
    <n v="2075.6302521008402"/>
    <n v="10924.36974789916"/>
    <m/>
  </r>
  <r>
    <x v="10"/>
    <s v="RM: 141"/>
    <m/>
    <s v="NER-493"/>
    <s v="MAZDA"/>
    <x v="4"/>
    <s v="SERVICIO DE ESCANER"/>
    <n v="50000"/>
    <n v="35000"/>
    <n v="15000"/>
    <m/>
    <m/>
    <n v="0"/>
    <n v="0"/>
    <m/>
    <n v="0"/>
    <n v="0"/>
    <n v="0"/>
    <n v="0"/>
    <m/>
  </r>
  <r>
    <x v="12"/>
    <s v="RM: 143"/>
    <s v="PEDRO HERNANDEZ"/>
    <s v="VEM-246"/>
    <s v="HIUNDAY"/>
    <x v="5"/>
    <s v="CAMBIO DE PASTILLAS DEL Y BANDAS"/>
    <n v="50000"/>
    <n v="35000"/>
    <n v="15000"/>
    <m/>
    <m/>
    <n v="0"/>
    <n v="0"/>
    <m/>
    <n v="0"/>
    <n v="0"/>
    <n v="0"/>
    <n v="0"/>
    <m/>
  </r>
  <r>
    <x v="12"/>
    <s v="RM: 142"/>
    <s v="VICENTE PATARROYO"/>
    <s v="MAO-470"/>
    <s v="CHEVROLET"/>
    <x v="4"/>
    <s v="BAJAR PLATO TRASERO IZQ"/>
    <n v="50000"/>
    <n v="35000"/>
    <n v="15000"/>
    <m/>
    <m/>
    <n v="0"/>
    <n v="0"/>
    <m/>
    <n v="0"/>
    <n v="0"/>
    <n v="0"/>
    <n v="0"/>
    <m/>
  </r>
  <r>
    <x v="12"/>
    <s v="RM:144"/>
    <s v="SAUL BETANCOURT"/>
    <s v="BEU-479"/>
    <s v="LUV"/>
    <x v="5"/>
    <s v="COLOCAR MUELLE CENTRAL"/>
    <n v="100000"/>
    <n v="70000"/>
    <n v="30000"/>
    <m/>
    <m/>
    <n v="0"/>
    <n v="0"/>
    <m/>
    <n v="0"/>
    <n v="0"/>
    <n v="0"/>
    <n v="0"/>
    <m/>
  </r>
  <r>
    <x v="12"/>
    <m/>
    <s v="METALCARGOS"/>
    <s v="TFT-701"/>
    <m/>
    <x v="1"/>
    <s v="COLOCAR TABLA CHASSIS"/>
    <n v="50000"/>
    <n v="50000"/>
    <n v="0"/>
    <m/>
    <m/>
    <n v="0"/>
    <n v="0"/>
    <m/>
    <n v="0"/>
    <n v="0"/>
    <n v="0"/>
    <n v="0"/>
    <m/>
  </r>
  <r>
    <x v="13"/>
    <s v="FE:66"/>
    <s v="GERMAN NARANJO"/>
    <s v="DAJ-905"/>
    <s v="NISSAN"/>
    <x v="0"/>
    <s v="CAMBIO DE PASTILLAS DEL"/>
    <n v="30000"/>
    <n v="21000"/>
    <n v="9000"/>
    <s v="PASTILLAS DEL"/>
    <n v="95000"/>
    <n v="79831.932773109249"/>
    <n v="15168.067226890758"/>
    <m/>
    <n v="0"/>
    <n v="0"/>
    <n v="-15168.067226890758"/>
    <n v="-79831.932773109234"/>
    <m/>
  </r>
  <r>
    <x v="13"/>
    <m/>
    <m/>
    <s v="EWJ-306"/>
    <s v="RENAULT 12"/>
    <x v="3"/>
    <s v="AJUSTE TRASERO"/>
    <n v="20000"/>
    <n v="12000"/>
    <n v="8000"/>
    <m/>
    <m/>
    <n v="0"/>
    <n v="0"/>
    <m/>
    <n v="0"/>
    <n v="0"/>
    <n v="0"/>
    <n v="0"/>
    <m/>
  </r>
  <r>
    <x v="13"/>
    <m/>
    <s v="SANTIAGO CUBILLOS"/>
    <s v="JIQ-443"/>
    <s v="NISSAN "/>
    <x v="0"/>
    <s v="CAMBIO DE BOMBA PRINCIPAL"/>
    <n v="50000"/>
    <n v="60000"/>
    <n v="-10000"/>
    <s v="BOMBA PRINCIPAL"/>
    <n v="420000"/>
    <m/>
    <m/>
    <n v="450000"/>
    <m/>
    <n v="0"/>
    <n v="0"/>
    <n v="30000"/>
    <m/>
  </r>
  <r>
    <x v="13"/>
    <m/>
    <s v="GILBERTO ZAPATA"/>
    <s v="HKK-865"/>
    <s v="SPARK"/>
    <x v="3"/>
    <s v="REVISION DE TRASERAS-CAMBIO DE BANDAS Y CILINDRO"/>
    <n v="70000"/>
    <n v="42000"/>
    <n v="28000"/>
    <m/>
    <m/>
    <n v="0"/>
    <n v="0"/>
    <m/>
    <n v="0"/>
    <n v="0"/>
    <n v="0"/>
    <n v="0"/>
    <m/>
  </r>
  <r>
    <x v="14"/>
    <m/>
    <s v="IDUSTRIAS JEC"/>
    <s v="IXY-239"/>
    <s v="FORD 150"/>
    <x v="3"/>
    <s v="CAMBIO DE PASTILLAS TRASERAS"/>
    <n v="40000"/>
    <n v="24000"/>
    <n v="16000"/>
    <m/>
    <m/>
    <n v="0"/>
    <n v="0"/>
    <m/>
    <n v="0"/>
    <n v="0"/>
    <n v="0"/>
    <n v="0"/>
    <m/>
  </r>
  <r>
    <x v="14"/>
    <m/>
    <m/>
    <m/>
    <s v="JEEP"/>
    <x v="3"/>
    <s v="CAMBIO DE CRUCETAS"/>
    <n v="60000"/>
    <n v="36000"/>
    <n v="24000"/>
    <m/>
    <m/>
    <n v="0"/>
    <n v="0"/>
    <m/>
    <n v="0"/>
    <n v="0"/>
    <n v="0"/>
    <n v="0"/>
    <m/>
  </r>
  <r>
    <x v="15"/>
    <m/>
    <s v="JAME RODRIGUEZ"/>
    <s v="NDQ-997"/>
    <s v="HYUNDAI TUCSON"/>
    <x v="0"/>
    <s v="CAMBIO DE LIQUIDO"/>
    <n v="30000"/>
    <n v="30000"/>
    <n v="0"/>
    <s v="LIQUIDO "/>
    <n v="42000"/>
    <n v="35294.117647058825"/>
    <n v="6705.8823529411766"/>
    <n v="60000"/>
    <n v="50420.168067226892"/>
    <n v="9579.8319327731097"/>
    <n v="2873.9495798319331"/>
    <n v="15126.050420168067"/>
    <m/>
  </r>
  <r>
    <x v="15"/>
    <m/>
    <s v="JUAN CAMERO"/>
    <s v="MPQ-345"/>
    <s v="LOGAN"/>
    <x v="0"/>
    <s v="CAMBIO DE ASPIRALES"/>
    <n v="80000"/>
    <n v="70000"/>
    <n v="10000"/>
    <m/>
    <m/>
    <n v="0"/>
    <n v="0"/>
    <m/>
    <n v="0"/>
    <n v="0"/>
    <n v="0"/>
    <n v="0"/>
    <m/>
  </r>
  <r>
    <x v="15"/>
    <s v="FE: 68"/>
    <s v="TRANSPORTE METROPLUS"/>
    <s v="SVB-673"/>
    <s v="INTER"/>
    <x v="3"/>
    <s v="CAMBIO DE ESPARRAGOS/ RETENEDOR TRASERO/ RODAJA DE FRENOS"/>
    <n v="180000"/>
    <n v="108000"/>
    <n v="72000"/>
    <s v="ESPARRAGOS/ RETENEDOR TRASERO/ RODAJA DE FRENOS/GRASAS/GASOLINA"/>
    <n v="239000"/>
    <n v="200840.3361344538"/>
    <n v="38159.663865546223"/>
    <n v="363000"/>
    <n v="305042.01680672268"/>
    <n v="57957.983193277309"/>
    <n v="19798.319327731086"/>
    <n v="104201.68067226891"/>
    <m/>
  </r>
  <r>
    <x v="15"/>
    <s v="FE: 69"/>
    <s v="VIRTUAL WARE LTDA"/>
    <s v="CZF-259"/>
    <s v="RENAULT SCENIC"/>
    <x v="3"/>
    <s v="CAMBIO DE AMORTIGUADORES DELANTEROS/ MUÑECOS/ TERMINAL DE DIRECCION IZQ"/>
    <n v="150000"/>
    <n v="90000"/>
    <n v="60000"/>
    <s v="AMORTIGUADORES DELANTEROS/ MUÑECOS/ TERMINAL DE DIRECCION IZQ"/>
    <n v="590000"/>
    <n v="495798.31932773109"/>
    <n v="94201.680672268907"/>
    <n v="814000"/>
    <n v="684033.61344537814"/>
    <n v="129966.38655462184"/>
    <n v="35764.705882352937"/>
    <n v="188235.29411764711"/>
    <m/>
  </r>
  <r>
    <x v="16"/>
    <m/>
    <s v="JOSE DAVID BERRNAL"/>
    <s v="BSZ-571"/>
    <s v="TWINGO"/>
    <x v="3"/>
    <s v="CAMBIO DE BANDAS TRASERAS"/>
    <n v="30000"/>
    <n v="18000"/>
    <n v="12000"/>
    <m/>
    <m/>
    <n v="0"/>
    <n v="0"/>
    <m/>
    <n v="0"/>
    <n v="0"/>
    <n v="0"/>
    <n v="0"/>
    <m/>
  </r>
  <r>
    <x v="16"/>
    <m/>
    <m/>
    <s v="ZIH-549"/>
    <s v="FORD -350"/>
    <x v="3"/>
    <s v="CAMBIO DE LIQUIDO"/>
    <s v="-"/>
    <n v="30000"/>
    <s v="-"/>
    <s v="SE COMPLETO LIQUIDO Y CAMBIO DE TABACO"/>
    <n v="20000"/>
    <n v="16806.722689075632"/>
    <n v="3193.2773109243699"/>
    <n v="10000"/>
    <n v="8403.361344537816"/>
    <n v="1596.6386554621849"/>
    <n v="-1596.6386554621849"/>
    <n v="-8403.3613445378141"/>
    <m/>
  </r>
  <r>
    <x v="16"/>
    <m/>
    <s v="GUSTAVO MARTINEZ"/>
    <s v="CVO-961"/>
    <s v="SUBARU"/>
    <x v="0"/>
    <s v="CAMBIO DE AMORTIGUADORES TRASEROS"/>
    <n v="115000"/>
    <n v="80500"/>
    <n v="34500"/>
    <m/>
    <m/>
    <n v="0"/>
    <n v="0"/>
    <m/>
    <n v="0"/>
    <n v="0"/>
    <n v="0"/>
    <n v="0"/>
    <m/>
  </r>
  <r>
    <x v="17"/>
    <s v="FE: 75"/>
    <s v="SERVICIOS AGRICOLAS"/>
    <s v="WNM-202"/>
    <s v="FOTON"/>
    <x v="0"/>
    <s v="REVISION DE FRENOS COMPLETO-CAMBIO DE BANDAS TRASERAS Y DEL. RELIJAR CILINDROS TRASEROS"/>
    <n v="200000"/>
    <n v="140000"/>
    <n v="60000"/>
    <s v="BANDAS"/>
    <m/>
    <n v="300000"/>
    <n v="57000"/>
    <n v="464800"/>
    <n v="390588.23529411765"/>
    <n v="74211.76470588235"/>
    <n v="17211.76470588235"/>
    <n v="447588.23529411765"/>
    <m/>
  </r>
  <r>
    <x v="17"/>
    <m/>
    <s v="CARLOS ACERO"/>
    <s v="OZD-087"/>
    <s v="VOLQUETA"/>
    <x v="6"/>
    <s v="CAMBIO DE BENDIX Y DIAFRAGMA"/>
    <n v="55000"/>
    <n v="33000"/>
    <n v="22000"/>
    <m/>
    <m/>
    <n v="0"/>
    <n v="0"/>
    <m/>
    <n v="0"/>
    <n v="0"/>
    <n v="0"/>
    <n v="0"/>
    <m/>
  </r>
  <r>
    <x v="17"/>
    <m/>
    <s v="JORGE MORELO"/>
    <s v="ETM-858"/>
    <s v="JAC"/>
    <x v="3"/>
    <s v="GRADUAR FRENOS"/>
    <n v="15000"/>
    <n v="9000"/>
    <n v="6000"/>
    <m/>
    <m/>
    <n v="0"/>
    <n v="0"/>
    <m/>
    <n v="0"/>
    <n v="0"/>
    <n v="0"/>
    <n v="0"/>
    <m/>
  </r>
  <r>
    <x v="17"/>
    <m/>
    <s v="PERVIVIR"/>
    <s v="TBZ-979"/>
    <s v="NNR"/>
    <x v="3"/>
    <s v="REVISION DE FRENOS"/>
    <n v="100000"/>
    <n v="100000"/>
    <n v="0"/>
    <m/>
    <m/>
    <n v="0"/>
    <n v="0"/>
    <m/>
    <n v="0"/>
    <n v="0"/>
    <n v="0"/>
    <n v="0"/>
    <m/>
  </r>
  <r>
    <x v="17"/>
    <m/>
    <s v="PERVIVIR"/>
    <s v="TBZ-979"/>
    <s v="NNR"/>
    <x v="1"/>
    <s v="CAMBIO DE SPEED Y CORONA"/>
    <n v="300000"/>
    <n v="210000"/>
    <n v="90000"/>
    <s v="SPEED CORONA Y RODAMIENTOS"/>
    <n v="2175000"/>
    <m/>
    <m/>
    <n v="3255900"/>
    <n v="2736050.4201680673"/>
    <n v="519849.57983193279"/>
    <n v="519849.57983193279"/>
    <n v="561050.42016806733"/>
    <m/>
  </r>
  <r>
    <x v="11"/>
    <s v="RM: 157"/>
    <s v="ANDREA CORREDOR"/>
    <s v="BIO-488"/>
    <s v="JEEP"/>
    <x v="7"/>
    <s v="SUSPENSION TRASERA"/>
    <n v="300000"/>
    <n v="210000"/>
    <n v="90000"/>
    <s v="BOMBA DE ACEITE/ TEMPLETES SUPERIOR E INFERIOR/ BUJES DE LA BARRA ESTABILIZADORA"/>
    <n v="2130000"/>
    <m/>
    <m/>
    <n v="2716000"/>
    <m/>
    <m/>
    <n v="0"/>
    <n v="586000"/>
    <m/>
  </r>
  <r>
    <x v="11"/>
    <s v="RM: 157"/>
    <s v="ANDREA CORREDOR"/>
    <s v="BIO-488"/>
    <s v="JEEP"/>
    <x v="1"/>
    <s v="CAMBIO DE BOMBA DE ACEITE"/>
    <n v="300000"/>
    <n v="210000"/>
    <n v="90000"/>
    <m/>
    <m/>
    <n v="0"/>
    <n v="0"/>
    <m/>
    <n v="0"/>
    <n v="0"/>
    <n v="0"/>
    <n v="0"/>
    <m/>
  </r>
  <r>
    <x v="11"/>
    <m/>
    <s v="SERVICIOS AGRICOLAS"/>
    <s v="ETT-299"/>
    <s v="JAC"/>
    <x v="0"/>
    <s v="BAJAR FRENO DE AHOGO Y CORREGIR FUGA DE AIRE"/>
    <n v="50000"/>
    <n v="35000"/>
    <n v="15000"/>
    <m/>
    <m/>
    <n v="0"/>
    <n v="0"/>
    <m/>
    <n v="0"/>
    <n v="0"/>
    <n v="0"/>
    <n v="0"/>
    <m/>
  </r>
  <r>
    <x v="11"/>
    <m/>
    <s v="MATEO PINTO"/>
    <s v="RCW-547"/>
    <s v="AVEO"/>
    <x v="3"/>
    <s v="CAMBIO DE PASTILLAS DELANTERAS"/>
    <n v="30000"/>
    <n v="18000"/>
    <n v="12000"/>
    <s v="PASTILLAS DELANTERAS"/>
    <n v="138000"/>
    <n v="115966.38655462186"/>
    <n v="22033.613445378152"/>
    <n v="190000"/>
    <n v="159663.8655462185"/>
    <n v="30336.134453781517"/>
    <n v="8302.5210084033642"/>
    <n v="43697.478991596639"/>
    <m/>
  </r>
  <r>
    <x v="11"/>
    <m/>
    <s v="CAROLINA OCHOA"/>
    <s v="HBN-909"/>
    <s v="HUMMER"/>
    <x v="0"/>
    <s v="BAJAR RADEADOR"/>
    <n v="150000"/>
    <n v="105000"/>
    <n v="45000"/>
    <m/>
    <m/>
    <n v="0"/>
    <n v="0"/>
    <m/>
    <n v="0"/>
    <n v="0"/>
    <n v="0"/>
    <n v="0"/>
    <m/>
  </r>
  <r>
    <x v="11"/>
    <s v="RM: 162"/>
    <s v="CARLOS ARTURO NARIÑO"/>
    <s v="FTO-372"/>
    <s v="DODGE"/>
    <x v="1"/>
    <s v="CAMBIO EMPAQUE DE CARTER Y RADIADOR"/>
    <n v="200000"/>
    <n v="140000"/>
    <n v="60000"/>
    <s v="SILICONA"/>
    <n v="15000"/>
    <n v="12605.042016806723"/>
    <n v="2394.9579831932774"/>
    <n v="25000"/>
    <n v="21008.403361344539"/>
    <n v="3991.5966386554624"/>
    <n v="1596.6386554621849"/>
    <n v="8403.3613445378141"/>
    <m/>
  </r>
  <r>
    <x v="18"/>
    <s v="RM:158"/>
    <s v="FRANKLIN QUINTERO"/>
    <s v="CLA-281"/>
    <s v="SPRINT"/>
    <x v="2"/>
    <s v="CAMBIO DE TOPES DE AMORTIGUADORES"/>
    <n v="100000"/>
    <n v="60000"/>
    <n v="40000"/>
    <s v="CAUCHOS DE AMORTIGUADORES"/>
    <n v="40000"/>
    <n v="33613.445378151264"/>
    <n v="6386.5546218487398"/>
    <n v="70000"/>
    <n v="58823.529411764706"/>
    <n v="11176.470588235294"/>
    <n v="4789.9159663865539"/>
    <n v="25210.084033613442"/>
    <m/>
  </r>
  <r>
    <x v="18"/>
    <s v="FE: 78 /RM:159"/>
    <s v="ALEJANDRO CASTILLO"/>
    <s v="BTQ-287"/>
    <s v="SPARK"/>
    <x v="0"/>
    <s v="MANTENIMIENTO COMPLETO-CAMBIO DE PASTILLAS DEL"/>
    <n v="90000"/>
    <n v="62999.999999999993"/>
    <n v="27000.000000000007"/>
    <s v="PASTILLAS DEL-CILINDROS -BANDAS"/>
    <n v="235000"/>
    <n v="197478.99159663866"/>
    <n v="37521.008403361346"/>
    <n v="310000"/>
    <n v="260504.20168067227"/>
    <n v="49495.798319327732"/>
    <n v="11974.789915966387"/>
    <n v="63025.210084033606"/>
    <m/>
  </r>
  <r>
    <x v="18"/>
    <m/>
    <s v="HENRY BENAVIDEZ"/>
    <s v="BLT-506"/>
    <s v="CHEVROLET ALTO"/>
    <x v="0"/>
    <s v="CAMBIO DE GUAYA DE ACELERACION"/>
    <n v="25000"/>
    <n v="17500"/>
    <n v="7500"/>
    <s v="GUAYA DE ACELERACION"/>
    <n v="40000"/>
    <n v="33613.445378151264"/>
    <n v="6386.5546218487398"/>
    <n v="65000"/>
    <n v="54621.848739495799"/>
    <n v="10378.151260504203"/>
    <n v="3991.5966386554628"/>
    <n v="21008.403361344535"/>
    <m/>
  </r>
  <r>
    <x v="18"/>
    <s v="FE:79"/>
    <s v="JUAN PABLO CASTELLANOS"/>
    <s v="RZJ-555"/>
    <s v="JEEP"/>
    <x v="0"/>
    <s v="REVISION DE FRENOS/ CAMBIO DE PASTILLAS DEL Y LIQUIDO"/>
    <n v="110000"/>
    <n v="77000"/>
    <n v="33000"/>
    <s v="LIQUIDO/ PASTILLAS DEL Y TRASERAS"/>
    <n v="260000"/>
    <n v="218487.3949579832"/>
    <n v="41512.60504201681"/>
    <n v="355000"/>
    <n v="298319.32773109246"/>
    <n v="56680.672268907569"/>
    <n v="15168.067226890758"/>
    <n v="79831.932773109234"/>
    <m/>
  </r>
  <r>
    <x v="18"/>
    <s v="FE: 80/ RM: 161"/>
    <s v="OSCAR ALEXANDER RODRIGUEZ"/>
    <s v="MNY-524"/>
    <s v="SPARK"/>
    <x v="2"/>
    <s v="CAMBIO DE KIT DE CLOSH Y SOPORTE CENTRAL Y SOPORTE IZQ "/>
    <n v="150000"/>
    <n v="150000"/>
    <m/>
    <s v="SOPORTE CAJA CENTRAL / SOPORTE CAJA IZQ/ KIT DE CLOSH "/>
    <n v="526000"/>
    <n v="442016.80672268907"/>
    <n v="83983.193277310929"/>
    <n v="649000"/>
    <n v="545378.15126050427"/>
    <n v="103621.84873949581"/>
    <n v="19638.655462184877"/>
    <n v="103361.34453781508"/>
    <m/>
  </r>
  <r>
    <x v="19"/>
    <s v="FE:81/ RM:163"/>
    <s v="CESAR QUECAN"/>
    <s v="CKF-173"/>
    <s v="TWINGO"/>
    <x v="0"/>
    <s v="CAMBIO DE PASTILLAS DELANTERAS/ ARREGLO DE BABEROS"/>
    <n v="120000"/>
    <n v="84000"/>
    <n v="36000"/>
    <s v="JUEGO DE PASTILLAS DEL. Y ANTIRUIDOS"/>
    <n v="144000"/>
    <n v="121008.40336134455"/>
    <n v="22991.596638655465"/>
    <n v="199000"/>
    <n v="167226.89075630254"/>
    <n v="31773.109243697483"/>
    <n v="8781.5126050420185"/>
    <n v="46218.487394957978"/>
    <m/>
  </r>
  <r>
    <x v="19"/>
    <s v="RM:164"/>
    <s v="LINA GUZMAN"/>
    <s v="DQL-105"/>
    <s v="VOLSWAGEN"/>
    <x v="2"/>
    <s v="ARREGLO BABERO"/>
    <n v="80000"/>
    <n v="48000"/>
    <n v="32000"/>
    <m/>
    <m/>
    <n v="0"/>
    <n v="0"/>
    <m/>
    <n v="0"/>
    <n v="0"/>
    <n v="0"/>
    <n v="0"/>
    <m/>
  </r>
  <r>
    <x v="19"/>
    <m/>
    <s v="CAMELO PARRA"/>
    <s v="BWN-203"/>
    <s v="CORSA"/>
    <x v="0"/>
    <s v="CAMBIO DE PASTILLAS DELANTERAS"/>
    <n v="30000"/>
    <n v="21000"/>
    <n v="9000"/>
    <m/>
    <m/>
    <n v="0"/>
    <n v="0"/>
    <m/>
    <n v="0"/>
    <n v="0"/>
    <n v="0"/>
    <n v="0"/>
    <m/>
  </r>
  <r>
    <x v="19"/>
    <s v="RM:167"/>
    <s v="OLGA SANDOVAL"/>
    <s v="50E-589"/>
    <s v="BUSETA"/>
    <x v="0"/>
    <s v="CAMBIO DE GUAYA DE CAMBIO"/>
    <n v="80000"/>
    <n v="56000"/>
    <n v="24000"/>
    <m/>
    <m/>
    <n v="0"/>
    <n v="0"/>
    <m/>
    <n v="0"/>
    <n v="0"/>
    <n v="0"/>
    <n v="0"/>
    <m/>
  </r>
  <r>
    <x v="19"/>
    <s v="RM:168"/>
    <s v="JUAN RODRIGUEZ"/>
    <s v="SWK-745"/>
    <s v="JAC"/>
    <x v="2"/>
    <s v="CHEQUEO DE LUCES"/>
    <n v="40000"/>
    <n v="24000"/>
    <n v="16000"/>
    <m/>
    <m/>
    <n v="0"/>
    <n v="0"/>
    <m/>
    <n v="0"/>
    <n v="0"/>
    <n v="0"/>
    <n v="0"/>
    <m/>
  </r>
  <r>
    <x v="19"/>
    <s v="RM:166"/>
    <s v="ALEJANDRO RIVERA"/>
    <s v="BRK-566"/>
    <s v="FIAT UNO"/>
    <x v="1"/>
    <s v="CAMBIO KIT DE EMBRAGUE"/>
    <n v="180000"/>
    <n v="125999.99999999999"/>
    <n v="54000.000000000015"/>
    <m/>
    <m/>
    <n v="0"/>
    <n v="0"/>
    <m/>
    <n v="0"/>
    <n v="0"/>
    <n v="0"/>
    <n v="0"/>
    <m/>
  </r>
  <r>
    <x v="20"/>
    <m/>
    <s v="ALEJANDRO ALONZO"/>
    <s v="KNZ-523"/>
    <s v="RENAULT ALASKA"/>
    <x v="0"/>
    <s v="CAMBIO DE BANDAS TRASERAS Y BUJE DE AMORTIGUADOR"/>
    <n v="90000"/>
    <n v="62999.999999999993"/>
    <n v="27000.000000000007"/>
    <s v="BUJE DE AMORTIGUADOR"/>
    <n v="15000"/>
    <n v="12605.042016806723"/>
    <n v="2394.9579831932774"/>
    <n v="35000"/>
    <n v="29411.764705882353"/>
    <n v="5588.2352941176468"/>
    <n v="3193.2773109243694"/>
    <n v="16806.722689075632"/>
    <m/>
  </r>
  <r>
    <x v="20"/>
    <m/>
    <s v="OMAR FIGUEROA"/>
    <s v="MMI-915"/>
    <s v="LAND CRUISER"/>
    <x v="0"/>
    <s v="MATTO DELANTERO DE RUEDA LIBRE"/>
    <n v="50000"/>
    <n v="35000"/>
    <n v="15000"/>
    <m/>
    <m/>
    <n v="0"/>
    <n v="0"/>
    <m/>
    <n v="0"/>
    <n v="0"/>
    <n v="0"/>
    <n v="0"/>
    <m/>
  </r>
  <r>
    <x v="20"/>
    <s v="FE: 170"/>
    <s v="INVERSIONES SANTANDER SABOGAL"/>
    <s v="UFX-367"/>
    <s v="NNR"/>
    <x v="3"/>
    <s v="REVISION DE FRENOS/BAJAR CILINDROS /CAMBIO DE BUJES"/>
    <n v="230000"/>
    <n v="138000"/>
    <n v="92000"/>
    <s v="BANDAS, CHUPAS, GUARDAPOLVO, LIQUIDO, GASOLINA, GRASA, PINES, BUJES DE MUELLE"/>
    <n v="334600"/>
    <n v="281176.4705882353"/>
    <n v="53423.529411764706"/>
    <n v="515000"/>
    <n v="432773.10924369749"/>
    <n v="82226.890756302528"/>
    <n v="28803.361344537821"/>
    <n v="151596.63865546219"/>
    <m/>
  </r>
  <r>
    <x v="20"/>
    <s v="FE:83"/>
    <s v="EMEB TECNOLOGIA"/>
    <s v="UIG-883"/>
    <s v="INTER 470"/>
    <x v="3"/>
    <s v="MANTENIMIENTO DE FRENOS"/>
    <n v="240000"/>
    <n v="144000"/>
    <n v="96000"/>
    <s v="GASOLINA. GRASA, RETEN, RODAJAS, EMPQUE DE EJE, SILICONA, JUEGO DE BLOQUE TRASERA"/>
    <n v="368600"/>
    <n v="309747.89915966388"/>
    <n v="58852.100840336141"/>
    <n v="638000"/>
    <n v="536134.45378151268"/>
    <n v="101865.5462184874"/>
    <n v="43013.445378151264"/>
    <n v="226386.55462184874"/>
    <m/>
  </r>
  <r>
    <x v="20"/>
    <m/>
    <s v="ALEJANDRO DIAZ"/>
    <s v="RNY-683"/>
    <s v="NISSAN TIDA"/>
    <x v="1"/>
    <s v="CAMBIO DE AMORTIGUADORES, GUARDAPOLVO DE AMORTI, SINCRONIZADA"/>
    <s v="-"/>
    <n v="150000"/>
    <m/>
    <s v="AMORTIGUADORES"/>
    <m/>
    <n v="0"/>
    <n v="0"/>
    <m/>
    <n v="0"/>
    <n v="0"/>
    <n v="0"/>
    <n v="0"/>
    <m/>
  </r>
  <r>
    <x v="20"/>
    <m/>
    <s v="ALEJANDRO DIAZ"/>
    <s v="RNY-683"/>
    <s v="NISSAN TIDA"/>
    <x v="0"/>
    <s v="REVISION DE FRENOS"/>
    <s v="-"/>
    <n v="50000"/>
    <m/>
    <m/>
    <m/>
    <n v="0"/>
    <n v="0"/>
    <m/>
    <n v="0"/>
    <n v="0"/>
    <n v="0"/>
    <n v="0"/>
    <m/>
  </r>
  <r>
    <x v="20"/>
    <s v="RM: 165"/>
    <s v="ANGELA CORREDOR"/>
    <s v="BIO-488"/>
    <s v="JEEP"/>
    <x v="0"/>
    <s v="REPARACION SUSPENSION DELANTERA"/>
    <n v="500000"/>
    <n v="350000"/>
    <n v="150000"/>
    <s v="TERMINALES, VARILLA LARGA, AMORTIGUADORES DE DIRECCION, ROTULAS, MUÑECOS"/>
    <n v="1685000"/>
    <n v="1415966.3865546219"/>
    <n v="269033.61344537814"/>
    <n v="2185000"/>
    <n v="1836134.4537815128"/>
    <n v="348865.54621848743"/>
    <n v="79831.932773109293"/>
    <n v="420168.06722689071"/>
    <m/>
  </r>
  <r>
    <x v="21"/>
    <m/>
    <m/>
    <m/>
    <s v="OPTRA"/>
    <x v="0"/>
    <s v="GRADUAR FRENOS"/>
    <n v="10000"/>
    <n v="7000"/>
    <n v="3000"/>
    <m/>
    <m/>
    <n v="0"/>
    <n v="0"/>
    <m/>
    <n v="0"/>
    <n v="0"/>
    <n v="0"/>
    <n v="0"/>
    <m/>
  </r>
  <r>
    <x v="21"/>
    <m/>
    <s v="JUSTO DEL TORO"/>
    <s v="MPV-552"/>
    <s v="CHEVROLET N300"/>
    <x v="0"/>
    <s v="CAMBIO DE DISCOS / PASTILLAS/ BANDAS"/>
    <n v="120000"/>
    <n v="84000"/>
    <n v="36000"/>
    <s v="CHUPAS"/>
    <n v="6000"/>
    <n v="3000"/>
    <n v="570"/>
    <n v="10000"/>
    <n v="8403.361344537816"/>
    <n v="1596.6386554621849"/>
    <n v="1026.6386554621849"/>
    <n v="2973.3613445378151"/>
    <m/>
  </r>
  <r>
    <x v="21"/>
    <m/>
    <s v="PEDRO RAMIREZ"/>
    <s v="INQ-280"/>
    <s v="LAND CROUSER"/>
    <x v="3"/>
    <s v="REVISION DE FRENOS/ CAMBIO DE PASTILLAS TRASERAS"/>
    <n v="60000"/>
    <n v="36000"/>
    <n v="24000"/>
    <s v="PASTILLAS TRASERAS"/>
    <n v="123000"/>
    <n v="103361.34453781514"/>
    <n v="19638.655462184877"/>
    <n v="170000"/>
    <n v="142857.14285714287"/>
    <n v="27142.857142857145"/>
    <n v="7504.2016806722677"/>
    <n v="39495.798319327732"/>
    <m/>
  </r>
  <r>
    <x v="21"/>
    <s v="RM:177"/>
    <s v="DAVID VARON"/>
    <s v="BEZ-276"/>
    <s v="NISSAN SENTRA"/>
    <x v="0"/>
    <s v="SINCRONIZACION"/>
    <n v="100000"/>
    <n v="70000"/>
    <n v="30000"/>
    <m/>
    <m/>
    <n v="0"/>
    <n v="0"/>
    <m/>
    <n v="0"/>
    <n v="0"/>
    <n v="0"/>
    <n v="0"/>
    <m/>
  </r>
  <r>
    <x v="21"/>
    <m/>
    <s v="GRUAS CHIA"/>
    <s v="SQW-062"/>
    <s v="HINO"/>
    <x v="8"/>
    <s v="ARREGLO CONTROL FRENO DE AHOGO"/>
    <n v="152000"/>
    <n v="91200"/>
    <n v="60800"/>
    <m/>
    <m/>
    <n v="0"/>
    <n v="0"/>
    <m/>
    <n v="0"/>
    <n v="0"/>
    <n v="0"/>
    <n v="0"/>
    <m/>
  </r>
  <r>
    <x v="21"/>
    <s v="FE:85 / RM: 178"/>
    <s v="ALEJANDRO MORENO"/>
    <s v="MQK-040"/>
    <s v="MAZDA"/>
    <x v="3"/>
    <s v="CAMBIO DE DISCOS, PASTILLAS, BANDAS"/>
    <n v="110000"/>
    <n v="66000"/>
    <n v="44000"/>
    <s v="DISCOS, PASTILLAS, ANTIRUIDO, BANDAS"/>
    <n v="406000"/>
    <n v="341176.4705882353"/>
    <n v="64823.529411764706"/>
    <n v="590000"/>
    <n v="495798.31932773109"/>
    <n v="94201.680672268907"/>
    <n v="29378.151260504201"/>
    <n v="154621.84873949579"/>
    <m/>
  </r>
  <r>
    <x v="21"/>
    <s v="RM:179"/>
    <s v="JESUS DE LA CRUZ"/>
    <s v="BME-357"/>
    <s v="MEGAN"/>
    <x v="0"/>
    <s v="SINCRONIZACION-CAMBIO SOPORTE DE MOTOR Y CAJA-CAMBIO DE BUJES BARRA ESTABILIZADORA"/>
    <n v="300000"/>
    <n v="210000"/>
    <n v="90000"/>
    <m/>
    <m/>
    <n v="0"/>
    <n v="0"/>
    <m/>
    <n v="0"/>
    <n v="0"/>
    <n v="0"/>
    <n v="0"/>
    <m/>
  </r>
  <r>
    <x v="22"/>
    <m/>
    <s v="YEFERSON GONZALES"/>
    <s v="WOU-006"/>
    <s v="BANZ"/>
    <x v="2"/>
    <s v="REVISION RUEDAS TRASERAS"/>
    <n v="20000"/>
    <n v="12000"/>
    <n v="8000"/>
    <m/>
    <m/>
    <n v="0"/>
    <n v="0"/>
    <m/>
    <n v="0"/>
    <n v="0"/>
    <n v="0"/>
    <n v="0"/>
    <m/>
  </r>
  <r>
    <x v="22"/>
    <m/>
    <s v="ALEJANDRO DIZ"/>
    <s v="RNY-683"/>
    <s v="NISSAN"/>
    <x v="0"/>
    <s v="CAMBIO DE CAJA DE DIRECCION Y BUJES DE TIJERAS"/>
    <m/>
    <n v="150000"/>
    <n v="-150000"/>
    <m/>
    <m/>
    <n v="0"/>
    <n v="0"/>
    <m/>
    <n v="0"/>
    <n v="0"/>
    <n v="0"/>
    <n v="0"/>
    <m/>
  </r>
  <r>
    <x v="22"/>
    <s v="RM:180"/>
    <s v="MARTIN ESPITIA"/>
    <s v="KIZ-064"/>
    <s v=" SANDERO"/>
    <x v="0"/>
    <s v="CAMBIO DE LIQUIDO"/>
    <n v="40000"/>
    <n v="28000"/>
    <n v="12000"/>
    <s v="LIQUIDO DOT 3"/>
    <m/>
    <n v="0"/>
    <n v="0"/>
    <m/>
    <n v="0"/>
    <n v="0"/>
    <n v="0"/>
    <n v="0"/>
    <m/>
  </r>
  <r>
    <x v="22"/>
    <m/>
    <s v="ANDRES BENITEZ"/>
    <s v="ZXS-193"/>
    <s v="NISSAN FRONTIER"/>
    <x v="0"/>
    <s v="REVISION DE FRENOS COMPLETO"/>
    <n v="70000"/>
    <n v="49000"/>
    <n v="21000"/>
    <m/>
    <m/>
    <n v="0"/>
    <n v="0"/>
    <m/>
    <n v="0"/>
    <n v="0"/>
    <n v="0"/>
    <n v="0"/>
    <m/>
  </r>
  <r>
    <x v="22"/>
    <s v="FE: 86"/>
    <s v="OLIMPIA HERNANDEZ"/>
    <s v="TGK-439"/>
    <s v="HINO"/>
    <x v="2"/>
    <s v="REPARACION DE BOMBA PRINCIPAL"/>
    <n v="40000"/>
    <n v="24000"/>
    <n v="16000"/>
    <m/>
    <m/>
    <n v="0"/>
    <n v="0"/>
    <m/>
    <n v="0"/>
    <n v="0"/>
    <n v="0"/>
    <n v="0"/>
    <m/>
  </r>
  <r>
    <x v="22"/>
    <s v="RM:182"/>
    <s v="DISNEY AMIN"/>
    <s v="CXX-558"/>
    <s v="SUBARU"/>
    <x v="1"/>
    <s v="CAMBIO EMPAQUE TAPA VALVULA-SINCRONIZACION-CAMBIO DE BUJES BARRA ESTAB- RETENEDORES DE MOTOR"/>
    <n v="700000"/>
    <n v="489999.99999999994"/>
    <n v="210000.00000000006"/>
    <m/>
    <m/>
    <n v="0"/>
    <n v="0"/>
    <m/>
    <n v="0"/>
    <n v="0"/>
    <n v="0"/>
    <n v="0"/>
    <m/>
  </r>
  <r>
    <x v="23"/>
    <s v="RM:183"/>
    <s v="JORGE RODRIGUEZ"/>
    <s v="MQI-302"/>
    <s v="FORD LASSER"/>
    <x v="0"/>
    <s v="CAMBIO DE PERA PRESION DE AIRE"/>
    <n v="20000"/>
    <n v="14000"/>
    <n v="6000"/>
    <m/>
    <m/>
    <n v="0"/>
    <n v="0"/>
    <m/>
    <n v="0"/>
    <n v="0"/>
    <n v="0"/>
    <n v="0"/>
    <m/>
  </r>
  <r>
    <x v="23"/>
    <s v="RM:184"/>
    <s v="CARLOS MERCHAN"/>
    <s v="ZIV-086"/>
    <s v="AVEO"/>
    <x v="2"/>
    <s v="REVISION DE RUEDAS TRASERAS "/>
    <n v="30000"/>
    <n v="18000"/>
    <n v="12000"/>
    <m/>
    <m/>
    <n v="0"/>
    <n v="0"/>
    <m/>
    <n v="0"/>
    <n v="0"/>
    <n v="0"/>
    <n v="0"/>
    <m/>
  </r>
  <r>
    <x v="23"/>
    <m/>
    <m/>
    <s v="DAJ-627"/>
    <s v="NISSAN SENTRA"/>
    <x v="9"/>
    <s v="REVISION DE RUEDAS TRASERAS "/>
    <n v="30000"/>
    <n v="18000"/>
    <n v="12000"/>
    <m/>
    <m/>
    <n v="0"/>
    <n v="0"/>
    <m/>
    <n v="0"/>
    <n v="0"/>
    <n v="0"/>
    <n v="0"/>
    <m/>
  </r>
  <r>
    <x v="24"/>
    <s v="FE:87/RM:185"/>
    <s v="JHON CETINA"/>
    <s v="BBA-003"/>
    <s v="MAZDA323"/>
    <x v="0"/>
    <s v="CAMBIO DE BOMBA HIDRAULICA PRINCIPAL DE CLOSH"/>
    <n v="50000"/>
    <n v="35000"/>
    <n v="15000"/>
    <s v="BOMBA PRINCIPAL DE CLOSH"/>
    <n v="110000"/>
    <n v="92436.97478991597"/>
    <n v="17563.025210084033"/>
    <n v="135000"/>
    <n v="113445.37815126051"/>
    <n v="21554.621848739498"/>
    <n v="3991.5966386554646"/>
    <n v="21008.403361344535"/>
    <m/>
  </r>
  <r>
    <x v="24"/>
    <s v="RM:187"/>
    <s v="ANGELA CORREDOR"/>
    <s v="BIO-488"/>
    <s v="JEEP"/>
    <x v="2"/>
    <s v="CAMBIO DE ARRANQUE"/>
    <n v="80000"/>
    <n v="48000"/>
    <n v="32000"/>
    <s v="ARRANQUE"/>
    <n v="470000"/>
    <m/>
    <n v="0"/>
    <n v="610000"/>
    <m/>
    <n v="0"/>
    <n v="0"/>
    <n v="140000"/>
    <m/>
  </r>
  <r>
    <x v="24"/>
    <s v="RM:186"/>
    <s v="ERNESTO POVEDO"/>
    <s v="FTN-439"/>
    <s v="SKOFA FELICIA"/>
    <x v="0"/>
    <s v="MATTO TARSERO"/>
    <n v="30000"/>
    <n v="21000"/>
    <n v="9000"/>
    <m/>
    <m/>
    <n v="0"/>
    <n v="0"/>
    <m/>
    <n v="0"/>
    <n v="0"/>
    <n v="0"/>
    <n v="0"/>
    <m/>
  </r>
  <r>
    <x v="24"/>
    <s v="RM:186"/>
    <s v="ERNESTO POVEDO"/>
    <s v="FTN-439"/>
    <s v="SKOFA FELICIA"/>
    <x v="1"/>
    <s v="MANTENIMIENTO CARBURADOR"/>
    <n v="80000"/>
    <n v="56000"/>
    <n v="24000"/>
    <s v="KIT CARBURADOR"/>
    <n v="40000"/>
    <n v="33613.445378151264"/>
    <n v="6386.5546218487398"/>
    <n v="50000"/>
    <n v="42016.806722689078"/>
    <n v="7983.1932773109247"/>
    <n v="1596.6386554621849"/>
    <n v="8403.3613445378141"/>
    <m/>
  </r>
  <r>
    <x v="24"/>
    <m/>
    <m/>
    <m/>
    <m/>
    <x v="2"/>
    <s v="CAMBIO DE BOMBILLO"/>
    <n v="11000"/>
    <n v="6600"/>
    <n v="4400"/>
    <m/>
    <m/>
    <n v="0"/>
    <n v="0"/>
    <m/>
    <n v="0"/>
    <n v="0"/>
    <n v="0"/>
    <n v="0"/>
    <m/>
  </r>
  <r>
    <x v="25"/>
    <s v="RM:188"/>
    <s v="ANGEL CHINCHILLA"/>
    <s v="TRL-693"/>
    <s v="NPR"/>
    <x v="0"/>
    <s v="CAMBIO EMPAQ PRINCIPAL DE CLOSH"/>
    <n v="40000"/>
    <n v="28000"/>
    <n v="12000"/>
    <s v="EMPAQUETADURA PRINCIPAL DE CLOSH, LIQUIDO"/>
    <m/>
    <n v="0"/>
    <n v="0"/>
    <m/>
    <n v="0"/>
    <n v="0"/>
    <n v="0"/>
    <n v="0"/>
    <m/>
  </r>
  <r>
    <x v="25"/>
    <s v="RM:190"/>
    <s v="SILVANA MESA"/>
    <s v="HKN-663"/>
    <s v="JETTA"/>
    <x v="0"/>
    <s v="REVISION DE FRENOS Y CAMBIO DE LIQUIDO"/>
    <n v="100000"/>
    <n v="70000"/>
    <n v="30000"/>
    <s v="LIQUIDO"/>
    <n v="42000"/>
    <n v="35294.117647058825"/>
    <n v="6705.8823529411766"/>
    <n v="50000"/>
    <n v="42016.806722689078"/>
    <n v="7983.1932773109247"/>
    <n v="1277.3109243697481"/>
    <n v="6722.6890756302528"/>
    <m/>
  </r>
  <r>
    <x v="25"/>
    <m/>
    <m/>
    <s v="BKL-537"/>
    <s v="LAND CROUSER"/>
    <x v="2"/>
    <s v="CAMBIO DE RACORD"/>
    <n v="30000"/>
    <n v="18000"/>
    <n v="12000"/>
    <s v="RACORD"/>
    <n v="5000"/>
    <n v="4201.680672268908"/>
    <n v="798.31932773109247"/>
    <n v="10000"/>
    <n v="8403.361344537816"/>
    <n v="1596.6386554621849"/>
    <n v="798.31932773109247"/>
    <n v="4201.6806722689071"/>
    <m/>
  </r>
  <r>
    <x v="25"/>
    <s v="FE: 89"/>
    <s v="MONGIBELLO"/>
    <s v="BHX-773"/>
    <s v="NISAN URBAN"/>
    <x v="0"/>
    <s v="REPARACION DE SUSPENSION"/>
    <n v="300000"/>
    <n v="210000"/>
    <n v="90000"/>
    <s v="BUJES DE TIJERA, MUÑECOS, TERMINALES, BUJES DE AMORTI, BUJES DE TEMPLETES, PASTILLAS, BANDAS, ANTIRUIDO, JUEGO DE CALIPER"/>
    <n v="650000"/>
    <n v="546218.48739495804"/>
    <n v="103781.51260504202"/>
    <n v="1220587"/>
    <n v="1025703.3613445378"/>
    <n v="194883.63865546219"/>
    <n v="91102.126050420164"/>
    <n v="479484.87394957989"/>
    <m/>
  </r>
  <r>
    <x v="26"/>
    <m/>
    <s v="MARTA  CONTRERA"/>
    <s v="JVN-492"/>
    <s v="LOGAN"/>
    <x v="0"/>
    <s v="CAMBIO DE PASTILLAS"/>
    <n v="20000"/>
    <n v="14000"/>
    <n v="6000"/>
    <m/>
    <m/>
    <n v="0"/>
    <n v="0"/>
    <m/>
    <n v="0"/>
    <n v="0"/>
    <n v="0"/>
    <n v="0"/>
    <m/>
  </r>
  <r>
    <x v="27"/>
    <m/>
    <s v="MONGIBELLO"/>
    <s v="JGV-778"/>
    <s v="FORD"/>
    <x v="0"/>
    <s v="SERVICIO DE ESCANER"/>
    <m/>
    <n v="0"/>
    <m/>
    <m/>
    <m/>
    <m/>
    <m/>
    <m/>
    <m/>
    <m/>
    <m/>
    <m/>
    <m/>
  </r>
  <r>
    <x v="26"/>
    <m/>
    <s v="JORGE BARRERA"/>
    <s v="GGO-665"/>
    <s v="AVEO"/>
    <x v="1"/>
    <s v="CAMBIO DE TUBO DE CALEFACCION"/>
    <n v="80000"/>
    <n v="56000"/>
    <n v="24000"/>
    <s v="TUBO DE CALEFACCION"/>
    <n v="40000"/>
    <n v="33613.445378151264"/>
    <n v="6386.5546218487398"/>
    <n v="60000"/>
    <n v="50420.168067226892"/>
    <n v="9579.8319327731097"/>
    <n v="3193.2773109243699"/>
    <n v="16806.722689075628"/>
    <m/>
  </r>
  <r>
    <x v="26"/>
    <m/>
    <m/>
    <s v="SGY-273"/>
    <s v="HIUNDAY ACCENT"/>
    <x v="0"/>
    <s v="SERVICIO DE ESCANER Y REVISION"/>
    <n v="60000"/>
    <n v="42000"/>
    <n v="18000"/>
    <m/>
    <m/>
    <n v="0"/>
    <n v="0"/>
    <m/>
    <n v="0"/>
    <n v="0"/>
    <n v="0"/>
    <n v="0"/>
    <m/>
  </r>
  <r>
    <x v="26"/>
    <s v="FE:91"/>
    <s v="OLIMPIA HERNANDEZ"/>
    <s v="TGK-439"/>
    <s v="HINO"/>
    <x v="1"/>
    <s v="REPARACION CARDAN"/>
    <n v="60000"/>
    <n v="42000"/>
    <n v="18000"/>
    <s v="CRUCETA DE CARDAN"/>
    <n v="90000"/>
    <n v="75630.252100840342"/>
    <n v="14369.747899159665"/>
    <n v="120000"/>
    <n v="100840.33613445378"/>
    <n v="19159.663865546219"/>
    <n v="4789.9159663865539"/>
    <n v="25210.084033613442"/>
    <m/>
  </r>
  <r>
    <x v="26"/>
    <s v="FE:91"/>
    <s v="OLIMPIA HERNANDEZ"/>
    <s v="TGK-439"/>
    <s v="HINO"/>
    <x v="0"/>
    <s v="GRADUACION DE FRENOS"/>
    <n v="10000"/>
    <n v="7000"/>
    <n v="3000"/>
    <m/>
    <m/>
    <n v="0"/>
    <n v="0"/>
    <m/>
    <n v="0"/>
    <n v="0"/>
    <n v="0"/>
    <n v="0"/>
    <m/>
  </r>
  <r>
    <x v="26"/>
    <s v="FE:90"/>
    <s v="PROVALCOR"/>
    <s v="UPP-942"/>
    <s v="INTERNATIONAL"/>
    <x v="2"/>
    <s v="CAMBIO DE RODAMIENTO, RETENEDOR,"/>
    <n v="60000"/>
    <n v="50000"/>
    <n v="10000"/>
    <s v="RODAMIENTO, ETENEDOR, GRASAS"/>
    <n v="272000"/>
    <n v="228571.42857142858"/>
    <n v="43428.571428571428"/>
    <n v="390000"/>
    <n v="327731.09243697481"/>
    <n v="62268.907563025212"/>
    <n v="18840.336134453784"/>
    <n v="99159.66386554623"/>
    <m/>
  </r>
  <r>
    <x v="26"/>
    <m/>
    <s v="RAUL AREVALO"/>
    <s v="WTM-631"/>
    <s v="F-815"/>
    <x v="2"/>
    <s v="MANTENIMIENTO DE LUCES"/>
    <n v="100000"/>
    <n v="60000"/>
    <n v="40000"/>
    <s v="CABLE, FUSIBLES, BOMBILLOS MULE, TERMINALES DE OJO"/>
    <n v="5400"/>
    <n v="4537.8151260504201"/>
    <n v="862.18487394957981"/>
    <n v="13000"/>
    <n v="10924.36974789916"/>
    <n v="2075.6302521008406"/>
    <n v="1213.4453781512607"/>
    <n v="6386.5546218487398"/>
    <m/>
  </r>
  <r>
    <x v="26"/>
    <s v="RM: 192"/>
    <s v="JHON SALAMANGA"/>
    <s v="JSL-820"/>
    <s v="JAC"/>
    <x v="0"/>
    <s v="CAMBIO DE BANDAS DEL"/>
    <n v="60000"/>
    <n v="42000"/>
    <n v="18000"/>
    <s v="BANDAS, PIN CACHO, GASOLINA, GUARADAPOLVOS"/>
    <n v="247000"/>
    <n v="207563.02521008404"/>
    <n v="39436.97478991597"/>
    <n v="352000"/>
    <n v="295798.31932773109"/>
    <n v="56201.680672268907"/>
    <n v="16764.705882352937"/>
    <n v="88235.294117647049"/>
    <m/>
  </r>
  <r>
    <x v="28"/>
    <s v="RM:194"/>
    <s v="NELSON CALDERON"/>
    <s v="BTK-619"/>
    <s v="TWINGO"/>
    <x v="0"/>
    <s v="BAJAR AMORTIGUADORES"/>
    <n v="90000"/>
    <n v="62999.999999999993"/>
    <n v="27000.000000000007"/>
    <m/>
    <m/>
    <m/>
    <n v="0"/>
    <m/>
    <m/>
    <n v="0"/>
    <n v="0"/>
    <n v="0"/>
    <m/>
  </r>
  <r>
    <x v="28"/>
    <s v="RM:194"/>
    <s v="NELSON CALDERON"/>
    <s v="BTK-619"/>
    <s v="TWINGO"/>
    <x v="1"/>
    <s v="CAMBIO DE CAUCHOS SOPORTE AMORTI TRASERO/ CAMBIO EMAPQUE TAPA VALVUL/ CAMBIO DE RETENEDORES DE REPARTICION COPA CAJA/ KIT DE REP"/>
    <n v="360000"/>
    <n v="251999.99999999997"/>
    <n v="108000.00000000003"/>
    <s v="EMPAQUE TAPA VALVULA/ RETENEDORES DE LEVA Y POLEA/ TOPES DE AMORTI/ GURDA POLVO COPA CAJA/ KIT DE REPARTICION/ SILICONA"/>
    <n v="430000"/>
    <m/>
    <n v="0"/>
    <n v="562500"/>
    <m/>
    <n v="0"/>
    <n v="0"/>
    <n v="132500"/>
    <m/>
  </r>
  <r>
    <x v="29"/>
    <s v="FE:93"/>
    <s v="VERDECERES MS SAS"/>
    <s v="SPL-963"/>
    <s v="NNR"/>
    <x v="0"/>
    <s v="_x000a_BAJAR CAMPANA DELANTERAs, GRADUAR FRENOS / RECTIFICAR GRAMPA"/>
    <n v="90000"/>
    <n v="62999.999999999993"/>
    <n v="27000.000000000007"/>
    <s v="CHUPA, GP, LIQUIDO PIN CACHO"/>
    <n v="18000"/>
    <n v="15126.050420168069"/>
    <n v="2873.9495798319331"/>
    <n v="41600"/>
    <n v="34957.983193277316"/>
    <n v="6642.0168067226905"/>
    <n v="3768.0672268907574"/>
    <n v="19831.932773109242"/>
    <m/>
  </r>
  <r>
    <x v="30"/>
    <s v="RM:196"/>
    <s v="JUAN DANIEL HERNANDEZ"/>
    <s v="TTX-503"/>
    <s v="BANZ"/>
    <x v="2"/>
    <s v="CAMBIO DE PASTILLAS TRASERAS"/>
    <n v="40000"/>
    <n v="24000"/>
    <n v="16000"/>
    <m/>
    <m/>
    <n v="0"/>
    <n v="0"/>
    <m/>
    <n v="0"/>
    <n v="0"/>
    <n v="0"/>
    <n v="0"/>
    <m/>
  </r>
  <r>
    <x v="30"/>
    <s v="RM:195"/>
    <s v="MANUEL RODRIGUEZ"/>
    <s v="UFT-931"/>
    <s v="HINO"/>
    <x v="0"/>
    <s v="CAMBIO DE DIAFRAGMA"/>
    <n v="30000"/>
    <n v="21000"/>
    <n v="9000"/>
    <s v="DIAFRAGMA"/>
    <n v="10000"/>
    <m/>
    <n v="0"/>
    <n v="30000"/>
    <m/>
    <n v="0"/>
    <n v="0"/>
    <n v="20000"/>
    <m/>
  </r>
  <r>
    <x v="30"/>
    <s v="RM:197"/>
    <s v="CLIENT PLANET"/>
    <s v="WPS-181"/>
    <s v="JAC"/>
    <x v="0"/>
    <s v="CAMBIO DE BANDAS DELANTERAS Y TRASERAS, CAMBIO DE CHUPAS, CAMBIO DE LIQUIDOS"/>
    <n v="160000"/>
    <n v="112000"/>
    <n v="48000"/>
    <s v="JUEGO DE BANDAS/ CHUPAS"/>
    <n v="224000"/>
    <n v="188235.29411764708"/>
    <n v="35764.705882352944"/>
    <n v="340000"/>
    <n v="285714.28571428574"/>
    <n v="54285.71428571429"/>
    <n v="18521.008403361346"/>
    <n v="97478.991596638662"/>
    <m/>
  </r>
  <r>
    <x v="30"/>
    <s v="RM:198"/>
    <s v="JUAN CARLOS QUIJANO"/>
    <s v="BLK-537"/>
    <s v="LAND CROUSER"/>
    <x v="0"/>
    <s v="CAMBIO DE PASTILLAS DELANTERAS Y TRASERAS, BAJAR SUAVIZADOR"/>
    <n v="170000"/>
    <n v="118999.99999999999"/>
    <n v="51000.000000000015"/>
    <s v="PASTILLAS DEL Y TRASERAS, LIQUIDO, GASOLINA"/>
    <n v="190000"/>
    <m/>
    <m/>
    <n v="330000"/>
    <m/>
    <m/>
    <m/>
    <n v="140000"/>
    <m/>
  </r>
  <r>
    <x v="30"/>
    <m/>
    <m/>
    <m/>
    <s v="MB"/>
    <x v="10"/>
    <s v="ADELANTO"/>
    <m/>
    <n v="200000"/>
    <n v="-200000"/>
    <m/>
    <m/>
    <n v="0"/>
    <n v="0"/>
    <m/>
    <n v="0"/>
    <n v="0"/>
    <n v="0"/>
    <n v="0"/>
    <m/>
  </r>
  <r>
    <x v="30"/>
    <s v="RM:198"/>
    <s v="JUAN CARLOS QUIJANO"/>
    <s v="BLK-537"/>
    <s v="LAND CROUSER"/>
    <x v="1"/>
    <s v="SINCRONIZACION Y CAMBIO EMP TAPA VALVULA"/>
    <n v="310000"/>
    <n v="217000"/>
    <n v="93000"/>
    <s v="BUJIAS, EMPAQUE TAPA VALVULA Y RETENEDORES"/>
    <n v="246000"/>
    <m/>
    <m/>
    <n v="470000"/>
    <m/>
    <m/>
    <m/>
    <n v="224000"/>
    <m/>
  </r>
  <r>
    <x v="31"/>
    <s v="RM:201"/>
    <s v="JUAN CARLOS ROJA"/>
    <s v="USD-206"/>
    <s v="HYUNDAI"/>
    <x v="0"/>
    <s v="MANTENIMIENTO COMPLETO DE FRENOS "/>
    <n v="50000"/>
    <n v="35000"/>
    <n v="15000"/>
    <s v="AUTOMATICO Y RESORTE"/>
    <n v="10000"/>
    <n v="8403.361344537816"/>
    <n v="1596.6386554621849"/>
    <n v="20000"/>
    <n v="16806.722689075632"/>
    <n v="3193.2773109243699"/>
    <n v="1596.6386554621849"/>
    <n v="8403.3613445378141"/>
    <m/>
  </r>
  <r>
    <x v="31"/>
    <m/>
    <m/>
    <s v="TSM-562"/>
    <m/>
    <x v="2"/>
    <s v="CAMBIO DE CHUPAS TRASERAS"/>
    <m/>
    <n v="20000"/>
    <n v="-20000"/>
    <m/>
    <m/>
    <n v="0"/>
    <n v="0"/>
    <m/>
    <n v="0"/>
    <n v="0"/>
    <n v="0"/>
    <n v="0"/>
    <m/>
  </r>
  <r>
    <x v="31"/>
    <s v="RM:199"/>
    <s v="JHON UREA"/>
    <s v="BYE-036"/>
    <s v="CHV OPTRA"/>
    <x v="0"/>
    <s v="SERVICIO DE SCANER-CAMBIO DE SENSOR"/>
    <n v="80000"/>
    <n v="56000"/>
    <n v="24000"/>
    <s v="ABRAZADERA"/>
    <n v="500"/>
    <n v="420.1680672268908"/>
    <n v="79.831932773109259"/>
    <n v="1000"/>
    <n v="840.3361344537816"/>
    <n v="159.66386554621852"/>
    <n v="79.831932773109259"/>
    <n v="420.1680672268908"/>
    <m/>
  </r>
  <r>
    <x v="27"/>
    <m/>
    <m/>
    <m/>
    <s v="JAC"/>
    <x v="0"/>
    <s v="GRADUAR FRENOS"/>
    <n v="10000"/>
    <n v="7000"/>
    <n v="3000"/>
    <m/>
    <m/>
    <n v="0"/>
    <n v="0"/>
    <m/>
    <n v="0"/>
    <n v="0"/>
    <n v="0"/>
    <n v="0"/>
    <m/>
  </r>
  <r>
    <x v="31"/>
    <s v="RM:200"/>
    <s v="FERNANDO SANCHEZ"/>
    <s v="BIT-835"/>
    <s v="MAZDA ALEGRO"/>
    <x v="0"/>
    <s v="MATTO COMPELTO-CAMBIO DE PASTILLAS DEL"/>
    <n v="60000"/>
    <n v="42000"/>
    <n v="18000"/>
    <s v="JUEGO DE PASTILLAS DEL."/>
    <n v="123000"/>
    <n v="103361.34453781514"/>
    <n v="19638.655462184877"/>
    <n v="170000"/>
    <n v="142857.14285714287"/>
    <n v="27142.857142857145"/>
    <n v="7504.2016806722677"/>
    <n v="39495.798319327732"/>
    <m/>
  </r>
  <r>
    <x v="31"/>
    <s v="FE:94 / RM:202"/>
    <s v="RAFAEL POLO"/>
    <s v="BDN-052"/>
    <s v="JEEP 93"/>
    <x v="2"/>
    <s v="CAMBIO DE PASTILLAS DELANTERAS"/>
    <n v="40000"/>
    <n v="24000"/>
    <n v="16000"/>
    <s v="JUEGO DE PASTILLAS"/>
    <n v="126000"/>
    <n v="105882.35294117648"/>
    <n v="20117.647058823532"/>
    <n v="185000"/>
    <n v="155462.18487394959"/>
    <n v="29537.815126050424"/>
    <n v="9420.1680672268922"/>
    <n v="49579.831932773115"/>
    <m/>
  </r>
  <r>
    <x v="32"/>
    <s v="FE: 96/RM:203"/>
    <s v="ARTURO LADINO"/>
    <s v="IOQ-514"/>
    <s v="SANDERO"/>
    <x v="0"/>
    <s v="CAMBIO DE AMORTIGUADORES DEL / SOPORTE AMORTIGUADOR CON RODAMIENTOS"/>
    <n v="100000"/>
    <n v="40000"/>
    <n v="30000"/>
    <s v="AMORTIGUADORES/SOPORTES CON RODAMIENTOS"/>
    <n v="408058"/>
    <n v="342905.8823529412"/>
    <n v="65152.117647058833"/>
    <n v="700000"/>
    <n v="588235.29411764711"/>
    <n v="111764.70588235295"/>
    <n v="46612.588235294119"/>
    <n v="245329.4117647059"/>
    <m/>
  </r>
  <r>
    <x v="33"/>
    <s v="RM:204/FE:97"/>
    <s v="RAFAEL POLO"/>
    <s v="BDN-052"/>
    <s v="JEEP"/>
    <x v="2"/>
    <s v="CAMBIO DE BANDAS Y MUÑECO"/>
    <n v="80000"/>
    <n v="48000"/>
    <n v="32000"/>
    <s v="JUEGO DE BANDAS"/>
    <n v="90000"/>
    <n v="75630.252100840342"/>
    <n v="14369.747899159665"/>
    <n v="180000"/>
    <n v="151260.50420168068"/>
    <n v="28739.495798319331"/>
    <n v="14369.747899159665"/>
    <n v="75630.252100840327"/>
    <m/>
  </r>
  <r>
    <x v="33"/>
    <m/>
    <m/>
    <s v="TSW-976"/>
    <s v="FOTON"/>
    <x v="0"/>
    <s v="GRADUAR FRENOS"/>
    <n v="10000"/>
    <n v="7000"/>
    <n v="3000"/>
    <m/>
    <m/>
    <n v="0"/>
    <n v="0"/>
    <m/>
    <n v="0"/>
    <n v="0"/>
    <n v="0"/>
    <n v="0"/>
    <m/>
  </r>
  <r>
    <x v="33"/>
    <s v="RM:205"/>
    <s v="RAUL AREVALO"/>
    <s v="PEU-686"/>
    <s v="SILVERADO"/>
    <x v="2"/>
    <s v="DESVARE, REPARACION ALTERNADOR"/>
    <n v="110000"/>
    <n v="66000"/>
    <n v="44000"/>
    <m/>
    <m/>
    <n v="0"/>
    <n v="0"/>
    <m/>
    <n v="0"/>
    <n v="0"/>
    <n v="0"/>
    <n v="0"/>
    <m/>
  </r>
  <r>
    <x v="33"/>
    <s v="RM:205"/>
    <s v="RAUL AREVALO"/>
    <s v="HGS-065"/>
    <s v="NISSAN"/>
    <x v="2"/>
    <s v="DESVARE, REPARACION DE ARRANQUE"/>
    <n v="110000"/>
    <n v="66000"/>
    <n v="44000"/>
    <m/>
    <m/>
    <n v="0"/>
    <n v="0"/>
    <m/>
    <n v="0"/>
    <n v="0"/>
    <n v="0"/>
    <n v="0"/>
    <m/>
  </r>
  <r>
    <x v="34"/>
    <s v="FE: 99"/>
    <s v="VARICHEM"/>
    <s v="UVL-706"/>
    <s v="NISSAN"/>
    <x v="2"/>
    <s v="ARREGLO DE LUCES"/>
    <n v="30000"/>
    <n v="18000"/>
    <n v="12000"/>
    <s v="BOMBILLO DOS CONTACTO"/>
    <n v="2000"/>
    <n v="1680.6722689075632"/>
    <n v="319.32773109243703"/>
    <n v="3500"/>
    <n v="2941.1764705882356"/>
    <n v="558.82352941176475"/>
    <n v="239.49579831932772"/>
    <n v="1260.5042016806724"/>
    <m/>
  </r>
  <r>
    <x v="35"/>
    <s v="RM:209"/>
    <s v="PEDRO SANTANA"/>
    <s v="IZM-278"/>
    <s v="LOGAN"/>
    <x v="2"/>
    <s v="MANTENIMIENTO RUEDAS TRASERAS"/>
    <n v="60000"/>
    <n v="36000"/>
    <n v="24000"/>
    <s v="PLUMILLAS"/>
    <n v="36000"/>
    <n v="30252.100840336137"/>
    <n v="5747.8991596638662"/>
    <n v="50000"/>
    <n v="42016.806722689078"/>
    <n v="7983.1932773109247"/>
    <n v="2235.2941176470586"/>
    <n v="11764.705882352944"/>
    <m/>
  </r>
  <r>
    <x v="35"/>
    <s v="RM:212"/>
    <s v="ANGELA CORREDOR"/>
    <s v="BIO-488"/>
    <s v="JEEP"/>
    <x v="2"/>
    <s v="CAMBIO TORNILLO CARDAN"/>
    <n v="50000"/>
    <n v="30000"/>
    <n v="20000"/>
    <m/>
    <m/>
    <n v="0"/>
    <n v="0"/>
    <m/>
    <n v="0"/>
    <n v="0"/>
    <n v="0"/>
    <n v="0"/>
    <m/>
  </r>
  <r>
    <x v="35"/>
    <s v="RM:211"/>
    <s v="CAROLINA OCHOA"/>
    <s v="HBN-909"/>
    <s v="HUMMER"/>
    <x v="0"/>
    <s v="CAMBIO DE BOMBA DE AGUA "/>
    <n v="300000"/>
    <n v="210000"/>
    <n v="90000"/>
    <m/>
    <m/>
    <n v="0"/>
    <n v="0"/>
    <m/>
    <n v="0"/>
    <n v="0"/>
    <n v="0"/>
    <n v="0"/>
    <m/>
  </r>
  <r>
    <x v="35"/>
    <s v="RM:213"/>
    <s v="JORGE LOPEZ"/>
    <s v="KIY-528"/>
    <s v="TIGUAN"/>
    <x v="0"/>
    <s v="CAMBIO DE BUJES DE TIJERA/ BUJES DE TEMPLETES/ ASPIRALES/ MUÑECOS"/>
    <n v="350000"/>
    <n v="244999.99999999997"/>
    <n v="105000.00000000003"/>
    <s v="BUJES DE TIJERA/ BUJES DE TEMPLETES/ ASPIRALES/ MUÑECOS"/>
    <n v="1320000"/>
    <m/>
    <n v="0"/>
    <n v="2016000"/>
    <m/>
    <n v="0"/>
    <n v="0"/>
    <n v="696000"/>
    <m/>
  </r>
  <r>
    <x v="36"/>
    <s v="RM: 216"/>
    <s v="CARLOS PINILLA"/>
    <s v="BRU-640"/>
    <s v="VITARA"/>
    <x v="1"/>
    <s v="CAMBIO KIT DE EMBRAGUE"/>
    <n v="300000"/>
    <n v="210000"/>
    <n v="90000"/>
    <s v="KIT EMBRAGUE"/>
    <n v="428000"/>
    <m/>
    <n v="0"/>
    <n v="580000"/>
    <m/>
    <n v="0"/>
    <n v="0"/>
    <n v="152000"/>
    <m/>
  </r>
  <r>
    <x v="36"/>
    <s v="RM:215"/>
    <s v="RICARDO MENDILVEGO"/>
    <s v="AHD-810"/>
    <s v="VOLKSWAGEN"/>
    <x v="2"/>
    <s v="REPARACION ARRANQUE"/>
    <n v="90000"/>
    <n v="54000"/>
    <n v="36000"/>
    <m/>
    <m/>
    <n v="0"/>
    <n v="0"/>
    <m/>
    <n v="0"/>
    <n v="0"/>
    <n v="0"/>
    <n v="0"/>
    <m/>
  </r>
  <r>
    <x v="36"/>
    <m/>
    <m/>
    <m/>
    <s v="GRUA"/>
    <x v="6"/>
    <s v="CAMBIO DE ACOPLE, INSERTO Y ANILLO"/>
    <n v="20000"/>
    <n v="12000"/>
    <n v="8000"/>
    <m/>
    <m/>
    <n v="0"/>
    <n v="0"/>
    <m/>
    <n v="0"/>
    <n v="0"/>
    <n v="0"/>
    <n v="0"/>
    <m/>
  </r>
  <r>
    <x v="36"/>
    <s v="RM:217/FE: 105"/>
    <s v="GERMAN FONSECA"/>
    <s v="NAF-630"/>
    <s v="HYUNDAI"/>
    <x v="0"/>
    <s v="REVISION DE RUEDAS TRASERAS, CAMBIO DE CHUPAS"/>
    <n v="60000"/>
    <n v="42000"/>
    <n v="18000"/>
    <s v="JUEGO DE BANDAS, CHUPAS"/>
    <n v="96000"/>
    <n v="80672.268907563033"/>
    <n v="15327.731092436976"/>
    <n v="170000"/>
    <n v="142857.14285714287"/>
    <n v="27142.857142857145"/>
    <n v="11815.126050420169"/>
    <n v="62184.873949579836"/>
    <m/>
  </r>
  <r>
    <x v="36"/>
    <s v="RM:214"/>
    <s v="LUIS FERNANDO OLEARTE"/>
    <s v="AGD-224"/>
    <s v="MB"/>
    <x v="1"/>
    <s v="REPARACION PARCIAL DE MOTOR"/>
    <n v="1000000"/>
    <n v="500000"/>
    <n v="300000"/>
    <s v="EMPAQUE DE CULTA, EMPAQUES DE CARTER, CAUCHOS, ANILLOS, CASQUETE DE BIELA, "/>
    <n v="2010000"/>
    <m/>
    <n v="0"/>
    <n v="2638000"/>
    <m/>
    <n v="0"/>
    <n v="0"/>
    <n v="628000"/>
    <m/>
  </r>
  <r>
    <x v="34"/>
    <s v="RM:208"/>
    <s v="WILSON RODRIGUEZ"/>
    <s v="CCP-487"/>
    <s v="FORD ECOSPORT"/>
    <x v="0"/>
    <s v="CAMBIO TERMINAL DE DIRECCION Y CRUCETA/ CAMBIO SOPORTE DE MOTOR"/>
    <n v="280000"/>
    <n v="196000"/>
    <n v="84000"/>
    <s v="TERMINALES, CRUCETA CARDAN, SOPORTE DE MOTOR"/>
    <n v="460000"/>
    <m/>
    <n v="0"/>
    <n v="580000"/>
    <m/>
    <n v="0"/>
    <n v="0"/>
    <n v="120000"/>
    <m/>
  </r>
  <r>
    <x v="37"/>
    <s v="rm:218"/>
    <s v="JOSE AREVALO"/>
    <s v="BHB-245"/>
    <s v="PEGEOUT"/>
    <x v="0"/>
    <s v="CAMBIO TUBO DE LIQUIDO"/>
    <n v="20000"/>
    <n v="14000"/>
    <n v="6000"/>
    <m/>
    <m/>
    <n v="0"/>
    <n v="0"/>
    <m/>
    <n v="0"/>
    <n v="0"/>
    <n v="0"/>
    <n v="0"/>
    <m/>
  </r>
  <r>
    <x v="37"/>
    <s v="RM:220"/>
    <s v="ALEJANDRO ROMERO"/>
    <s v="CZG-381"/>
    <s v="CITROEN"/>
    <x v="0"/>
    <s v="CAMBIO DE BANDAS TRASERAS/ CAMBIO DE CILINDROS DE FRENOS"/>
    <n v="50000"/>
    <n v="35000"/>
    <n v="15000"/>
    <s v="BANDAS, CILINDRO DE FRENOS TRAS"/>
    <n v="315000"/>
    <m/>
    <n v="0"/>
    <n v="415000"/>
    <m/>
    <n v="0"/>
    <n v="0"/>
    <n v="100000"/>
    <m/>
  </r>
  <r>
    <x v="37"/>
    <s v="RM:219"/>
    <s v="VICTOR JULIO LEAL"/>
    <s v="RENAULT 9"/>
    <m/>
    <x v="1"/>
    <s v="CAMBIO DE ROTULA, CAMBIO CAUCHO COPA CAJA"/>
    <n v="60000"/>
    <n v="42000"/>
    <n v="18000"/>
    <s v="ROTULA DEL. IZQ"/>
    <n v="42000"/>
    <n v="35294.117647058825"/>
    <n v="6705.8823529411766"/>
    <n v="50000"/>
    <m/>
    <n v="0"/>
    <m/>
    <n v="8000"/>
    <m/>
  </r>
  <r>
    <x v="37"/>
    <m/>
    <s v="VICENTE PATARROYO"/>
    <m/>
    <s v="MAO-470"/>
    <x v="2"/>
    <s v="GRADUACION DE FRENOS"/>
    <n v="10000"/>
    <n v="6000"/>
    <n v="4000"/>
    <m/>
    <m/>
    <n v="0"/>
    <n v="0"/>
    <m/>
    <n v="0"/>
    <n v="0"/>
    <n v="0"/>
    <n v="0"/>
    <m/>
  </r>
  <r>
    <x v="37"/>
    <m/>
    <s v="SERVICIOS AGRICOLAS"/>
    <s v="FOTON"/>
    <s v="WNM-202"/>
    <x v="0"/>
    <s v="REVISION DE FRENOS/ SUSPENSION DE LIMITADOR"/>
    <n v="40000"/>
    <n v="28000"/>
    <n v="12000"/>
    <m/>
    <m/>
    <n v="0"/>
    <n v="0"/>
    <m/>
    <n v="0"/>
    <n v="0"/>
    <n v="0"/>
    <n v="0"/>
    <m/>
  </r>
  <r>
    <x v="38"/>
    <m/>
    <s v="RAUL MENDOZA"/>
    <s v="EKM-793"/>
    <s v="NISSAN PATROL"/>
    <x v="6"/>
    <s v="CAMBIO DE MANGUERA DE FRENOS"/>
    <n v="20000"/>
    <n v="14000"/>
    <n v="6000"/>
    <s v="MANGUERA DE FRENOS"/>
    <n v="45000"/>
    <m/>
    <n v="0"/>
    <n v="60000"/>
    <m/>
    <n v="0"/>
    <n v="0"/>
    <n v="15000"/>
    <m/>
  </r>
  <r>
    <x v="38"/>
    <s v="FE:107 / RM:223"/>
    <s v="JORGE GUTIERREZ"/>
    <s v="FAK-163"/>
    <s v="FORD-150"/>
    <x v="0"/>
    <s v="CAMBIO DE PASTILLAS/ REVISION DE FRENOS COMPLETO"/>
    <n v="80000"/>
    <n v="56000"/>
    <n v="24000"/>
    <s v="PASTILLAS"/>
    <n v="134000"/>
    <n v="112605.04201680672"/>
    <n v="21394.957983193279"/>
    <n v="190000"/>
    <n v="159663.8655462185"/>
    <n v="30336.134453781517"/>
    <n v="8941.1764705882379"/>
    <n v="47058.823529411748"/>
    <m/>
  </r>
  <r>
    <x v="38"/>
    <m/>
    <m/>
    <s v="UIG-883"/>
    <m/>
    <x v="0"/>
    <s v="GRADUAR FRENOS"/>
    <n v="10000"/>
    <n v="6000"/>
    <n v="4000"/>
    <m/>
    <m/>
    <n v="0"/>
    <n v="0"/>
    <m/>
    <n v="0"/>
    <n v="0"/>
    <n v="0"/>
    <n v="0"/>
    <m/>
  </r>
  <r>
    <x v="38"/>
    <m/>
    <m/>
    <s v="EXX-586"/>
    <s v="FOTON"/>
    <x v="0"/>
    <s v="GRADUAR FRENOS"/>
    <n v="10000"/>
    <n v="7000"/>
    <n v="3000"/>
    <m/>
    <m/>
    <n v="0"/>
    <n v="0"/>
    <m/>
    <n v="0"/>
    <n v="0"/>
    <n v="0"/>
    <n v="0"/>
    <m/>
  </r>
  <r>
    <x v="38"/>
    <m/>
    <m/>
    <s v="FORD"/>
    <m/>
    <x v="0"/>
    <s v="REVISION DE FRENOS DELANTEROS"/>
    <n v="30000"/>
    <n v="30000"/>
    <n v="0"/>
    <m/>
    <m/>
    <n v="0"/>
    <n v="0"/>
    <m/>
    <n v="0"/>
    <n v="0"/>
    <n v="0"/>
    <n v="0"/>
    <m/>
  </r>
  <r>
    <x v="39"/>
    <s v="RM:227"/>
    <s v="HECTOR MAHECHA"/>
    <s v="JEZ-317"/>
    <s v="DODGE RAM"/>
    <x v="0"/>
    <s v="CAMBIO DE CILINDRO"/>
    <n v="30000"/>
    <n v="21000"/>
    <n v="9000"/>
    <s v="PISTON DE MORDAZA"/>
    <n v="57000"/>
    <n v="47899.159663865546"/>
    <n v="9100.8403361344535"/>
    <n v="80000"/>
    <m/>
    <n v="0"/>
    <n v="-9100.8403361344535"/>
    <n v="32100.840336134454"/>
    <m/>
  </r>
  <r>
    <x v="39"/>
    <s v="FE:110 / RM:205"/>
    <s v="ANDRES PEREZ"/>
    <s v="BMY-8440"/>
    <s v="TWINGO"/>
    <x v="0"/>
    <s v="REVISION DE FRENOS COMPLETO/ CAMBIO DE GUAYA DE CLOSH Y ALAMBRES"/>
    <n v="60000"/>
    <n v="42000"/>
    <n v="18000"/>
    <s v="GUAYA DE CLOSH, ALAMBRES"/>
    <n v="53000"/>
    <n v="44537.815126050424"/>
    <n v="8462.1848739495799"/>
    <n v="60000"/>
    <n v="50420.168067226892"/>
    <n v="9579.8319327731097"/>
    <n v="1117.6470588235297"/>
    <n v="5882.3529411764684"/>
    <m/>
  </r>
  <r>
    <x v="39"/>
    <m/>
    <m/>
    <s v="WTM-631"/>
    <s v="F-CARGO 815"/>
    <x v="0"/>
    <s v="GRADUAR FRENOS"/>
    <n v="10000"/>
    <n v="7000"/>
    <n v="3000"/>
    <m/>
    <m/>
    <n v="0"/>
    <n v="0"/>
    <m/>
    <n v="0"/>
    <n v="0"/>
    <n v="0"/>
    <n v="0"/>
    <m/>
  </r>
  <r>
    <x v="39"/>
    <s v="FE:109"/>
    <s v="VERDECERES MS SAS"/>
    <s v="SPL-963"/>
    <s v="NNR"/>
    <x v="0"/>
    <s v="CAMBIO DE VALVULINA/ SERVICIO DE ESCANER"/>
    <n v="30000"/>
    <n v="21000"/>
    <n v="9000"/>
    <s v="VALVULINA"/>
    <n v="200000"/>
    <m/>
    <n v="0"/>
    <n v="230000"/>
    <m/>
    <n v="0"/>
    <n v="0"/>
    <n v="30000"/>
    <m/>
  </r>
  <r>
    <x v="39"/>
    <s v="RM:226"/>
    <s v="PDRO PABLO MARTINEZ"/>
    <s v="MPB-890"/>
    <s v="MAZDA"/>
    <x v="0"/>
    <s v="CAMBIO DE PASTILLAS DE FRENOS DEL / REVISION DE FRENOS"/>
    <n v="80000"/>
    <n v="56000"/>
    <n v="24000"/>
    <s v="PASTILLAS DEL"/>
    <n v="85000"/>
    <m/>
    <n v="0"/>
    <n v="130000"/>
    <m/>
    <n v="0"/>
    <n v="0"/>
    <n v="45000"/>
    <m/>
  </r>
  <r>
    <x v="40"/>
    <s v="RM:229"/>
    <s v="CLARA QUINTIN"/>
    <s v="RKV-033"/>
    <s v="LOGAN"/>
    <x v="1"/>
    <s v="CAMBIO CAUCHO COPA CAJA IZQ / CAMBIO DE VALVULINA"/>
    <n v="50000"/>
    <n v="35000"/>
    <n v="15000"/>
    <s v="COPA CAJA IZQ"/>
    <n v="80000"/>
    <n v="67226.890756302528"/>
    <n v="12773.10924369748"/>
    <n v="70000"/>
    <n v="58823.529411764706"/>
    <n v="11176.470588235294"/>
    <n v="-1596.6386554621859"/>
    <n v="-8403.3613445378141"/>
    <m/>
  </r>
  <r>
    <x v="40"/>
    <m/>
    <s v="RAFAEL POLO"/>
    <s v="BDN-052"/>
    <s v="JEEP "/>
    <x v="1"/>
    <s v="CAMBIO REGISTRO DE COMBUSTIBLE"/>
    <n v="20000"/>
    <n v="14000"/>
    <n v="6000"/>
    <m/>
    <m/>
    <n v="0"/>
    <n v="0"/>
    <m/>
    <n v="0"/>
    <n v="0"/>
    <n v="0"/>
    <n v="0"/>
    <m/>
  </r>
  <r>
    <x v="40"/>
    <s v="RM:230"/>
    <s v="ANGEL CHINCHILLA"/>
    <s v="SNR-047"/>
    <s v="NPR"/>
    <x v="0"/>
    <s v="REVISION DE RUEDAS TRASERAS"/>
    <n v="60000"/>
    <n v="42000"/>
    <n v="18000"/>
    <s v="CHUPAS 1 5/16, GASOLINA, GRASA"/>
    <n v="26000"/>
    <n v="21848.73949579832"/>
    <n v="4151.2605042016812"/>
    <n v="47000"/>
    <n v="39495.798319327732"/>
    <n v="7504.2016806722695"/>
    <n v="3352.9411764705883"/>
    <n v="17647.058823529413"/>
    <m/>
  </r>
  <r>
    <x v="40"/>
    <m/>
    <m/>
    <s v="TFQ-813"/>
    <s v="LOGAN"/>
    <x v="0"/>
    <s v="GRADUACION DE FRENOS"/>
    <n v="10000"/>
    <n v="7000"/>
    <n v="3000"/>
    <m/>
    <m/>
    <n v="0"/>
    <n v="0"/>
    <m/>
    <n v="0"/>
    <n v="0"/>
    <n v="0"/>
    <n v="0"/>
    <m/>
  </r>
  <r>
    <x v="40"/>
    <m/>
    <s v="ANDRES PEREZ"/>
    <s v="BMY-844"/>
    <s v="TWINGO"/>
    <x v="1"/>
    <s v="CAMBIO KIT DE CLOSH"/>
    <n v="250000"/>
    <n v="175000"/>
    <n v="75000"/>
    <s v="KIT DE CLOSH"/>
    <n v="260000"/>
    <n v="218487.3949579832"/>
    <n v="41512.60504201681"/>
    <n v="350000"/>
    <n v="294117.64705882355"/>
    <n v="55882.352941176476"/>
    <n v="14369.747899159665"/>
    <n v="75630.252100840327"/>
    <m/>
  </r>
  <r>
    <x v="41"/>
    <s v="RM:232"/>
    <s v="MARTHA MORALES"/>
    <s v="HKM-167"/>
    <s v="SAIL"/>
    <x v="0"/>
    <s v="REVISION DE FRENOS"/>
    <n v="50000"/>
    <n v="35000"/>
    <n v="15000"/>
    <m/>
    <m/>
    <n v="0"/>
    <n v="0"/>
    <m/>
    <n v="0"/>
    <n v="0"/>
    <n v="0"/>
    <n v="0"/>
    <m/>
  </r>
  <r>
    <x v="41"/>
    <s v="RM:235"/>
    <s v="JHON FREDDY"/>
    <s v="IJW-370"/>
    <s v="CHEVROLET"/>
    <x v="1"/>
    <s v="CAMBIO DE TIJERA / SOLDAR TORNILLO"/>
    <n v="60000"/>
    <n v="42000"/>
    <n v="18000"/>
    <m/>
    <m/>
    <n v="0"/>
    <n v="0"/>
    <m/>
    <n v="0"/>
    <n v="0"/>
    <n v="0"/>
    <n v="0"/>
    <m/>
  </r>
  <r>
    <x v="41"/>
    <s v="RM:234"/>
    <s v="ADOLFO DIAZ ROJAS"/>
    <s v="ZYQ-971"/>
    <s v="DUSTER"/>
    <x v="0"/>
    <s v="CAMBIO KIT DE REPARTICION , CORREA DE ACCESORIO, BUJIAS, PUNTA DE EJE LADO RUEDA, RODAMIENTO, SERVICIO DE PRENSA"/>
    <n v="430000"/>
    <n v="301000"/>
    <n v="129000"/>
    <m/>
    <m/>
    <m/>
    <n v="0"/>
    <m/>
    <m/>
    <m/>
    <m/>
    <n v="0"/>
    <m/>
  </r>
  <r>
    <x v="41"/>
    <s v="RM:234"/>
    <s v="ADOLFO DIAZ ROJAS"/>
    <s v="ZYQ-971"/>
    <s v="DUSTER"/>
    <x v="1"/>
    <s v="CAMBIO KIT DE REPARTICION , CORREA DE ACCESORIO, BUJIAS, PUNTA DE EJE LADO RUEDA, RODAMIENTO, SERVICIO DE PRENSA"/>
    <n v="300000"/>
    <n v="210000"/>
    <n v="90000"/>
    <s v="CAMBIO KIT DE REPARTICION , CORREA DE ACCESORIO, BUJIAS, PUNTA DE EJE LADO RUEDA, RODAMIENTO, SERVICIO DE PRENSA"/>
    <n v="815000"/>
    <m/>
    <n v="0"/>
    <n v="1135000"/>
    <m/>
    <m/>
    <m/>
    <n v="320000"/>
    <m/>
  </r>
  <r>
    <x v="41"/>
    <s v="FE: 114/RM:233"/>
    <s v="RODOLFO BARRERA"/>
    <s v="HSV-263"/>
    <s v="CAPTIVA"/>
    <x v="0"/>
    <s v="CAMBIO DE PASTILLAS TRASERAS/ DELANTERAS Y AMORTIGUADORES "/>
    <n v="160000"/>
    <n v="112000"/>
    <n v="48000"/>
    <s v="PASTILLAS TRASERAS/ DELANTERAS Y AMORTIGUADORES "/>
    <n v="1010000"/>
    <n v="848739.49579831935"/>
    <n v="161260.50420168068"/>
    <n v="1270000"/>
    <n v="1067226.8907563025"/>
    <n v="202773.10924369749"/>
    <n v="41512.605042016803"/>
    <n v="218487.39495798317"/>
    <m/>
  </r>
  <r>
    <x v="42"/>
    <s v="RM:237"/>
    <s v="FABIO CHACON"/>
    <s v="KBM-615"/>
    <s v="NISSAN"/>
    <x v="0"/>
    <s v="REVISION DE FRENOS Y FRENO DE MANO"/>
    <n v="90000"/>
    <n v="62999.999999999993"/>
    <n v="27000.000000000007"/>
    <s v="PASTILLAS FRENO TRASERA"/>
    <n v="100000"/>
    <m/>
    <n v="0"/>
    <n v="140000"/>
    <m/>
    <n v="0"/>
    <n v="0"/>
    <n v="40000"/>
    <m/>
  </r>
  <r>
    <x v="42"/>
    <m/>
    <m/>
    <s v="MBO-301"/>
    <m/>
    <x v="6"/>
    <s v="SERVICIO DE ESCANER"/>
    <n v="50000"/>
    <n v="35000"/>
    <n v="15000"/>
    <m/>
    <m/>
    <n v="0"/>
    <n v="0"/>
    <m/>
    <n v="0"/>
    <n v="0"/>
    <n v="0"/>
    <n v="0"/>
    <m/>
  </r>
  <r>
    <x v="42"/>
    <s v="RM:240"/>
    <s v="FAVER NOVOA"/>
    <s v="JOW-086"/>
    <s v="NHR"/>
    <x v="0"/>
    <s v="CAMBIO DE ESPARRAGOS/ GRADUACION DE FRENOS"/>
    <n v="40000"/>
    <n v="28000"/>
    <n v="12000"/>
    <m/>
    <m/>
    <n v="0"/>
    <n v="0"/>
    <m/>
    <n v="0"/>
    <n v="0"/>
    <n v="0"/>
    <n v="0"/>
    <m/>
  </r>
  <r>
    <x v="42"/>
    <s v="RM:239"/>
    <s v="MAGDA VELOZA"/>
    <s v="BWM-262"/>
    <s v="MEGANE I"/>
    <x v="0"/>
    <s v="CAMBIO DE PASTILLA DELANTERAS"/>
    <n v="30000"/>
    <n v="21000"/>
    <n v="9000"/>
    <s v="PASTILLAS DELANTERAS"/>
    <n v="120000"/>
    <n v="100840.33613445378"/>
    <n v="19159.663865546219"/>
    <n v="150000"/>
    <n v="126050.42016806723"/>
    <n v="23949.579831932773"/>
    <n v="4789.9159663865539"/>
    <n v="25210.084033613442"/>
    <m/>
  </r>
  <r>
    <x v="42"/>
    <s v="RM:241"/>
    <s v="TRANSPORTE LOGISTICO CYG"/>
    <s v="SPQ-698"/>
    <s v="HYUNDAI"/>
    <x v="0"/>
    <s v="_x000a_REVISION DE FRENOS / ADPATACION DE TORNILLO MORDAZA DEL DERECHA"/>
    <n v="100000"/>
    <n v="70000"/>
    <n v="30000"/>
    <m/>
    <m/>
    <n v="0"/>
    <n v="0"/>
    <m/>
    <n v="0"/>
    <n v="0"/>
    <n v="0"/>
    <n v="0"/>
    <m/>
  </r>
  <r>
    <x v="43"/>
    <m/>
    <m/>
    <s v="HBN-198"/>
    <m/>
    <x v="6"/>
    <s v="REVISION ELECTRICA /ESCANER"/>
    <n v="60000"/>
    <m/>
    <n v="60000"/>
    <m/>
    <m/>
    <n v="0"/>
    <n v="0"/>
    <m/>
    <n v="0"/>
    <n v="0"/>
    <n v="0"/>
    <n v="0"/>
    <m/>
  </r>
  <r>
    <x v="43"/>
    <s v="RM:242"/>
    <m/>
    <s v="BJO-522"/>
    <m/>
    <x v="6"/>
    <s v="REVISION DE FRENOS"/>
    <n v="40000"/>
    <m/>
    <n v="40000"/>
    <m/>
    <m/>
    <n v="0"/>
    <n v="0"/>
    <m/>
    <n v="0"/>
    <n v="0"/>
    <n v="0"/>
    <n v="0"/>
    <m/>
  </r>
  <r>
    <x v="43"/>
    <s v="RM: 248 / FE: 117"/>
    <s v="JAVIER MARTIN"/>
    <s v="USB-807"/>
    <s v="NPR"/>
    <x v="0"/>
    <s v="CAMBIO DE GUAYA FRENO DE MANO/ GUAYA DE FRENO DE MANO/ RESORTE"/>
    <n v="150000"/>
    <n v="105000"/>
    <n v="45000"/>
    <s v="GUAYA FRENO DE MANO/ GUAYA DE FRENO DE MANO/ RESORTE"/>
    <n v="530000"/>
    <n v="151260.5"/>
    <n v="28739.494999999999"/>
    <n v="780000"/>
    <n v="235294.11"/>
    <n v="44705.880899999996"/>
    <n v="15966.385899999997"/>
    <n v="234033.61410000001"/>
    <m/>
  </r>
  <r>
    <x v="43"/>
    <s v="FE:115/RM:243"/>
    <s v="FABIAN VAJONERO"/>
    <s v="BMK-782"/>
    <s v="CLIO"/>
    <x v="0"/>
    <s v="REVISION DE FRENOS/ CAMBIO SOPORTE AMORTIGUADOR Y MUÑECOS"/>
    <n v="180000"/>
    <n v="125999.99999999999"/>
    <n v="54000.000000000015"/>
    <s v="SOPORTE AMORTIGUADOR Y MUÑECOS"/>
    <n v="150000"/>
    <n v="126050.42016806723"/>
    <n v="23949.579831932773"/>
    <n v="200000"/>
    <n v="168067.22689075631"/>
    <n v="31932.773109243699"/>
    <n v="7983.1932773109256"/>
    <n v="42016.806722689071"/>
    <m/>
  </r>
  <r>
    <x v="43"/>
    <s v="RM:244"/>
    <s v="MARCOS AMAYA"/>
    <s v="BLV-454"/>
    <s v="MITSUBISHI"/>
    <x v="1"/>
    <s v="CAMBIO SOPORTE IZQ/ DELANTERO/ TRASERO"/>
    <n v="160000"/>
    <n v="112000"/>
    <n v="48000"/>
    <s v="SOPORTE IZQ/ DELANTERO/ TRASERO"/>
    <n v="515000"/>
    <m/>
    <n v="0"/>
    <n v="643000"/>
    <m/>
    <n v="0"/>
    <n v="0"/>
    <n v="128000"/>
    <m/>
  </r>
  <r>
    <x v="43"/>
    <s v="FE:116"/>
    <s v="EMEB TECNOLOGIA"/>
    <s v="CUM-340"/>
    <s v="MAZDA"/>
    <x v="1"/>
    <s v="CAMBIO BUJES BARRA ESTABILIZADORA/ CORREAS DE ACCESORIO"/>
    <n v="150000"/>
    <n v="105000"/>
    <n v="45000"/>
    <s v="BUJES BARRA ESTABILIZADORA/ CORREAS DE ACCESORIO"/>
    <n v="235000"/>
    <m/>
    <n v="0"/>
    <n v="340000"/>
    <n v="285714.28571428574"/>
    <n v="54285.71428571429"/>
    <n v="54285.71428571429"/>
    <n v="50714.285714285681"/>
    <m/>
  </r>
  <r>
    <x v="43"/>
    <s v="RM:247"/>
    <s v="ALEJANDRO ALONZO"/>
    <s v="BSB-546"/>
    <s v="TOYOTA PRADO"/>
    <x v="0"/>
    <s v="REPARACION DE SUSPENSION"/>
    <n v="350000"/>
    <n v="244999.99999999997"/>
    <n v="105000.00000000003"/>
    <m/>
    <m/>
    <n v="0"/>
    <n v="0"/>
    <m/>
    <n v="0"/>
    <n v="0"/>
    <n v="0"/>
    <n v="0"/>
    <m/>
  </r>
  <r>
    <x v="43"/>
    <s v="RM: 206"/>
    <s v="FRANCISCO SASTOQUE"/>
    <s v="JKJ-296"/>
    <s v="LAND ROVER"/>
    <x v="1"/>
    <s v="CAMBIO DE BOMBA DE GASOLINA Y BOMBA DE AGUA"/>
    <n v="160000"/>
    <n v="112000"/>
    <n v="48000"/>
    <m/>
    <m/>
    <n v="0"/>
    <n v="0"/>
    <m/>
    <n v="0"/>
    <n v="0"/>
    <n v="0"/>
    <n v="0"/>
    <m/>
  </r>
  <r>
    <x v="44"/>
    <s v="RM:249 / FE: 118"/>
    <s v="JOSE DIAZ"/>
    <s v="BZX-793"/>
    <s v="SPARK"/>
    <x v="0"/>
    <s v="CAMBIO DE SOPORTE DE CAJA, SOPORTE MOTOR IZQ, BRAZO AXILANTE DEL DERECHO"/>
    <n v="150000"/>
    <n v="105000"/>
    <n v="45000"/>
    <s v="SOPORTE DE CAJA, SOPORTE MOTOR IZQ, BRAZO AXILANTE DEL DERECHO"/>
    <n v="208000"/>
    <n v="174789.91596638656"/>
    <n v="33210.08403361345"/>
    <n v="309000"/>
    <n v="259663.8655462185"/>
    <n v="49336.134453781517"/>
    <n v="16126.050420168067"/>
    <n v="84873.94957983194"/>
    <m/>
  </r>
  <r>
    <x v="44"/>
    <s v="RM:246"/>
    <s v="MARCOS AMAYA"/>
    <s v="BLV-454"/>
    <s v="MITSUBISHI"/>
    <x v="1"/>
    <s v="CAMBIO DE PUNTA EJE LADO CAJA"/>
    <n v="50000"/>
    <n v="35000"/>
    <n v="15000"/>
    <s v="PUNTA DE EJE"/>
    <n v="340000"/>
    <m/>
    <n v="0"/>
    <n v="440000"/>
    <n v="369747.89915966388"/>
    <m/>
    <n v="0"/>
    <n v="100000"/>
    <m/>
  </r>
  <r>
    <x v="44"/>
    <m/>
    <s v="MONGIBELLO"/>
    <s v="WNO-408"/>
    <m/>
    <x v="0"/>
    <s v="GRADUACION DE FRENOS"/>
    <n v="10000"/>
    <n v="7000"/>
    <n v="3000"/>
    <m/>
    <m/>
    <n v="0"/>
    <n v="0"/>
    <m/>
    <n v="0"/>
    <n v="0"/>
    <n v="0"/>
    <n v="0"/>
    <m/>
  </r>
  <r>
    <x v="44"/>
    <m/>
    <m/>
    <s v="SND-423"/>
    <s v="VOLQUETA"/>
    <x v="6"/>
    <s v="CAMBIO DE INSERTO, ANILLO Y ACOPLE"/>
    <n v="40000"/>
    <n v="28000"/>
    <n v="12000"/>
    <m/>
    <m/>
    <m/>
    <m/>
    <m/>
    <m/>
    <m/>
    <m/>
    <m/>
    <m/>
  </r>
  <r>
    <x v="43"/>
    <s v="CANCELADO"/>
    <m/>
    <s v="RCT-822"/>
    <s v="SANDERO"/>
    <x v="0"/>
    <s v="CAMBIO SOPORTE DE CAJA CENTRAL"/>
    <n v="50000"/>
    <n v="35000"/>
    <n v="15000"/>
    <s v="SOPORTE CENTRAL LOGAN"/>
    <n v="39532"/>
    <n v="33220.168067226892"/>
    <n v="6311.8319327731097"/>
    <n v="60000"/>
    <m/>
    <n v="0"/>
    <n v="-6311.8319327731097"/>
    <n v="26779.831932773108"/>
    <s v="CANCELADO"/>
  </r>
  <r>
    <x v="45"/>
    <s v="RM:250"/>
    <s v="JOAQUIN VARON"/>
    <s v="TFQ-819"/>
    <s v="LOGAN"/>
    <x v="1"/>
    <s v="MANTENIMIENTO DE BUJIAS/ CAMBIO VARILLA DE ACEITE "/>
    <n v="50000"/>
    <n v="35000"/>
    <n v="15000"/>
    <m/>
    <m/>
    <n v="0"/>
    <n v="0"/>
    <m/>
    <n v="0"/>
    <n v="0"/>
    <n v="0"/>
    <n v="0"/>
    <m/>
  </r>
  <r>
    <x v="45"/>
    <s v="FE:119/RM:251"/>
    <s v="HERNANDO JIMENEZ"/>
    <s v="BAW-200"/>
    <s v="TRUPPER"/>
    <x v="0"/>
    <s v="CAMBIO DE BUJES DE TIJERA"/>
    <n v="50000"/>
    <n v="35000"/>
    <n v="15000"/>
    <s v="BUJES DE TIJERA SUP"/>
    <n v="50000"/>
    <n v="42016.806722689078"/>
    <n v="7983.1932773109247"/>
    <n v="76000"/>
    <n v="63865.546218487398"/>
    <n v="12134.453781512606"/>
    <n v="4151.2605042016812"/>
    <n v="21848.73949579832"/>
    <m/>
  </r>
  <r>
    <x v="45"/>
    <m/>
    <m/>
    <s v="KHR-650"/>
    <s v="LOGAN"/>
    <x v="0"/>
    <s v="GRADUACION DE FRENOS"/>
    <n v="5000"/>
    <n v="3500"/>
    <n v="1500"/>
    <m/>
    <m/>
    <n v="0"/>
    <n v="0"/>
    <m/>
    <n v="0"/>
    <n v="0"/>
    <n v="0"/>
    <n v="0"/>
    <m/>
  </r>
  <r>
    <x v="45"/>
    <s v="RM:254"/>
    <s v="JUAN CARLOS QUIJANO"/>
    <s v="BLK-537"/>
    <s v="LAND CROUSER"/>
    <x v="0"/>
    <s v="REPARACION DE SUPENSION DEL Y TRASERA"/>
    <n v="400000"/>
    <n v="280000"/>
    <n v="120000"/>
    <s v="TERM,INALES DE DIREECCION, MUÑECOS DEL Y TRASEROS, BUJES DE LA BARRA ESTAB, BUJES DE TEMPLETES DEL Y TRASE, BUJES DE AMORTUGUADOR,GASOLINA, SERVICIO DE PRENSA, SILICONA"/>
    <n v="1648000"/>
    <n v="1384873.9495798319"/>
    <n v="263126.05042016809"/>
    <n v="2187000"/>
    <n v="1837815.1260504203"/>
    <n v="349184.87394957989"/>
    <n v="86058.823529411806"/>
    <n v="452941.17647058819"/>
    <m/>
  </r>
  <r>
    <x v="46"/>
    <m/>
    <m/>
    <s v="GPG-415"/>
    <s v="FORD"/>
    <x v="1"/>
    <s v="CAMBIO DE RODAMIENTOS PUNTA DE EJE"/>
    <n v="50000"/>
    <n v="35000"/>
    <n v="15000"/>
    <m/>
    <m/>
    <n v="0"/>
    <n v="0"/>
    <m/>
    <n v="0"/>
    <n v="0"/>
    <n v="0"/>
    <n v="0"/>
    <m/>
  </r>
  <r>
    <x v="46"/>
    <s v="FE:121/RM:256"/>
    <s v="RODRIGO MONCADA"/>
    <s v="WDG-431"/>
    <s v="VOLKSWAGEN"/>
    <x v="0"/>
    <s v="BAJAR BOMBA DE CLOSH"/>
    <n v="50000"/>
    <n v="35000"/>
    <n v="15000"/>
    <s v="KIT BOMBA DE CLOSH"/>
    <n v="60000"/>
    <n v="50420.168067226892"/>
    <n v="9579.8319327731097"/>
    <n v="90000"/>
    <n v="75630.252100840342"/>
    <n v="14369.747899159665"/>
    <n v="4789.9159663865557"/>
    <n v="25210.084033613442"/>
    <m/>
  </r>
  <r>
    <x v="46"/>
    <s v="FE:121/RM:256"/>
    <s v="RODRIGO MONCADA"/>
    <s v="WDG-431"/>
    <s v="VOLKSWAGEN"/>
    <x v="1"/>
    <s v="DESVARE"/>
    <n v="80000"/>
    <n v="56000"/>
    <n v="24000"/>
    <m/>
    <m/>
    <n v="0"/>
    <n v="0"/>
    <m/>
    <n v="0"/>
    <n v="0"/>
    <n v="0"/>
    <n v="0"/>
    <m/>
  </r>
  <r>
    <x v="46"/>
    <s v="FE:121/RM:256"/>
    <s v="RODRIGO MONCADA"/>
    <s v="WDG-431"/>
    <s v="VOLKSWAGEN"/>
    <x v="8"/>
    <s v="REPARACION DE CORTO ELCTRICO"/>
    <n v="150000"/>
    <n v="150000"/>
    <n v="0"/>
    <s v="ABRAZADERAS, CABLE, CORAZA, CINTA, LIQUIDO DE FRENOS, PINES PLAST"/>
    <n v="26500"/>
    <n v="22268.907563025212"/>
    <n v="4231.09243697479"/>
    <n v="141000"/>
    <n v="118487.3949579832"/>
    <n v="22512.605042016807"/>
    <n v="18281.512605042015"/>
    <n v="96218.487394957978"/>
    <m/>
  </r>
  <r>
    <x v="46"/>
    <s v="FE:122/RM:257"/>
    <s v="YENY PULGARIN"/>
    <s v="SNZ-697"/>
    <s v="HINO"/>
    <x v="0"/>
    <s v="MATTO RUEDA DELANTERA / CAMBIO DE CHUPAS"/>
    <n v="40000"/>
    <n v="28000"/>
    <n v="12000"/>
    <s v="CHUPAS  1 7/16"/>
    <n v="10000"/>
    <m/>
    <n v="0"/>
    <n v="17000"/>
    <n v="14285.714285714286"/>
    <n v="2714.2857142857142"/>
    <n v="2714.2857142857142"/>
    <n v="4285.7142857142862"/>
    <m/>
  </r>
  <r>
    <x v="46"/>
    <m/>
    <m/>
    <s v="HBN-909"/>
    <s v="HUMMER"/>
    <x v="0"/>
    <s v="AJUSTE DE SUSPENSION"/>
    <n v="20000"/>
    <n v="12000"/>
    <n v="8000"/>
    <m/>
    <m/>
    <n v="0"/>
    <n v="0"/>
    <m/>
    <n v="0"/>
    <n v="0"/>
    <n v="0"/>
    <n v="0"/>
    <m/>
  </r>
  <r>
    <x v="46"/>
    <s v="FE:120"/>
    <s v="MAURICIO GUIA"/>
    <s v="S59035"/>
    <s v="KENWORTH"/>
    <x v="0"/>
    <s v="BAJAR RUEDAS"/>
    <n v="50000"/>
    <n v="35000"/>
    <n v="15000"/>
    <m/>
    <m/>
    <n v="0"/>
    <n v="0"/>
    <m/>
    <n v="0"/>
    <n v="0"/>
    <n v="0"/>
    <n v="0"/>
    <m/>
  </r>
  <r>
    <x v="47"/>
    <s v="FE:123/ RM:258"/>
    <s v="MARIO CARDOZO"/>
    <s v="BJX-839"/>
    <s v="CLIO"/>
    <x v="0"/>
    <s v="CAMBIO DE RODAMIENTO TRASERO"/>
    <n v="35000"/>
    <n v="32000"/>
    <n v="3000"/>
    <m/>
    <m/>
    <n v="0"/>
    <n v="0"/>
    <m/>
    <n v="0"/>
    <n v="0"/>
    <n v="0"/>
    <n v="0"/>
    <m/>
  </r>
  <r>
    <x v="47"/>
    <s v="FE:124 / RM:259"/>
    <s v="ANDRES SIERRA"/>
    <s v="BPG-413"/>
    <s v="SYMBOL"/>
    <x v="0"/>
    <s v="CAMBIO DE ROTULA IZQ. Y MUÑECOS"/>
    <n v="55000"/>
    <n v="38500"/>
    <n v="16500"/>
    <s v="ROTULA Y MUÑECOS"/>
    <n v="85000"/>
    <n v="71428.571428571435"/>
    <n v="13571.428571428572"/>
    <n v="117000"/>
    <n v="98319.327731092446"/>
    <n v="18680.672268907565"/>
    <n v="5109.2436974789925"/>
    <n v="26890.756302521011"/>
    <m/>
  </r>
  <r>
    <x v="47"/>
    <m/>
    <m/>
    <s v="BHO-428"/>
    <s v="RENAULT 9"/>
    <x v="0"/>
    <s v="CAMBIO DE BUJES Y MUÑECOS"/>
    <n v="40000"/>
    <n v="28000"/>
    <n v="12000"/>
    <m/>
    <m/>
    <n v="0"/>
    <n v="0"/>
    <m/>
    <n v="0"/>
    <n v="0"/>
    <n v="0"/>
    <n v="0"/>
    <m/>
  </r>
  <r>
    <x v="47"/>
    <s v="RM:261"/>
    <s v="JOSE BARRERA"/>
    <s v="XGJ-109"/>
    <s v="VOLQUETA"/>
    <x v="0"/>
    <s v="CAMBIO DE BANDAS RUEDA TRASERA/ MTTO RACHE"/>
    <n v="100000"/>
    <n v="70000"/>
    <n v="30000"/>
    <m/>
    <m/>
    <n v="0"/>
    <n v="0"/>
    <m/>
    <n v="0"/>
    <n v="0"/>
    <n v="0"/>
    <n v="0"/>
    <m/>
  </r>
  <r>
    <x v="47"/>
    <s v="RM:260"/>
    <s v="MARCOS AURELIO DIAZ"/>
    <s v="EIS-544"/>
    <s v="SANDERO"/>
    <x v="0"/>
    <s v="CAMBIO DE PASTILLAS /MTTO DE FRENOS GENERAL"/>
    <n v="60000"/>
    <n v="42000"/>
    <n v="18000"/>
    <s v="PASTILLAS FRENO DEL."/>
    <n v="132000"/>
    <n v="110924.36974789917"/>
    <n v="21075.630252100844"/>
    <n v="175000"/>
    <n v="147058.82352941178"/>
    <n v="27941.176470588238"/>
    <n v="6865.5462184873941"/>
    <n v="36134.453781512595"/>
    <m/>
  </r>
  <r>
    <x v="47"/>
    <m/>
    <m/>
    <s v="UYK-286"/>
    <s v="TOYOTA"/>
    <x v="1"/>
    <s v="REPARACION PARCIAL DE MOTOR"/>
    <n v="500000"/>
    <n v="350000"/>
    <n v="150000"/>
    <m/>
    <m/>
    <n v="0"/>
    <n v="0"/>
    <m/>
    <n v="0"/>
    <n v="0"/>
    <n v="0"/>
    <n v="0"/>
    <m/>
  </r>
  <r>
    <x v="48"/>
    <s v="RM: 262"/>
    <s v="JUAN CARLOS CASTELLANOS"/>
    <s v="HAY-978"/>
    <s v="MAZDA"/>
    <x v="0"/>
    <s v="CAMBIO DE LIQUIDO / REV. DE FRENOS GENERAL"/>
    <n v="100000"/>
    <n v="70000"/>
    <n v="30000"/>
    <s v="LIQUIDO"/>
    <n v="24000"/>
    <n v="20168.067226890758"/>
    <n v="3831.932773109244"/>
    <n v="35000"/>
    <n v="29411.764705882353"/>
    <n v="5588.2352941176468"/>
    <n v="1756.3025210084029"/>
    <n v="9243.6974789915985"/>
    <m/>
  </r>
  <r>
    <x v="48"/>
    <s v="RM: 267"/>
    <s v="MIGUEL MORENO"/>
    <s v="BFV-298 "/>
    <s v="FIAT UNO"/>
    <x v="0"/>
    <s v="REVISION DE FREMOS/ CAMBIO MANGUERA DE FRENOS"/>
    <n v="60000"/>
    <n v="42000"/>
    <n v="18000"/>
    <s v="LIQUIDO /MANGUERA DE FRENOS"/>
    <n v="6400"/>
    <n v="5378.1512605042017"/>
    <n v="1021.8487394957983"/>
    <n v="15000"/>
    <n v="12605.042016806723"/>
    <n v="2394.9579831932774"/>
    <n v="1373.1092436974791"/>
    <n v="7226.8907563025205"/>
    <m/>
  </r>
  <r>
    <x v="48"/>
    <s v="RM: 267"/>
    <s v="MIGUEL MORENO"/>
    <s v="BFV-298 "/>
    <s v="FIAT UNO"/>
    <x v="1"/>
    <s v="CAMBIO KIT DE CLOSH"/>
    <n v="160000"/>
    <n v="112000"/>
    <n v="48000"/>
    <m/>
    <m/>
    <n v="0"/>
    <n v="0"/>
    <m/>
    <n v="0"/>
    <n v="0"/>
    <n v="0"/>
    <n v="0"/>
    <m/>
  </r>
  <r>
    <x v="48"/>
    <s v="RM:264"/>
    <s v="JAIME MONCADA"/>
    <s v="SKK-862"/>
    <s v="MITSUBISHI"/>
    <x v="6"/>
    <s v="CAMBIO EMP BOMBA DE CLOSH/ BAJAR PEDALERA/ GRADUACION DE FRENOS"/>
    <n v="50000"/>
    <n v="35000"/>
    <n v="15000"/>
    <s v="EMPAQUE KIT BOMBA DE CLOSH / LIQUIDO / PIN R"/>
    <n v="36900"/>
    <n v="31008.403361344539"/>
    <n v="5891.5966386554628"/>
    <n v="76000"/>
    <n v="63865.546218487398"/>
    <n v="12134.453781512606"/>
    <n v="6242.8571428571431"/>
    <n v="32857.142857142855"/>
    <m/>
  </r>
  <r>
    <x v="48"/>
    <m/>
    <s v="KATHERIN MORALES"/>
    <s v="BEU-321"/>
    <s v="ESCODA"/>
    <x v="0"/>
    <s v="CAMBIO BUJES DE TIJERAS"/>
    <n v="90000"/>
    <n v="62999.999999999993"/>
    <n v="27000.000000000007"/>
    <m/>
    <m/>
    <n v="0"/>
    <n v="0"/>
    <m/>
    <n v="0"/>
    <n v="0"/>
    <n v="0"/>
    <n v="0"/>
    <m/>
  </r>
  <r>
    <x v="48"/>
    <s v="FE:127/RM:265"/>
    <s v="CLARA QUINTIN"/>
    <s v="RKV-033"/>
    <s v="LOGAN DYNAMIC"/>
    <x v="1"/>
    <s v="CAMBIO KIT DE CLOSH"/>
    <n v="250000"/>
    <n v="175000"/>
    <n v="75000"/>
    <s v=" KIT DE CLOSH"/>
    <n v="310000"/>
    <n v="260504.20168067227"/>
    <n v="49495.798319327732"/>
    <n v="420000"/>
    <n v="352941.17647058825"/>
    <n v="67058.823529411762"/>
    <n v="17563.02521008403"/>
    <n v="92436.974789915956"/>
    <m/>
  </r>
  <r>
    <x v="48"/>
    <m/>
    <s v="CESAR ISAZA"/>
    <s v="TFP-394"/>
    <s v="NISSAN"/>
    <x v="0"/>
    <s v="REVISION RUEDAS TRASERAS"/>
    <n v="30000"/>
    <n v="21000"/>
    <n v="9000"/>
    <m/>
    <m/>
    <n v="0"/>
    <n v="0"/>
    <m/>
    <n v="0"/>
    <n v="0"/>
    <n v="0"/>
    <n v="0"/>
    <m/>
  </r>
  <r>
    <x v="48"/>
    <s v="FE:129/RM:266"/>
    <s v="FABIAN GARCIA"/>
    <s v="MBL-513"/>
    <s v="NISSAN"/>
    <x v="1"/>
    <s v="CAMBIO DE BOMBA DE AGUA, EMP TAPA VALVULAS"/>
    <n v="120000"/>
    <n v="84000"/>
    <n v="36000"/>
    <s v="BOMBA DE AGUA/ EMPAQUE TAPA VALVULA"/>
    <n v="362500"/>
    <n v="16806.72"/>
    <n v="3193.2768000000001"/>
    <n v="480000"/>
    <n v="403361.34453781514"/>
    <n v="76638.655462184877"/>
    <n v="73445.37866218487"/>
    <n v="44054.62133781513"/>
    <m/>
  </r>
  <r>
    <x v="48"/>
    <s v="FE:126/RM:263"/>
    <s v="LIMNYS GACHARNA"/>
    <s v="HKM-167"/>
    <s v="SAIL"/>
    <x v="0"/>
    <s v="CAMBIO DE AMORTIGUADORES DEL/ BUJES DE TIJERA /GP EJE LADO CAJA"/>
    <n v="230000"/>
    <n v="161000"/>
    <n v="69000"/>
    <s v="AMORTIGUADORES DEL/ BUJES DE TIJERA /GP EJE LADO CAJA"/>
    <n v="336490"/>
    <n v="282764.70588235295"/>
    <n v="53725.294117647063"/>
    <n v="557000"/>
    <n v="468067.22689075634"/>
    <n v="88932.773109243702"/>
    <n v="35207.478991596639"/>
    <n v="185302.52100840339"/>
    <m/>
  </r>
  <r>
    <x v="49"/>
    <s v="FE:130 / RM: 271"/>
    <s v="OTERO GERARDO"/>
    <s v="TGN-516"/>
    <s v="RENAULT TRAFIC"/>
    <x v="0"/>
    <s v="CAMBIO DE RODAMIENTO DELANTERO Y ROTULA"/>
    <n v="80000"/>
    <n v="56000"/>
    <n v="24000"/>
    <s v="ROD, DEL/ ROTULA"/>
    <n v="175000"/>
    <n v="147058.82352941178"/>
    <n v="27941.176470588238"/>
    <n v="225000"/>
    <n v="189075.63025210085"/>
    <n v="35924.36974789916"/>
    <n v="7983.193277310922"/>
    <n v="42016.806722689071"/>
    <m/>
  </r>
  <r>
    <x v="49"/>
    <m/>
    <m/>
    <s v="BJO-522"/>
    <s v="FIAT UNO"/>
    <x v="0"/>
    <s v="CAMBIO DE BOMBA DE FRENO"/>
    <n v="40000"/>
    <n v="28000"/>
    <n v="12000"/>
    <m/>
    <m/>
    <n v="0"/>
    <n v="0"/>
    <m/>
    <n v="0"/>
    <n v="0"/>
    <n v="0"/>
    <n v="0"/>
    <m/>
  </r>
  <r>
    <x v="49"/>
    <m/>
    <s v="ANDRES PEREZ"/>
    <s v="BMY-844"/>
    <s v="TWINGO"/>
    <x v="0"/>
    <s v="CAMBIO DE BUJES DE TIJERA"/>
    <n v="50000"/>
    <n v="35000"/>
    <n v="15000"/>
    <m/>
    <n v="44000"/>
    <n v="36974.789915966387"/>
    <n v="7025.2100840336134"/>
    <n v="60000"/>
    <n v="50420.168067226892"/>
    <n v="9579.8319327731097"/>
    <n v="2554.6218487394963"/>
    <n v="13445.378151260506"/>
    <m/>
  </r>
  <r>
    <x v="49"/>
    <s v="FE:132/RM:272"/>
    <s v="ALEJANDRO RIVERA"/>
    <s v="BRK-566"/>
    <s v="FIAT UNO"/>
    <x v="1"/>
    <s v="CAMBIO PILA BOMBA DE GASOLINA"/>
    <n v="40000"/>
    <n v="28000"/>
    <n v="12000"/>
    <s v="PILA GASOLINA/ABRAZADERA METAL"/>
    <n v="86500"/>
    <n v="72689.075630252104"/>
    <n v="13810.9243697479"/>
    <n v="107000"/>
    <n v="89915.966386554632"/>
    <n v="17084.033613445379"/>
    <n v="3273.1092436974795"/>
    <n v="17226.890756302513"/>
    <m/>
  </r>
  <r>
    <x v="50"/>
    <s v="FE:135/RM:276"/>
    <s v="LUIS BELTRAN"/>
    <s v="                                                                                                                   "/>
    <s v="CHEVROLET RODEO"/>
    <x v="1"/>
    <s v="REPARACION PARCIAL DE MOTOR"/>
    <n v="700000"/>
    <n v="489999.99999999994"/>
    <n v="210000.00000000006"/>
    <s v="ANILLOS, CASQUETE DE BIELA, EMPQUE DE CULTA, EMPAQUE MULTIPLE DE ADMISION, SOPORTE DE MOTOR IZQ, BUJIAS"/>
    <n v="750000"/>
    <n v="630252.10084033618"/>
    <n v="119747.89915966388"/>
    <n v="1122500"/>
    <n v="943277.31092436984"/>
    <n v="179222.68907563027"/>
    <n v="59474.789915966394"/>
    <n v="313025.21008403366"/>
    <m/>
  </r>
  <r>
    <x v="50"/>
    <s v="FE:135/RM:276"/>
    <s v="LUIS BELTRAN"/>
    <s v="BJJ-688"/>
    <s v="CHEVROLET RODEO"/>
    <x v="0"/>
    <s v="CAMBIO DE BANDAS Y LIQUIDO"/>
    <n v="60000"/>
    <m/>
    <n v="60000"/>
    <s v="BANDAS, LIQUIDO FRENO  DOT3"/>
    <n v="56282"/>
    <n v="47295.798319327732"/>
    <n v="8986.2016806722695"/>
    <n v="105000"/>
    <n v="88235.294117647063"/>
    <n v="16764.705882352941"/>
    <n v="7778.504201680671"/>
    <n v="40939.495798319331"/>
    <m/>
  </r>
  <r>
    <x v="50"/>
    <s v="RM:277"/>
    <s v="ANGELA CORREDOR"/>
    <s v="BIO-488"/>
    <s v="JEEP"/>
    <x v="0"/>
    <s v="CAMBIO CRUCETA CARDAN"/>
    <n v="30000"/>
    <n v="21000"/>
    <n v="9000"/>
    <s v="CRUCETA DE CARDAN"/>
    <n v="70000"/>
    <n v="58823.529411764706"/>
    <n v="11176.470588235294"/>
    <n v="100000"/>
    <n v="84033.613445378156"/>
    <m/>
    <m/>
    <n v="30000"/>
    <m/>
  </r>
  <r>
    <x v="51"/>
    <s v="RM:274"/>
    <m/>
    <s v="DDX-778"/>
    <s v="HIUNDAY TUCSON"/>
    <x v="0"/>
    <s v="CAMBIO DE LIQUIDO"/>
    <n v="30000"/>
    <n v="21000"/>
    <n v="9000"/>
    <s v="LIQUIDO DOT4"/>
    <n v="44000"/>
    <n v="36974.789915966387"/>
    <n v="7025.2100840336134"/>
    <n v="60000"/>
    <m/>
    <n v="0"/>
    <n v="-7025.2100840336134"/>
    <n v="23025.210084033613"/>
    <m/>
  </r>
  <r>
    <x v="52"/>
    <s v="RM:278"/>
    <s v="RICARDO QUITIAN"/>
    <s v="SAX-195"/>
    <s v="HILUX"/>
    <x v="0"/>
    <s v="CAMBIO DE MANGUERA DE FRENOS/ MANTENIMIENTO MORDAZA"/>
    <n v="30000"/>
    <n v="21000"/>
    <n v="9000"/>
    <s v="MANGUERA DE FRENOS"/>
    <n v="20000"/>
    <m/>
    <n v="0"/>
    <n v="35000"/>
    <m/>
    <n v="0"/>
    <n v="0"/>
    <n v="15000"/>
    <m/>
  </r>
  <r>
    <x v="52"/>
    <m/>
    <s v="JAIME MONCADA"/>
    <s v="ERL-333"/>
    <s v="JAC"/>
    <x v="0"/>
    <s v="MANTENIMIENTO FRENO DE AHOGO"/>
    <n v="25000"/>
    <n v="17500"/>
    <n v="7500"/>
    <m/>
    <m/>
    <n v="0"/>
    <n v="0"/>
    <m/>
    <n v="0"/>
    <n v="0"/>
    <n v="0"/>
    <n v="0"/>
    <m/>
  </r>
  <r>
    <x v="53"/>
    <m/>
    <m/>
    <s v="MXV-040"/>
    <s v="KIA"/>
    <x v="1"/>
    <s v="BJAR TANQUE DE COMBUSTIBLE"/>
    <n v="180000"/>
    <n v="125999.99999999999"/>
    <n v="54000.000000000015"/>
    <m/>
    <m/>
    <n v="0"/>
    <n v="0"/>
    <m/>
    <n v="0"/>
    <n v="0"/>
    <n v="0"/>
    <n v="0"/>
    <m/>
  </r>
  <r>
    <x v="53"/>
    <m/>
    <s v="JOSE ORLANDO LADINO"/>
    <s v="BMZ-260"/>
    <s v="MEGANE I"/>
    <x v="1"/>
    <s v="REPARACION PARCIAL DE MOTOR"/>
    <n v="1000000"/>
    <n v="700000"/>
    <n v="300000"/>
    <s v="EMPAQUE DE CULATA, EMPAQUE MULTIPLE DE ADMISION, TERMOSTATO, BASE DE TERMOSTATO, ANILLOS, CASQUETE DE BIELA, BANCADA, VALVULAS, SELLOS, KIT DE REPARTIOCION, GUIAS VALVULAS"/>
    <n v="1715000"/>
    <m/>
    <n v="0"/>
    <n v="2224000"/>
    <m/>
    <n v="0"/>
    <n v="0"/>
    <n v="509000"/>
    <m/>
  </r>
  <r>
    <x v="53"/>
    <s v="FE: 137 /RM: 283"/>
    <s v="WILLIAM A CARDENAS"/>
    <s v="IRW-663"/>
    <s v="GRAN VITARA"/>
    <x v="0"/>
    <s v="SINCRONIZACION / CAMBIO DE INYECTOR/ CAMBIO DE VALVULA RETENCION"/>
    <n v="180000"/>
    <n v="125999.99999999999"/>
    <n v="54000.000000000015"/>
    <s v="INYECTOR, EMPAQUE DE INYECTOR, BUJIAS, VALVULA, PACHA DE INYECTOR"/>
    <n v="618000"/>
    <n v="519327.731092437"/>
    <n v="98672.268907563033"/>
    <n v="835000"/>
    <n v="701680.67226890754"/>
    <n v="133319.32773109243"/>
    <n v="34647.058823529398"/>
    <n v="182352.9411764706"/>
    <m/>
  </r>
  <r>
    <x v="53"/>
    <s v="FE:136"/>
    <s v="JAIME MONCADA"/>
    <s v="QHK-358"/>
    <s v="CORSA"/>
    <x v="0"/>
    <s v="_x000a_SINCRONIZACION / CABIO DE AMORTIGUADORES DEL Y TRASEROS/ GUARDA POLVO LADO RUEDA"/>
    <n v="420000"/>
    <n v="294000"/>
    <n v="126000"/>
    <s v="FILTROS DE INYECTORES, AMORTIGUADORES DEL Y TRASEROS, BUJES DE TIJERA, SOPORTE DE AMORTIGUADORES, ABRAZADERAS, GP LADO RUEDA, KIT DE REPARTICION, RODAMIENTO SOPORTE AMORTIG, CHUPAS 11/16"/>
    <n v="610480.51500000001"/>
    <n v="513008.83613445383"/>
    <n v="97471.67886554623"/>
    <n v="1101500"/>
    <n v="925630.25210084033"/>
    <n v="175869.74789915967"/>
    <n v="78398.069033613443"/>
    <n v="412621.41596638656"/>
    <m/>
  </r>
  <r>
    <x v="54"/>
    <s v="FE:138/CT:35"/>
    <s v="VICTOR VELAZQUEZ"/>
    <s v="WTM-959"/>
    <s v="SPARK"/>
    <x v="0"/>
    <s v=" _x000a_SINCRONIZACION / REPARACION DE SUSPENSION/ MANTENIMIENTO DE FRENOS/ CAMBIO DE LIQUIDO"/>
    <n v="450000"/>
    <n v="315000"/>
    <n v="135000"/>
    <s v="TIJERA, SOPORTE MOTOR Y CAJA, PASTILLAS DELANTERAS, AMORTIGUADORES TRASEROS, LIQUIDO DOT3, GP LADO RUDEA, GP LADO CAJA, KIT CALIPER, BRAZO AXUIAL, INYECTOR, BUJIAS, ABRAZADERAS PLAST , PUNTAS DE EJE"/>
    <n v="1051600"/>
    <n v="883697.47899159673"/>
    <n v="167902.52100840339"/>
    <n v="1426700"/>
    <n v="1198907.5630252101"/>
    <n v="227792.43697478992"/>
    <n v="59889.915966386528"/>
    <n v="315210.08403361356"/>
    <m/>
  </r>
  <r>
    <x v="54"/>
    <s v="FE:140"/>
    <s v="JHON RODRIGUEZ"/>
    <s v="DDR-574"/>
    <s v="VOLSWAGEN"/>
    <x v="0"/>
    <s v="REPARACION DE SUSPENSION DELANTERA / MANTENIMIENTO DE FRENOS/ CAMBIO DE LIQUIDO / CORRECCION FUGA DE MOTOR"/>
    <n v="320000"/>
    <n v="224000"/>
    <n v="96000"/>
    <s v="BUJE DE TIJERAS, BRAZO AXIAL DER, POASTILLAS DEL, MANGUERA ENFRIADOR, DOT4, SILICONA, GASOLINA, MUÑECO, ROTULAS"/>
    <n v="734000"/>
    <n v="616806.72268907563"/>
    <n v="117193.27731092437"/>
    <n v="966000"/>
    <n v="811764.70588235301"/>
    <n v="154235.29411764708"/>
    <n v="37042.016806722706"/>
    <n v="194957.98319327726"/>
    <m/>
  </r>
  <r>
    <x v="54"/>
    <m/>
    <s v="ALIMENTOS LAYLA"/>
    <m/>
    <m/>
    <x v="6"/>
    <s v="GRADUACION DE FRENOS"/>
    <n v="10000"/>
    <m/>
    <n v="10000"/>
    <m/>
    <m/>
    <n v="0"/>
    <n v="0"/>
    <m/>
    <n v="0"/>
    <n v="0"/>
    <n v="0"/>
    <n v="0"/>
    <m/>
  </r>
  <r>
    <x v="54"/>
    <m/>
    <s v="PETROSERVICES"/>
    <s v="SWR-662"/>
    <s v="JAC"/>
    <x v="8"/>
    <s v=" REVISION ELECTRICO "/>
    <n v="30000"/>
    <n v="20000"/>
    <n v="10000"/>
    <m/>
    <m/>
    <n v="0"/>
    <n v="0"/>
    <m/>
    <n v="0"/>
    <n v="0"/>
    <n v="0"/>
    <n v="0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">
  <r>
    <x v="0"/>
    <m/>
    <m/>
    <s v="SNR-047"/>
    <s v="JAC"/>
    <x v="0"/>
    <s v="GRADUACION DE FRENOS"/>
    <x v="0"/>
    <x v="0"/>
    <x v="0"/>
    <m/>
    <m/>
    <n v="0"/>
    <n v="0"/>
    <m/>
    <n v="0"/>
    <n v="0"/>
    <n v="0"/>
    <n v="0"/>
    <m/>
  </r>
  <r>
    <x v="0"/>
    <m/>
    <m/>
    <m/>
    <m/>
    <x v="0"/>
    <s v="SERVICIO DE ESCANER"/>
    <x v="1"/>
    <x v="1"/>
    <x v="1"/>
    <m/>
    <m/>
    <n v="0"/>
    <n v="0"/>
    <m/>
    <n v="0"/>
    <n v="0"/>
    <n v="0"/>
    <n v="0"/>
    <m/>
  </r>
  <r>
    <x v="0"/>
    <s v="FE:143/RM:287"/>
    <s v="YALILA MONCAYA"/>
    <s v="FZR-739"/>
    <s v="FIAT UNO"/>
    <x v="0"/>
    <s v="CAMBIO DE PASTILLAS DELANTERAS"/>
    <x v="2"/>
    <x v="2"/>
    <x v="2"/>
    <s v="PASTILLAS DELANTERAS"/>
    <n v="140000"/>
    <n v="117647.05882352941"/>
    <n v="22352.941176470587"/>
    <n v="195000"/>
    <n v="163865.5462184874"/>
    <n v="31134.453781512606"/>
    <n v="8781.5126050420185"/>
    <n v="46218.487394957978"/>
    <m/>
  </r>
  <r>
    <x v="0"/>
    <s v="FE:144"/>
    <s v="GERMAN PIRANEQUE"/>
    <s v="MUS-526"/>
    <s v="FORD ESPACE"/>
    <x v="0"/>
    <s v="CAMBIO DE PASTILLAS TRASERAS"/>
    <x v="2"/>
    <x v="2"/>
    <x v="2"/>
    <s v="PASTILLAS TRASERAS"/>
    <n v="92000"/>
    <n v="77310.924369747896"/>
    <n v="14689.0756302521"/>
    <n v="125000"/>
    <n v="105042.01680672269"/>
    <n v="19957.983193277312"/>
    <n v="5268.9075630252119"/>
    <n v="27731.092436974781"/>
    <m/>
  </r>
  <r>
    <x v="0"/>
    <s v="FE:140"/>
    <s v="VICTOR VELAZQUEZ"/>
    <s v="WTM-959"/>
    <s v="SPARK"/>
    <x v="0"/>
    <s v="CAMBIO DE PUNTAS DE EJE"/>
    <x v="3"/>
    <x v="3"/>
    <x v="3"/>
    <m/>
    <m/>
    <n v="0"/>
    <n v="0"/>
    <m/>
    <n v="0"/>
    <n v="0"/>
    <n v="0"/>
    <n v="0"/>
    <m/>
  </r>
  <r>
    <x v="1"/>
    <m/>
    <m/>
    <s v="UFX-880"/>
    <s v="GRUA"/>
    <x v="0"/>
    <s v="GRADUACION DE FRENOS"/>
    <x v="0"/>
    <x v="0"/>
    <x v="0"/>
    <m/>
    <m/>
    <n v="0"/>
    <n v="0"/>
    <m/>
    <n v="0"/>
    <n v="0"/>
    <n v="0"/>
    <n v="0"/>
    <m/>
  </r>
  <r>
    <x v="1"/>
    <s v="FE:145"/>
    <s v="PRODUCTOS FAMILIA"/>
    <s v="SNZ-697"/>
    <s v="HINO"/>
    <x v="0"/>
    <s v="BAJAR RUEDA TRASERA DERECHA"/>
    <x v="4"/>
    <x v="4"/>
    <x v="4"/>
    <s v="4 CHUPAS Y GUARDAPOLVOS"/>
    <n v="23600"/>
    <n v="19831.932773109245"/>
    <n v="3768.0672268907565"/>
    <n v="46000"/>
    <n v="38655.462184873948"/>
    <n v="7344.5378151260502"/>
    <n v="3576.4705882352937"/>
    <n v="18823.529411764706"/>
    <m/>
  </r>
  <r>
    <x v="1"/>
    <s v="FE:146"/>
    <s v="FRESKIFRUTA"/>
    <s v="TLO-165"/>
    <s v="DFSK"/>
    <x v="0"/>
    <s v="CAMBIO DE DISCOS DEL"/>
    <x v="4"/>
    <x v="4"/>
    <x v="4"/>
    <s v="DISCOS DELANTEROS"/>
    <n v="330000"/>
    <m/>
    <n v="0"/>
    <n v="430000"/>
    <n v="361344.53781512607"/>
    <n v="68655.462184873948"/>
    <n v="68655.462184873948"/>
    <n v="31344.537815126067"/>
    <m/>
  </r>
  <r>
    <x v="2"/>
    <s v="FE:147"/>
    <s v="MARIANA ROMERO"/>
    <s v="ZIX-975"/>
    <s v="NISSAN"/>
    <x v="0"/>
    <s v="CAMBIO DE RODAMIENTO TRASERO"/>
    <x v="4"/>
    <x v="4"/>
    <x v="4"/>
    <s v="RODAMIENTO TRASERO"/>
    <n v="90000"/>
    <n v="75630.252100840342"/>
    <n v="14369.747899159665"/>
    <n v="115000"/>
    <n v="96638.655462184877"/>
    <n v="18361.344537815126"/>
    <n v="3991.596638655461"/>
    <n v="21008.403361344535"/>
    <m/>
  </r>
  <r>
    <x v="2"/>
    <s v="RM:289"/>
    <s v="OSCASR RANGEL"/>
    <s v="CYV-936"/>
    <s v="CLIO"/>
    <x v="0"/>
    <s v="BAJAR MANGUERA DEL HIDRAULICO"/>
    <x v="5"/>
    <x v="5"/>
    <x v="5"/>
    <m/>
    <m/>
    <n v="0"/>
    <n v="0"/>
    <m/>
    <n v="0"/>
    <n v="0"/>
    <n v="0"/>
    <n v="0"/>
    <m/>
  </r>
  <r>
    <x v="2"/>
    <s v="RM:288"/>
    <s v="JULIAN VICENTE"/>
    <s v="SYM-628"/>
    <s v="MAZDA"/>
    <x v="0"/>
    <s v="GRADUACION DE FRENOS/ REVISION"/>
    <x v="6"/>
    <x v="6"/>
    <x v="6"/>
    <s v="6 CHUPAS"/>
    <n v="18000"/>
    <n v="15126.050420168069"/>
    <n v="2873.9495798319331"/>
    <n v="110000"/>
    <n v="92436.97478991597"/>
    <n v="17563.025210084033"/>
    <n v="14689.0756302521"/>
    <n v="77310.924369747896"/>
    <m/>
  </r>
  <r>
    <x v="2"/>
    <s v="FE: 149"/>
    <s v="VERDECERES"/>
    <s v="SPL-963"/>
    <s v="NNR"/>
    <x v="0"/>
    <s v="CAMBIO DE BANDAS FRENO DE MANO"/>
    <x v="2"/>
    <x v="2"/>
    <x v="2"/>
    <m/>
    <m/>
    <n v="0"/>
    <n v="0"/>
    <m/>
    <n v="0"/>
    <n v="0"/>
    <n v="0"/>
    <n v="0"/>
    <m/>
  </r>
  <r>
    <x v="2"/>
    <s v="FE: 149"/>
    <s v="VERDECERES"/>
    <s v="SPL-963"/>
    <s v="NNR"/>
    <x v="1"/>
    <s v="CAMBIAR CRUCETA DE CARDAN / BALINERA"/>
    <x v="6"/>
    <x v="6"/>
    <x v="6"/>
    <m/>
    <m/>
    <n v="0"/>
    <n v="0"/>
    <m/>
    <n v="0"/>
    <n v="0"/>
    <n v="0"/>
    <n v="0"/>
    <m/>
  </r>
  <r>
    <x v="2"/>
    <s v="FE: 149"/>
    <s v="VERDECERES"/>
    <s v="SPL-963"/>
    <s v="NNR"/>
    <x v="2"/>
    <s v="MANTENIMIENTO ELECTRICO / CAMBIO DE PITOS"/>
    <x v="7"/>
    <x v="3"/>
    <x v="7"/>
    <m/>
    <m/>
    <n v="0"/>
    <n v="0"/>
    <m/>
    <n v="0"/>
    <n v="0"/>
    <n v="0"/>
    <n v="0"/>
    <m/>
  </r>
  <r>
    <x v="3"/>
    <s v="RM:290"/>
    <s v="FRESKIFRUTA"/>
    <s v="TLO-165"/>
    <s v="DFSK"/>
    <x v="0"/>
    <s v="SINCRONIZACION, BAJAR RUEDA"/>
    <x v="5"/>
    <x v="5"/>
    <x v="5"/>
    <s v="UNION 3/16"/>
    <n v="5000"/>
    <n v="4201.680672268908"/>
    <n v="798.31932773109247"/>
    <n v="20000"/>
    <n v="16806.722689075632"/>
    <n v="3193.2773109243699"/>
    <n v="2394.9579831932774"/>
    <n v="12605.042016806723"/>
    <m/>
  </r>
  <r>
    <x v="3"/>
    <s v="FE:152/RM:291"/>
    <s v="IVAN BOORGE"/>
    <s v="IRM-601"/>
    <s v="KIA CARENS"/>
    <x v="0"/>
    <s v="CAMBIO DE PASTILLAS DEL, CAMBIO DE ESPARRAGO"/>
    <x v="8"/>
    <x v="7"/>
    <x v="8"/>
    <s v="PASTILLAS DEL, ESPARRAGO"/>
    <n v="157000"/>
    <n v="131932.77310924372"/>
    <n v="25067.226890756305"/>
    <n v="210000"/>
    <n v="176470.58823529413"/>
    <n v="33529.411764705881"/>
    <n v="8462.1848739495763"/>
    <n v="44537.815126050438"/>
    <m/>
  </r>
  <r>
    <x v="3"/>
    <m/>
    <m/>
    <s v="SKZ-264"/>
    <s v="VOLKSWAGEN TRANSPORTE"/>
    <x v="3"/>
    <s v="DESVARE"/>
    <x v="2"/>
    <x v="8"/>
    <x v="3"/>
    <m/>
    <m/>
    <n v="0"/>
    <n v="0"/>
    <m/>
    <n v="0"/>
    <n v="0"/>
    <n v="0"/>
    <n v="0"/>
    <m/>
  </r>
  <r>
    <x v="4"/>
    <m/>
    <s v="PETROSERVICES"/>
    <s v="ERL-529"/>
    <s v="JAC"/>
    <x v="3"/>
    <s v="GRADUACION DE FRENOS"/>
    <x v="0"/>
    <x v="8"/>
    <x v="9"/>
    <m/>
    <m/>
    <n v="0"/>
    <n v="0"/>
    <m/>
    <n v="0"/>
    <n v="0"/>
    <n v="0"/>
    <n v="0"/>
    <m/>
  </r>
  <r>
    <x v="4"/>
    <m/>
    <s v="SASTOQUE"/>
    <m/>
    <s v="LAND ROVER"/>
    <x v="0"/>
    <s v="CAMBIO DE TUBO "/>
    <x v="2"/>
    <x v="9"/>
    <x v="10"/>
    <m/>
    <m/>
    <n v="0"/>
    <n v="0"/>
    <m/>
    <n v="0"/>
    <n v="0"/>
    <n v="0"/>
    <n v="0"/>
    <m/>
  </r>
  <r>
    <x v="4"/>
    <m/>
    <m/>
    <s v="SCR-"/>
    <s v="F-350"/>
    <x v="1"/>
    <s v="MEDIR PRESION DE COMBUSTIBLE"/>
    <x v="9"/>
    <x v="10"/>
    <x v="11"/>
    <m/>
    <m/>
    <n v="0"/>
    <n v="0"/>
    <m/>
    <n v="0"/>
    <n v="0"/>
    <n v="0"/>
    <n v="0"/>
    <m/>
  </r>
  <r>
    <x v="4"/>
    <s v="FE:154"/>
    <s v="RAFAEL VASQUEZ"/>
    <s v="GMR-143"/>
    <s v="VITARA"/>
    <x v="0"/>
    <s v="MANTENIMIENTO DE FRENOS, CAMBIO DE LIQUIDO"/>
    <x v="10"/>
    <x v="11"/>
    <x v="12"/>
    <m/>
    <m/>
    <n v="0"/>
    <n v="0"/>
    <m/>
    <n v="0"/>
    <n v="0"/>
    <n v="0"/>
    <n v="0"/>
    <m/>
  </r>
  <r>
    <x v="4"/>
    <m/>
    <s v="JOHAN ALVEIRO GUZMAN"/>
    <s v="BLN-256"/>
    <s v="DAIHATSU"/>
    <x v="0"/>
    <s v="REVISION"/>
    <x v="9"/>
    <x v="10"/>
    <x v="11"/>
    <m/>
    <m/>
    <n v="0"/>
    <n v="0"/>
    <m/>
    <n v="0"/>
    <n v="0"/>
    <n v="0"/>
    <n v="0"/>
    <m/>
  </r>
  <r>
    <x v="4"/>
    <s v="FE:158/FE:160"/>
    <s v="OCATI"/>
    <s v="RNS-177"/>
    <s v="VITARA"/>
    <x v="0"/>
    <s v="SINCRONIZACION-REVISION GUAYA VELOCIMETRO-MATTO RUEDAS LIBRES"/>
    <x v="11"/>
    <x v="12"/>
    <x v="13"/>
    <m/>
    <m/>
    <n v="0"/>
    <n v="0"/>
    <m/>
    <n v="0"/>
    <n v="0"/>
    <n v="0"/>
    <n v="0"/>
    <m/>
  </r>
  <r>
    <x v="4"/>
    <s v="FE:40"/>
    <s v="JHON RODRIGUEZ"/>
    <s v="DDR-574"/>
    <s v="VW GOL"/>
    <x v="0"/>
    <s v="CAMBIO DE RODAMIENTOS TRASEROS"/>
    <x v="4"/>
    <x v="4"/>
    <x v="4"/>
    <s v="RODAMIENTOS TRASEROS"/>
    <n v="120000"/>
    <n v="100840.33613445378"/>
    <n v="19159.663865546219"/>
    <n v="156000"/>
    <n v="131092.43697478992"/>
    <n v="24907.563025210085"/>
    <n v="5747.8991596638662"/>
    <n v="30252.100840336134"/>
    <m/>
  </r>
  <r>
    <x v="4"/>
    <s v="RM:292"/>
    <s v="ANGEL MALANGA"/>
    <s v="BRX-793"/>
    <s v="CITROEN"/>
    <x v="1"/>
    <s v="CAMBIO E SOPORTE DE CAJA / CAUCHO / COPA CAJA / CAMBIO DE TRICETA"/>
    <x v="12"/>
    <x v="13"/>
    <x v="14"/>
    <m/>
    <m/>
    <n v="0"/>
    <n v="0"/>
    <m/>
    <n v="0"/>
    <n v="0"/>
    <n v="0"/>
    <n v="0"/>
    <m/>
  </r>
  <r>
    <x v="4"/>
    <s v="FE:155/RM:293"/>
    <s v="KEVIN MONTAÑEZ"/>
    <s v="RNV-662"/>
    <s v="LOGAN"/>
    <x v="1"/>
    <s v="SINCRONIZACION/ BAJAR CAJA DE REPARTICION"/>
    <x v="13"/>
    <x v="14"/>
    <x v="15"/>
    <s v="LIQUIDO/ FUSIBLES-RETENEDOR VOLANTE/ KIT DE CLOSH/ EMPAQUES DEL CARTER/ CORREA DE REPARTICION/ GP LADO CAJA/ MUÑECOS/ BUJE PUENTES TRASERO"/>
    <n v="713500"/>
    <n v="599579.83193277312"/>
    <n v="113920.1680672269"/>
    <n v="1013000"/>
    <n v="851260.50420168065"/>
    <n v="161739.49579831932"/>
    <n v="47819.327731092417"/>
    <n v="251680.67226890754"/>
    <m/>
  </r>
  <r>
    <x v="4"/>
    <s v="FE:155/RM:293"/>
    <s v="KEVIN MONTAÑEZ"/>
    <s v="RNV-662"/>
    <s v="LOGAN"/>
    <x v="0"/>
    <s v="REVISION DE FRENOS /CAMBIO DE LIQUIDO/ CAMBIO DE BUJES PUENTE TRASERO"/>
    <x v="14"/>
    <x v="15"/>
    <x v="16"/>
    <m/>
    <m/>
    <n v="0"/>
    <n v="0"/>
    <m/>
    <n v="0"/>
    <n v="0"/>
    <n v="0"/>
    <n v="0"/>
    <m/>
  </r>
  <r>
    <x v="4"/>
    <s v="FE:155/RM:293"/>
    <s v="KEVIN MONTAÑEZ"/>
    <s v="RNV-662"/>
    <s v="LOGAN"/>
    <x v="4"/>
    <s v="EXOSTO"/>
    <x v="15"/>
    <x v="16"/>
    <x v="17"/>
    <s v="PRESILENCIADOR"/>
    <m/>
    <m/>
    <n v="0"/>
    <m/>
    <n v="0"/>
    <n v="0"/>
    <n v="0"/>
    <n v="0"/>
    <m/>
  </r>
  <r>
    <x v="4"/>
    <s v="RM:295"/>
    <s v="JUAN ANDRES CAMERO"/>
    <s v="RJS-738"/>
    <s v="AVEO"/>
    <x v="0"/>
    <s v="SINCRONIZACION"/>
    <x v="16"/>
    <x v="17"/>
    <x v="18"/>
    <s v="BUJIAS"/>
    <n v="40000"/>
    <n v="33613.445378151264"/>
    <n v="6386.5546218487398"/>
    <n v="52000"/>
    <m/>
    <m/>
    <m/>
    <n v="12000"/>
    <m/>
  </r>
  <r>
    <x v="5"/>
    <m/>
    <s v="CLARA"/>
    <s v="RKV-033"/>
    <s v="LOGAN"/>
    <x v="1"/>
    <s v="BAJAR KIT DE CLOSH"/>
    <x v="3"/>
    <x v="18"/>
    <x v="10"/>
    <m/>
    <m/>
    <n v="0"/>
    <n v="0"/>
    <m/>
    <n v="0"/>
    <n v="0"/>
    <n v="0"/>
    <n v="0"/>
    <m/>
  </r>
  <r>
    <x v="5"/>
    <s v="RM:296"/>
    <s v="LICETH TRIANA"/>
    <s v="RDR-398"/>
    <s v="VITARA"/>
    <x v="1"/>
    <s v="CAMBIAR GUAYA DE CLOSH"/>
    <x v="2"/>
    <x v="2"/>
    <x v="2"/>
    <s v="GUAYA DE CLOSH"/>
    <n v="60000"/>
    <m/>
    <n v="0"/>
    <n v="90000"/>
    <m/>
    <n v="0"/>
    <n v="0"/>
    <n v="30000"/>
    <m/>
  </r>
  <r>
    <x v="6"/>
    <s v="RM:301/FE:161"/>
    <s v="CAMILO BUITRIAGO"/>
    <s v="CYP-308"/>
    <s v="AVEO"/>
    <x v="0"/>
    <s v="CAMBIO SOPORTE DE CAJA /MTTO TRASERO"/>
    <x v="1"/>
    <x v="1"/>
    <x v="1"/>
    <s v="SOPORTE DE CAJA "/>
    <n v="90000"/>
    <n v="75630.252100840342"/>
    <n v="14369.747899159665"/>
    <n v="120000"/>
    <n v="100840.33613445378"/>
    <n v="19159.663865546219"/>
    <n v="4789.9159663865539"/>
    <n v="25210.084033613442"/>
    <m/>
  </r>
  <r>
    <x v="6"/>
    <m/>
    <m/>
    <s v="HB-909"/>
    <s v="HUMMER"/>
    <x v="0"/>
    <s v="CAMBIO DE BUJE RUEDA AMORTIGUADOR"/>
    <x v="2"/>
    <x v="2"/>
    <x v="2"/>
    <m/>
    <m/>
    <n v="0"/>
    <n v="0"/>
    <m/>
    <n v="0"/>
    <n v="0"/>
    <n v="0"/>
    <n v="0"/>
    <m/>
  </r>
  <r>
    <x v="6"/>
    <m/>
    <m/>
    <s v="SXZ-171"/>
    <s v="GRUA"/>
    <x v="0"/>
    <s v="GRADUACION DE FRENOS"/>
    <x v="0"/>
    <x v="0"/>
    <x v="0"/>
    <m/>
    <m/>
    <n v="0"/>
    <n v="0"/>
    <m/>
    <n v="0"/>
    <n v="0"/>
    <n v="0"/>
    <n v="0"/>
    <m/>
  </r>
  <r>
    <x v="6"/>
    <s v="RM:297"/>
    <s v="PEDRO GUATAME"/>
    <s v="FVR-612"/>
    <s v="FOTON"/>
    <x v="0"/>
    <s v="CAMBIAR MUÑECOS"/>
    <x v="8"/>
    <x v="7"/>
    <x v="8"/>
    <m/>
    <m/>
    <n v="0"/>
    <n v="0"/>
    <m/>
    <n v="0"/>
    <n v="0"/>
    <n v="0"/>
    <n v="0"/>
    <m/>
  </r>
  <r>
    <x v="6"/>
    <s v="RM:298"/>
    <s v="DANIEL GALEANO"/>
    <s v="LFV-521"/>
    <s v="JMC"/>
    <x v="0"/>
    <s v="CAMBIAR DIAFRAGMA DE FRENOS"/>
    <x v="2"/>
    <x v="2"/>
    <x v="2"/>
    <s v="DIFRAGMA DE FRENO DE AHOHO"/>
    <n v="20000"/>
    <m/>
    <n v="0"/>
    <n v="40000"/>
    <m/>
    <n v="0"/>
    <n v="0"/>
    <n v="20000"/>
    <m/>
  </r>
  <r>
    <x v="6"/>
    <s v="RM:299"/>
    <s v="JHON RUIZ"/>
    <s v="HBK-013"/>
    <s v="FORD"/>
    <x v="0"/>
    <s v="PULGAR FRENOS/ REVISION RUEDA/ CAMBIO DE LIQUIDO"/>
    <x v="3"/>
    <x v="3"/>
    <x v="3"/>
    <s v="LIQUIDODOT3"/>
    <n v="6336"/>
    <n v="5324.3697478991598"/>
    <n v="1011.6302521008404"/>
    <n v="15000"/>
    <m/>
    <n v="0"/>
    <n v="-1011.6302521008404"/>
    <n v="9675.6302521008402"/>
    <m/>
  </r>
  <r>
    <x v="6"/>
    <s v="RM:299"/>
    <s v="JHON RUIZ"/>
    <s v="HBK-013"/>
    <s v="FORD"/>
    <x v="3"/>
    <s v="SERVICIO DE ESCANER"/>
    <x v="4"/>
    <x v="8"/>
    <x v="19"/>
    <m/>
    <m/>
    <n v="0"/>
    <n v="0"/>
    <m/>
    <n v="0"/>
    <n v="0"/>
    <n v="0"/>
    <n v="0"/>
    <m/>
  </r>
  <r>
    <x v="6"/>
    <s v="FE:260"/>
    <s v="GUSTAVO DIAZ"/>
    <s v="HTS-557"/>
    <s v="TRAILBLAZEER"/>
    <x v="0"/>
    <s v="CAMBIO DE PASTILLAS DEL. Y TRASERAS"/>
    <x v="1"/>
    <x v="1"/>
    <x v="1"/>
    <s v="PASTILLAS DEL /PASTILLAS TRASERAS"/>
    <n v="282000"/>
    <n v="236974.78991596639"/>
    <n v="45025.210084033613"/>
    <m/>
    <n v="0"/>
    <n v="0"/>
    <n v="-45025.210084033613"/>
    <n v="-236974.78991596639"/>
    <m/>
  </r>
  <r>
    <x v="7"/>
    <s v="FE:164/RM:304"/>
    <s v="WILLIAM DIAZ"/>
    <s v="MBZ-195"/>
    <s v="AVEO"/>
    <x v="0"/>
    <s v="CAMBIO DE AMORTIGUADORES DEL./ MUÑECOS/TOPES DE AMORTIGUADORES /RODAMIENTO DE TOPES "/>
    <x v="16"/>
    <x v="17"/>
    <x v="18"/>
    <s v="AMORTIGUADORES DEL./ MUÑECOS/TOPES DE AMORTIGUADORES /RODAMIENTO DE TOPES "/>
    <n v="436642.38"/>
    <n v="366926.36974789918"/>
    <n v="69716.010252100852"/>
    <n v="590000"/>
    <n v="495798.31932773109"/>
    <n v="94201.680672268907"/>
    <n v="24485.670420168055"/>
    <n v="128871.94957983191"/>
    <m/>
  </r>
  <r>
    <x v="7"/>
    <s v="FE:163/RM:302"/>
    <s v="JOSE MADRID"/>
    <s v="BSZ-595"/>
    <s v="TWINGO"/>
    <x v="0"/>
    <s v="CAMBIO DE TIJERA, BRAZO AXIAL, LIQUIDO, CHUPAS"/>
    <x v="17"/>
    <x v="19"/>
    <x v="20"/>
    <s v="CAMBIO DE TIJERA, BRAZO AXIAL, LIQUIDO, CHUPAS, ABRAZADERA PLASTICA"/>
    <n v="217400"/>
    <n v="182689.0756302521"/>
    <n v="34710.924369747903"/>
    <n v="301000"/>
    <n v="252941.17647058825"/>
    <n v="48058.823529411769"/>
    <n v="13347.899159663866"/>
    <n v="70252.100840336119"/>
    <m/>
  </r>
  <r>
    <x v="7"/>
    <s v="RM:303"/>
    <s v="CAMILO BUITRIAGO"/>
    <s v="CYP-308"/>
    <s v="AVEO"/>
    <x v="0"/>
    <s v="SINCRONIZACION/ CAMBIO SOPORTE DE CAJA"/>
    <x v="18"/>
    <x v="20"/>
    <x v="21"/>
    <m/>
    <m/>
    <n v="0"/>
    <n v="0"/>
    <m/>
    <n v="0"/>
    <n v="0"/>
    <n v="0"/>
    <n v="0"/>
    <m/>
  </r>
  <r>
    <x v="7"/>
    <m/>
    <s v="VICENTE PATARROYO"/>
    <s v="MAO-470"/>
    <m/>
    <x v="0"/>
    <s v="CAMBIO DE BRAZO DE DIRECCION/ GRADUACION DE FRENOS"/>
    <x v="19"/>
    <x v="21"/>
    <x v="22"/>
    <m/>
    <m/>
    <n v="0"/>
    <n v="0"/>
    <m/>
    <n v="0"/>
    <n v="0"/>
    <n v="0"/>
    <n v="0"/>
    <m/>
  </r>
  <r>
    <x v="7"/>
    <m/>
    <m/>
    <s v="TGN-516"/>
    <s v="LUV"/>
    <x v="5"/>
    <s v="CAMBIO SOPORTE EXOSTO"/>
    <x v="2"/>
    <x v="22"/>
    <x v="4"/>
    <m/>
    <m/>
    <n v="0"/>
    <n v="0"/>
    <m/>
    <n v="0"/>
    <n v="0"/>
    <n v="0"/>
    <n v="0"/>
    <m/>
  </r>
  <r>
    <x v="8"/>
    <m/>
    <m/>
    <s v="SZQ-332"/>
    <s v="LUV"/>
    <x v="0"/>
    <s v="CAMBIO DE ANTIRUIDOS"/>
    <x v="20"/>
    <x v="23"/>
    <x v="23"/>
    <s v="ANTIRUIDOS"/>
    <n v="20000"/>
    <m/>
    <n v="0"/>
    <n v="40000"/>
    <m/>
    <n v="0"/>
    <n v="0"/>
    <n v="20000"/>
    <m/>
  </r>
  <r>
    <x v="8"/>
    <s v="FE:167/RM:309"/>
    <s v="HERNAN TRIANA"/>
    <s v="SZQ-165"/>
    <s v="NPR"/>
    <x v="0"/>
    <s v="BAJAR RUEDA TRASERA Y CAMBIO DE BANDA"/>
    <x v="21"/>
    <x v="24"/>
    <x v="24"/>
    <s v="BANDA, LIQUIDO"/>
    <n v="83000"/>
    <n v="69747.899159663866"/>
    <n v="13252.100840336134"/>
    <n v="125000"/>
    <n v="105042.01680672269"/>
    <n v="19957.983193277312"/>
    <n v="6705.8823529411784"/>
    <n v="35294.117647058825"/>
    <m/>
  </r>
  <r>
    <x v="8"/>
    <s v="RM:307"/>
    <s v="PILAR GARCIA"/>
    <s v="DNS-557"/>
    <s v="KIA"/>
    <x v="0"/>
    <s v="MATTO DE FRENOS"/>
    <x v="1"/>
    <x v="1"/>
    <x v="1"/>
    <m/>
    <m/>
    <n v="0"/>
    <n v="0"/>
    <m/>
    <n v="0"/>
    <n v="0"/>
    <n v="0"/>
    <n v="0"/>
    <m/>
  </r>
  <r>
    <x v="8"/>
    <m/>
    <m/>
    <s v="DBV-804"/>
    <s v="NISSAN"/>
    <x v="5"/>
    <s v="CAMBIO SOPORTE EXOSTO"/>
    <x v="22"/>
    <x v="25"/>
    <x v="25"/>
    <m/>
    <m/>
    <n v="0"/>
    <n v="0"/>
    <m/>
    <n v="0"/>
    <n v="0"/>
    <n v="0"/>
    <n v="0"/>
    <m/>
  </r>
  <r>
    <x v="8"/>
    <s v="FE:166/RM:306"/>
    <s v="CESAR BERRIOS"/>
    <s v="CXH-338"/>
    <s v="AVEO"/>
    <x v="0"/>
    <s v="CAMBIO PUNTA EJE LADO RUEDA"/>
    <x v="1"/>
    <x v="1"/>
    <x v="1"/>
    <s v="PUNTA DE EJE "/>
    <n v="110000"/>
    <n v="92436.97478991597"/>
    <n v="17563.025210084033"/>
    <n v="140000"/>
    <n v="117647.05882352941"/>
    <n v="22352.941176470587"/>
    <n v="4789.9159663865539"/>
    <n v="25210.084033613442"/>
    <m/>
  </r>
  <r>
    <x v="9"/>
    <s v="RM:310"/>
    <s v="ALIRIO VARGAS"/>
    <s v="DAH-440"/>
    <s v="HONDA"/>
    <x v="0"/>
    <s v="REVISION DE RUEDAS/SERVICIO DE ESCANER"/>
    <x v="23"/>
    <x v="26"/>
    <x v="26"/>
    <m/>
    <m/>
    <n v="0"/>
    <n v="0"/>
    <m/>
    <n v="0"/>
    <n v="0"/>
    <n v="0"/>
    <n v="0"/>
    <m/>
  </r>
  <r>
    <x v="9"/>
    <m/>
    <m/>
    <s v="WHZ-462"/>
    <s v="KIAT"/>
    <x v="5"/>
    <s v="REPARACION DE EXOSTO"/>
    <x v="23"/>
    <x v="27"/>
    <x v="27"/>
    <m/>
    <m/>
    <n v="0"/>
    <n v="0"/>
    <m/>
    <n v="0"/>
    <n v="0"/>
    <n v="0"/>
    <n v="0"/>
    <m/>
  </r>
  <r>
    <x v="9"/>
    <s v="FE:170"/>
    <s v="FRUTOS GRAN FRUVAR LOS CHILACOS"/>
    <s v="WPQ-760"/>
    <s v="HINO"/>
    <x v="2"/>
    <s v="CAMBIO DE SWITCH VIDRIO Y CINTA LED/ REVISION ELECTRICA"/>
    <x v="6"/>
    <x v="28"/>
    <x v="28"/>
    <s v="SWITCH VIDRIO Y CINTA LED"/>
    <n v="21000"/>
    <n v="17647.058823529413"/>
    <n v="3352.9411764705883"/>
    <n v="28000"/>
    <n v="23529.411764705885"/>
    <n v="4470.588235294118"/>
    <n v="1117.6470588235297"/>
    <n v="5882.3529411764684"/>
    <m/>
  </r>
  <r>
    <x v="10"/>
    <m/>
    <m/>
    <s v="CLA-201"/>
    <s v="SPRINT"/>
    <x v="5"/>
    <s v="RPARACION DE RADIADOR/ CAMBIO PUNTA DE LUJO EXOSTO"/>
    <x v="24"/>
    <x v="29"/>
    <x v="29"/>
    <m/>
    <m/>
    <n v="0"/>
    <n v="0"/>
    <m/>
    <n v="0"/>
    <n v="0"/>
    <n v="0"/>
    <n v="0"/>
    <m/>
  </r>
  <r>
    <x v="10"/>
    <m/>
    <m/>
    <s v="WCZ-636"/>
    <s v="NHR"/>
    <x v="0"/>
    <s v="GRADUAR FRENOS"/>
    <x v="0"/>
    <x v="0"/>
    <x v="0"/>
    <m/>
    <m/>
    <n v="0"/>
    <n v="0"/>
    <m/>
    <n v="0"/>
    <n v="0"/>
    <n v="0"/>
    <n v="0"/>
    <m/>
  </r>
  <r>
    <x v="10"/>
    <m/>
    <m/>
    <s v="CWO-124"/>
    <s v="AVEO"/>
    <x v="0"/>
    <s v="CAMBIAR PASTILLAS DEL"/>
    <x v="2"/>
    <x v="2"/>
    <x v="2"/>
    <m/>
    <m/>
    <n v="0"/>
    <n v="0"/>
    <m/>
    <n v="0"/>
    <n v="0"/>
    <n v="0"/>
    <n v="0"/>
    <m/>
  </r>
  <r>
    <x v="10"/>
    <m/>
    <m/>
    <s v="IRW-663"/>
    <s v="VITARA"/>
    <x v="3"/>
    <s v="SERVICIO DE ESCANER"/>
    <x v="4"/>
    <x v="8"/>
    <x v="19"/>
    <m/>
    <m/>
    <n v="0"/>
    <n v="0"/>
    <m/>
    <n v="0"/>
    <n v="0"/>
    <n v="0"/>
    <n v="0"/>
    <m/>
  </r>
  <r>
    <x v="10"/>
    <m/>
    <m/>
    <s v="HKQ-711"/>
    <s v="FORD ESCAPE"/>
    <x v="0"/>
    <s v="REVISION DE RUEDAS DEL"/>
    <x v="2"/>
    <x v="2"/>
    <x v="2"/>
    <m/>
    <m/>
    <n v="0"/>
    <n v="0"/>
    <m/>
    <n v="0"/>
    <n v="0"/>
    <n v="0"/>
    <n v="0"/>
    <m/>
  </r>
  <r>
    <x v="10"/>
    <s v="FE:173/ RM:211"/>
    <s v="DANILO SANABRIA"/>
    <s v="DXN-712"/>
    <s v="HONDA"/>
    <x v="0"/>
    <s v="CAMBIO DE PASTILLAS DEL"/>
    <x v="2"/>
    <x v="2"/>
    <x v="2"/>
    <s v="PASTILLAS DEL"/>
    <n v="118000"/>
    <n v="99159.663865546216"/>
    <n v="18840.336134453781"/>
    <n v="165000"/>
    <n v="138655.46218487396"/>
    <n v="26344.537815126052"/>
    <n v="7504.2016806722713"/>
    <n v="39495.798319327732"/>
    <m/>
  </r>
  <r>
    <x v="10"/>
    <m/>
    <m/>
    <s v="VAO-191"/>
    <s v="SANDERO"/>
    <x v="5"/>
    <s v="CAMBI EMP EXOSTO"/>
    <x v="2"/>
    <x v="22"/>
    <x v="4"/>
    <m/>
    <m/>
    <n v="0"/>
    <n v="0"/>
    <m/>
    <n v="0"/>
    <n v="0"/>
    <n v="0"/>
    <n v="0"/>
    <m/>
  </r>
  <r>
    <x v="10"/>
    <m/>
    <m/>
    <s v="BKY-608"/>
    <s v="LOGAN"/>
    <x v="5"/>
    <s v="CAMBIO CAUCHOS EXOSTO"/>
    <x v="8"/>
    <x v="30"/>
    <x v="28"/>
    <m/>
    <m/>
    <n v="0"/>
    <n v="0"/>
    <m/>
    <n v="0"/>
    <n v="0"/>
    <n v="0"/>
    <n v="0"/>
    <m/>
  </r>
  <r>
    <x v="10"/>
    <s v="RM:314"/>
    <s v="CONTANZA RODRIGUEZ"/>
    <s v="DCM-196"/>
    <s v="ZOTYE"/>
    <x v="0"/>
    <s v="CAMBIO DE TIJERAS"/>
    <x v="21"/>
    <x v="24"/>
    <x v="24"/>
    <m/>
    <m/>
    <n v="0"/>
    <n v="0"/>
    <m/>
    <n v="0"/>
    <n v="0"/>
    <n v="0"/>
    <n v="0"/>
    <m/>
  </r>
  <r>
    <x v="10"/>
    <s v="FE:176/RM:315"/>
    <s v="FABIO ZAMBRANO"/>
    <s v="BDP-676"/>
    <s v="HYUNDAI"/>
    <x v="0"/>
    <s v="MATTO DE FRENOS/ CAMBIO DE PASTILLAS DEL"/>
    <x v="1"/>
    <x v="1"/>
    <x v="1"/>
    <s v="PASTILLAS DEL"/>
    <n v="85000"/>
    <n v="71428.571428571435"/>
    <n v="13571.428571428572"/>
    <n v="120000"/>
    <n v="100840.33613445378"/>
    <n v="19159.663865546219"/>
    <n v="5588.2352941176468"/>
    <n v="29411.76470588235"/>
    <m/>
  </r>
  <r>
    <x v="10"/>
    <s v="RM:317"/>
    <m/>
    <s v="DBT-358"/>
    <s v="SANDERO"/>
    <x v="0"/>
    <s v="SERVICIO DE ESCANER"/>
    <x v="4"/>
    <x v="4"/>
    <x v="4"/>
    <m/>
    <m/>
    <n v="0"/>
    <n v="0"/>
    <m/>
    <n v="0"/>
    <n v="0"/>
    <n v="0"/>
    <n v="0"/>
    <m/>
  </r>
  <r>
    <x v="10"/>
    <s v="FE:175/RM:315"/>
    <s v="JACKSON DIAZ"/>
    <s v="DZX-793"/>
    <s v="SPARK"/>
    <x v="1"/>
    <s v="CAMBIO ENVASE DE AGUA"/>
    <x v="2"/>
    <x v="2"/>
    <x v="2"/>
    <s v="ENVASE DE AGUA"/>
    <n v="70000"/>
    <n v="58823.529411764706"/>
    <n v="11176.470588235294"/>
    <n v="150000"/>
    <n v="126050.42016806723"/>
    <n v="23949.579831932773"/>
    <n v="12773.10924369748"/>
    <n v="67226.890756302513"/>
    <m/>
  </r>
  <r>
    <x v="11"/>
    <s v="RM:318"/>
    <s v="GRUPO RED"/>
    <s v="CHS-304"/>
    <s v="VOLQUETA"/>
    <x v="0"/>
    <s v="CORREGIR FUGA DE AIRE"/>
    <x v="2"/>
    <x v="2"/>
    <x v="2"/>
    <m/>
    <m/>
    <n v="0"/>
    <n v="0"/>
    <m/>
    <n v="0"/>
    <n v="0"/>
    <n v="0"/>
    <n v="0"/>
    <m/>
  </r>
  <r>
    <x v="11"/>
    <s v="FE:177"/>
    <s v="CECILIA PAYON SA"/>
    <s v="UFS-769"/>
    <s v="NPR"/>
    <x v="0"/>
    <s v="CAMBIAR EMP AXILIAR DE CLOSH"/>
    <x v="2"/>
    <x v="2"/>
    <x v="2"/>
    <s v="LIQUIDO , EMPAQUETADURA"/>
    <n v="27000"/>
    <n v="22689.0756302521"/>
    <n v="4310.9243697478987"/>
    <n v="40000"/>
    <n v="33613.445378151264"/>
    <n v="6386.5546218487398"/>
    <n v="2075.6302521008411"/>
    <n v="10924.36974789916"/>
    <m/>
  </r>
  <r>
    <x v="11"/>
    <m/>
    <m/>
    <s v="CYJ-874"/>
    <s v="FORD"/>
    <x v="0"/>
    <s v="SERVICIO DE ESCANER"/>
    <x v="1"/>
    <x v="1"/>
    <x v="1"/>
    <m/>
    <m/>
    <n v="0"/>
    <n v="0"/>
    <m/>
    <n v="0"/>
    <n v="0"/>
    <n v="0"/>
    <n v="0"/>
    <m/>
  </r>
  <r>
    <x v="11"/>
    <m/>
    <m/>
    <s v="BJN-892"/>
    <s v="TWINGO"/>
    <x v="5"/>
    <s v="REPARACION DE EXOSTO"/>
    <x v="6"/>
    <x v="31"/>
    <x v="30"/>
    <m/>
    <m/>
    <n v="0"/>
    <n v="0"/>
    <m/>
    <n v="0"/>
    <n v="0"/>
    <n v="0"/>
    <n v="0"/>
    <m/>
  </r>
  <r>
    <x v="11"/>
    <m/>
    <m/>
    <s v="IOA-190"/>
    <s v="MOTO"/>
    <x v="5"/>
    <s v="SOLDADURA"/>
    <x v="2"/>
    <x v="22"/>
    <x v="4"/>
    <m/>
    <m/>
    <n v="0"/>
    <n v="0"/>
    <m/>
    <n v="0"/>
    <n v="0"/>
    <n v="0"/>
    <n v="0"/>
    <m/>
  </r>
  <r>
    <x v="11"/>
    <s v="FE:185"/>
    <s v="ALIMENTOS LEYLA"/>
    <s v="SYM-531"/>
    <s v="F-350"/>
    <x v="1"/>
    <s v="SINCRONIZACION"/>
    <x v="25"/>
    <x v="32"/>
    <x v="31"/>
    <s v="INYECTORES, EMP CUERPO ACELERACION, BOMBA DE GASOLINA"/>
    <n v="391000"/>
    <m/>
    <n v="0"/>
    <n v="552000"/>
    <n v="463865.54621848743"/>
    <n v="88134.45378151261"/>
    <n v="88134.45378151261"/>
    <n v="72865.546218487376"/>
    <m/>
  </r>
  <r>
    <x v="11"/>
    <s v="RM:320"/>
    <s v="GUSTAVO MONTAÑO"/>
    <s v="CYJ-874"/>
    <s v="FORD"/>
    <x v="1"/>
    <s v="SINCRONIZACION"/>
    <x v="15"/>
    <x v="33"/>
    <x v="32"/>
    <s v="BUJIAS"/>
    <n v="120000"/>
    <n v="100840.33613445378"/>
    <n v="19159.663865546219"/>
    <n v="150000"/>
    <n v="126050.42016806723"/>
    <n v="23949.579831932773"/>
    <n v="4789.9159663865539"/>
    <n v="25210.084033613442"/>
    <m/>
  </r>
  <r>
    <x v="12"/>
    <m/>
    <m/>
    <m/>
    <s v="LOGAN"/>
    <x v="5"/>
    <s v="REPARACION EXOSTO"/>
    <x v="8"/>
    <x v="30"/>
    <x v="28"/>
    <m/>
    <m/>
    <n v="0"/>
    <n v="0"/>
    <m/>
    <n v="0"/>
    <n v="0"/>
    <n v="0"/>
    <n v="0"/>
    <m/>
  </r>
  <r>
    <x v="12"/>
    <s v="RM:321"/>
    <m/>
    <s v="MKP-814"/>
    <s v="NISSAN TIIDA"/>
    <x v="0"/>
    <s v="MATTO DE FRENOS COMPLETO"/>
    <x v="1"/>
    <x v="1"/>
    <x v="1"/>
    <m/>
    <m/>
    <n v="0"/>
    <n v="0"/>
    <m/>
    <n v="0"/>
    <n v="0"/>
    <n v="0"/>
    <n v="0"/>
    <m/>
  </r>
  <r>
    <x v="12"/>
    <m/>
    <m/>
    <s v="IAP-236"/>
    <s v="SPARK"/>
    <x v="0"/>
    <s v="CAMBIO DE RODAMIENTO DEL"/>
    <x v="1"/>
    <x v="1"/>
    <x v="1"/>
    <s v="RODAMIENTO DEL"/>
    <n v="70000"/>
    <n v="58823.529411764706"/>
    <n v="11176.470588235294"/>
    <n v="90000"/>
    <n v="75630.252100840342"/>
    <n v="14369.747899159665"/>
    <n v="3193.2773109243717"/>
    <n v="16806.722689075628"/>
    <m/>
  </r>
  <r>
    <x v="12"/>
    <m/>
    <m/>
    <m/>
    <m/>
    <x v="5"/>
    <s v="SOLDADURA  DE PIEZA"/>
    <x v="2"/>
    <x v="22"/>
    <x v="4"/>
    <m/>
    <m/>
    <n v="0"/>
    <n v="0"/>
    <m/>
    <n v="0"/>
    <n v="0"/>
    <n v="0"/>
    <n v="0"/>
    <m/>
  </r>
  <r>
    <x v="13"/>
    <m/>
    <m/>
    <s v="VKK-719"/>
    <s v="CAMION"/>
    <x v="0"/>
    <s v="GRADUACION DE FRENOS"/>
    <x v="0"/>
    <x v="0"/>
    <x v="0"/>
    <m/>
    <m/>
    <n v="0"/>
    <n v="0"/>
    <m/>
    <n v="0"/>
    <n v="0"/>
    <n v="0"/>
    <n v="0"/>
    <m/>
  </r>
  <r>
    <x v="13"/>
    <m/>
    <m/>
    <s v="GZZ-228"/>
    <s v="HINO"/>
    <x v="0"/>
    <s v="BAJAR RUEDA TARSERA DERECHA"/>
    <x v="4"/>
    <x v="4"/>
    <x v="4"/>
    <m/>
    <m/>
    <n v="0"/>
    <n v="0"/>
    <m/>
    <n v="0"/>
    <n v="0"/>
    <n v="0"/>
    <n v="0"/>
    <m/>
  </r>
  <r>
    <x v="13"/>
    <m/>
    <m/>
    <s v="CSC-343"/>
    <s v="CHEVROLET 3500"/>
    <x v="0"/>
    <s v="CAMBIO DE ESPARRAGOS"/>
    <x v="4"/>
    <x v="4"/>
    <x v="4"/>
    <s v="TUERCA"/>
    <n v="9800"/>
    <n v="8235.2941176470595"/>
    <n v="1564.7058823529412"/>
    <n v="20000"/>
    <n v="16806.722689075632"/>
    <n v="3193.2773109243699"/>
    <n v="1628.5714285714287"/>
    <n v="8571.4285714285706"/>
    <m/>
  </r>
  <r>
    <x v="13"/>
    <s v="RM:322"/>
    <s v="MARIA VEGA"/>
    <s v="CVL-671"/>
    <s v="KIA RIO"/>
    <x v="1"/>
    <s v="SINCRONIZACION"/>
    <x v="26"/>
    <x v="34"/>
    <x v="33"/>
    <m/>
    <m/>
    <n v="0"/>
    <n v="0"/>
    <m/>
    <n v="0"/>
    <n v="0"/>
    <n v="0"/>
    <n v="0"/>
    <m/>
  </r>
  <r>
    <x v="13"/>
    <m/>
    <m/>
    <s v="TSM-325"/>
    <s v="JAC"/>
    <x v="0"/>
    <s v="GRADUACION DE FRENOS"/>
    <x v="27"/>
    <x v="35"/>
    <x v="10"/>
    <m/>
    <m/>
    <n v="0"/>
    <n v="0"/>
    <m/>
    <n v="0"/>
    <n v="0"/>
    <n v="0"/>
    <n v="0"/>
    <m/>
  </r>
  <r>
    <x v="13"/>
    <s v="RM:323"/>
    <s v="MARCOS AMAYA "/>
    <s v="BLV-454"/>
    <s v="AVEO"/>
    <x v="1"/>
    <s v="CAMBIAR SENSOR TEMPERATURA"/>
    <x v="2"/>
    <x v="2"/>
    <x v="2"/>
    <s v="SENSOR TEMP"/>
    <n v="100000"/>
    <m/>
    <n v="0"/>
    <n v="130000"/>
    <m/>
    <n v="0"/>
    <n v="0"/>
    <n v="30000"/>
    <m/>
  </r>
  <r>
    <x v="13"/>
    <m/>
    <s v="PEDRO LIZARAZO"/>
    <s v="HBK-400"/>
    <s v="SPARK"/>
    <x v="0"/>
    <s v="REVISION TRASERAS"/>
    <x v="2"/>
    <x v="2"/>
    <x v="2"/>
    <m/>
    <m/>
    <n v="0"/>
    <n v="0"/>
    <m/>
    <n v="0"/>
    <n v="0"/>
    <n v="0"/>
    <n v="0"/>
    <m/>
  </r>
  <r>
    <x v="14"/>
    <s v="RM:327"/>
    <s v="CLAUDIA FERRER"/>
    <s v="CTW-920"/>
    <s v="CHERY TIIGO"/>
    <x v="0"/>
    <s v="REPARACION DE SUSPENSION Y ALINEACION"/>
    <x v="25"/>
    <x v="32"/>
    <x v="31"/>
    <s v="ALINEACIO, ABRAZADERA PLAST"/>
    <n v="31000"/>
    <m/>
    <n v="0"/>
    <n v="42000"/>
    <m/>
    <n v="0"/>
    <n v="0"/>
    <n v="11000"/>
    <m/>
  </r>
  <r>
    <x v="14"/>
    <s v="FE:181 "/>
    <s v="GLOBAL CNTAINERS LTDA"/>
    <s v="GEV-111"/>
    <s v="FOTON"/>
    <x v="5"/>
    <s v="SOLDAR EXOSTO"/>
    <x v="7"/>
    <x v="4"/>
    <x v="34"/>
    <m/>
    <m/>
    <n v="0"/>
    <n v="0"/>
    <m/>
    <n v="0"/>
    <n v="0"/>
    <n v="0"/>
    <n v="0"/>
    <m/>
  </r>
  <r>
    <x v="14"/>
    <s v="FE:182/RM:326"/>
    <s v="JOSE TRIANA"/>
    <s v="BCE-482"/>
    <m/>
    <x v="1"/>
    <s v="CAMBIO DE SPLINDER"/>
    <x v="28"/>
    <x v="36"/>
    <x v="35"/>
    <s v="RODILLO 32210"/>
    <n v="70000"/>
    <n v="58823.529411764706"/>
    <n v="11176.470588235294"/>
    <n v="110000"/>
    <n v="92436.97478991597"/>
    <n v="17563.025210084033"/>
    <n v="6386.5546218487398"/>
    <n v="33613.445378151257"/>
    <m/>
  </r>
  <r>
    <x v="14"/>
    <m/>
    <m/>
    <m/>
    <s v="LOGAN"/>
    <x v="5"/>
    <s v="SOLDAR EXOSTO"/>
    <x v="2"/>
    <x v="22"/>
    <x v="4"/>
    <m/>
    <m/>
    <n v="0"/>
    <n v="0"/>
    <m/>
    <n v="0"/>
    <n v="0"/>
    <n v="0"/>
    <n v="0"/>
    <m/>
  </r>
  <r>
    <x v="15"/>
    <m/>
    <m/>
    <m/>
    <s v="AVEO"/>
    <x v="0"/>
    <s v="COLOCAR UNION "/>
    <x v="8"/>
    <x v="7"/>
    <x v="8"/>
    <s v="UNION"/>
    <n v="5000"/>
    <n v="4201.680672268908"/>
    <n v="798.31932773109247"/>
    <n v="10000"/>
    <m/>
    <n v="0"/>
    <n v="-798.31932773109247"/>
    <n v="5798.3193277310929"/>
    <m/>
  </r>
  <r>
    <x v="15"/>
    <m/>
    <m/>
    <s v="BRT-666"/>
    <s v="ACCENT"/>
    <x v="5"/>
    <s v="COLOCAR TARRO EXOSTO"/>
    <x v="29"/>
    <x v="37"/>
    <x v="21"/>
    <m/>
    <m/>
    <n v="0"/>
    <n v="0"/>
    <m/>
    <n v="0"/>
    <n v="0"/>
    <n v="0"/>
    <n v="0"/>
    <m/>
  </r>
  <r>
    <x v="15"/>
    <s v="FE:187"/>
    <s v="PERVIVIR"/>
    <s v="TBZ-979"/>
    <s v="NNR"/>
    <x v="0"/>
    <s v="CAMBIO DE SPLINDER"/>
    <x v="5"/>
    <x v="5"/>
    <x v="5"/>
    <s v="SPLINDER, SERVICIO DE PRENSA"/>
    <n v="115000"/>
    <n v="96638.655462184877"/>
    <n v="18361.344537815126"/>
    <n v="281400"/>
    <n v="236470.58823529413"/>
    <n v="44929.411764705881"/>
    <n v="26568.067226890755"/>
    <n v="139831.93277310923"/>
    <m/>
  </r>
  <r>
    <x v="16"/>
    <s v="FE:188"/>
    <s v="JAIME MONCADA"/>
    <s v="SKK-862"/>
    <s v="MT CANTER"/>
    <x v="0"/>
    <s v="BAJAR RUEDA DELANTERA/ CAMBIO DE RODAMIENTO DELNATERO DER. INTERNO/ ENGRASE DE RODAMIENTOS"/>
    <x v="7"/>
    <x v="38"/>
    <x v="36"/>
    <s v="RODA. DELANTERO , GASOLINA, GRASA, CHUPAS, PINES, SILICONA, JUEGO DE BANDAS"/>
    <n v="225000"/>
    <n v="189075.63025210085"/>
    <n v="35924.36974789916"/>
    <n v="566000"/>
    <n v="475630.25210084039"/>
    <n v="90369.747899159673"/>
    <n v="54445.378151260513"/>
    <n v="286554.62184873951"/>
    <m/>
  </r>
  <r>
    <x v="16"/>
    <s v="FE:188"/>
    <s v="JAIME MONCADA"/>
    <s v="ERL-333"/>
    <s v="JAC"/>
    <x v="0"/>
    <s v="MANTTO BOMBA DE FRENOS CAMBIO DE DIAFRAGMA"/>
    <x v="3"/>
    <x v="3"/>
    <x v="3"/>
    <s v="DIAFRAGMA"/>
    <m/>
    <n v="0"/>
    <n v="0"/>
    <m/>
    <n v="0"/>
    <n v="0"/>
    <n v="0"/>
    <n v="0"/>
    <m/>
  </r>
  <r>
    <x v="16"/>
    <s v="FE:185"/>
    <s v="ALIMENTOS LEYLA"/>
    <s v="SYM-531"/>
    <s v="F-350"/>
    <x v="0"/>
    <s v="MANTENIMEINTO DE FRENOS / CAMBIO DE PASTILLAS Y BANDAS TRASERA IZQ."/>
    <x v="28"/>
    <x v="36"/>
    <x v="35"/>
    <s v="JUEGO DE PASTILLAS, GRASA, CHUPAS, ABRAZADERAS PLAST"/>
    <n v="186000"/>
    <n v="156302.52100840336"/>
    <n v="29697.478991596639"/>
    <n v="308000"/>
    <n v="258823.52941176473"/>
    <n v="49176.470588235301"/>
    <n v="19478.991596638662"/>
    <n v="102521.00840336134"/>
    <m/>
  </r>
  <r>
    <x v="16"/>
    <s v="RM:328"/>
    <s v="JOSE ALVAREZ"/>
    <s v="WWJ-369"/>
    <s v="VOLQUETA"/>
    <x v="0"/>
    <s v="CAMBIO DE ASPIRAL Y DIAFRAGMA"/>
    <x v="4"/>
    <x v="4"/>
    <x v="4"/>
    <s v="ASPIRAL, DIAFRAGMA"/>
    <n v="30000"/>
    <n v="25210.084033613446"/>
    <n v="4789.9159663865548"/>
    <n v="100000"/>
    <n v="84033.613445378156"/>
    <n v="15966.386554621849"/>
    <n v="11176.470588235294"/>
    <n v="58823.529411764706"/>
    <m/>
  </r>
  <r>
    <x v="16"/>
    <m/>
    <m/>
    <s v="ALB-204"/>
    <s v="MB"/>
    <x v="5"/>
    <s v="REPARACION RADIADOR"/>
    <x v="7"/>
    <x v="4"/>
    <x v="34"/>
    <m/>
    <m/>
    <n v="0"/>
    <n v="0"/>
    <m/>
    <n v="0"/>
    <n v="0"/>
    <n v="0"/>
    <n v="0"/>
    <m/>
  </r>
  <r>
    <x v="16"/>
    <s v="FE:185"/>
    <s v="ALIMENTOS LEYLA"/>
    <s v="SYM-531"/>
    <s v="F-350"/>
    <x v="5"/>
    <s v="MANTENIMIENTO RADIADOR / CAMBIAR MANGUERA / ARREGLO FUGA EXOSTO"/>
    <x v="28"/>
    <x v="3"/>
    <x v="37"/>
    <m/>
    <m/>
    <n v="0"/>
    <n v="0"/>
    <m/>
    <n v="0"/>
    <n v="0"/>
    <n v="0"/>
    <n v="0"/>
    <m/>
  </r>
  <r>
    <x v="16"/>
    <s v="FE:190/RM:330"/>
    <s v="ARMANDO CASTAÑEDA"/>
    <s v="CSR-133"/>
    <s v="VW GOL"/>
    <x v="0"/>
    <s v=" CAMBIO DE PASTILLAS DEL/CAMBIO LIQUIDO"/>
    <x v="1"/>
    <x v="39"/>
    <x v="38"/>
    <s v="PASTILLAS DEL, LIQUIDO"/>
    <m/>
    <n v="0"/>
    <n v="0"/>
    <m/>
    <n v="0"/>
    <n v="0"/>
    <n v="0"/>
    <n v="0"/>
    <m/>
  </r>
  <r>
    <x v="16"/>
    <m/>
    <m/>
    <m/>
    <m/>
    <x v="1"/>
    <s v="CAMBIAR MANGUERA"/>
    <x v="9"/>
    <x v="10"/>
    <x v="11"/>
    <m/>
    <m/>
    <n v="0"/>
    <n v="0"/>
    <m/>
    <n v="0"/>
    <n v="0"/>
    <n v="0"/>
    <n v="0"/>
    <m/>
  </r>
  <r>
    <x v="17"/>
    <m/>
    <m/>
    <s v="BNX-294"/>
    <s v="ACCENT"/>
    <x v="5"/>
    <s v="SOLDAR EXOSTO"/>
    <x v="4"/>
    <x v="40"/>
    <x v="39"/>
    <m/>
    <m/>
    <n v="0"/>
    <n v="0"/>
    <m/>
    <n v="0"/>
    <n v="0"/>
    <n v="0"/>
    <n v="0"/>
    <m/>
  </r>
  <r>
    <x v="17"/>
    <s v="RM:331"/>
    <s v="ANDRES VARGAS"/>
    <s v="HBR-717"/>
    <s v="SUZUKI"/>
    <x v="0"/>
    <s v="CAMBIO DE DISCOS Y PASTILLAS DEL"/>
    <x v="7"/>
    <x v="38"/>
    <x v="36"/>
    <m/>
    <m/>
    <n v="0"/>
    <n v="0"/>
    <m/>
    <n v="0"/>
    <n v="0"/>
    <n v="0"/>
    <n v="0"/>
    <m/>
  </r>
  <r>
    <x v="17"/>
    <s v="RM:331"/>
    <s v="ANDRES VARGAS"/>
    <s v="HBR-717"/>
    <s v="SUZUKI"/>
    <x v="5"/>
    <s v="CAMBIO DE PUNTERA"/>
    <x v="30"/>
    <x v="41"/>
    <x v="40"/>
    <m/>
    <m/>
    <n v="0"/>
    <n v="0"/>
    <m/>
    <n v="0"/>
    <n v="0"/>
    <n v="0"/>
    <n v="0"/>
    <m/>
  </r>
  <r>
    <x v="17"/>
    <s v="FE:191 /RM:332"/>
    <s v="ANDRES MARTINEZ"/>
    <s v="BNY-608"/>
    <s v="JEEP"/>
    <x v="0"/>
    <s v="MANTENIMIENTO DE FRENOS/ CAMBIO DE LIQUIDO"/>
    <x v="16"/>
    <x v="17"/>
    <x v="18"/>
    <m/>
    <m/>
    <n v="0"/>
    <n v="0"/>
    <m/>
    <n v="0"/>
    <n v="0"/>
    <n v="0"/>
    <n v="0"/>
    <m/>
  </r>
  <r>
    <x v="17"/>
    <s v="FE:189/RM:329"/>
    <s v="TATIANA"/>
    <s v="BJC-966"/>
    <s v="PETGOEUT"/>
    <x v="2"/>
    <s v="REVISION DE CORTO / CAMBIO PERA DE REVERSO/ARREGLO INSTALACION"/>
    <x v="5"/>
    <x v="42"/>
    <x v="10"/>
    <s v="CINTA, PORTAFUSIBLE, TERMINALES DE ENCHUFE, PERA DE REVERSO"/>
    <n v="49450"/>
    <n v="41554.621848739494"/>
    <n v="7895.3781512605037"/>
    <n v="73500"/>
    <n v="61764.705882352944"/>
    <n v="11735.294117647059"/>
    <n v="3839.9159663865557"/>
    <n v="20210.084033613442"/>
    <m/>
  </r>
  <r>
    <x v="18"/>
    <m/>
    <m/>
    <s v="CIC-388"/>
    <m/>
    <x v="5"/>
    <s v="CAMBIO DE RESILENCIADOR"/>
    <x v="3"/>
    <x v="43"/>
    <x v="19"/>
    <m/>
    <m/>
    <n v="0"/>
    <n v="0"/>
    <m/>
    <n v="0"/>
    <n v="0"/>
    <n v="0"/>
    <n v="0"/>
    <m/>
  </r>
  <r>
    <x v="18"/>
    <m/>
    <m/>
    <m/>
    <m/>
    <x v="0"/>
    <s v="CAMBIO DE RODAMIENTOS"/>
    <x v="8"/>
    <x v="7"/>
    <x v="8"/>
    <m/>
    <m/>
    <n v="0"/>
    <n v="0"/>
    <m/>
    <n v="0"/>
    <n v="0"/>
    <n v="0"/>
    <n v="0"/>
    <m/>
  </r>
  <r>
    <x v="18"/>
    <m/>
    <m/>
    <s v="USB-323"/>
    <s v="JAC"/>
    <x v="0"/>
    <s v="GRADUAR FRENOS, BAJAR RUEDA DEL IZQ"/>
    <x v="8"/>
    <x v="7"/>
    <x v="8"/>
    <m/>
    <m/>
    <n v="0"/>
    <n v="0"/>
    <m/>
    <n v="0"/>
    <n v="0"/>
    <n v="0"/>
    <n v="0"/>
    <m/>
  </r>
  <r>
    <x v="19"/>
    <s v="RM:333/FE:193"/>
    <s v="FERNANDO LONDOÑO"/>
    <s v="BLH-065"/>
    <s v="MEGANE"/>
    <x v="0"/>
    <s v="CAMBIO DE BANDAS, GRADUACION DE FRENOS, RESORTES Y PUNTILLAS /DESVARE"/>
    <x v="3"/>
    <x v="3"/>
    <x v="3"/>
    <s v=" BANDAS, GRADUACION DE FRENOS, RESORTES Y PUNTILLAS"/>
    <n v="187000"/>
    <n v="157142.85714285716"/>
    <n v="29857.142857142862"/>
    <n v="258000"/>
    <n v="216806.72268907563"/>
    <n v="41193.277310924372"/>
    <n v="11336.134453781509"/>
    <n v="59663.865546218498"/>
    <m/>
  </r>
  <r>
    <x v="19"/>
    <s v="RM:336"/>
    <s v="MARIA A GUAVA"/>
    <s v="NAD-805"/>
    <s v="MEGANE"/>
    <x v="1"/>
    <s v="REPARACION CAJA DE DIRECCION"/>
    <x v="13"/>
    <x v="14"/>
    <x v="15"/>
    <m/>
    <m/>
    <n v="0"/>
    <n v="0"/>
    <m/>
    <n v="0"/>
    <n v="0"/>
    <n v="0"/>
    <n v="0"/>
    <m/>
  </r>
  <r>
    <x v="19"/>
    <s v="FE:195/RM:335"/>
    <s v="CARLOS LOZADA "/>
    <s v="FCL-920"/>
    <s v="TOYOTA PRADO"/>
    <x v="0"/>
    <s v="CAMBIO DE PASTILLAS DEL Y BANDAS"/>
    <x v="6"/>
    <x v="6"/>
    <x v="6"/>
    <s v="PASTILLAS Y BANDAS"/>
    <n v="280000"/>
    <n v="235294.11764705883"/>
    <n v="44705.882352941175"/>
    <n v="400000"/>
    <n v="336134.45378151262"/>
    <n v="63865.546218487398"/>
    <n v="19159.663865546223"/>
    <n v="100840.33613445377"/>
    <m/>
  </r>
  <r>
    <x v="19"/>
    <m/>
    <m/>
    <s v="SPM-575"/>
    <m/>
    <x v="0"/>
    <s v="GRADUACION DE FRENOS"/>
    <x v="0"/>
    <x v="0"/>
    <x v="0"/>
    <m/>
    <m/>
    <n v="0"/>
    <n v="0"/>
    <m/>
    <n v="0"/>
    <n v="0"/>
    <n v="0"/>
    <n v="0"/>
    <m/>
  </r>
  <r>
    <x v="19"/>
    <m/>
    <m/>
    <s v="BOE-215"/>
    <s v="MEGANE"/>
    <x v="5"/>
    <s v="SOLDAR EXOSTO"/>
    <x v="4"/>
    <x v="40"/>
    <x v="39"/>
    <m/>
    <m/>
    <n v="0"/>
    <n v="0"/>
    <m/>
    <n v="0"/>
    <n v="0"/>
    <n v="0"/>
    <n v="0"/>
    <m/>
  </r>
  <r>
    <x v="19"/>
    <m/>
    <m/>
    <s v="ZYN--152"/>
    <s v="CH SAIL"/>
    <x v="5"/>
    <s v="SOLDAR EXOSTO Y BABERO"/>
    <x v="4"/>
    <x v="40"/>
    <x v="39"/>
    <m/>
    <m/>
    <n v="0"/>
    <n v="0"/>
    <m/>
    <n v="0"/>
    <n v="0"/>
    <n v="0"/>
    <n v="0"/>
    <m/>
  </r>
  <r>
    <x v="20"/>
    <s v="RM:338"/>
    <s v="CONSTRUCCIONES RICARDO CARO SAS"/>
    <s v="TLM-879"/>
    <s v="VOLQUETA"/>
    <x v="5"/>
    <s v="SOLDAR EXOSTO"/>
    <x v="7"/>
    <x v="4"/>
    <x v="34"/>
    <m/>
    <m/>
    <n v="0"/>
    <n v="0"/>
    <m/>
    <n v="0"/>
    <n v="0"/>
    <n v="0"/>
    <n v="0"/>
    <m/>
  </r>
  <r>
    <x v="20"/>
    <s v="RM:340"/>
    <s v="NANCY RODRIGUEZ"/>
    <s v="MQK-979"/>
    <s v="CLIO"/>
    <x v="0"/>
    <s v="CAMBIO DE RODAMIENTO TRASERO"/>
    <x v="8"/>
    <x v="7"/>
    <x v="8"/>
    <s v="RODAMIENTO TRASERO"/>
    <n v="60000"/>
    <n v="50420.168067226892"/>
    <n v="9579.8319327731097"/>
    <n v="75000"/>
    <n v="63025.210084033613"/>
    <n v="11974.789915966387"/>
    <n v="2394.957983193277"/>
    <n v="12605.042016806721"/>
    <m/>
  </r>
  <r>
    <x v="20"/>
    <s v="RM:339"/>
    <s v="CAMILO GUZMAN"/>
    <s v="MQM-115"/>
    <s v="MEGANE"/>
    <x v="5"/>
    <s v="CAMBIO DE PRESILENCIADOR"/>
    <x v="7"/>
    <x v="4"/>
    <x v="34"/>
    <m/>
    <m/>
    <n v="0"/>
    <n v="0"/>
    <m/>
    <n v="0"/>
    <n v="0"/>
    <n v="0"/>
    <n v="0"/>
    <m/>
  </r>
  <r>
    <x v="20"/>
    <s v="RM:341"/>
    <s v="LUCIANO CASTELLANOS"/>
    <s v="WOW-586"/>
    <s v="FOTON"/>
    <x v="4"/>
    <s v="CAMBIO DE BALINERA DE FANCLOSH Y CORREA"/>
    <x v="6"/>
    <x v="6"/>
    <x v="6"/>
    <m/>
    <m/>
    <n v="0"/>
    <n v="0"/>
    <m/>
    <n v="0"/>
    <n v="0"/>
    <n v="0"/>
    <n v="0"/>
    <m/>
  </r>
  <r>
    <x v="20"/>
    <s v="FE:197"/>
    <s v="UNIGAS"/>
    <s v="WRL-952"/>
    <s v="FOTON"/>
    <x v="0"/>
    <s v="GRADUACION DE FRENO/GF DE MANO"/>
    <x v="20"/>
    <x v="23"/>
    <x v="23"/>
    <m/>
    <m/>
    <n v="0"/>
    <n v="0"/>
    <m/>
    <n v="0"/>
    <n v="0"/>
    <n v="0"/>
    <n v="0"/>
    <m/>
  </r>
  <r>
    <x v="20"/>
    <m/>
    <m/>
    <s v="SVB-533"/>
    <m/>
    <x v="0"/>
    <s v="CAMBIO DE DIAFRAGMA Y RESORTE DE SEGURIDAD"/>
    <x v="1"/>
    <x v="1"/>
    <x v="1"/>
    <s v="DIAFRAGMA Y RESORTE DE SEGURIDAD"/>
    <m/>
    <n v="0"/>
    <n v="0"/>
    <m/>
    <n v="0"/>
    <n v="0"/>
    <n v="0"/>
    <n v="0"/>
    <m/>
  </r>
  <r>
    <x v="21"/>
    <m/>
    <s v="VICENTE PATARROYO"/>
    <s v="MAO-470"/>
    <s v="F-350"/>
    <x v="0"/>
    <s v="GRADUACION DE FRENOS"/>
    <x v="31"/>
    <x v="44"/>
    <x v="41"/>
    <m/>
    <m/>
    <n v="0"/>
    <n v="0"/>
    <m/>
    <n v="0"/>
    <n v="0"/>
    <n v="0"/>
    <n v="0"/>
    <m/>
  </r>
  <r>
    <x v="21"/>
    <m/>
    <s v="OSCAR MELO"/>
    <s v="BRX-793"/>
    <s v="CITROEN"/>
    <x v="5"/>
    <s v="CAMBIO DE PRESILENCIADOR"/>
    <x v="29"/>
    <x v="37"/>
    <x v="21"/>
    <m/>
    <m/>
    <n v="0"/>
    <n v="0"/>
    <m/>
    <n v="0"/>
    <n v="0"/>
    <n v="0"/>
    <n v="0"/>
    <m/>
  </r>
  <r>
    <x v="21"/>
    <m/>
    <m/>
    <s v="CVD-959"/>
    <s v="KIA SORENTO"/>
    <x v="0"/>
    <s v="MANTENIMEITNO DE FRENOS"/>
    <x v="6"/>
    <x v="6"/>
    <x v="6"/>
    <m/>
    <m/>
    <n v="0"/>
    <n v="0"/>
    <m/>
    <n v="0"/>
    <n v="0"/>
    <n v="0"/>
    <n v="0"/>
    <m/>
  </r>
  <r>
    <x v="21"/>
    <m/>
    <s v="JAVIER GALLO"/>
    <s v="TAT-815"/>
    <s v="CHERY"/>
    <x v="0"/>
    <s v="REPARACION DE SUSPENSION"/>
    <x v="5"/>
    <x v="5"/>
    <x v="5"/>
    <m/>
    <m/>
    <n v="0"/>
    <n v="0"/>
    <m/>
    <n v="0"/>
    <n v="0"/>
    <n v="0"/>
    <n v="0"/>
    <m/>
  </r>
  <r>
    <x v="21"/>
    <m/>
    <s v="TRANSURENCO"/>
    <s v="TGK-845"/>
    <s v="NNR"/>
    <x v="0"/>
    <s v="GRADUACION DE FRENOS"/>
    <x v="0"/>
    <x v="0"/>
    <x v="0"/>
    <m/>
    <m/>
    <n v="0"/>
    <n v="0"/>
    <m/>
    <n v="0"/>
    <n v="0"/>
    <n v="0"/>
    <n v="0"/>
    <m/>
  </r>
  <r>
    <x v="22"/>
    <s v="FE:199"/>
    <s v="GTSS"/>
    <s v="JOX-221"/>
    <s v="JAC"/>
    <x v="0"/>
    <s v="GRADUACION DE FRENO Y FRENO DE MANO"/>
    <x v="20"/>
    <x v="23"/>
    <x v="23"/>
    <m/>
    <m/>
    <n v="0"/>
    <n v="0"/>
    <m/>
    <n v="0"/>
    <n v="0"/>
    <n v="0"/>
    <n v="0"/>
    <m/>
  </r>
  <r>
    <x v="22"/>
    <s v="RM:343"/>
    <s v="HECTOR CISNEROS"/>
    <s v="ROK-650"/>
    <s v="OPTRA"/>
    <x v="0"/>
    <s v="CAMBIO DE LIQUIDO MANTENIMIENTO DE FRENOS"/>
    <x v="3"/>
    <x v="3"/>
    <x v="3"/>
    <m/>
    <m/>
    <n v="0"/>
    <n v="0"/>
    <m/>
    <n v="0"/>
    <n v="0"/>
    <n v="0"/>
    <n v="0"/>
    <m/>
  </r>
  <r>
    <x v="22"/>
    <s v="RM:342"/>
    <s v="VICTOR DELGADO"/>
    <s v="JGC-800"/>
    <s v="MITSUBISHI"/>
    <x v="0"/>
    <s v="HACER FRENOS, CONECTAR GUAYA FRENO DE MANO"/>
    <x v="3"/>
    <x v="3"/>
    <x v="3"/>
    <s v="LIQUIDO DOT3"/>
    <n v="7540"/>
    <n v="6336.134453781513"/>
    <n v="1203.8655462184875"/>
    <n v="17000"/>
    <n v="14285.714285714286"/>
    <n v="2714.2857142857142"/>
    <n v="1510.4201680672268"/>
    <n v="7949.5798319327732"/>
    <m/>
  </r>
  <r>
    <x v="22"/>
    <s v="RM:344"/>
    <s v="AQUILES VILLANUEVA"/>
    <s v="NEN-691"/>
    <s v="CH TRAVERSE"/>
    <x v="0"/>
    <s v="CAMBIO DE TIJERAS DELANTERAS"/>
    <x v="12"/>
    <x v="13"/>
    <x v="14"/>
    <s v="TIJERAS"/>
    <n v="1160000"/>
    <m/>
    <n v="0"/>
    <n v="1280000"/>
    <m/>
    <n v="0"/>
    <n v="0"/>
    <n v="120000"/>
    <m/>
  </r>
  <r>
    <x v="22"/>
    <m/>
    <m/>
    <s v="OVE-038"/>
    <s v="NISSAN"/>
    <x v="3"/>
    <s v="REVISAR TRASERAS/ GRADUAR LIMITADOR"/>
    <x v="2"/>
    <x v="2"/>
    <x v="2"/>
    <m/>
    <m/>
    <n v="0"/>
    <n v="0"/>
    <m/>
    <n v="0"/>
    <n v="0"/>
    <n v="0"/>
    <n v="0"/>
    <m/>
  </r>
  <r>
    <x v="23"/>
    <m/>
    <m/>
    <s v="RDT-290"/>
    <s v="KIA SORENTO"/>
    <x v="0"/>
    <s v="REVISION DE TIJERAS/ RELLENO DE PORTA MANGUETA"/>
    <x v="6"/>
    <x v="6"/>
    <x v="6"/>
    <m/>
    <m/>
    <n v="0"/>
    <n v="0"/>
    <m/>
    <n v="0"/>
    <n v="0"/>
    <n v="0"/>
    <n v="0"/>
    <m/>
  </r>
  <r>
    <x v="23"/>
    <m/>
    <s v="JAIME MONCADA"/>
    <s v="ERL-333"/>
    <s v="JAC"/>
    <x v="0"/>
    <s v="CAMBIO DE MANGUERA"/>
    <x v="9"/>
    <x v="10"/>
    <x v="11"/>
    <m/>
    <m/>
    <n v="0"/>
    <n v="0"/>
    <m/>
    <n v="0"/>
    <n v="0"/>
    <n v="0"/>
    <n v="0"/>
    <m/>
  </r>
  <r>
    <x v="23"/>
    <m/>
    <s v="ALEJANDRO MARTIN"/>
    <s v="RMN-506"/>
    <s v="SPARK"/>
    <x v="0"/>
    <s v="CAMBIO DE RODAMIENTO DELANTERO /MATTO TRASERO IZQ"/>
    <x v="6"/>
    <x v="6"/>
    <x v="6"/>
    <m/>
    <m/>
    <n v="0"/>
    <n v="0"/>
    <m/>
    <n v="0"/>
    <n v="0"/>
    <n v="0"/>
    <n v="0"/>
    <m/>
  </r>
  <r>
    <x v="23"/>
    <m/>
    <m/>
    <s v="RSA-061"/>
    <m/>
    <x v="5"/>
    <s v="             "/>
    <x v="21"/>
    <x v="45"/>
    <x v="42"/>
    <m/>
    <m/>
    <n v="0"/>
    <n v="0"/>
    <m/>
    <n v="0"/>
    <n v="0"/>
    <n v="0"/>
    <n v="0"/>
    <m/>
  </r>
  <r>
    <x v="23"/>
    <m/>
    <m/>
    <s v="BJH-461"/>
    <s v="MAZDA"/>
    <x v="5"/>
    <s v="SUSPENSION DE PRESILENCIADOR"/>
    <x v="1"/>
    <x v="9"/>
    <x v="3"/>
    <m/>
    <m/>
    <n v="0"/>
    <n v="0"/>
    <m/>
    <n v="0"/>
    <n v="0"/>
    <n v="0"/>
    <n v="0"/>
    <m/>
  </r>
  <r>
    <x v="23"/>
    <m/>
    <s v="DILMER CHAVARRO"/>
    <s v="BAE-623"/>
    <s v="MT"/>
    <x v="0"/>
    <s v="CAMBIO DE EMPAQUE DE CLOSH "/>
    <x v="8"/>
    <x v="7"/>
    <x v="8"/>
    <s v="EMPAQUE /LIQUIDO"/>
    <n v="22600"/>
    <n v="6386.55"/>
    <n v="1213.4445000000001"/>
    <n v="50000"/>
    <m/>
    <n v="0"/>
    <n v="-1213.4445000000001"/>
    <n v="28613.444500000001"/>
    <m/>
  </r>
  <r>
    <x v="24"/>
    <s v="RM:349/FE:349"/>
    <s v="JAIME CRUZ"/>
    <s v="UTQ-864 "/>
    <s v="SPARK GT"/>
    <x v="0"/>
    <s v="CAMBIO DE SOPORTE DE AMORTIGUADOR/ BUJES DE TIJERA"/>
    <x v="32"/>
    <x v="46"/>
    <x v="43"/>
    <s v="BUJES DE TIJERA, SOPORTE DE AMORTIGUDOR"/>
    <m/>
    <n v="0"/>
    <n v="0"/>
    <n v="329000"/>
    <n v="276470.58823529416"/>
    <n v="52529.411764705888"/>
    <n v="52529.411764705888"/>
    <n v="276470.5882352941"/>
    <m/>
  </r>
  <r>
    <x v="25"/>
    <s v="RM:351"/>
    <s v="WILSON SUAREZ"/>
    <s v="EWJ-306"/>
    <s v="R-12"/>
    <x v="0"/>
    <s v="CAMBIO DE TERMINALES BUJES DE TIJERA/ BUJES BARRA ESTABILIZADORA"/>
    <x v="26"/>
    <x v="34"/>
    <x v="33"/>
    <m/>
    <m/>
    <n v="0"/>
    <n v="0"/>
    <m/>
    <n v="0"/>
    <n v="0"/>
    <n v="0"/>
    <n v="0"/>
    <m/>
  </r>
  <r>
    <x v="25"/>
    <m/>
    <s v="WILSON SUAREZ"/>
    <s v="EWJ-306"/>
    <s v="R-12"/>
    <x v="5"/>
    <s v="CAMBIO DE PRESILENCIADOR"/>
    <x v="7"/>
    <x v="4"/>
    <x v="34"/>
    <m/>
    <n v="2635000"/>
    <m/>
    <n v="0"/>
    <n v="3040000"/>
    <n v="2554621.848739496"/>
    <n v="485378.15126050427"/>
    <n v="485378.15126050427"/>
    <n v="-80378.151260504499"/>
    <m/>
  </r>
  <r>
    <x v="25"/>
    <m/>
    <m/>
    <m/>
    <m/>
    <x v="3"/>
    <s v="GRADUACION DE FRENO "/>
    <x v="9"/>
    <x v="10"/>
    <x v="11"/>
    <m/>
    <m/>
    <n v="0"/>
    <n v="0"/>
    <m/>
    <n v="0"/>
    <n v="0"/>
    <n v="0"/>
    <n v="0"/>
    <m/>
  </r>
  <r>
    <x v="25"/>
    <s v="FE:204"/>
    <s v="SERVICIOS AGRICOLA JB SAS "/>
    <s v="ETT-299"/>
    <s v="JAC"/>
    <x v="0"/>
    <s v="REVISAR RUEDAS DEL"/>
    <x v="1"/>
    <x v="1"/>
    <x v="1"/>
    <m/>
    <m/>
    <n v="0"/>
    <n v="0"/>
    <m/>
    <n v="0"/>
    <n v="0"/>
    <n v="0"/>
    <n v="0"/>
    <m/>
  </r>
  <r>
    <x v="25"/>
    <m/>
    <m/>
    <s v="WFR-439"/>
    <s v="FURGON"/>
    <x v="3"/>
    <s v="GRADUACION DE FRENOS "/>
    <x v="33"/>
    <x v="47"/>
    <x v="44"/>
    <m/>
    <m/>
    <n v="0"/>
    <n v="0"/>
    <m/>
    <n v="0"/>
    <n v="0"/>
    <n v="0"/>
    <n v="0"/>
    <m/>
  </r>
  <r>
    <x v="25"/>
    <s v="RM:355"/>
    <s v="LUIS DUARTE"/>
    <s v="BUW-614"/>
    <s v="TOYOTA"/>
    <x v="6"/>
    <s v="REPARACION DE EXOSTO"/>
    <x v="25"/>
    <x v="48"/>
    <x v="15"/>
    <m/>
    <m/>
    <n v="0"/>
    <n v="0"/>
    <m/>
    <n v="0"/>
    <n v="0"/>
    <n v="0"/>
    <n v="0"/>
    <m/>
  </r>
  <r>
    <x v="25"/>
    <s v="RM:354"/>
    <s v="LUIS PINTO"/>
    <s v="BVA-572"/>
    <s v="RENAULT LAGUNA"/>
    <x v="0"/>
    <s v="CAMBIO DE GUAYA DE REVERSO"/>
    <x v="3"/>
    <x v="3"/>
    <x v="3"/>
    <m/>
    <n v="20000"/>
    <n v="16806.722689075632"/>
    <n v="3193.2773109243699"/>
    <n v="50000"/>
    <n v="42016.806722689078"/>
    <n v="7983.1932773109247"/>
    <n v="4789.9159663865548"/>
    <n v="25210.084033613446"/>
    <m/>
  </r>
  <r>
    <x v="26"/>
    <s v="FE:209"/>
    <s v="JARDINEROS SAS"/>
    <s v="TSM-325"/>
    <s v="JAC"/>
    <x v="3"/>
    <s v="SERVICIO DE TORNO Y ESPARRAGOS"/>
    <x v="18"/>
    <x v="20"/>
    <x v="21"/>
    <m/>
    <m/>
    <n v="0"/>
    <n v="0"/>
    <m/>
    <n v="0"/>
    <n v="0"/>
    <n v="0"/>
    <n v="0"/>
    <m/>
  </r>
  <r>
    <x v="26"/>
    <s v="RM:353"/>
    <s v="MIGUEL MESTIZO PULIDO "/>
    <s v="OVE-038"/>
    <s v="NISSAN"/>
    <x v="0"/>
    <s v="PULGAR SISTEMA DE FRENOS"/>
    <x v="30"/>
    <x v="45"/>
    <x v="45"/>
    <s v="LIQUIDO DOT3"/>
    <n v="7600"/>
    <n v="6386.5546218487398"/>
    <n v="1213.4453781512607"/>
    <n v="15000"/>
    <n v="12605.042016806723"/>
    <n v="2394.9579831932774"/>
    <n v="1181.5126050420167"/>
    <n v="6218.4873949579833"/>
    <m/>
  </r>
  <r>
    <x v="26"/>
    <m/>
    <m/>
    <s v="MTT-421"/>
    <s v="FORD "/>
    <x v="0"/>
    <s v="REVISION "/>
    <x v="0"/>
    <x v="0"/>
    <x v="0"/>
    <m/>
    <m/>
    <n v="0"/>
    <n v="0"/>
    <m/>
    <n v="0"/>
    <n v="0"/>
    <n v="0"/>
    <n v="0"/>
    <m/>
  </r>
  <r>
    <x v="26"/>
    <s v="RM:356"/>
    <s v="OSCAR BONILLA"/>
    <s v="KHC-191"/>
    <s v="CHANA"/>
    <x v="0"/>
    <s v="LIMPIAR BUJIAS"/>
    <x v="9"/>
    <x v="10"/>
    <x v="11"/>
    <m/>
    <m/>
    <n v="0"/>
    <n v="0"/>
    <m/>
    <n v="0"/>
    <n v="0"/>
    <n v="0"/>
    <n v="0"/>
    <m/>
  </r>
  <r>
    <x v="27"/>
    <m/>
    <m/>
    <s v="CZD-944"/>
    <s v="VW "/>
    <x v="0"/>
    <s v="GRADUACION DE FRENOS"/>
    <x v="0"/>
    <x v="0"/>
    <x v="0"/>
    <m/>
    <m/>
    <n v="0"/>
    <n v="0"/>
    <m/>
    <n v="0"/>
    <n v="0"/>
    <n v="0"/>
    <n v="0"/>
    <m/>
  </r>
  <r>
    <x v="27"/>
    <s v="FE:210 /RM: 358"/>
    <s v="DIEGO JAMAICA"/>
    <s v="GUQ-699"/>
    <s v="DUSTER"/>
    <x v="0"/>
    <s v="REVISION/CAMBIO DE BANDAS"/>
    <x v="8"/>
    <x v="7"/>
    <x v="8"/>
    <s v="BANDAS"/>
    <n v="122000"/>
    <n v="102521.00840336135"/>
    <n v="19478.991596638658"/>
    <n v="170000"/>
    <n v="142857.14285714287"/>
    <n v="27142.857142857145"/>
    <n v="7663.865546218487"/>
    <n v="40336.134453781517"/>
    <m/>
  </r>
  <r>
    <x v="27"/>
    <m/>
    <s v="OSCAR BONILLA"/>
    <s v="KHC-191"/>
    <s v="CHANA"/>
    <x v="0"/>
    <s v="REVISION INYECTORES"/>
    <x v="2"/>
    <x v="2"/>
    <x v="2"/>
    <m/>
    <m/>
    <n v="0"/>
    <n v="0"/>
    <m/>
    <n v="0"/>
    <n v="0"/>
    <n v="0"/>
    <n v="0"/>
    <m/>
  </r>
  <r>
    <x v="27"/>
    <s v="RM:362"/>
    <s v="HENRY BENAVIDEZ"/>
    <s v="BLT-506"/>
    <s v="CH ALTO"/>
    <x v="0"/>
    <s v="REVISION DE RUEDAS CAMBIO DE TERMOSTATO"/>
    <x v="9"/>
    <x v="10"/>
    <x v="11"/>
    <m/>
    <m/>
    <n v="0"/>
    <n v="0"/>
    <m/>
    <n v="0"/>
    <n v="0"/>
    <n v="0"/>
    <n v="0"/>
    <m/>
  </r>
  <r>
    <x v="27"/>
    <s v="RM:362"/>
    <s v="HENRY BENAVIDEZ"/>
    <s v="BLT-506"/>
    <s v="CH ALTO"/>
    <x v="6"/>
    <s v="CAMBIO DE MANGUERA"/>
    <x v="9"/>
    <x v="49"/>
    <x v="9"/>
    <s v="TERMOSTATO, MANGUERA"/>
    <n v="75000"/>
    <n v="50420.160000000003"/>
    <n v="9579.8304000000007"/>
    <n v="90000"/>
    <m/>
    <n v="0"/>
    <n v="-9579.8304000000007"/>
    <n v="24579.830399999999"/>
    <m/>
  </r>
  <r>
    <x v="27"/>
    <s v="FE:211/RM:357"/>
    <s v="LEONARDO SANTISTEBAN"/>
    <s v="CYY-416"/>
    <s v="VOLSKWAGEN"/>
    <x v="0"/>
    <s v="CAMBIO DE LIQUIDO"/>
    <x v="2"/>
    <x v="2"/>
    <x v="2"/>
    <s v="LIQUIDO"/>
    <n v="44000"/>
    <n v="36974.789915966387"/>
    <n v="7025.2100840336134"/>
    <n v="60000"/>
    <n v="50420.168067226892"/>
    <n v="9579.8319327731097"/>
    <n v="2554.6218487394963"/>
    <n v="13445.378151260506"/>
    <m/>
  </r>
  <r>
    <x v="27"/>
    <s v="FE:213/RM:360"/>
    <s v="SARA VARGAS"/>
    <s v="INN-088"/>
    <s v="HIUNDAY"/>
    <x v="0"/>
    <s v="SINCRONIZACION"/>
    <x v="16"/>
    <x v="17"/>
    <x v="18"/>
    <s v="3 BUJIAS"/>
    <n v="60000"/>
    <n v="50420.168067226892"/>
    <n v="9579.8319327731097"/>
    <n v="90000"/>
    <n v="75630.252100840342"/>
    <n v="14369.747899159665"/>
    <n v="4789.9159663865557"/>
    <n v="25210.084033613442"/>
    <m/>
  </r>
  <r>
    <x v="27"/>
    <s v="FE:212/RM:359"/>
    <s v="JUAN M DUQUE"/>
    <s v="NAU-998"/>
    <s v="TWINGO"/>
    <x v="0"/>
    <s v="CAMBIO DE DISCO Y PASTILLAS"/>
    <x v="7"/>
    <x v="38"/>
    <x v="36"/>
    <s v="DISCOS/PASTILLAS"/>
    <n v="295000"/>
    <n v="247899.15966386555"/>
    <n v="47100.840336134454"/>
    <n v="409000"/>
    <n v="343697.47899159667"/>
    <n v="65302.521008403368"/>
    <n v="18201.680672268914"/>
    <n v="95798.319327731093"/>
    <m/>
  </r>
  <r>
    <x v="27"/>
    <n v="361"/>
    <s v="ALEJANDRO PEÑA"/>
    <s v="WPQ-630"/>
    <s v="BUSETA"/>
    <x v="3"/>
    <m/>
    <x v="21"/>
    <x v="24"/>
    <x v="24"/>
    <s v="LIQUIDO"/>
    <n v="7600"/>
    <n v="6386.5546218487398"/>
    <n v="1213.4453781512607"/>
    <n v="15000"/>
    <n v="12605.042016806723"/>
    <n v="2394.9579831932774"/>
    <n v="1181.5126050420167"/>
    <n v="6218.4873949579833"/>
    <m/>
  </r>
  <r>
    <x v="28"/>
    <s v="RM:363"/>
    <m/>
    <s v="SQL-898"/>
    <s v="BUSETA"/>
    <x v="0"/>
    <s v="CAMBIO DE MANGUERA DE FRENO DE SEGURIDAD"/>
    <x v="9"/>
    <x v="50"/>
    <x v="8"/>
    <s v="MANGUERA"/>
    <n v="310000"/>
    <n v="260504.20168067227"/>
    <n v="49495.798319327732"/>
    <n v="60000"/>
    <n v="50420.168067226892"/>
    <n v="9579.8319327731097"/>
    <n v="-39915.966386554624"/>
    <n v="-210084.03361344535"/>
    <m/>
  </r>
  <r>
    <x v="28"/>
    <s v="RM:364"/>
    <s v="SERGIO JIMENEZ"/>
    <s v="HOD-108"/>
    <s v="MB"/>
    <x v="0"/>
    <s v="CAMBIO KIT DE EMBRAGUE"/>
    <x v="34"/>
    <x v="51"/>
    <x v="46"/>
    <m/>
    <m/>
    <n v="0"/>
    <n v="0"/>
    <m/>
    <n v="0"/>
    <n v="0"/>
    <n v="0"/>
    <n v="0"/>
    <m/>
  </r>
  <r>
    <x v="28"/>
    <m/>
    <s v="SASTOQUE"/>
    <s v="JKJ-296"/>
    <s v="LAND ROVER"/>
    <x v="6"/>
    <s v="CAMBIO DE MANGUERA"/>
    <x v="0"/>
    <x v="49"/>
    <x v="10"/>
    <s v="MANGUERA"/>
    <n v="10000"/>
    <m/>
    <n v="0"/>
    <n v="15000"/>
    <m/>
    <n v="0"/>
    <n v="0"/>
    <n v="5000"/>
    <m/>
  </r>
  <r>
    <x v="28"/>
    <m/>
    <s v="SASTOQUE"/>
    <s v="JKJ-296"/>
    <s v="LAND ROVER"/>
    <x v="0"/>
    <s v="REVISIO DE RUEDA"/>
    <x v="9"/>
    <x v="10"/>
    <x v="11"/>
    <m/>
    <m/>
    <n v="0"/>
    <n v="0"/>
    <m/>
    <n v="0"/>
    <n v="0"/>
    <n v="0"/>
    <n v="0"/>
    <m/>
  </r>
  <r>
    <x v="28"/>
    <s v="FE:124/RM:365"/>
    <s v="YEBRAIN MORA"/>
    <s v="UPS-855"/>
    <s v="NHR"/>
    <x v="0"/>
    <s v="CAMBIO DE BANDAS Y CHUPAS"/>
    <x v="7"/>
    <x v="38"/>
    <x v="36"/>
    <s v="CHUPAS, LIQUIDO"/>
    <n v="30939"/>
    <n v="25999.159663865546"/>
    <n v="4939.8403361344535"/>
    <n v="45000"/>
    <n v="37815.126050420171"/>
    <n v="7184.8739495798327"/>
    <n v="2245.0336134453792"/>
    <n v="11815.966386554617"/>
    <m/>
  </r>
  <r>
    <x v="28"/>
    <s v="FE:215/RM:366"/>
    <s v="CESAR QUECAN"/>
    <s v="CKF-173"/>
    <s v="TWINGO"/>
    <x v="0"/>
    <s v="CAMBIO DE SOPORTE AMORTIGUADOR LADO IZQ DEL/ CAMBIO ARO BOMBA DE FRENO"/>
    <x v="6"/>
    <x v="6"/>
    <x v="6"/>
    <s v="ARO BOMBA DE FRENO/ RODAMIENTO DEL IZQ"/>
    <n v="85000"/>
    <n v="71428.571428571435"/>
    <n v="13571.428571428572"/>
    <n v="110000"/>
    <n v="92436.97478991597"/>
    <n v="17563.025210084033"/>
    <n v="3991.596638655461"/>
    <n v="21008.403361344535"/>
    <m/>
  </r>
  <r>
    <x v="29"/>
    <s v="RM:367"/>
    <s v="RUBEN VARGAS"/>
    <s v="UDM-639"/>
    <s v="SANDERO"/>
    <x v="0"/>
    <s v="CAMBIO DE LIQUIDO/ MANTENIMIENTO DE FRENOS"/>
    <x v="3"/>
    <x v="3"/>
    <x v="3"/>
    <s v="LIQUIDO DOT3"/>
    <n v="26000"/>
    <n v="21848.73949579832"/>
    <n v="4151.2605042016812"/>
    <n v="35000"/>
    <n v="29411.764705882353"/>
    <n v="5588.2352941176468"/>
    <n v="1436.9747899159656"/>
    <n v="7563.0252100840335"/>
    <m/>
  </r>
  <r>
    <x v="29"/>
    <s v="RM:369"/>
    <s v="JOSE TRIANA"/>
    <s v="ERK-45"/>
    <m/>
    <x v="0"/>
    <s v=" _x000a_BAJAR RUEDA DELANTERA DERECHA/ TRASERA DERECHA/ GRADUAR FRENOS"/>
    <x v="7"/>
    <x v="38"/>
    <x v="36"/>
    <m/>
    <m/>
    <n v="0"/>
    <n v="0"/>
    <m/>
    <n v="0"/>
    <n v="0"/>
    <n v="0"/>
    <n v="0"/>
    <m/>
  </r>
  <r>
    <x v="29"/>
    <m/>
    <s v="CAROLINA OCHOA"/>
    <s v="HBN-909"/>
    <s v="HUMMER"/>
    <x v="0"/>
    <s v="CAMBIO DE TIJERAS SUPERIORES DELANTERAS"/>
    <x v="3"/>
    <x v="3"/>
    <x v="3"/>
    <m/>
    <m/>
    <n v="0"/>
    <n v="0"/>
    <m/>
    <n v="0"/>
    <n v="0"/>
    <n v="0"/>
    <n v="0"/>
    <m/>
  </r>
  <r>
    <x v="30"/>
    <s v="RM:370"/>
    <s v="ANDRES SOCHA"/>
    <s v="EXX-566"/>
    <s v="FOTON"/>
    <x v="6"/>
    <s v="MANTENIMIENTO RADIADOR"/>
    <x v="3"/>
    <x v="43"/>
    <x v="19"/>
    <m/>
    <m/>
    <n v="0"/>
    <n v="0"/>
    <m/>
    <n v="0"/>
    <n v="0"/>
    <n v="0"/>
    <n v="0"/>
    <m/>
  </r>
  <r>
    <x v="30"/>
    <m/>
    <s v="JORGE MORALES"/>
    <s v="CJH-276"/>
    <s v="SKODA FELICIA"/>
    <x v="0"/>
    <s v="REVISION DE RUEDA"/>
    <x v="0"/>
    <x v="0"/>
    <x v="0"/>
    <m/>
    <m/>
    <n v="0"/>
    <n v="0"/>
    <m/>
    <n v="0"/>
    <n v="0"/>
    <n v="0"/>
    <n v="0"/>
    <m/>
  </r>
  <r>
    <x v="30"/>
    <s v="RM:371"/>
    <s v="ALEXIS MOLINA"/>
    <s v="TRG-701"/>
    <s v="NKR"/>
    <x v="0"/>
    <s v="MANTENIMIENTO DE RUEDAS DELANTERAS/GRADUACION DE FRENOS"/>
    <x v="7"/>
    <x v="38"/>
    <x v="36"/>
    <s v="CHUPAS, LIQUIDO, PIN CACHO"/>
    <n v="21800"/>
    <n v="18319.327731092439"/>
    <n v="3480.6722689075632"/>
    <n v="39000"/>
    <n v="32773.10924369748"/>
    <n v="6226.8907563025214"/>
    <n v="2746.2184873949582"/>
    <n v="14453.781512605041"/>
    <m/>
  </r>
  <r>
    <x v="30"/>
    <s v="RM:372/FE:217"/>
    <s v="VERONICA GIL"/>
    <s v="KAL-109"/>
    <s v="FIAT ADVENTURI"/>
    <x v="0"/>
    <s v="MATTO COMPLETO, CAMBIO DE PASTILLAS/CAMBIO DE LIQUIDO"/>
    <x v="23"/>
    <x v="26"/>
    <x v="26"/>
    <s v="PASTILLAS, LIQUIDO"/>
    <n v="148823"/>
    <n v="125061.34453781514"/>
    <n v="23761.655462184877"/>
    <n v="220000"/>
    <n v="184873.94957983194"/>
    <n v="35126.050420168067"/>
    <n v="11364.39495798319"/>
    <n v="59812.605042016803"/>
    <m/>
  </r>
  <r>
    <x v="30"/>
    <m/>
    <m/>
    <s v="BKR-808"/>
    <s v="VW"/>
    <x v="6"/>
    <s v="SOLDAR TUBO EXOSTO"/>
    <x v="1"/>
    <x v="9"/>
    <x v="3"/>
    <m/>
    <m/>
    <n v="0"/>
    <n v="0"/>
    <m/>
    <n v="0"/>
    <n v="0"/>
    <n v="0"/>
    <n v="0"/>
    <m/>
  </r>
  <r>
    <x v="31"/>
    <s v="FE:222"/>
    <s v="CARLOS BENITEZ"/>
    <s v="WLS-061"/>
    <s v="NKR"/>
    <x v="0"/>
    <s v="REVISION RUEDAS DEL Y TRASERAS"/>
    <x v="10"/>
    <x v="11"/>
    <x v="12"/>
    <s v="BANDAS, GRASA, GASOLINA"/>
    <n v="160000"/>
    <n v="134453.78151260506"/>
    <n v="25546.218487394959"/>
    <n v="367000"/>
    <n v="308403.36134453781"/>
    <n v="58596.638655462186"/>
    <n v="33050.420168067227"/>
    <n v="173949.57983193279"/>
    <m/>
  </r>
  <r>
    <x v="31"/>
    <m/>
    <m/>
    <s v="DEP-444"/>
    <s v="NISSAN"/>
    <x v="0"/>
    <s v="SERVICIO DE ESCANER"/>
    <x v="1"/>
    <x v="1"/>
    <x v="1"/>
    <m/>
    <m/>
    <n v="0"/>
    <n v="0"/>
    <m/>
    <n v="0"/>
    <n v="0"/>
    <n v="0"/>
    <n v="0"/>
    <m/>
  </r>
  <r>
    <x v="31"/>
    <s v="RM:373"/>
    <s v="GRUPO RED"/>
    <s v="CHS-304"/>
    <s v="VOLQUETA"/>
    <x v="0"/>
    <s v="CAMBIO DE DIAFRGMA TRASERO IZQ"/>
    <x v="9"/>
    <x v="10"/>
    <x v="11"/>
    <s v="DIAFRAGMA TIPO 30"/>
    <n v="8000"/>
    <n v="6722.6890756302528"/>
    <n v="1277.3109243697481"/>
    <n v="15000"/>
    <n v="12605.042016806723"/>
    <n v="2394.9579831932774"/>
    <n v="1117.6470588235293"/>
    <n v="5882.3529411764703"/>
    <m/>
  </r>
  <r>
    <x v="32"/>
    <s v="FE:26/RM_"/>
    <s v="GABRIEL LUQUE LEANDRO"/>
    <s v="ARR-520 "/>
    <s v="RENAULT 19"/>
    <x v="7"/>
    <s v="CAMBIO KT DE REPARTICION Y RETENEDORE DE REP"/>
    <x v="26"/>
    <x v="34"/>
    <x v="33"/>
    <s v=" KT DE REPARTICION Y RETENEDORE DE REP"/>
    <n v="170000"/>
    <n v="142857.14285714287"/>
    <n v="27142.857142857145"/>
    <n v="200000"/>
    <n v="168067.22689075631"/>
    <n v="31932.773109243699"/>
    <n v="4789.9159663865539"/>
    <n v="25210.084033613442"/>
    <m/>
  </r>
  <r>
    <x v="32"/>
    <m/>
    <m/>
    <m/>
    <s v="MOTO"/>
    <x v="6"/>
    <s v="SOLDADURA"/>
    <x v="30"/>
    <x v="41"/>
    <x v="40"/>
    <m/>
    <m/>
    <n v="0"/>
    <n v="0"/>
    <m/>
    <n v="0"/>
    <n v="0"/>
    <n v="0"/>
    <n v="0"/>
    <m/>
  </r>
  <r>
    <x v="32"/>
    <m/>
    <m/>
    <s v="CRX-348"/>
    <s v="DODGE"/>
    <x v="0"/>
    <s v="CAMBIO DE MUÑECO"/>
    <x v="9"/>
    <x v="10"/>
    <x v="11"/>
    <m/>
    <m/>
    <n v="0"/>
    <n v="0"/>
    <m/>
    <n v="0"/>
    <n v="0"/>
    <n v="0"/>
    <n v="0"/>
    <m/>
  </r>
  <r>
    <x v="32"/>
    <m/>
    <m/>
    <s v="EIS-544"/>
    <s v="RENAULT"/>
    <x v="6"/>
    <s v="SOLDAR EXOSTO"/>
    <x v="21"/>
    <x v="45"/>
    <x v="42"/>
    <m/>
    <m/>
    <n v="0"/>
    <n v="0"/>
    <m/>
    <n v="0"/>
    <n v="0"/>
    <n v="0"/>
    <n v="0"/>
    <m/>
  </r>
  <r>
    <x v="32"/>
    <s v="FE:225/RM:374"/>
    <s v="JAIRO ALONZO GONZALES"/>
    <s v="UFU-588"/>
    <s v="SUPER KARRY"/>
    <x v="0"/>
    <s v="CAMBIO GUAYA DE FRENO DE MANO/PASTILLAS DELANTERAS"/>
    <x v="23"/>
    <x v="26"/>
    <x v="26"/>
    <s v="GUAYA/ PASTILLAS DEL."/>
    <n v="85000"/>
    <n v="71428.571428571435"/>
    <n v="13571.428571428572"/>
    <n v="110000"/>
    <n v="92436.97478991597"/>
    <n v="17563.025210084033"/>
    <n v="3991.596638655461"/>
    <n v="21008.403361344535"/>
    <m/>
  </r>
  <r>
    <x v="32"/>
    <s v="FE:225/RM:374"/>
    <s v="JAIRO ALONZO GONZALES"/>
    <s v="UFU-588"/>
    <s v="SUPER KARRY"/>
    <x v="6"/>
    <s v="REPARACION EXOSTO"/>
    <x v="1"/>
    <x v="9"/>
    <x v="3"/>
    <m/>
    <m/>
    <n v="0"/>
    <n v="0"/>
    <m/>
    <n v="0"/>
    <n v="0"/>
    <n v="0"/>
    <n v="0"/>
    <m/>
  </r>
  <r>
    <x v="33"/>
    <s v="RM:377"/>
    <s v="ALFREDO SUAREZ"/>
    <s v="KEW-765"/>
    <s v="SANDERO"/>
    <x v="0"/>
    <s v="CAMBIO DE AMORTIGUADORES DEL."/>
    <x v="3"/>
    <x v="3"/>
    <x v="3"/>
    <m/>
    <m/>
    <n v="0"/>
    <n v="0"/>
    <m/>
    <n v="0"/>
    <n v="0"/>
    <n v="0"/>
    <n v="0"/>
    <m/>
  </r>
  <r>
    <x v="33"/>
    <m/>
    <s v="JAIME MONCADA"/>
    <m/>
    <m/>
    <x v="3"/>
    <s v="GRADUACION DE FRENOS"/>
    <x v="0"/>
    <x v="0"/>
    <x v="0"/>
    <m/>
    <m/>
    <n v="0"/>
    <n v="0"/>
    <m/>
    <n v="0"/>
    <n v="0"/>
    <n v="0"/>
    <n v="0"/>
    <m/>
  </r>
  <r>
    <x v="33"/>
    <m/>
    <m/>
    <s v="FLI-814"/>
    <s v="CHEVROLET"/>
    <x v="6"/>
    <s v="CAMBIO TUBO SILENCIADOR"/>
    <x v="35"/>
    <x v="52"/>
    <x v="47"/>
    <m/>
    <m/>
    <n v="0"/>
    <n v="0"/>
    <m/>
    <n v="0"/>
    <n v="0"/>
    <n v="0"/>
    <n v="0"/>
    <m/>
  </r>
  <r>
    <x v="33"/>
    <m/>
    <m/>
    <s v="BVG-394"/>
    <s v="VITARA "/>
    <x v="0"/>
    <s v="REVISION DE RUEDAS TRASERAS"/>
    <x v="2"/>
    <x v="2"/>
    <x v="2"/>
    <m/>
    <m/>
    <n v="0"/>
    <n v="0"/>
    <m/>
    <n v="0"/>
    <n v="0"/>
    <n v="0"/>
    <n v="0"/>
    <m/>
  </r>
  <r>
    <x v="33"/>
    <s v="RM:381"/>
    <s v="RIKO POLLO"/>
    <s v="UPP-145"/>
    <s v="LUV"/>
    <x v="0"/>
    <s v="MANTENIMIENTO DE FRENOS"/>
    <x v="6"/>
    <x v="6"/>
    <x v="6"/>
    <s v="RESORTE"/>
    <m/>
    <n v="0"/>
    <n v="0"/>
    <n v="70000"/>
    <m/>
    <n v="0"/>
    <n v="0"/>
    <n v="70000"/>
    <m/>
  </r>
  <r>
    <x v="33"/>
    <s v="FE:228/RM:379"/>
    <s v="HUMBERTO BETANCOURT"/>
    <s v="RGY-054"/>
    <s v="KIA JOUL"/>
    <x v="0"/>
    <s v="CAMBIO DE PASTILLAS DEL. /DISCO Y LIQUIDO"/>
    <x v="18"/>
    <x v="20"/>
    <x v="21"/>
    <s v="CAMBIO DE PASTILLAS DEL. /DISCO Y LIQUIDO"/>
    <n v="545000"/>
    <n v="457983.19327731093"/>
    <n v="87016.806722689071"/>
    <n v="745000"/>
    <n v="626050.42016806721"/>
    <n v="118949.57983193277"/>
    <n v="31932.773109243702"/>
    <n v="168067.22689075628"/>
    <m/>
  </r>
  <r>
    <x v="34"/>
    <m/>
    <m/>
    <s v="KZY-882"/>
    <s v="TUCSON"/>
    <x v="6"/>
    <s v="SOLDADURA"/>
    <x v="9"/>
    <x v="49"/>
    <x v="9"/>
    <m/>
    <m/>
    <n v="0"/>
    <n v="0"/>
    <m/>
    <n v="0"/>
    <n v="0"/>
    <n v="0"/>
    <n v="0"/>
    <m/>
  </r>
  <r>
    <x v="34"/>
    <s v="RM:382"/>
    <s v="VERONICA GIL"/>
    <s v="KAL-109"/>
    <s v="KIA"/>
    <x v="6"/>
    <s v="CAMBIO DE EXOSTO"/>
    <x v="3"/>
    <x v="43"/>
    <x v="19"/>
    <s v="EXOSTO"/>
    <n v="40000"/>
    <m/>
    <m/>
    <n v="80000"/>
    <m/>
    <m/>
    <n v="0"/>
    <n v="40000"/>
    <m/>
  </r>
  <r>
    <x v="34"/>
    <m/>
    <m/>
    <s v="IIR-925"/>
    <s v="SAIL"/>
    <x v="6"/>
    <s v="CAMBIO DE CURVA"/>
    <x v="36"/>
    <x v="53"/>
    <x v="48"/>
    <m/>
    <m/>
    <n v="0"/>
    <n v="0"/>
    <m/>
    <n v="0"/>
    <n v="0"/>
    <n v="0"/>
    <n v="0"/>
    <m/>
  </r>
  <r>
    <x v="34"/>
    <m/>
    <m/>
    <s v="BGW-834"/>
    <s v="NISSAN"/>
    <x v="6"/>
    <s v="REPARACION EXOSTO"/>
    <x v="8"/>
    <x v="30"/>
    <x v="28"/>
    <m/>
    <m/>
    <n v="0"/>
    <n v="0"/>
    <m/>
    <n v="0"/>
    <n v="0"/>
    <n v="0"/>
    <n v="0"/>
    <m/>
  </r>
  <r>
    <x v="34"/>
    <m/>
    <m/>
    <s v="BGW-834"/>
    <s v="NISSAN"/>
    <x v="0"/>
    <s v="CAMBIO DE BUJE"/>
    <x v="2"/>
    <x v="2"/>
    <x v="2"/>
    <m/>
    <m/>
    <n v="0"/>
    <n v="0"/>
    <m/>
    <n v="0"/>
    <n v="0"/>
    <n v="0"/>
    <n v="0"/>
    <m/>
  </r>
  <r>
    <x v="34"/>
    <m/>
    <s v="YEBRAIN MORA"/>
    <s v="UPS-855"/>
    <s v="NHR"/>
    <x v="0"/>
    <s v="CAMBIO DE CHUPAS"/>
    <x v="2"/>
    <x v="2"/>
    <x v="2"/>
    <s v="CHUPAS"/>
    <n v="3600"/>
    <n v="3025.2100840336134"/>
    <n v="574.7899159663865"/>
    <n v="10000"/>
    <n v="8403.361344537816"/>
    <n v="1596.6386554621849"/>
    <n v="1021.8487394957984"/>
    <n v="5378.1512605042017"/>
    <m/>
  </r>
  <r>
    <x v="34"/>
    <m/>
    <s v="METALCARGOS"/>
    <s v="TFT-701"/>
    <s v="NKR"/>
    <x v="6"/>
    <s v="LAVAR RADIADOR"/>
    <x v="0"/>
    <x v="49"/>
    <x v="10"/>
    <m/>
    <m/>
    <n v="0"/>
    <n v="0"/>
    <m/>
    <n v="0"/>
    <n v="0"/>
    <n v="0"/>
    <n v="0"/>
    <m/>
  </r>
  <r>
    <x v="34"/>
    <s v="RM:384"/>
    <s v="LILIANA PATARROYO"/>
    <s v="BWE-859"/>
    <m/>
    <x v="0"/>
    <s v="CAMBIO DE LIQUIDO /MATTO COMPLETO"/>
    <x v="3"/>
    <x v="3"/>
    <x v="3"/>
    <s v="LIQUIDO"/>
    <n v="25000"/>
    <n v="21008.403361344539"/>
    <n v="3991.5966386554624"/>
    <n v="35000"/>
    <n v="29411.764705882353"/>
    <n v="5588.2352941176468"/>
    <n v="1596.6386554621845"/>
    <n v="8403.3613445378141"/>
    <m/>
  </r>
  <r>
    <x v="34"/>
    <m/>
    <s v="HUMMER"/>
    <s v="HBN-909"/>
    <m/>
    <x v="0"/>
    <s v="MATTO RUEDA TRASERA /GRADUACION"/>
    <x v="4"/>
    <x v="4"/>
    <x v="4"/>
    <m/>
    <m/>
    <n v="0"/>
    <n v="0"/>
    <m/>
    <n v="0"/>
    <n v="0"/>
    <n v="0"/>
    <n v="0"/>
    <m/>
  </r>
  <r>
    <x v="35"/>
    <s v="RM:387/FE:232"/>
    <s v="EDUARDO ARGUILA"/>
    <s v="MKQ-047"/>
    <s v="SANDERO"/>
    <x v="0"/>
    <s v="SINCRONIZACION"/>
    <x v="16"/>
    <x v="54"/>
    <x v="49"/>
    <s v="BUJIAS/EMPAQUE CUERO ACELERACION"/>
    <n v="90000"/>
    <n v="75630.252100840342"/>
    <n v="14369.747899159665"/>
    <n v="130000"/>
    <n v="109243.6974789916"/>
    <n v="20756.302521008405"/>
    <n v="6386.5546218487398"/>
    <n v="33613.445378151257"/>
    <m/>
  </r>
  <r>
    <x v="35"/>
    <s v="FE:233"/>
    <s v="PERVIVIR"/>
    <s v="BTZ-979 "/>
    <s v="NHR"/>
    <x v="0"/>
    <s v="CAMBIO DE HOJA DE MUELLE Y BUJES /GRADUACION DE FRENOS"/>
    <x v="37"/>
    <x v="55"/>
    <x v="50"/>
    <s v=" HOJA DE MUELLE2 Y TERCERA/CENTRAL Y BUJE DE MUELLE"/>
    <n v="470000"/>
    <n v="394957.98319327732"/>
    <n v="75042.016806722691"/>
    <n v="625000"/>
    <n v="525210.08403361344"/>
    <n v="99789.915966386558"/>
    <n v="24747.899159663866"/>
    <n v="130252.10084033612"/>
    <m/>
  </r>
  <r>
    <x v="35"/>
    <s v="FE:231/RM:385"/>
    <s v="DAVID ORDOÑEZ"/>
    <s v="IXS-786"/>
    <s v="NISSAN"/>
    <x v="0"/>
    <s v="CAMBIO DE RODAMIENTO TRASERO"/>
    <x v="2"/>
    <x v="56"/>
    <x v="23"/>
    <s v="RODAMIENTO TRASERO"/>
    <n v="90000"/>
    <n v="75630.252100840342"/>
    <n v="14369.747899159665"/>
    <n v="110000"/>
    <n v="92436.97478991597"/>
    <n v="17563.025210084033"/>
    <n v="3193.2773109243681"/>
    <n v="16806.722689075628"/>
    <m/>
  </r>
  <r>
    <x v="35"/>
    <s v="RM:386"/>
    <s v="ALBERTO BOJACA"/>
    <s v="DCE-692 "/>
    <s v="SANDERO"/>
    <x v="6"/>
    <s v="CAMBIO DE PRESILENCIADOR"/>
    <x v="38"/>
    <x v="57"/>
    <x v="51"/>
    <s v="PRESILENCIADOR"/>
    <n v="33000"/>
    <m/>
    <n v="0"/>
    <n v="70000"/>
    <m/>
    <n v="0"/>
    <n v="0"/>
    <n v="37000"/>
    <m/>
  </r>
  <r>
    <x v="36"/>
    <m/>
    <m/>
    <s v="DCS-868"/>
    <s v="CH"/>
    <x v="0"/>
    <s v="SERVICIO DE ESCANER"/>
    <x v="1"/>
    <x v="58"/>
    <x v="6"/>
    <m/>
    <m/>
    <n v="0"/>
    <n v="0"/>
    <m/>
    <n v="0"/>
    <n v="0"/>
    <n v="0"/>
    <n v="0"/>
    <m/>
  </r>
  <r>
    <x v="36"/>
    <s v="RM:388 / FE:234"/>
    <s v="GERMAN BULLA"/>
    <s v="RGN-134"/>
    <s v="NISSAN TIIDA"/>
    <x v="0"/>
    <s v="CAMBIO DE MUÑECOS, TERMINALES, AXIALES, BUJES DE TIJERA, SOPORTE DE CAJA "/>
    <x v="39"/>
    <x v="59"/>
    <x v="52"/>
    <s v=" MUÑECOS, TERMINALES, AXIALES, BUJES DE TIJERA, SOPORTE DE CAJA "/>
    <n v="640000"/>
    <n v="537815.12605042022"/>
    <n v="102184.87394957984"/>
    <n v="805000"/>
    <n v="676470.5882352941"/>
    <n v="128529.41176470587"/>
    <n v="26344.537815126037"/>
    <n v="138655.46218487399"/>
    <m/>
  </r>
  <r>
    <x v="36"/>
    <s v="RM:393"/>
    <s v="MANUEL BARBOSA"/>
    <s v="BVA-767"/>
    <s v="MAZDA"/>
    <x v="7"/>
    <s v="SINCRONIZACION"/>
    <x v="23"/>
    <x v="26"/>
    <x v="26"/>
    <m/>
    <m/>
    <n v="0"/>
    <n v="0"/>
    <m/>
    <n v="0"/>
    <n v="0"/>
    <n v="0"/>
    <n v="0"/>
    <m/>
  </r>
  <r>
    <x v="36"/>
    <s v="RM:389"/>
    <s v="HECTOR COLMENAREZ"/>
    <s v="BYH-660"/>
    <s v="NISSAN SENTRA"/>
    <x v="0"/>
    <s v="REVISION / CAMBIO BRAZO AXIAL"/>
    <x v="40"/>
    <x v="60"/>
    <x v="53"/>
    <m/>
    <m/>
    <n v="0"/>
    <n v="0"/>
    <m/>
    <n v="0"/>
    <n v="0"/>
    <n v="0"/>
    <n v="0"/>
    <m/>
  </r>
  <r>
    <x v="36"/>
    <s v="RM:392"/>
    <m/>
    <s v="RZG-156"/>
    <s v="KIA PICANTO"/>
    <x v="0"/>
    <s v="REVISION DELANTERA/ CAMBIO DE ESPARRAGO DELANTERO IZQ"/>
    <x v="4"/>
    <x v="9"/>
    <x v="28"/>
    <s v="PERNO Y TUERCA"/>
    <n v="10000"/>
    <n v="8403.361344537816"/>
    <n v="1596.6386554621849"/>
    <n v="7700"/>
    <n v="6470.588235294118"/>
    <n v="1229.4117647058824"/>
    <n v="-367.22689075630251"/>
    <n v="-1932.773109243697"/>
    <m/>
  </r>
  <r>
    <x v="36"/>
    <s v="RM:391/FE:235"/>
    <s v="ALEJANDRO MEDINA"/>
    <s v="BWD-321"/>
    <s v="HILUX"/>
    <x v="0"/>
    <s v="CAMBIO DE PASTILLAS DELANTERAS"/>
    <x v="2"/>
    <x v="61"/>
    <x v="8"/>
    <s v="PASTILLAS DELANTERAS"/>
    <n v="165000"/>
    <n v="138655.46218487396"/>
    <n v="26344.537815126052"/>
    <n v="230000"/>
    <n v="193277.31092436975"/>
    <n v="36722.689075630253"/>
    <n v="10378.151260504201"/>
    <n v="54621.848739495792"/>
    <m/>
  </r>
  <r>
    <x v="36"/>
    <m/>
    <s v="WILSON MORENO"/>
    <s v="RGT-916"/>
    <s v="AVEO"/>
    <x v="0"/>
    <s v="CAMBIO SOPORTE CAJA "/>
    <x v="2"/>
    <x v="61"/>
    <x v="8"/>
    <m/>
    <m/>
    <n v="0"/>
    <n v="0"/>
    <m/>
    <n v="0"/>
    <n v="0"/>
    <n v="0"/>
    <n v="0"/>
    <m/>
  </r>
  <r>
    <x v="37"/>
    <m/>
    <m/>
    <s v="BLK-537"/>
    <s v="LAND CROUSER"/>
    <x v="0"/>
    <s v="CAMBIO DE GUAYA"/>
    <x v="8"/>
    <x v="62"/>
    <x v="54"/>
    <m/>
    <m/>
    <n v="0"/>
    <n v="0"/>
    <m/>
    <n v="0"/>
    <n v="0"/>
    <n v="0"/>
    <n v="0"/>
    <m/>
  </r>
  <r>
    <x v="36"/>
    <m/>
    <m/>
    <s v="BLK-537"/>
    <s v="LAND CROUSER"/>
    <x v="7"/>
    <s v="CAMBIO DE MANGUERA "/>
    <x v="9"/>
    <x v="10"/>
    <x v="11"/>
    <m/>
    <m/>
    <n v="0"/>
    <n v="0"/>
    <m/>
    <n v="0"/>
    <n v="0"/>
    <n v="0"/>
    <n v="0"/>
    <m/>
  </r>
  <r>
    <x v="38"/>
    <s v="RM:398/FE:239"/>
    <s v="VANESA CASTRO"/>
    <s v="NCZ-865"/>
    <s v="FORD FIESTA"/>
    <x v="0"/>
    <s v="CAMBIO DE AMORTIGUADORES DELANTEROS Y TRASEROS, RODAMIENTO DE AMORTIGUADOR"/>
    <x v="26"/>
    <x v="63"/>
    <x v="55"/>
    <s v="AMORTIGUADORES DELANTEROS Y TRASEROS, RODAMIENTO DE AMORTIGUADOR"/>
    <n v="865933"/>
    <n v="727674.78991596645"/>
    <n v="138258.21008403364"/>
    <n v="1270000"/>
    <n v="1067226.8907563025"/>
    <n v="202773.10924369749"/>
    <n v="64514.899159663852"/>
    <n v="339552.10084033618"/>
    <m/>
  </r>
  <r>
    <x v="38"/>
    <s v="RM:397"/>
    <s v="PAULA CALDERON"/>
    <s v="CVR-058"/>
    <s v="VITARA "/>
    <x v="0"/>
    <s v=" _x000a_MANTENIMIENTO VALVULA DEL MINIMO/CAMBIO DE CHUPAS"/>
    <x v="6"/>
    <x v="64"/>
    <x v="56"/>
    <s v="CHUPAS"/>
    <n v="7000"/>
    <n v="5882.3529411764712"/>
    <n v="1117.6470588235295"/>
    <n v="20000"/>
    <n v="16806.722689075632"/>
    <n v="3193.2773109243699"/>
    <n v="2075.6302521008402"/>
    <n v="10924.36974789916"/>
    <m/>
  </r>
  <r>
    <x v="39"/>
    <m/>
    <s v="ANGEL LADINO"/>
    <s v="BMX-260"/>
    <s v="MEGANE"/>
    <x v="0"/>
    <s v="CAMBIO VALVULA IAC"/>
    <x v="9"/>
    <x v="65"/>
    <x v="57"/>
    <s v="SENSOR IAC"/>
    <n v="105000"/>
    <n v="88235.294117647063"/>
    <n v="16764.705882352941"/>
    <n v="130000"/>
    <n v="109243.6974789916"/>
    <n v="20756.302521008405"/>
    <n v="3991.5966386554646"/>
    <n v="21008.403361344535"/>
    <m/>
  </r>
  <r>
    <x v="39"/>
    <m/>
    <s v="NELSON PARRA"/>
    <s v="OJF-038"/>
    <s v="VITARA"/>
    <x v="0"/>
    <s v="MANTENIMIENTO COMPLETO/CAMBIO DE MANGUERA"/>
    <x v="18"/>
    <x v="66"/>
    <x v="5"/>
    <s v="MANGUERAS DE FRENOS"/>
    <m/>
    <n v="0"/>
    <n v="0"/>
    <m/>
    <n v="0"/>
    <n v="0"/>
    <n v="0"/>
    <n v="0"/>
    <m/>
  </r>
  <r>
    <x v="39"/>
    <m/>
    <m/>
    <s v="CXY-873"/>
    <s v="LOGAN"/>
    <x v="6"/>
    <s v="CAMBIO DE PRESILENCIADOR Y PUNTERA"/>
    <x v="6"/>
    <x v="48"/>
    <x v="58"/>
    <m/>
    <m/>
    <n v="0"/>
    <n v="0"/>
    <m/>
    <n v="0"/>
    <n v="0"/>
    <n v="0"/>
    <n v="0"/>
    <m/>
  </r>
  <r>
    <x v="40"/>
    <m/>
    <m/>
    <s v="WLR-952"/>
    <s v="ISUZU"/>
    <x v="0"/>
    <s v="GRADUACION DE FRENOS"/>
    <x v="20"/>
    <x v="67"/>
    <x v="11"/>
    <m/>
    <m/>
    <n v="0"/>
    <n v="0"/>
    <m/>
    <n v="0"/>
    <n v="0"/>
    <n v="0"/>
    <n v="0"/>
    <m/>
  </r>
  <r>
    <x v="40"/>
    <m/>
    <s v="FRESKIFRUTA"/>
    <s v="TLO-165"/>
    <s v="DFSK"/>
    <x v="0"/>
    <s v="CAMBIO DE BOBINA"/>
    <x v="9"/>
    <x v="65"/>
    <x v="57"/>
    <s v="BOBINA"/>
    <n v="80000"/>
    <n v="67226.890756302528"/>
    <n v="12773.10924369748"/>
    <n v="95000"/>
    <n v="79831.932773109249"/>
    <n v="15168.067226890758"/>
    <n v="2394.9579831932788"/>
    <n v="12605.042016806721"/>
    <m/>
  </r>
  <r>
    <x v="40"/>
    <s v="RM:404"/>
    <s v="CARLOS SUPELANO"/>
    <s v="BSB-780"/>
    <s v="HYUNDAI TERRACAN"/>
    <x v="0"/>
    <s v="MANTENIMIENTO DE FRENOS/CAMBIO D AMORTIGUADORES/BUJES Y MUÑECOS/CAMBIO DE MANGUERA HIDRAULICA"/>
    <x v="41"/>
    <x v="68"/>
    <x v="59"/>
    <s v="PASTILLAS DE FRENOS, BUJES DE TEMPLETES, MUÑECOS, LIQUIDO "/>
    <n v="798000"/>
    <m/>
    <n v="0"/>
    <n v="1231600"/>
    <m/>
    <n v="0"/>
    <n v="0"/>
    <n v="433600"/>
    <m/>
  </r>
  <r>
    <x v="37"/>
    <m/>
    <s v="VICENTE PATARROYO"/>
    <m/>
    <m/>
    <x v="0"/>
    <s v="GRADUACION DE FRENOS"/>
    <x v="0"/>
    <x v="69"/>
    <x v="60"/>
    <m/>
    <m/>
    <n v="0"/>
    <n v="0"/>
    <m/>
    <n v="0"/>
    <n v="0"/>
    <n v="0"/>
    <n v="0"/>
    <m/>
  </r>
  <r>
    <x v="40"/>
    <s v="RM:401"/>
    <s v="RODOLFO SERRANO"/>
    <s v="CQG-462"/>
    <s v="SUZUKI"/>
    <x v="0"/>
    <s v="LIMPIEZA DE SENSORES/ESCANER"/>
    <x v="1"/>
    <x v="58"/>
    <x v="6"/>
    <m/>
    <m/>
    <n v="0"/>
    <n v="0"/>
    <m/>
    <n v="0"/>
    <n v="0"/>
    <n v="0"/>
    <n v="0"/>
    <m/>
  </r>
  <r>
    <x v="40"/>
    <s v="RM:401"/>
    <s v="RODOLFO SERRANO"/>
    <s v="CQG-462"/>
    <s v="SUZUKI"/>
    <x v="7"/>
    <s v="ESCANER"/>
    <x v="1"/>
    <x v="1"/>
    <x v="1"/>
    <m/>
    <m/>
    <n v="0"/>
    <n v="0"/>
    <m/>
    <n v="0"/>
    <n v="0"/>
    <n v="0"/>
    <n v="0"/>
    <m/>
  </r>
  <r>
    <x v="40"/>
    <m/>
    <m/>
    <m/>
    <s v="VAROCK"/>
    <x v="0"/>
    <s v="GRADUACION DE FRENOS"/>
    <x v="0"/>
    <x v="69"/>
    <x v="60"/>
    <m/>
    <m/>
    <n v="0"/>
    <n v="0"/>
    <m/>
    <n v="0"/>
    <n v="0"/>
    <n v="0"/>
    <n v="0"/>
    <m/>
  </r>
  <r>
    <x v="40"/>
    <m/>
    <m/>
    <s v="DBT-851"/>
    <s v="MEGAN"/>
    <x v="7"/>
    <s v="REPARACION MOTOR"/>
    <x v="42"/>
    <x v="70"/>
    <x v="61"/>
    <m/>
    <m/>
    <n v="0"/>
    <n v="0"/>
    <m/>
    <n v="0"/>
    <n v="0"/>
    <n v="0"/>
    <n v="0"/>
    <m/>
  </r>
  <r>
    <x v="40"/>
    <s v="METALCARGOS"/>
    <m/>
    <s v="TFT-701"/>
    <s v="NKR"/>
    <x v="7"/>
    <s v="REPARACION MOTOR"/>
    <x v="43"/>
    <x v="71"/>
    <x v="62"/>
    <s v="PISTONES, ANILLOS, CAMISAS, CASQUETE DE BIELA, BANCADA, MEDIAS LUNAS, EMP. DE MOTOR, SERVICIO DE RECTIFICADORA, CAMBIO DE ACEITE, GASOLINA, SILICONA, REFRIGERANTE, GUAYA FRENO DE MANO, BANDA, Y PALANCA, TUBO RETORNO DE ACEITE"/>
    <n v="3010000"/>
    <m/>
    <n v="0"/>
    <n v="10026001"/>
    <n v="8425210.9243697487"/>
    <n v="1600790.0756302522"/>
    <n v="1600790.0756302522"/>
    <n v="5415210.9243697478"/>
    <m/>
  </r>
  <r>
    <x v="41"/>
    <s v="RM:403"/>
    <s v="JUAN CARLOS QUIJANO"/>
    <s v="BLK-537"/>
    <s v="LAND CROUSER"/>
    <x v="0"/>
    <s v="CAMBIO DE BOMBA HIDRAULICA"/>
    <x v="12"/>
    <x v="13"/>
    <x v="14"/>
    <s v="BOMBA HIDRAULICA"/>
    <n v="1400000"/>
    <m/>
    <n v="0"/>
    <n v="1680000"/>
    <m/>
    <n v="0"/>
    <n v="0"/>
    <n v="280000"/>
    <m/>
  </r>
  <r>
    <x v="41"/>
    <s v="RM:402"/>
    <s v="YOBANY PINEDA"/>
    <s v="USD-121"/>
    <s v="NHR"/>
    <x v="3"/>
    <s v="CAMBIO DE BUJES /BARRA DE CAMBIO Y EMPAQUETADURA DE CLOSH"/>
    <x v="2"/>
    <x v="61"/>
    <x v="8"/>
    <s v="BUJES BARRA DE CAMBIO Y EMPAQUETADURA DE CLOSH/ LIQUIDO"/>
    <n v="85000"/>
    <m/>
    <n v="0"/>
    <n v="45000"/>
    <m/>
    <n v="0"/>
    <n v="0"/>
    <n v="-40000"/>
    <m/>
  </r>
  <r>
    <x v="41"/>
    <m/>
    <m/>
    <s v="RGT-916"/>
    <s v="AVEO"/>
    <x v="0"/>
    <s v="CAMBIO DE SOPORTE DE MOTOR DEL. DER/ SOPORTE DE AMORTIGUAODR TRASERO DERE"/>
    <x v="44"/>
    <x v="72"/>
    <x v="63"/>
    <m/>
    <m/>
    <n v="0"/>
    <n v="0"/>
    <m/>
    <n v="0"/>
    <n v="0"/>
    <n v="0"/>
    <n v="0"/>
    <m/>
  </r>
  <r>
    <x v="41"/>
    <m/>
    <m/>
    <m/>
    <s v="CJH-949"/>
    <x v="0"/>
    <s v="CALIBRAR FRENOS"/>
    <x v="0"/>
    <x v="0"/>
    <x v="0"/>
    <m/>
    <m/>
    <n v="0"/>
    <n v="0"/>
    <m/>
    <n v="0"/>
    <n v="0"/>
    <n v="0"/>
    <n v="0"/>
    <m/>
  </r>
  <r>
    <x v="42"/>
    <m/>
    <s v="ORLANDO LADINO"/>
    <s v="LOGAN"/>
    <s v="BMZ-260"/>
    <x v="0"/>
    <s v="CHEQUEO DE SENSOR"/>
    <x v="30"/>
    <x v="45"/>
    <x v="45"/>
    <m/>
    <m/>
    <n v="0"/>
    <n v="0"/>
    <m/>
    <n v="0"/>
    <n v="0"/>
    <n v="0"/>
    <n v="0"/>
    <m/>
  </r>
  <r>
    <x v="42"/>
    <m/>
    <m/>
    <m/>
    <m/>
    <x v="6"/>
    <s v="SOLDADURA"/>
    <x v="0"/>
    <x v="35"/>
    <x v="64"/>
    <m/>
    <m/>
    <n v="0"/>
    <n v="0"/>
    <m/>
    <n v="0"/>
    <n v="0"/>
    <n v="0"/>
    <n v="0"/>
    <m/>
  </r>
  <r>
    <x v="42"/>
    <m/>
    <m/>
    <m/>
    <m/>
    <x v="6"/>
    <s v="TRABAJO RADIADOR"/>
    <x v="5"/>
    <x v="18"/>
    <x v="65"/>
    <m/>
    <m/>
    <n v="0"/>
    <n v="0"/>
    <m/>
    <n v="0"/>
    <n v="0"/>
    <n v="0"/>
    <n v="0"/>
    <m/>
  </r>
  <r>
    <x v="42"/>
    <s v="RM:407"/>
    <s v="ALICIA BALLESTEROS"/>
    <s v="SANDERO"/>
    <s v="UUS-174"/>
    <x v="0"/>
    <s v="CAMBIO DE DISCOS/PASTILLAS Y LIQUIDO"/>
    <x v="10"/>
    <x v="11"/>
    <x v="12"/>
    <s v="DISCOS/PASTILLAS/LIQUIDO"/>
    <n v="294000"/>
    <n v="247058.82352941178"/>
    <n v="46941.176470588238"/>
    <n v="630000"/>
    <n v="529411.76470588241"/>
    <n v="100588.23529411767"/>
    <n v="53647.058823529427"/>
    <n v="282352.9411764706"/>
    <m/>
  </r>
  <r>
    <x v="43"/>
    <s v="RM:406"/>
    <s v="OSCAR GARCIA"/>
    <s v="LUV"/>
    <s v="KJQ-294"/>
    <x v="0"/>
    <s v="_x000a_REPARACION DE SUSPENSION DELANTERA/ CAMBIO DE SOPORTES DE LA CAJA/ _x000a_MANTENIMIENTO DE FRENOS/ CAMBIO DE DISCOS/ PASTILLAS/ BANDAS /CAMBIO DE LIQUIDO/ ENGRASE DE RODAMIENTOS"/>
    <x v="13"/>
    <x v="14"/>
    <x v="15"/>
    <s v="GRASA, LIQUIDO, GASOLINA"/>
    <n v="47800"/>
    <n v="40168.067226890758"/>
    <n v="7631.9327731092444"/>
    <n v="80000"/>
    <n v="67226.890756302528"/>
    <n v="12773.10924369748"/>
    <n v="5141.1764705882351"/>
    <n v="27058.823529411762"/>
    <m/>
  </r>
  <r>
    <x v="43"/>
    <m/>
    <s v="SMART CHOICE"/>
    <s v="WPS-097"/>
    <s v="DFSK"/>
    <x v="0"/>
    <s v="CAMBIO DE TIJERA"/>
    <x v="21"/>
    <x v="24"/>
    <x v="24"/>
    <m/>
    <m/>
    <n v="0"/>
    <n v="0"/>
    <m/>
    <n v="0"/>
    <n v="0"/>
    <n v="0"/>
    <n v="0"/>
    <m/>
  </r>
  <r>
    <x v="43"/>
    <s v="RM:408/FE:246"/>
    <s v="WILMER INFANTE"/>
    <s v="EJN-204"/>
    <s v="SPARK"/>
    <x v="0"/>
    <s v="CAMBIO DE PASTILLAS DEL, MANTENIMIENTO RUEDAS TRASERAS"/>
    <x v="1"/>
    <x v="1"/>
    <x v="1"/>
    <s v="CHUPAS. PASTILLAS"/>
    <n v="122000"/>
    <n v="102521.00840336135"/>
    <n v="19478.991596638658"/>
    <n v="170000"/>
    <n v="142857.14285714287"/>
    <n v="27142.857142857145"/>
    <n v="7663.865546218487"/>
    <n v="40336.134453781517"/>
    <m/>
  </r>
  <r>
    <x v="43"/>
    <s v="RM:409"/>
    <s v="JOSE TRIANA"/>
    <s v="BCE-482"/>
    <s v="FORD"/>
    <x v="6"/>
    <s v="ARREGLO EXOSTO/BAJADA Y SUBIR RADEADOR"/>
    <x v="26"/>
    <x v="66"/>
    <x v="31"/>
    <m/>
    <m/>
    <n v="0"/>
    <n v="0"/>
    <m/>
    <n v="0"/>
    <n v="0"/>
    <n v="0"/>
    <n v="0"/>
    <m/>
  </r>
  <r>
    <x v="44"/>
    <s v="RM:410"/>
    <s v="MARIELA SOSA"/>
    <s v="USE-902"/>
    <s v="NHR"/>
    <x v="3"/>
    <s v="GRADUAR CLOSH"/>
    <x v="9"/>
    <x v="65"/>
    <x v="57"/>
    <m/>
    <m/>
    <n v="0"/>
    <n v="0"/>
    <m/>
    <n v="0"/>
    <n v="0"/>
    <n v="0"/>
    <n v="0"/>
    <m/>
  </r>
  <r>
    <x v="44"/>
    <s v="RM:411"/>
    <s v="FELIPE SIERRA"/>
    <s v="WPS-181"/>
    <s v="JAC"/>
    <x v="0"/>
    <s v="GRADUAR FRENOS"/>
    <x v="20"/>
    <x v="23"/>
    <x v="23"/>
    <m/>
    <m/>
    <n v="0"/>
    <n v="0"/>
    <m/>
    <n v="0"/>
    <n v="0"/>
    <n v="0"/>
    <n v="0"/>
    <m/>
  </r>
  <r>
    <x v="44"/>
    <m/>
    <m/>
    <s v="KEX-032"/>
    <s v="RENAULT"/>
    <x v="6"/>
    <s v="CAMBIO DE EXOSTO"/>
    <x v="3"/>
    <x v="43"/>
    <x v="19"/>
    <s v="EXOSTO "/>
    <m/>
    <n v="0"/>
    <n v="0"/>
    <m/>
    <n v="0"/>
    <n v="0"/>
    <n v="0"/>
    <n v="0"/>
    <m/>
  </r>
  <r>
    <x v="44"/>
    <m/>
    <s v="VANESA CASTRO"/>
    <s v="NCZ-865"/>
    <s v="FORD"/>
    <x v="0"/>
    <s v="SERVICIO DE ESCANER"/>
    <x v="1"/>
    <x v="1"/>
    <x v="1"/>
    <m/>
    <m/>
    <n v="0"/>
    <n v="0"/>
    <m/>
    <n v="0"/>
    <n v="0"/>
    <n v="0"/>
    <n v="0"/>
    <m/>
  </r>
  <r>
    <x v="45"/>
    <s v="FE:248/RM:412"/>
    <s v="ROBERTO MELLIZO"/>
    <s v="ARG-843"/>
    <s v="RENAULT 9"/>
    <x v="0"/>
    <s v="CAMBIO DE ROTULAS"/>
    <x v="1"/>
    <x v="1"/>
    <x v="1"/>
    <s v="ROTULAS"/>
    <n v="100000"/>
    <n v="84033.613445378156"/>
    <n v="15966.386554621849"/>
    <n v="140000"/>
    <n v="117647.05882352941"/>
    <n v="22352.941176470587"/>
    <n v="6386.554621848738"/>
    <n v="33613.445378151257"/>
    <m/>
  </r>
  <r>
    <x v="45"/>
    <m/>
    <m/>
    <s v="BGA-902"/>
    <s v="MAZDA 323"/>
    <x v="8"/>
    <s v="CAMBIO KIT DE CLOSH"/>
    <x v="26"/>
    <x v="34"/>
    <x v="33"/>
    <m/>
    <m/>
    <n v="0"/>
    <n v="0"/>
    <m/>
    <n v="0"/>
    <n v="0"/>
    <n v="0"/>
    <n v="0"/>
    <m/>
  </r>
  <r>
    <x v="45"/>
    <m/>
    <m/>
    <s v="UFZ-594"/>
    <s v="HIUNDAY"/>
    <x v="6"/>
    <s v="REPARACION EXOSTO"/>
    <x v="1"/>
    <x v="9"/>
    <x v="3"/>
    <m/>
    <m/>
    <n v="0"/>
    <n v="0"/>
    <m/>
    <n v="0"/>
    <n v="0"/>
    <n v="0"/>
    <n v="0"/>
    <m/>
  </r>
  <r>
    <x v="45"/>
    <s v="FE:250/RM:413"/>
    <s v="JUAN CAMERO"/>
    <s v="MPQ-345"/>
    <s v="LOGAN"/>
    <x v="0"/>
    <s v="CAMBIO TERMINAL Y ROTULA"/>
    <x v="7"/>
    <x v="38"/>
    <x v="36"/>
    <s v="ROTULA (TERMINAL DERECHO POR GARANTIA)"/>
    <n v="55000"/>
    <n v="46218.487394957985"/>
    <n v="8781.5126050420167"/>
    <n v="65000"/>
    <n v="54621.848739495799"/>
    <n v="10378.151260504203"/>
    <n v="1596.6386554621859"/>
    <n v="8403.3613445378141"/>
    <m/>
  </r>
  <r>
    <x v="45"/>
    <s v="FE:249"/>
    <s v="IVAN PARRA"/>
    <s v="BCP-640"/>
    <s v="HONDA"/>
    <x v="0"/>
    <s v="CAMBIO DE PILA DE GASOLINA"/>
    <x v="3"/>
    <x v="3"/>
    <x v="3"/>
    <s v=" PILA DE GASOLINA"/>
    <n v="110000"/>
    <n v="92436.97478991597"/>
    <n v="17563.025210084033"/>
    <n v="143000"/>
    <n v="120168.06722689077"/>
    <n v="22831.932773109245"/>
    <n v="5268.9075630252119"/>
    <n v="27731.092436974781"/>
    <m/>
  </r>
  <r>
    <x v="37"/>
    <s v="FE:250/RM:413"/>
    <s v="ALEJANDRO ALFONSO"/>
    <s v="GUR-972"/>
    <s v="LANGUI"/>
    <x v="0"/>
    <s v="SUAVIZAR MORDAZAS DEL/CAMBIO DE LIQUIDO"/>
    <x v="7"/>
    <x v="38"/>
    <x v="36"/>
    <s v="LIGAS CALIPER/DOT4"/>
    <n v="77000"/>
    <n v="64705.882352941182"/>
    <n v="12294.117647058825"/>
    <n v="120000"/>
    <n v="100840.33613445378"/>
    <n v="19159.663865546219"/>
    <n v="6865.5462184873941"/>
    <n v="36134.45378151261"/>
    <m/>
  </r>
  <r>
    <x v="37"/>
    <s v="RM:416/FE:251"/>
    <s v="DVA COLOMBIA"/>
    <s v="JLO-763"/>
    <s v="DUSTER"/>
    <x v="0"/>
    <s v="CAMBIO DE BRAZO AXIAL IZQ"/>
    <x v="8"/>
    <x v="7"/>
    <x v="8"/>
    <s v="BRAZO AXIAL IZQ"/>
    <n v="65000"/>
    <n v="54621.848739495799"/>
    <n v="10378.151260504203"/>
    <n v="80000"/>
    <n v="67226.890756302528"/>
    <n v="12773.10924369748"/>
    <n v="2394.957983193277"/>
    <n v="12605.042016806721"/>
    <m/>
  </r>
  <r>
    <x v="37"/>
    <m/>
    <s v="JONATHAN ERAZO"/>
    <s v="MSN-188"/>
    <s v="SAIL"/>
    <x v="8"/>
    <s v="CAMBIO DE BOMBA DE AGUA/CORREA ACCESORIO Y PATIN"/>
    <x v="3"/>
    <x v="3"/>
    <x v="3"/>
    <s v="CORREA ACCESORIO/PATIN/BOMBA DE AGUA"/>
    <n v="178000"/>
    <n v="149579.83193277312"/>
    <n v="28420.168067226892"/>
    <n v="255000"/>
    <n v="214285.71428571429"/>
    <n v="40714.285714285717"/>
    <n v="12294.117647058825"/>
    <n v="64705.882352941175"/>
    <m/>
  </r>
  <r>
    <x v="37"/>
    <m/>
    <m/>
    <s v="BEV-391"/>
    <s v="CHEVROLET"/>
    <x v="6"/>
    <s v="REPARACION EXOSTO"/>
    <x v="45"/>
    <x v="73"/>
    <x v="66"/>
    <m/>
    <m/>
    <n v="0"/>
    <n v="0"/>
    <m/>
    <n v="0"/>
    <n v="0"/>
    <n v="0"/>
    <n v="0"/>
    <m/>
  </r>
  <r>
    <x v="46"/>
    <s v="FE_256/RM:418"/>
    <s v="JULIAN RODRIGUEZ"/>
    <s v="CMC-631"/>
    <s v="CLIO"/>
    <x v="0"/>
    <s v="CAMBIO DE PUNTA DELANTERA IZQ."/>
    <x v="1"/>
    <x v="1"/>
    <x v="1"/>
    <s v="PUNTA DE EJE "/>
    <n v="130000"/>
    <n v="109243.6974789916"/>
    <n v="20756.302521008405"/>
    <n v="140000"/>
    <n v="117647.05882352941"/>
    <n v="22352.941176470587"/>
    <n v="1596.6386554621822"/>
    <n v="8403.3613445378141"/>
    <m/>
  </r>
  <r>
    <x v="46"/>
    <m/>
    <m/>
    <s v="BSN-920"/>
    <m/>
    <x v="6"/>
    <s v="CAMBIO DE EXOSTO"/>
    <x v="16"/>
    <x v="74"/>
    <x v="67"/>
    <s v="EXOSTO"/>
    <n v="40000"/>
    <n v="33613.445378151264"/>
    <n v="6386.5546218487398"/>
    <n v="80000"/>
    <n v="67226.890756302528"/>
    <n v="12773.10924369748"/>
    <n v="6386.5546218487398"/>
    <n v="33613.445378151257"/>
    <m/>
  </r>
  <r>
    <x v="46"/>
    <m/>
    <m/>
    <s v="WCK-908"/>
    <s v="JAC"/>
    <x v="3"/>
    <s v="GRADUAR FRENOS / REVISAR CLOSH"/>
    <x v="7"/>
    <x v="38"/>
    <x v="36"/>
    <m/>
    <m/>
    <n v="0"/>
    <n v="0"/>
    <m/>
    <n v="0"/>
    <n v="0"/>
    <n v="0"/>
    <n v="0"/>
    <m/>
  </r>
  <r>
    <x v="46"/>
    <s v="RM:420"/>
    <s v="KEVIN ESTIVEN"/>
    <s v="FHL-270"/>
    <s v="SPARK"/>
    <x v="0"/>
    <s v="CAMBIO DE RODAMIENTO DELANTEROS DERECHO"/>
    <x v="4"/>
    <x v="4"/>
    <x v="4"/>
    <m/>
    <m/>
    <n v="0"/>
    <n v="0"/>
    <m/>
    <n v="0"/>
    <n v="0"/>
    <n v="0"/>
    <n v="0"/>
    <m/>
  </r>
  <r>
    <x v="46"/>
    <m/>
    <s v="MUNAR INGENIERIA"/>
    <s v="TZS-365"/>
    <s v="INTERNACIONAL"/>
    <x v="0"/>
    <s v="BAJAR CAMARA DEL IZQ"/>
    <x v="9"/>
    <x v="10"/>
    <x v="11"/>
    <m/>
    <m/>
    <n v="0"/>
    <n v="0"/>
    <m/>
    <n v="0"/>
    <n v="0"/>
    <n v="0"/>
    <n v="0"/>
    <m/>
  </r>
  <r>
    <x v="46"/>
    <m/>
    <m/>
    <s v="RZU-740"/>
    <s v="CAPTIVA"/>
    <x v="0"/>
    <s v="CAMBIO TARRO DE REFRIGERANTE"/>
    <x v="2"/>
    <x v="2"/>
    <x v="2"/>
    <s v="TARRO REFRIGERANTE"/>
    <n v="200000"/>
    <n v="168067.22689075631"/>
    <n v="31932.773109243699"/>
    <n v="250000"/>
    <n v="210084.03361344538"/>
    <n v="39915.966386554624"/>
    <n v="7983.1932773109256"/>
    <n v="42016.806722689071"/>
    <m/>
  </r>
  <r>
    <x v="47"/>
    <m/>
    <s v="LIBARDO JIMENEZ"/>
    <s v="SZU-472"/>
    <s v="CHINA"/>
    <x v="0"/>
    <s v="CAMBIO DE PASTILLAS DEL"/>
    <x v="2"/>
    <x v="2"/>
    <x v="2"/>
    <m/>
    <m/>
    <n v="0"/>
    <n v="0"/>
    <m/>
    <n v="0"/>
    <n v="0"/>
    <n v="0"/>
    <n v="0"/>
    <m/>
  </r>
  <r>
    <x v="47"/>
    <s v="RM:421/FE:259"/>
    <s v="FABIO CAMERO"/>
    <s v="EIW-657"/>
    <s v="LOGAN"/>
    <x v="0"/>
    <s v="CAMBIO DE TOPES DE AMORTIGUADOR, PUNTA DE EJE, MONTAJE Y DESMONTAJE DE MANGUERA DE AIRE ACONDICIONADO, CAMBIO DE DISCOS Y PASTILLAS "/>
    <x v="46"/>
    <x v="75"/>
    <x v="68"/>
    <s v="TOPES DE AMORTIGUADOR, PUNTA DE EJE,  CAMBIO DE DISCOS Y PASTILLAS "/>
    <n v="628300"/>
    <n v="527983.19327731093"/>
    <n v="100316.80672268907"/>
    <n v="797000"/>
    <n v="669747.89915966394"/>
    <n v="127252.10084033615"/>
    <n v="26935.294117647078"/>
    <n v="141764.70588235289"/>
    <m/>
  </r>
  <r>
    <x v="48"/>
    <s v="RM:422"/>
    <s v="JENNIFER BAGURTO"/>
    <s v="GET-132"/>
    <s v="FOTON"/>
    <x v="0"/>
    <s v=" _x000a_AJUSTE DE CARDAN/ CAMBIO DE PUNTILLAS FRENO DE MANO/ GRADUACION"/>
    <x v="1"/>
    <x v="1"/>
    <x v="1"/>
    <s v="PUNTILLAS"/>
    <n v="20000"/>
    <n v="16806.722689075632"/>
    <n v="3193.2773109243699"/>
    <n v="30000"/>
    <n v="25210.084033613446"/>
    <n v="4789.9159663865548"/>
    <n v="1596.6386554621849"/>
    <n v="8403.3613445378141"/>
    <m/>
  </r>
  <r>
    <x v="48"/>
    <s v="RM:426"/>
    <s v="MIGUEL ARANGO"/>
    <s v="ZZT-645"/>
    <s v="JETTA"/>
    <x v="0"/>
    <s v="MANTENIMIENTO DE FRENOS"/>
    <x v="1"/>
    <x v="1"/>
    <x v="1"/>
    <m/>
    <m/>
    <n v="0"/>
    <n v="0"/>
    <m/>
    <n v="0"/>
    <n v="0"/>
    <n v="0"/>
    <n v="0"/>
    <m/>
  </r>
  <r>
    <x v="48"/>
    <s v="FE:261/RM:425"/>
    <s v="FERNANDO SERRATO"/>
    <s v="BOY-122"/>
    <s v="CLIO"/>
    <x v="0"/>
    <s v="_x000a_CAMBIO SOPORTES DE AMORTIGUADOR Y RODAMIENTO TRASERO IZQ"/>
    <x v="47"/>
    <x v="76"/>
    <x v="69"/>
    <s v="CAMBIO DE SOPORTE AMORTIGUADOR Y RODAMIENTO TRASERO IZQ"/>
    <n v="85300"/>
    <n v="71680.672268907569"/>
    <n v="13619.327731092439"/>
    <n v="140000"/>
    <n v="117647.05882352941"/>
    <n v="22352.941176470587"/>
    <n v="8733.6134453781488"/>
    <n v="45966.386554621859"/>
    <m/>
  </r>
  <r>
    <x v="48"/>
    <s v="FE:262/RM:"/>
    <s v="SEBASTIAN BRICEÑO"/>
    <s v="CCP-650"/>
    <s v="SPARK"/>
    <x v="8"/>
    <s v="CAMBIO DE KIT DE CLOSH/ KIT DE REPARTICION"/>
    <x v="14"/>
    <x v="15"/>
    <x v="16"/>
    <s v="KIT DE REPARTICION/ KIT DE EMBRAGUE"/>
    <n v="370000"/>
    <n v="310924.36974789918"/>
    <n v="59075.630252100847"/>
    <n v="486000"/>
    <n v="408403.36134453781"/>
    <n v="77596.638655462186"/>
    <n v="18521.008403361338"/>
    <n v="97478.991596638691"/>
    <m/>
  </r>
  <r>
    <x v="48"/>
    <m/>
    <m/>
    <s v="BMS-312"/>
    <s v="PETGOEUT"/>
    <x v="6"/>
    <s v="SOLDADURA EXOSTO"/>
    <x v="8"/>
    <x v="30"/>
    <x v="28"/>
    <m/>
    <m/>
    <n v="0"/>
    <n v="0"/>
    <m/>
    <n v="0"/>
    <n v="0"/>
    <n v="0"/>
    <n v="0"/>
    <m/>
  </r>
  <r>
    <x v="49"/>
    <m/>
    <s v="ALEJANDRO ALONZO"/>
    <s v="KNZ-523"/>
    <s v="ALASKA"/>
    <x v="0"/>
    <s v="GRADUACION DE FRENOS"/>
    <x v="0"/>
    <x v="0"/>
    <x v="0"/>
    <m/>
    <m/>
    <n v="0"/>
    <n v="0"/>
    <m/>
    <n v="0"/>
    <n v="0"/>
    <n v="0"/>
    <n v="0"/>
    <m/>
  </r>
  <r>
    <x v="49"/>
    <s v="FE:264/RM:428"/>
    <s v="JUAN PABLO PINILLA"/>
    <s v="FHB-930"/>
    <s v="VOLSKWAGEN"/>
    <x v="0"/>
    <s v="CAMBIO DE PASTILLAS DELANTERAS"/>
    <x v="2"/>
    <x v="2"/>
    <x v="2"/>
    <s v="PASTILLAS DELANTERAS"/>
    <n v="95000"/>
    <n v="79831.932773109249"/>
    <n v="15168.067226890758"/>
    <n v="120000"/>
    <n v="100840.33613445378"/>
    <n v="19159.663865546219"/>
    <n v="3991.596638655461"/>
    <n v="21008.403361344535"/>
    <m/>
  </r>
  <r>
    <x v="49"/>
    <s v="RM:415"/>
    <m/>
    <s v="DBT-851"/>
    <s v="MEGAN"/>
    <x v="7"/>
    <s v="REPARACION DE MOTOR"/>
    <x v="48"/>
    <x v="77"/>
    <x v="10"/>
    <s v="PISTONES, ANILLOS, CASQUETE DE BIELA, BANCADA, MEDIAS LUNAS, GUIAS VALVULAS, VALVULAS, CAUCHOS, EMPAQUES DE MOTOR, KIT DE REPARTICION, GASOLINA, CAMBIO DE ACEITE, REFIRGERANTE, SILICONA, BIELA, BOMBA DE ACEITE, SOPORTE MOTOR, VALVULA PSU"/>
    <n v="3280000"/>
    <m/>
    <n v="0"/>
    <n v="4825000"/>
    <m/>
    <n v="0"/>
    <n v="0"/>
    <n v="1545000"/>
    <m/>
  </r>
  <r>
    <x v="49"/>
    <m/>
    <s v="AVICOLA SAMIRA"/>
    <s v="BNW-819"/>
    <s v="LUV"/>
    <x v="0"/>
    <s v="GRADUACION DE FRENO/GRADUACION FRENO DE MANO"/>
    <x v="9"/>
    <x v="10"/>
    <x v="11"/>
    <m/>
    <m/>
    <n v="0"/>
    <n v="0"/>
    <m/>
    <n v="0"/>
    <n v="0"/>
    <n v="0"/>
    <n v="0"/>
    <m/>
  </r>
  <r>
    <x v="49"/>
    <s v="FE:265/RM:429"/>
    <s v="VANESA CASTRO"/>
    <s v="HTX-135"/>
    <s v="LAND CROUSER"/>
    <x v="0"/>
    <s v=" _x000a_REPARACION DE SUSPENSION DELANTERA /MANTENIMIENTO DE FRENOS/CAMBIO DE PASTILLAS DELANTERAS Y TRASERAS/ SERVICIO DE PRENSA"/>
    <x v="49"/>
    <x v="78"/>
    <x v="70"/>
    <s v="PUNTA DE EJE LADO RUEDA/ MULÑECOS DELANTEROS/PASTILLAS DELANTERAS Y TRASERAS/BUJES DE TIJERA INFERIOR Y SUPERIOR"/>
    <n v="1304000"/>
    <m/>
    <n v="46491"/>
    <n v="1802000"/>
    <n v="1514285.7142857143"/>
    <n v="287714.28571428574"/>
    <n v="241223.28571428574"/>
    <n v="256776.71428571432"/>
    <m/>
  </r>
  <r>
    <x v="50"/>
    <m/>
    <m/>
    <s v="BGK-799"/>
    <s v="CITROEN"/>
    <x v="0"/>
    <s v="CAMBIO BUJE DE UN SOPORTE/ CAMBIO ROTULA DERECHA/TERMINAL DERECHO"/>
    <x v="6"/>
    <x v="64"/>
    <x v="56"/>
    <s v="TORNO"/>
    <m/>
    <n v="0"/>
    <n v="0"/>
    <n v="35000"/>
    <n v="29411.764705882353"/>
    <n v="5588.2352941176468"/>
    <n v="5588.2352941176468"/>
    <n v="29411.764705882353"/>
    <m/>
  </r>
  <r>
    <x v="50"/>
    <m/>
    <s v="VICENTE PATARROYO"/>
    <s v="MAO-470"/>
    <s v="CH"/>
    <x v="3"/>
    <s v="GRAFAR TUBO ABS/GRADUACION"/>
    <x v="8"/>
    <x v="62"/>
    <x v="54"/>
    <m/>
    <m/>
    <n v="0"/>
    <n v="0"/>
    <m/>
    <n v="0"/>
    <n v="0"/>
    <n v="0"/>
    <n v="0"/>
    <m/>
  </r>
  <r>
    <x v="50"/>
    <m/>
    <s v="HECTOR GERMAN NAVARRO"/>
    <m/>
    <m/>
    <x v="6"/>
    <s v="CAMBIO DE FLEXIBLE"/>
    <x v="29"/>
    <x v="79"/>
    <x v="71"/>
    <m/>
    <m/>
    <n v="0"/>
    <n v="0"/>
    <m/>
    <n v="0"/>
    <n v="0"/>
    <n v="0"/>
    <n v="0"/>
    <m/>
  </r>
  <r>
    <x v="50"/>
    <s v="RM:433"/>
    <s v="ORLANDO MORENO"/>
    <s v="BVC-887"/>
    <s v="SIMBOL"/>
    <x v="0"/>
    <s v="CAMBIO DE PUNTAS-TERMOSTATO"/>
    <x v="29"/>
    <x v="80"/>
    <x v="12"/>
    <m/>
    <m/>
    <n v="0"/>
    <n v="0"/>
    <m/>
    <n v="0"/>
    <n v="0"/>
    <n v="0"/>
    <n v="0"/>
    <m/>
  </r>
  <r>
    <x v="50"/>
    <m/>
    <s v="KEVIN SANTANA"/>
    <s v="FNK-342"/>
    <s v="SPARK"/>
    <x v="8"/>
    <s v="CAMBIO EMPAQUE DEL CARTER"/>
    <x v="1"/>
    <x v="58"/>
    <x v="6"/>
    <s v="EMPAQUE CARTER"/>
    <n v="18000"/>
    <n v="15126.050420168069"/>
    <n v="2873.9495798319331"/>
    <n v="30000"/>
    <n v="25210.084033613446"/>
    <n v="4789.9159663865548"/>
    <n v="1915.9663865546217"/>
    <n v="10084.033613445379"/>
    <m/>
  </r>
  <r>
    <x v="50"/>
    <m/>
    <s v="FAVER JIMENEZ"/>
    <s v="RJO-317"/>
    <s v="TIIDA"/>
    <x v="0"/>
    <s v="CAMBIO DE TIJERA DEL IZQ."/>
    <x v="4"/>
    <x v="9"/>
    <x v="28"/>
    <m/>
    <m/>
    <n v="0"/>
    <n v="0"/>
    <m/>
    <n v="0"/>
    <n v="0"/>
    <n v="0"/>
    <n v="0"/>
    <m/>
  </r>
  <r>
    <x v="50"/>
    <m/>
    <s v="JAIRO VILLAMIL"/>
    <s v="SBF-041"/>
    <s v="MULA"/>
    <x v="3"/>
    <s v="CAMBIO DE DIAFRAGMA "/>
    <x v="2"/>
    <x v="61"/>
    <x v="8"/>
    <s v="DIFRAGMA TIPO 30"/>
    <n v="10000"/>
    <m/>
    <n v="0"/>
    <n v="20000"/>
    <m/>
    <n v="0"/>
    <n v="0"/>
    <n v="10000"/>
    <m/>
  </r>
  <r>
    <x v="50"/>
    <s v="RM:435"/>
    <s v="HECTOR GERMAN NAVARRO"/>
    <s v="SQI-915"/>
    <s v="BUSETA"/>
    <x v="6"/>
    <s v="ARREGLO EXOSTO"/>
    <x v="10"/>
    <x v="28"/>
    <x v="5"/>
    <m/>
    <m/>
    <n v="0"/>
    <n v="0"/>
    <m/>
    <n v="0"/>
    <n v="0"/>
    <n v="0"/>
    <n v="0"/>
    <m/>
  </r>
  <r>
    <x v="50"/>
    <m/>
    <m/>
    <m/>
    <s v="FOTON"/>
    <x v="3"/>
    <s v="GRADUACION DE FRENOS"/>
    <x v="0"/>
    <x v="0"/>
    <x v="0"/>
    <s v="LIQUIDO"/>
    <n v="7600"/>
    <n v="6386.5546218487398"/>
    <n v="1213.4453781512607"/>
    <n v="15000"/>
    <n v="12605.042016806723"/>
    <n v="2394.9579831932774"/>
    <n v="1181.5126050420167"/>
    <n v="6218.4873949579833"/>
    <m/>
  </r>
  <r>
    <x v="50"/>
    <m/>
    <s v="REINADLO ANGULO"/>
    <s v="DFK-156"/>
    <s v="FORD"/>
    <x v="8"/>
    <s v="CAMBIO EMPAQUE TAPA VALVULA"/>
    <x v="7"/>
    <x v="1"/>
    <x v="72"/>
    <s v="EMPAQUE TAPA VALVULA, SILICONA"/>
    <n v="52800"/>
    <n v="44369.747899159665"/>
    <n v="8430.2521008403364"/>
    <n v="73000"/>
    <n v="61344.537815126052"/>
    <n v="11655.46218487395"/>
    <n v="3225.2100840336134"/>
    <n v="16974.789915966387"/>
    <m/>
  </r>
  <r>
    <x v="50"/>
    <m/>
    <m/>
    <s v="FDJ-497"/>
    <s v="CH"/>
    <x v="3"/>
    <s v="GRADUAR FRENOS"/>
    <x v="0"/>
    <x v="0"/>
    <x v="0"/>
    <m/>
    <m/>
    <n v="0"/>
    <n v="0"/>
    <m/>
    <n v="0"/>
    <n v="0"/>
    <n v="0"/>
    <n v="0"/>
    <m/>
  </r>
  <r>
    <x v="51"/>
    <s v="FE:270/RM:437"/>
    <s v="NASLY RIAÑO"/>
    <s v="HGR-939"/>
    <s v="HYUNDAI"/>
    <x v="0"/>
    <s v="SINCRONIZACION"/>
    <x v="26"/>
    <x v="63"/>
    <x v="55"/>
    <s v="BUJIAS"/>
    <n v="100000"/>
    <n v="84033.613445378156"/>
    <n v="15966.386554621849"/>
    <n v="75000"/>
    <n v="63025.210084033613"/>
    <n v="11974.789915966387"/>
    <n v="-3991.5966386554628"/>
    <n v="-21008.403361344535"/>
    <m/>
  </r>
  <r>
    <x v="51"/>
    <s v="FE:269/RM:436"/>
    <s v="MIGUEL BIGOLLA"/>
    <s v="BON-388"/>
    <s v="HYUNDAI"/>
    <x v="0"/>
    <s v="CAMBIO DE PASTILLAS DELANTERAS"/>
    <x v="2"/>
    <x v="61"/>
    <x v="8"/>
    <s v="PASTILLAS DELANTERAS TITANIUM"/>
    <n v="144000"/>
    <n v="121008.40336134455"/>
    <n v="22991.596638655465"/>
    <n v="200000"/>
    <n v="168067.22689075631"/>
    <n v="31932.773109243699"/>
    <n v="8941.1764705882342"/>
    <n v="47058.823529411777"/>
    <m/>
  </r>
  <r>
    <x v="51"/>
    <s v="FE:263"/>
    <s v="METALCARGOS"/>
    <s v="TFT-701"/>
    <s v="NKR"/>
    <x v="0"/>
    <s v="_x000a_CAMBIO DE EMPAQUETADURAS BOMBA DE CLOSH/ GRADUACION DE FRENOS"/>
    <x v="6"/>
    <x v="6"/>
    <x v="6"/>
    <m/>
    <m/>
    <n v="0"/>
    <n v="0"/>
    <m/>
    <n v="0"/>
    <n v="0"/>
    <n v="0"/>
    <n v="0"/>
    <m/>
  </r>
  <r>
    <x v="51"/>
    <s v="FE:219"/>
    <s v="METALCARGOS"/>
    <s v="TFT-701"/>
    <s v="NKR"/>
    <x v="0"/>
    <s v="CAMBIO GUAYA DE FRENO DE MANO/BANDA/PALANCA/MONTAR RADIADOR"/>
    <x v="26"/>
    <x v="34"/>
    <x v="33"/>
    <m/>
    <m/>
    <n v="0"/>
    <n v="0"/>
    <m/>
    <n v="0"/>
    <n v="0"/>
    <n v="0"/>
    <n v="0"/>
    <m/>
  </r>
  <r>
    <x v="51"/>
    <s v="FE: 271"/>
    <s v="SERVICIOS AGRICOLAS"/>
    <s v="ETT-299"/>
    <s v="JAC"/>
    <x v="0"/>
    <s v="CAMBIO DE TERMINALES DE DIRECCION"/>
    <x v="6"/>
    <x v="64"/>
    <x v="56"/>
    <m/>
    <m/>
    <n v="0"/>
    <n v="0"/>
    <m/>
    <n v="0"/>
    <n v="0"/>
    <n v="0"/>
    <n v="0"/>
    <m/>
  </r>
  <r>
    <x v="51"/>
    <m/>
    <m/>
    <m/>
    <m/>
    <x v="4"/>
    <s v="GRADUAR CLOSH, COLOCAR CABLE SENSOR"/>
    <x v="9"/>
    <x v="10"/>
    <x v="11"/>
    <m/>
    <m/>
    <n v="0"/>
    <n v="0"/>
    <m/>
    <n v="0"/>
    <n v="0"/>
    <n v="0"/>
    <n v="0"/>
    <m/>
  </r>
  <r>
    <x v="51"/>
    <s v="RM:438"/>
    <s v="LUIS F GONZALES"/>
    <s v="SSW-412"/>
    <s v="CHEVROLET"/>
    <x v="0"/>
    <s v="REVISION /CAMBIO DE RODAMIENTO"/>
    <x v="4"/>
    <x v="9"/>
    <x v="28"/>
    <s v="KIT DE RODAMIENTOS"/>
    <n v="100000"/>
    <n v="84033.613445378156"/>
    <n v="15966.386554621849"/>
    <n v="130000"/>
    <n v="109243.6974789916"/>
    <n v="20756.302521008405"/>
    <n v="4789.9159663865557"/>
    <n v="25210.084033613442"/>
    <m/>
  </r>
  <r>
    <x v="51"/>
    <s v="FE:272"/>
    <s v="JAIME MONCADA"/>
    <s v="SKK-862"/>
    <s v="MT"/>
    <x v="0"/>
    <s v="MANTENIMIENTO FRENO DE AHOGO/GF"/>
    <x v="7"/>
    <x v="1"/>
    <x v="72"/>
    <s v="TARRO FRENO DE AHOGO"/>
    <n v="40000"/>
    <m/>
    <n v="0"/>
    <n v="90000"/>
    <n v="75630.252100840342"/>
    <n v="14369.747899159665"/>
    <n v="14369.747899159665"/>
    <n v="35630.252100840335"/>
    <m/>
  </r>
  <r>
    <x v="51"/>
    <m/>
    <s v="ALEJANDRO SEPULVEDA"/>
    <s v="GQQ-125"/>
    <s v="MAZDA"/>
    <x v="0"/>
    <s v="MEDIR COMPRESION "/>
    <x v="4"/>
    <x v="9"/>
    <x v="28"/>
    <m/>
    <m/>
    <n v="0"/>
    <n v="0"/>
    <m/>
    <n v="0"/>
    <n v="0"/>
    <n v="0"/>
    <n v="0"/>
    <m/>
  </r>
  <r>
    <x v="51"/>
    <m/>
    <m/>
    <s v="LAF-512"/>
    <s v="ACCENT"/>
    <x v="0"/>
    <s v="CAMBIO DE LIGAS CALIPER"/>
    <x v="9"/>
    <x v="65"/>
    <x v="57"/>
    <s v="LIGAS CALIPER/LIQUIDO"/>
    <n v="28000"/>
    <n v="23529.411764705885"/>
    <n v="4470.588235294118"/>
    <n v="41000"/>
    <n v="34453.781512605041"/>
    <n v="6546.2184873949582"/>
    <n v="2075.6302521008402"/>
    <n v="10924.36974789916"/>
    <m/>
  </r>
  <r>
    <x v="51"/>
    <m/>
    <s v="BERTA AREVALO"/>
    <s v="LQH-809"/>
    <s v="JMC"/>
    <x v="6"/>
    <s v="ELABORACION CAJON DE BATERIAS"/>
    <x v="50"/>
    <x v="81"/>
    <x v="73"/>
    <m/>
    <m/>
    <n v="0"/>
    <n v="0"/>
    <m/>
    <n v="0"/>
    <n v="0"/>
    <n v="0"/>
    <n v="0"/>
    <m/>
  </r>
  <r>
    <x v="51"/>
    <m/>
    <s v="PUERTAS ELECTRONICAS OSORIO"/>
    <s v="HSY-447"/>
    <s v="CAPTIVA"/>
    <x v="0"/>
    <s v="MANTENIMIENTO COMPLETO/CAMBIO DE LIQUIDO/ CAMBIO DE PASTILLAS DEL Y TRASERAS"/>
    <x v="10"/>
    <x v="82"/>
    <x v="74"/>
    <s v="LIQUIDO/PASTILLAS DEL Y TRASERAS"/>
    <n v="307000"/>
    <n v="257983.19327731093"/>
    <n v="49016.806722689078"/>
    <n v="430000"/>
    <n v="361344.53781512607"/>
    <n v="68655.462184873948"/>
    <n v="19638.65546218487"/>
    <n v="103361.34453781514"/>
    <m/>
  </r>
  <r>
    <x v="52"/>
    <s v="FE:274/RM:443"/>
    <s v="DIEGO SIERRA"/>
    <s v="DCS-412"/>
    <s v="OPTRA"/>
    <x v="0"/>
    <s v="MATTO COMPLETO / CAMBIO DE PASTILLAS DELANTERAS Y BAJAR DISCO/ RECTIFICACION DE DISCOS"/>
    <x v="29"/>
    <x v="83"/>
    <x v="75"/>
    <s v="RECTIFICACION DE DISCOS/PASTILLAS DELANTERAS"/>
    <n v="205000"/>
    <n v="172268.90756302522"/>
    <n v="32731.092436974792"/>
    <n v="250000"/>
    <n v="210084.03361344538"/>
    <n v="39915.966386554624"/>
    <n v="7184.8739495798327"/>
    <n v="37815.126050420164"/>
    <m/>
  </r>
  <r>
    <x v="53"/>
    <m/>
    <s v="JAIME MONCADA"/>
    <s v="ERL-333"/>
    <s v="JAC"/>
    <x v="0"/>
    <s v="GRADUACION DE FRENOS "/>
    <x v="0"/>
    <x v="0"/>
    <x v="0"/>
    <m/>
    <m/>
    <n v="0"/>
    <n v="0"/>
    <m/>
    <n v="0"/>
    <n v="0"/>
    <n v="0"/>
    <n v="0"/>
    <m/>
  </r>
  <r>
    <x v="53"/>
    <m/>
    <m/>
    <m/>
    <s v="MITSUBISHI"/>
    <x v="0"/>
    <s v="AJUSTAR BRAZO COMPENSADOR"/>
    <x v="9"/>
    <x v="10"/>
    <x v="11"/>
    <m/>
    <m/>
    <n v="0"/>
    <n v="0"/>
    <m/>
    <n v="0"/>
    <n v="0"/>
    <n v="0"/>
    <n v="0"/>
    <m/>
  </r>
  <r>
    <x v="53"/>
    <s v="RM:445"/>
    <s v="DAVID OSORIO"/>
    <s v="BAY-545"/>
    <s v="MAZDA"/>
    <x v="0"/>
    <s v="CAMBIO BUJES DE TIJERA DELANTYERA DERECHA"/>
    <x v="4"/>
    <x v="4"/>
    <x v="4"/>
    <s v="BUJES DE TIJERA"/>
    <n v="35000"/>
    <n v="29411.764705882353"/>
    <n v="5588.2352941176468"/>
    <n v="45000"/>
    <n v="37815.126050420171"/>
    <n v="7184.8739495798327"/>
    <n v="1596.6386554621859"/>
    <n v="8403.3613445378141"/>
    <m/>
  </r>
  <r>
    <x v="53"/>
    <m/>
    <s v="DANIEL GUERRERO"/>
    <s v="BHW-671"/>
    <m/>
    <x v="6"/>
    <s v="SOLDADURA"/>
    <x v="12"/>
    <x v="13"/>
    <x v="14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  <r>
    <x v="54"/>
    <m/>
    <m/>
    <m/>
    <m/>
    <x v="4"/>
    <m/>
    <x v="48"/>
    <x v="77"/>
    <x v="10"/>
    <m/>
    <m/>
    <n v="0"/>
    <n v="0"/>
    <m/>
    <n v="0"/>
    <n v="0"/>
    <n v="0"/>
    <n v="0"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4">
  <r>
    <x v="0"/>
    <n v="363"/>
    <m/>
    <s v="CORSA"/>
    <m/>
    <x v="0"/>
    <s v="CAMBIO DE PERA DEL VENTILADOR"/>
    <n v="30000"/>
    <n v="18000"/>
    <n v="12000"/>
    <m/>
    <m/>
    <m/>
    <s v="CANCELADO"/>
    <n v="0"/>
  </r>
  <r>
    <x v="0"/>
    <n v="362"/>
    <m/>
    <s v="FIAT"/>
    <s v="BDY-618"/>
    <x v="1"/>
    <s v="CAMBIO DE RODAMIENTOS "/>
    <n v="80000"/>
    <n v="48000"/>
    <n v="32000"/>
    <m/>
    <m/>
    <m/>
    <s v="CANCELADO"/>
    <n v="0"/>
  </r>
  <r>
    <x v="0"/>
    <m/>
    <m/>
    <s v="RENAULT"/>
    <s v="RBM-093"/>
    <x v="1"/>
    <s v="REVISAR FRENOS"/>
    <n v="30000"/>
    <n v="18000"/>
    <n v="12000"/>
    <m/>
    <m/>
    <m/>
    <s v="CANCELADO"/>
    <n v="0"/>
  </r>
  <r>
    <x v="0"/>
    <m/>
    <m/>
    <s v="PEUGEOT"/>
    <s v="CSE-257"/>
    <x v="1"/>
    <s v="MANTENIMIENTO RUEDAS TRASERAS "/>
    <n v="30000"/>
    <n v="18000"/>
    <n v="12000"/>
    <m/>
    <m/>
    <m/>
    <s v="CANCELADO"/>
    <n v="0"/>
  </r>
  <r>
    <x v="1"/>
    <n v="369"/>
    <m/>
    <s v="RENAULT CLIO"/>
    <s v="BRT-104"/>
    <x v="0"/>
    <s v="MANTENIMIENTO ELECTRICO"/>
    <n v="50000"/>
    <n v="30000"/>
    <n v="20000"/>
    <m/>
    <m/>
    <m/>
    <s v="CANCELADO"/>
    <n v="0"/>
  </r>
  <r>
    <x v="1"/>
    <m/>
    <m/>
    <s v="RENAULT MEGAN"/>
    <s v="NAD-805"/>
    <x v="1"/>
    <s v="REVISAR TRASERA DERECHA"/>
    <n v="25000"/>
    <n v="15000"/>
    <n v="10000"/>
    <m/>
    <m/>
    <m/>
    <s v="CANCELADO"/>
    <n v="0"/>
  </r>
  <r>
    <x v="1"/>
    <m/>
    <m/>
    <s v="MITSUBISHI"/>
    <s v="SQD-230"/>
    <x v="1"/>
    <s v="GRADUAR FRENOS"/>
    <n v="10000"/>
    <n v="6000"/>
    <n v="4000"/>
    <m/>
    <m/>
    <m/>
    <s v="CANCELADO"/>
    <n v="0"/>
  </r>
  <r>
    <x v="1"/>
    <m/>
    <m/>
    <s v="FOTON"/>
    <s v="EXX-268"/>
    <x v="1"/>
    <s v="MANTENIMIENTO DE FRENOS COMPLETO"/>
    <n v="60000"/>
    <n v="36000"/>
    <n v="24000"/>
    <s v="BANDAS"/>
    <n v="110000"/>
    <n v="156000"/>
    <s v="CANCELADO"/>
    <n v="46000"/>
  </r>
  <r>
    <x v="1"/>
    <m/>
    <m/>
    <s v="NPR"/>
    <s v="USC-456"/>
    <x v="2"/>
    <s v="GRADUAR FRENOS"/>
    <n v="10000"/>
    <n v="6000"/>
    <n v="4000"/>
    <m/>
    <m/>
    <m/>
    <s v="CANCELADO"/>
    <n v="0"/>
  </r>
  <r>
    <x v="1"/>
    <n v="366"/>
    <m/>
    <s v="CHEVROLET"/>
    <s v="BDE-370"/>
    <x v="1"/>
    <s v="ARREGLO TUBO TRASERO Y CAMBIO DE LIQUIDO"/>
    <n v="30000"/>
    <n v="18000"/>
    <n v="12000"/>
    <s v="LIQUIDO"/>
    <m/>
    <n v="10000"/>
    <s v="CANCELADO"/>
    <n v="10000"/>
  </r>
  <r>
    <x v="1"/>
    <s v="FE-3"/>
    <m/>
    <s v="JAC"/>
    <s v="ERL-515"/>
    <x v="1"/>
    <s v="RECTIFAR CAMPANA, MANTENIMIENTO"/>
    <n v="30000"/>
    <n v="18000"/>
    <n v="12000"/>
    <s v="RECTIFICAR CAMPANA"/>
    <n v="30000"/>
    <n v="30000"/>
    <s v="CANCELADO"/>
    <n v="0"/>
  </r>
  <r>
    <x v="1"/>
    <m/>
    <m/>
    <s v="JMC"/>
    <s v="KSP-167"/>
    <x v="1"/>
    <s v="GRADUAR FRENOS"/>
    <n v="10000"/>
    <n v="6000"/>
    <n v="4000"/>
    <m/>
    <m/>
    <m/>
    <s v="CANCELADO"/>
    <n v="0"/>
  </r>
  <r>
    <x v="1"/>
    <n v="367"/>
    <m/>
    <s v="TOYOTA"/>
    <s v="DHZ-935"/>
    <x v="1"/>
    <s v="CAMBIO DE PASTILLAS TRASERAS-DISCO DE FRENOS"/>
    <n v="80000"/>
    <n v="48000"/>
    <n v="32000"/>
    <s v="JUGO DE PASTILLAS Y DISCOS DE FRENOS"/>
    <m/>
    <n v="750000"/>
    <s v="CANCELADO"/>
    <n v="750000"/>
  </r>
  <r>
    <x v="1"/>
    <m/>
    <m/>
    <s v="FIAT SIENA"/>
    <s v="UCW-460"/>
    <x v="1"/>
    <s v="CAMBIO DE PASTILLAS DELANTERAS"/>
    <n v="30000"/>
    <n v="18000"/>
    <n v="12000"/>
    <s v="PASTILLAS DELANTERAS"/>
    <n v="93000"/>
    <n v="151000"/>
    <s v="CANCELADO"/>
    <n v="58000"/>
  </r>
  <r>
    <x v="2"/>
    <m/>
    <m/>
    <s v="FIAT SIENA"/>
    <s v="UCW-460"/>
    <x v="1"/>
    <s v="REVISION DE TRASERAS"/>
    <n v="20000"/>
    <n v="12000"/>
    <n v="8000"/>
    <s v="PASTILLAS DELANTERAS"/>
    <n v="93000"/>
    <n v="151000"/>
    <s v="CANCELADO"/>
    <n v="58000"/>
  </r>
  <r>
    <x v="1"/>
    <s v="FE-5"/>
    <m/>
    <s v="RENAULT"/>
    <s v="RJP-935"/>
    <x v="0"/>
    <s v="ARREGLO DE LUCES"/>
    <n v="50000"/>
    <n v="30000"/>
    <n v="20000"/>
    <m/>
    <m/>
    <m/>
    <s v="CANCELADO"/>
    <n v="0"/>
  </r>
  <r>
    <x v="2"/>
    <s v="FE-8"/>
    <m/>
    <s v="MAZDA"/>
    <s v="CJH-414"/>
    <x v="2"/>
    <s v="CAMBIO DE LIQUIDO- REVISAR FRENOS"/>
    <n v="80000"/>
    <n v="48000"/>
    <n v="32000"/>
    <s v="LIQUIDO"/>
    <m/>
    <n v="20000"/>
    <s v="CANCELADO"/>
    <n v="20000"/>
  </r>
  <r>
    <x v="2"/>
    <s v="FE-6"/>
    <m/>
    <s v="CHEVROLET"/>
    <s v="BGM-688"/>
    <x v="0"/>
    <s v="INSTALAR VENTILADOR"/>
    <n v="40000"/>
    <n v="24000"/>
    <n v="16000"/>
    <s v="FUSIBLE"/>
    <m/>
    <n v="1000"/>
    <s v="CANCELADO"/>
    <n v="1000"/>
  </r>
  <r>
    <x v="2"/>
    <s v="FV-7"/>
    <m/>
    <s v="NHR"/>
    <s v="UPS-855"/>
    <x v="1"/>
    <s v="CAMBIO DE CAMPANAS Y BANDAS"/>
    <n v="50000"/>
    <n v="30000"/>
    <n v="20000"/>
    <s v="CAMPANA, BANDAS, GRASA Y PINES"/>
    <m/>
    <n v="180000"/>
    <s v="CANCELADO"/>
    <n v="180000"/>
  </r>
  <r>
    <x v="2"/>
    <n v="371"/>
    <m/>
    <s v="MEGAN"/>
    <s v="CJH-613"/>
    <x v="3"/>
    <s v="CAMBIO DE CULATA"/>
    <n v="600000"/>
    <n v="360000"/>
    <n v="240000"/>
    <s v="JUEGO DE VALVULAS, GUIAS EN BRONCE, JUEGO RETENEDORES DE VALAVULA, KIT DE REPARTICION, SENDOR, PIÑON, EJE DE LEVA, TAPONES EJE DE LEVAS"/>
    <m/>
    <n v="1890000"/>
    <s v="CANCELADO"/>
    <n v="1890000"/>
  </r>
  <r>
    <x v="2"/>
    <s v="FE-9"/>
    <m/>
    <s v="JAC"/>
    <s v="JKV-331"/>
    <x v="2"/>
    <s v="CAMBIO DE BANDAS RUEDA TRASERA"/>
    <n v="800000"/>
    <n v="480000"/>
    <n v="320000"/>
    <s v="GRASA, JUEGO DE BLOQUES, GASOLINA, SILICONA "/>
    <m/>
    <n v="276000"/>
    <s v="CANCELADO"/>
    <n v="276000"/>
  </r>
  <r>
    <x v="3"/>
    <m/>
    <m/>
    <s v="BRU-582"/>
    <s v="PEGEOT"/>
    <x v="4"/>
    <s v="BAJAR CAJA"/>
    <n v="200000"/>
    <n v="120000"/>
    <n v="80000"/>
    <m/>
    <m/>
    <m/>
    <s v="CANCELADO"/>
    <n v="0"/>
  </r>
  <r>
    <x v="3"/>
    <s v="FE-12"/>
    <m/>
    <s v="RMP-776"/>
    <s v="RENAULT SANDERO"/>
    <x v="4"/>
    <s v="CORREGIR FUGA"/>
    <n v="50000"/>
    <n v="30000"/>
    <n v="20000"/>
    <s v="KIT GP-EJE IZQ COMP ORIGINAL"/>
    <n v="50420"/>
    <n v="63554"/>
    <s v="CANCELADO"/>
    <n v="13134"/>
  </r>
  <r>
    <x v="3"/>
    <m/>
    <m/>
    <s v="DODGE"/>
    <s v="AKG-375"/>
    <x v="0"/>
    <s v="CAMBIAR ARRANQUE"/>
    <n v="70000"/>
    <n v="42000"/>
    <n v="28000"/>
    <s v="ARRANQUE"/>
    <n v="235294.11764705883"/>
    <n v="352941.17647058825"/>
    <s v="CANCELADO"/>
    <n v="117647.05882352943"/>
  </r>
  <r>
    <x v="3"/>
    <s v="F-11"/>
    <m/>
    <s v="CHEVY"/>
    <s v="BCB-542"/>
    <x v="1"/>
    <s v="CAMBIO DE DISCOS DELANTEROS"/>
    <n v="80000"/>
    <n v="48000"/>
    <n v="32000"/>
    <s v="DISCOS"/>
    <m/>
    <n v="184873.94957983194"/>
    <s v="CANCELADO"/>
    <n v="184873.94957983194"/>
  </r>
  <r>
    <x v="3"/>
    <s v="FE-10"/>
    <m/>
    <s v="FOTON"/>
    <s v="WGZ-517"/>
    <x v="1"/>
    <s v="GRADUAR FRENOS"/>
    <n v="10000"/>
    <n v="6000"/>
    <n v="4000"/>
    <m/>
    <m/>
    <m/>
    <s v="CANCELADO"/>
    <n v="0"/>
  </r>
  <r>
    <x v="3"/>
    <m/>
    <m/>
    <s v="RENAULT CLIO"/>
    <s v="BZH-047"/>
    <x v="3"/>
    <s v="CAMBIO DE BASE Y TERMOSTATO"/>
    <n v="30000"/>
    <n v="18000"/>
    <n v="12000"/>
    <s v="BASE Y TERMOSTATO"/>
    <n v="50420.168067226892"/>
    <n v="100840.33613445378"/>
    <s v="CANCELADO"/>
    <n v="50420.168067226892"/>
  </r>
  <r>
    <x v="3"/>
    <s v="F-373"/>
    <m/>
    <s v="NISSAN"/>
    <s v="RLN-289"/>
    <x v="5"/>
    <s v="AJUSTAR ESTRIBO"/>
    <n v="30000"/>
    <n v="30000"/>
    <n v="12000"/>
    <m/>
    <m/>
    <m/>
    <s v="CANCELADO"/>
    <n v="0"/>
  </r>
  <r>
    <x v="3"/>
    <m/>
    <m/>
    <s v="DCY-637"/>
    <s v="BMWX3"/>
    <x v="0"/>
    <s v="CAMBIO DE BOMBILLO"/>
    <n v="15000"/>
    <n v="9000"/>
    <n v="6000"/>
    <m/>
    <m/>
    <m/>
    <s v="CANCELADO"/>
    <n v="0"/>
  </r>
  <r>
    <x v="4"/>
    <s v="F-16"/>
    <m/>
    <s v="SANDERO"/>
    <s v="HVK-612"/>
    <x v="4"/>
    <s v="REVISIO DE FRENOS"/>
    <n v="70000"/>
    <n v="42000"/>
    <n v="28000"/>
    <m/>
    <m/>
    <m/>
    <s v="CANCELADO"/>
    <n v="0"/>
  </r>
  <r>
    <x v="4"/>
    <s v="F-16"/>
    <m/>
    <s v="SANDERO"/>
    <s v="HVK-612"/>
    <x v="2"/>
    <s v="SERVICIO DE ESCANER"/>
    <n v="50000"/>
    <n v="30000"/>
    <n v="20000"/>
    <m/>
    <m/>
    <m/>
    <s v="CANCELADO"/>
    <n v="0"/>
  </r>
  <r>
    <x v="4"/>
    <m/>
    <m/>
    <s v="RENAULT"/>
    <s v="HKM-899"/>
    <x v="1"/>
    <s v="MANTENIMIENTO DE FRENOS"/>
    <n v="50000"/>
    <n v="30000"/>
    <n v="20000"/>
    <m/>
    <m/>
    <m/>
    <s v="CANCELADO"/>
    <n v="0"/>
  </r>
  <r>
    <x v="4"/>
    <s v="F-374"/>
    <m/>
    <s v="DAEWOO"/>
    <s v="BIZ-866"/>
    <x v="0"/>
    <s v="MANTENIMIENTO DE ARRANQUE"/>
    <n v="80000"/>
    <n v="48000"/>
    <n v="32000"/>
    <m/>
    <m/>
    <m/>
    <s v="CANCELADO"/>
    <n v="0"/>
  </r>
  <r>
    <x v="4"/>
    <m/>
    <m/>
    <s v="MITSUBISHI"/>
    <s v="TGU-963"/>
    <x v="1"/>
    <s v="GRADUAR FRENOS"/>
    <n v="10000"/>
    <n v="6000"/>
    <n v="4000"/>
    <m/>
    <m/>
    <m/>
    <s v="CANCELADO"/>
    <n v="0"/>
  </r>
  <r>
    <x v="4"/>
    <s v="F-318"/>
    <m/>
    <s v="NHR"/>
    <s v="UPS-855"/>
    <x v="5"/>
    <s v="REPARACION DE CHASIS Y SOPORTE DE CAVA"/>
    <n v="80000"/>
    <n v="48000"/>
    <n v="32000"/>
    <m/>
    <m/>
    <m/>
    <s v="CANCELADO"/>
    <n v="0"/>
  </r>
  <r>
    <x v="4"/>
    <m/>
    <m/>
    <s v="CHEVROLET"/>
    <s v="FDJ-497"/>
    <x v="1"/>
    <s v="ARREGLO FRENO DE MANO"/>
    <n v="80000"/>
    <n v="48000"/>
    <n v="32000"/>
    <m/>
    <m/>
    <m/>
    <s v="CANCELADO"/>
    <n v="0"/>
  </r>
  <r>
    <x v="4"/>
    <s v="F-19"/>
    <m/>
    <s v="NQR"/>
    <s v="WOS-474"/>
    <x v="2"/>
    <s v="GRADUAR FRENOS"/>
    <n v="10000"/>
    <n v="6000"/>
    <n v="4000"/>
    <m/>
    <m/>
    <m/>
    <s v="CANCELADO"/>
    <n v="0"/>
  </r>
  <r>
    <x v="4"/>
    <s v="F-19"/>
    <m/>
    <s v="NQR"/>
    <s v="WOS-474"/>
    <x v="4"/>
    <s v="REVISION  DE FRENOS DE AHOGO"/>
    <n v="90000"/>
    <n v="54000"/>
    <n v="36000"/>
    <m/>
    <m/>
    <m/>
    <s v="CANCELADO"/>
    <n v="0"/>
  </r>
  <r>
    <x v="4"/>
    <s v="F-19"/>
    <m/>
    <s v="NQR"/>
    <s v="WOS-474"/>
    <x v="0"/>
    <s v="CAMBIAR COCUYOS"/>
    <n v="50000"/>
    <n v="30000"/>
    <n v="20000"/>
    <m/>
    <m/>
    <m/>
    <s v="CANCELADO"/>
    <n v="0"/>
  </r>
  <r>
    <x v="4"/>
    <s v="F-19"/>
    <m/>
    <s v="NQR"/>
    <s v="WOS-474"/>
    <x v="0"/>
    <s v="ROTACION DE BATERIAS"/>
    <n v="30000"/>
    <n v="18000"/>
    <n v="12000"/>
    <s v="CABLE, TERMINALES, "/>
    <m/>
    <n v="13680"/>
    <s v="CANCELADO"/>
    <n v="13680"/>
  </r>
  <r>
    <x v="4"/>
    <s v="F-19"/>
    <m/>
    <s v="NQR"/>
    <s v="WOS-474"/>
    <x v="5"/>
    <s v="INSTALACION DE REMACHES"/>
    <n v="30000"/>
    <n v="18000"/>
    <n v="12000"/>
    <s v="REMACHES"/>
    <m/>
    <n v="10080"/>
    <s v="CANCELADO"/>
    <n v="10080"/>
  </r>
  <r>
    <x v="4"/>
    <s v="F-19"/>
    <m/>
    <s v="NQR"/>
    <s v="WOS-474"/>
    <x v="5"/>
    <s v="SOLDAR GUABARROS Y ESTRIBOS"/>
    <n v="50000"/>
    <n v="30000"/>
    <n v="20000"/>
    <m/>
    <m/>
    <m/>
    <s v="CANCELADO"/>
    <n v="0"/>
  </r>
  <r>
    <x v="4"/>
    <s v="F-20"/>
    <m/>
    <s v="FRR"/>
    <s v="WOS-477"/>
    <x v="0"/>
    <s v="ROTACION DE BATERIAS"/>
    <n v="30000"/>
    <n v="18000"/>
    <n v="12000"/>
    <m/>
    <m/>
    <m/>
    <s v="CANCELADO"/>
    <n v="0"/>
  </r>
  <r>
    <x v="4"/>
    <s v="F-20"/>
    <m/>
    <s v="FRR"/>
    <s v="WOS-477"/>
    <x v="0"/>
    <s v="INSTALACION LUCES DE FURGON"/>
    <n v="80000"/>
    <n v="48000"/>
    <n v="32000"/>
    <s v="CABLE, BORNES, ABRAZADERAS"/>
    <m/>
    <n v="30600"/>
    <s v="CANCELADO"/>
    <n v="30600"/>
  </r>
  <r>
    <x v="4"/>
    <s v="F-20"/>
    <m/>
    <s v="FRR"/>
    <s v="WOS-477"/>
    <x v="5"/>
    <s v="INSTALACION DE REMACHES"/>
    <n v="30000"/>
    <n v="18000"/>
    <n v="12000"/>
    <s v="REMACHES"/>
    <m/>
    <n v="8400"/>
    <s v="CANCELADO"/>
    <n v="8400"/>
  </r>
  <r>
    <x v="4"/>
    <s v="F-20"/>
    <m/>
    <s v="FRR"/>
    <s v="WOS-477"/>
    <x v="5"/>
    <s v="REPARACION DE BORNE"/>
    <n v="30000"/>
    <n v="18000"/>
    <n v="12000"/>
    <m/>
    <m/>
    <m/>
    <s v="CANCELADO"/>
    <n v="0"/>
  </r>
  <r>
    <x v="4"/>
    <s v="F-17"/>
    <m/>
    <s v="JAC"/>
    <s v="JKV-331"/>
    <x v="4"/>
    <s v="MANTENIMIENTO RUEDAS DELANTERAS DE RACHES Y MARTILLOS"/>
    <n v="180000"/>
    <n v="108000"/>
    <n v="72000"/>
    <m/>
    <m/>
    <m/>
    <s v="CANCELADO"/>
    <n v="0"/>
  </r>
  <r>
    <x v="5"/>
    <m/>
    <m/>
    <s v="TWINGO"/>
    <s v="RAX-199"/>
    <x v="3"/>
    <s v="CAMBIAR GUAYA"/>
    <n v="30000"/>
    <n v="18000"/>
    <n v="12000"/>
    <s v="GUAYA DE CLOHS"/>
    <n v="29411.764705882353"/>
    <n v="50420.168067226892"/>
    <s v="CANCELADO"/>
    <n v="21008.403361344539"/>
  </r>
  <r>
    <x v="5"/>
    <s v="F-23"/>
    <m/>
    <s v="RENAULT CLIO"/>
    <s v="CIT-955"/>
    <x v="1"/>
    <s v="CAMBIO DE RODAMIENTOS"/>
    <n v="80000"/>
    <n v="48000"/>
    <n v="32000"/>
    <s v="RODAMIENTOS, SERVICIO DE PRENSA, JUEGO DE BANDAS"/>
    <n v="196436.76"/>
    <n v="285461"/>
    <s v="CANCELADO"/>
    <n v="89024.239999999991"/>
  </r>
  <r>
    <x v="5"/>
    <s v="F-22"/>
    <m/>
    <s v="RENAULT LOGAN"/>
    <s v="BXM-740"/>
    <x v="1"/>
    <s v="CAMBIO DE BANDAS RUEDA TRASERA"/>
    <n v="30000"/>
    <n v="18000"/>
    <n v="12000"/>
    <s v="BANDAS, GRADUACIONES"/>
    <n v="105881"/>
    <n v="151260"/>
    <s v="CANCELADO"/>
    <n v="45379"/>
  </r>
  <r>
    <x v="5"/>
    <m/>
    <m/>
    <s v="NISSAN"/>
    <s v="DCZ-452"/>
    <x v="4"/>
    <s v="CAMBIO DE BASE DE AMORTIGUADORES, BUJES, BUJES BARRA ESTABILIZADORA"/>
    <n v="300000"/>
    <n v="180000"/>
    <n v="120000"/>
    <m/>
    <m/>
    <m/>
    <s v="CANCELADO"/>
    <n v="0"/>
  </r>
  <r>
    <x v="5"/>
    <m/>
    <m/>
    <s v="HIUNDAY"/>
    <m/>
    <x v="3"/>
    <s v="MECANICA"/>
    <n v="1600000"/>
    <n v="960000"/>
    <n v="640000"/>
    <m/>
    <m/>
    <m/>
    <s v="CANCELADO"/>
    <n v="0"/>
  </r>
  <r>
    <x v="6"/>
    <s v="F-25"/>
    <m/>
    <s v="FORD"/>
    <s v="RBV-506"/>
    <x v="0"/>
    <s v="DESVARO: CHEQUEO ELECTRICO"/>
    <n v="40000"/>
    <n v="24000"/>
    <n v="16000"/>
    <m/>
    <m/>
    <m/>
    <s v="CANCELADO"/>
    <n v="0"/>
  </r>
  <r>
    <x v="6"/>
    <s v="  F-3-27"/>
    <m/>
    <s v="CORSA"/>
    <s v="BKY-244"/>
    <x v="1"/>
    <s v="CAMBIO DE PASTILLAS DELANTERAS"/>
    <n v="60000"/>
    <n v="36000"/>
    <n v="24000"/>
    <m/>
    <m/>
    <n v="150000"/>
    <s v="CANCELADO"/>
    <n v="150000"/>
  </r>
  <r>
    <x v="6"/>
    <s v="F-26"/>
    <m/>
    <s v="CHANA"/>
    <s v="WRL-545"/>
    <x v="4"/>
    <s v="REVISION DE FRENOS"/>
    <n v="50000"/>
    <n v="30000"/>
    <n v="20000"/>
    <m/>
    <m/>
    <m/>
    <s v="CANCELADO"/>
    <n v="0"/>
  </r>
  <r>
    <x v="6"/>
    <s v="F-24"/>
    <m/>
    <s v="WILLYS"/>
    <s v="HZJ-233"/>
    <x v="1"/>
    <s v="REVISION DE FRENOS"/>
    <n v="80000"/>
    <n v="48000"/>
    <n v="32000"/>
    <s v="LIQUIDO, CHUPAS"/>
    <m/>
    <n v="60000"/>
    <s v="CANCELADO"/>
    <n v="60000"/>
  </r>
  <r>
    <x v="6"/>
    <m/>
    <m/>
    <s v="PEUGEOT"/>
    <s v="BRU-582"/>
    <x v="1"/>
    <s v="CAMBIO DE PASTILLAS"/>
    <n v="50000"/>
    <n v="30000"/>
    <n v="20000"/>
    <s v="PASTILLAS"/>
    <n v="112000"/>
    <m/>
    <s v="CANCELADO"/>
    <n v="112000"/>
  </r>
  <r>
    <x v="6"/>
    <m/>
    <m/>
    <s v="PEUGEOT"/>
    <s v="BRU-582"/>
    <x v="0"/>
    <s v="CAMBIO DE ARRANQUE"/>
    <n v="100000"/>
    <n v="60000"/>
    <n v="40000"/>
    <s v="ARRANQUE"/>
    <m/>
    <n v="380000"/>
    <s v="CANCELADO"/>
    <n v="380000"/>
  </r>
  <r>
    <x v="6"/>
    <s v="HYUNDAI"/>
    <m/>
    <m/>
    <m/>
    <x v="0"/>
    <s v="REPARACION DE ARRANQUE"/>
    <n v="80000"/>
    <n v="48000"/>
    <n v="32000"/>
    <m/>
    <m/>
    <m/>
    <s v="CANCELADO"/>
    <n v="0"/>
  </r>
  <r>
    <x v="6"/>
    <m/>
    <m/>
    <s v="CHEVROLET"/>
    <s v="FDJ-497"/>
    <x v="0"/>
    <s v="MANTENIMIENTO ELECTRICO"/>
    <n v="80000"/>
    <n v="48000"/>
    <n v="32000"/>
    <s v="FUSIBLES, RELAY GPM, CABLE, ABRAZADERAS"/>
    <m/>
    <n v="34000"/>
    <s v="CANCELADO"/>
    <n v="34000"/>
  </r>
  <r>
    <x v="6"/>
    <m/>
    <m/>
    <s v="CHEVROLET"/>
    <s v="VICENTE PATARROYO"/>
    <x v="0"/>
    <s v="DESVARO: CHEQUEO ELECTRICO"/>
    <n v="50000"/>
    <n v="30000"/>
    <n v="20000"/>
    <m/>
    <m/>
    <m/>
    <s v="CANCELADO"/>
    <n v="0"/>
  </r>
  <r>
    <x v="6"/>
    <m/>
    <m/>
    <s v="FIAT PALIO"/>
    <m/>
    <x v="1"/>
    <s v="REVISION DE RUEDA TRASERA"/>
    <n v="20000"/>
    <n v="12000"/>
    <n v="8000"/>
    <m/>
    <m/>
    <m/>
    <s v="CANCELADO"/>
    <n v="0"/>
  </r>
  <r>
    <x v="6"/>
    <s v="METALCARGOS"/>
    <m/>
    <s v="NKR"/>
    <s v="TFT-701"/>
    <x v="0"/>
    <s v="MANTENIMIENTO ELECTRICO"/>
    <n v="100000"/>
    <n v="100000"/>
    <n v="40000"/>
    <m/>
    <m/>
    <m/>
    <s v="CANCELADO"/>
    <n v="0"/>
  </r>
  <r>
    <x v="7"/>
    <n v="32"/>
    <m/>
    <s v="VOLKSWAGEN"/>
    <s v="BLU-521"/>
    <x v="3"/>
    <s v="CAMBIO DE BUJES, PUNTA DE EJE LADO DERECHO DELANTERO, SERVICIO DE PRENSA, ROTULAS"/>
    <n v="150000"/>
    <n v="90000"/>
    <n v="60000"/>
    <s v="BUJES, PÚNTA EJE, ROTULAS, SERVICIO DE PRENSA"/>
    <n v="434000"/>
    <n v="541500"/>
    <s v="CANCELADO"/>
    <n v="107500"/>
  </r>
  <r>
    <x v="7"/>
    <m/>
    <m/>
    <s v="CHVROLET NHR"/>
    <s v="JOW-086"/>
    <x v="1"/>
    <s v="GRADUAR FRENOS"/>
    <n v="10000"/>
    <n v="6000"/>
    <n v="4000"/>
    <m/>
    <m/>
    <m/>
    <s v="CANCELADO"/>
    <n v="0"/>
  </r>
  <r>
    <x v="7"/>
    <n v="33"/>
    <m/>
    <s v="CHEVROLET NHR"/>
    <s v="NAE-302"/>
    <x v="4"/>
    <s v="CAMBIAR SPLINDER Y TERMINALES DE DIRECCION"/>
    <n v="200000"/>
    <n v="120000"/>
    <n v="80000"/>
    <s v="CAMBIAR SPLINDER Y TERMINALES DE DIRECCION"/>
    <m/>
    <n v="392352.79"/>
    <s v="CANCELADO"/>
    <n v="392352.79"/>
  </r>
  <r>
    <x v="7"/>
    <m/>
    <m/>
    <s v="NISSAN MARCH"/>
    <s v="HST-590"/>
    <x v="1"/>
    <s v="REVISION DE FRENOS Y CAMBIO DE ANTIRUIDOS"/>
    <n v="50000"/>
    <n v="30000"/>
    <n v="20000"/>
    <s v="ANTIRUIDOS"/>
    <n v="30000"/>
    <n v="30000"/>
    <s v="CANCELADO"/>
    <n v="0"/>
  </r>
  <r>
    <x v="7"/>
    <n v="378"/>
    <m/>
    <s v="NISSAN VERSA"/>
    <s v="HKK-746"/>
    <x v="4"/>
    <s v="CAMBIO DE DISCOS Y PASTILLAS"/>
    <n v="40000"/>
    <n v="24000"/>
    <n v="16000"/>
    <s v="PASTILLAS Y DISCOS"/>
    <m/>
    <n v="280000"/>
    <s v="CANCELADO"/>
    <n v="280000"/>
  </r>
  <r>
    <x v="7"/>
    <m/>
    <m/>
    <s v="ISUZU "/>
    <s v="SPM-575"/>
    <x v="1"/>
    <s v="CAMBIO DE CHUPAS Y LIQUIDO"/>
    <n v="50000"/>
    <n v="30000"/>
    <n v="20000"/>
    <s v="CHUPAS, LIQUIDO, GRASA"/>
    <m/>
    <n v="45000"/>
    <s v="CANCELADO"/>
    <n v="45000"/>
  </r>
  <r>
    <x v="7"/>
    <m/>
    <m/>
    <s v="WPS-178"/>
    <s v="HINO"/>
    <x v="4"/>
    <s v="GRADUAR FRENOS"/>
    <n v="10000"/>
    <n v="6000"/>
    <n v="4000"/>
    <m/>
    <m/>
    <m/>
    <s v="CANCELADO"/>
    <n v="0"/>
  </r>
  <r>
    <x v="8"/>
    <m/>
    <m/>
    <s v="FORD"/>
    <s v="RBV-506"/>
    <x v="0"/>
    <s v="CAMBIO DE BOMBILLO"/>
    <n v="20000"/>
    <n v="12000"/>
    <n v="8000"/>
    <m/>
    <m/>
    <m/>
    <s v="CANCELADO"/>
    <n v="0"/>
  </r>
  <r>
    <x v="8"/>
    <s v="F-3-36"/>
    <m/>
    <s v="RENAULT SYMBOL"/>
    <s v="BLT-604"/>
    <x v="4"/>
    <s v="CAMBIO DE RETENEDOR DE REPARTICION"/>
    <n v="160000"/>
    <n v="96000"/>
    <n v="64000"/>
    <s v="RETENEDOR, TORNILLOS"/>
    <n v="41000"/>
    <n v="58000"/>
    <s v="CANCELADO"/>
    <n v="17000"/>
  </r>
  <r>
    <x v="8"/>
    <s v="F-3-35"/>
    <m/>
    <s v="CHEVROLET "/>
    <s v="QGZ-617"/>
    <x v="3"/>
    <s v="CAMBIO DE TERMINAL, GUARDAPOLVO"/>
    <n v="100000"/>
    <n v="60000"/>
    <n v="40000"/>
    <s v="EMPAQUETADURA, TERMINAL, GUARDAPOLVO"/>
    <n v="152600"/>
    <n v="195000"/>
    <s v="CANCELADO"/>
    <n v="42400"/>
  </r>
  <r>
    <x v="8"/>
    <s v="F-3-35"/>
    <m/>
    <s v="CHEVROLET "/>
    <s v="QGZ-617"/>
    <x v="0"/>
    <s v="CAMBIO DE BOMBILLOS"/>
    <n v="20000"/>
    <n v="12000"/>
    <n v="8000"/>
    <s v="BOMBILLOS"/>
    <m/>
    <n v="45000"/>
    <s v="CANCELADO"/>
    <n v="45000"/>
  </r>
  <r>
    <x v="8"/>
    <s v="F-3-37"/>
    <m/>
    <s v=" CORSA"/>
    <s v="FLK-249"/>
    <x v="1"/>
    <s v="GRADUACION Y CAMBIO DE CHUPAS"/>
    <n v="25000"/>
    <n v="15000"/>
    <n v="10000"/>
    <s v="CHUPAS, LIQUIDO"/>
    <m/>
    <n v="25000"/>
    <s v="CANCELADO"/>
    <n v="25000"/>
  </r>
  <r>
    <x v="8"/>
    <m/>
    <m/>
    <s v="CAMION KENWORD"/>
    <m/>
    <x v="5"/>
    <s v="ARREGLO TAPA THERMO"/>
    <n v="148000"/>
    <n v="88800"/>
    <n v="59200"/>
    <m/>
    <m/>
    <m/>
    <s v="CANCELADO"/>
    <n v="0"/>
  </r>
  <r>
    <x v="9"/>
    <m/>
    <m/>
    <s v="RUNNER"/>
    <s v="IIV-261"/>
    <x v="1"/>
    <s v="MANTENIMIENTO DE FRENOS "/>
    <n v="80000"/>
    <n v="48000"/>
    <n v="32000"/>
    <m/>
    <m/>
    <m/>
    <s v="CANCELADO"/>
    <n v="0"/>
  </r>
  <r>
    <x v="9"/>
    <s v="F-40"/>
    <m/>
    <s v="FOTON"/>
    <s v="EXX-566"/>
    <x v="4"/>
    <s v="CAMBIAR SPLINDER DELANTERO"/>
    <n v="170000"/>
    <n v="102000"/>
    <n v="68000"/>
    <s v="SPLINDER, ABRAZADERAS, GASOLINA"/>
    <n v="170000"/>
    <n v="196000"/>
    <s v="CANCELADO"/>
    <n v="26000"/>
  </r>
  <r>
    <x v="9"/>
    <m/>
    <m/>
    <s v="JAC"/>
    <s v="WPS-773"/>
    <x v="1"/>
    <s v="GRADUAR FRENOS"/>
    <n v="10000"/>
    <n v="6000"/>
    <n v="4000"/>
    <m/>
    <m/>
    <m/>
    <s v="CANCELADO"/>
    <n v="0"/>
  </r>
  <r>
    <x v="10"/>
    <s v="F-379"/>
    <m/>
    <s v="DUSTER"/>
    <s v="WCZ-712"/>
    <x v="0"/>
    <s v="CAMBIO DE ALTERNADOR"/>
    <n v="100000"/>
    <n v="100000"/>
    <n v="40000"/>
    <m/>
    <m/>
    <m/>
    <s v="CANCELADO"/>
    <n v="0"/>
  </r>
  <r>
    <x v="10"/>
    <m/>
    <m/>
    <s v="RENAULT BUSETA"/>
    <m/>
    <x v="1"/>
    <s v="MANTENIMIENTO DE FRENO TRASERO"/>
    <n v="30000"/>
    <n v="18000"/>
    <n v="12000"/>
    <m/>
    <m/>
    <m/>
    <s v="CANCELADO"/>
    <n v="0"/>
  </r>
  <r>
    <x v="10"/>
    <m/>
    <m/>
    <s v="JAC"/>
    <s v="ERK-645"/>
    <x v="4"/>
    <s v="CAMBIO DE RETENEDOR Y CHUPAS"/>
    <n v="40000"/>
    <n v="24000"/>
    <n v="16000"/>
    <s v="TORNILLO, GRASA, CHUPAS, GASOLINA, SILICONA"/>
    <m/>
    <n v="80000"/>
    <s v="CANCELADO"/>
    <n v="80000"/>
  </r>
  <r>
    <x v="10"/>
    <s v="F-41"/>
    <m/>
    <s v="MAZDA"/>
    <s v="CTB-623"/>
    <x v="1"/>
    <s v="CAMBIO DE AMORTIGUADOR, REPARACION DE TEMPLETE, CAMBIO DE BANDAS Y CHUPAS"/>
    <n v="130000"/>
    <n v="78000"/>
    <n v="52000"/>
    <s v="BANDAS, CHUPAS"/>
    <n v="25000"/>
    <n v="90000"/>
    <s v="CANCELADO"/>
    <n v="65000"/>
  </r>
  <r>
    <x v="11"/>
    <s v="f-380"/>
    <m/>
    <s v="FORD 4*4"/>
    <s v="GBM-671"/>
    <x v="1"/>
    <s v="MANTENIMIENTO DE FRENO, CAMBIO DE PASTILLAS, ALINEACION, AJUSTE DE SUSPENSION"/>
    <n v="80000"/>
    <n v="48000"/>
    <n v="32000"/>
    <s v="EXCEDENTE DE BANDAS"/>
    <n v="42000"/>
    <n v="100000"/>
    <s v="CANCELADO"/>
    <n v="58000"/>
  </r>
  <r>
    <x v="11"/>
    <m/>
    <m/>
    <s v="RENAULT SYMBOL"/>
    <s v="RGU-936"/>
    <x v="1"/>
    <s v="CAMBIO DE BOMBA DE FRENO Y LIQUIDO"/>
    <n v="90000"/>
    <n v="54000"/>
    <n v="36000"/>
    <s v="BOMBA DE FRENO Y LIQUIDO"/>
    <n v="256000"/>
    <n v="350000"/>
    <s v="CANCELADO"/>
    <n v="94000"/>
  </r>
  <r>
    <x v="11"/>
    <s v="F-381"/>
    <m/>
    <s v="HYUNDAI TUCSON"/>
    <m/>
    <x v="2"/>
    <s v="CAMBIO DE PASTILLAS Y DISCOS / ARREGLO FUGA MORDAZA DELANTERAS"/>
    <n v="100000"/>
    <n v="60000"/>
    <n v="40000"/>
    <s v="BANDAS Y DISCOS"/>
    <n v="404000"/>
    <n v="580000"/>
    <s v="CANCELADO"/>
    <n v="176000"/>
  </r>
  <r>
    <x v="12"/>
    <m/>
    <m/>
    <s v="CHEVROLET"/>
    <s v="EGZ-958"/>
    <x v="1"/>
    <s v="GRADUAR FRENOS"/>
    <n v="10000"/>
    <n v="6000"/>
    <n v="6000"/>
    <m/>
    <m/>
    <m/>
    <s v="CANCELADO"/>
    <n v="0"/>
  </r>
  <r>
    <x v="12"/>
    <m/>
    <m/>
    <s v="HYUNDAI"/>
    <s v="ETM-604"/>
    <x v="1"/>
    <s v="GRADUAR FRENOS"/>
    <n v="10000"/>
    <n v="6000"/>
    <n v="6000"/>
    <m/>
    <m/>
    <m/>
    <s v="CANCELADO"/>
    <n v="0"/>
  </r>
  <r>
    <x v="12"/>
    <m/>
    <m/>
    <s v="MAZDA 323"/>
    <s v="HJI-515"/>
    <x v="3"/>
    <s v="ARREGLO DE CARBURADOR"/>
    <n v="50000"/>
    <n v="30000"/>
    <n v="20000"/>
    <m/>
    <m/>
    <m/>
    <s v="CANCELADO"/>
    <n v="0"/>
  </r>
  <r>
    <x v="13"/>
    <s v="F-3-44"/>
    <m/>
    <s v="TOYOTA"/>
    <s v="BTA-457"/>
    <x v="0"/>
    <s v="CHEQUEO ELECTRICO"/>
    <n v="20000"/>
    <n v="12000"/>
    <n v="8000"/>
    <s v="FUSIBLE"/>
    <n v="500"/>
    <n v="1000"/>
    <s v="CANCELADO"/>
    <n v="500"/>
  </r>
  <r>
    <x v="13"/>
    <m/>
    <m/>
    <s v="CHEVROLET"/>
    <s v="HTS-113"/>
    <x v="1"/>
    <s v="MANTENIMEINTO RUEDA TRASERA"/>
    <n v="30000"/>
    <n v="18000"/>
    <n v="12000"/>
    <m/>
    <m/>
    <m/>
    <s v="CANCELADO"/>
    <n v="0"/>
  </r>
  <r>
    <x v="13"/>
    <n v="384"/>
    <m/>
    <s v="GRAN VITARA"/>
    <s v="BC-441"/>
    <x v="1"/>
    <s v="MANTENIMIENTO DE FRENOS TRASEROS"/>
    <n v="30000"/>
    <n v="30000"/>
    <n v="12000"/>
    <m/>
    <m/>
    <m/>
    <s v="CANCELADO"/>
    <n v="0"/>
  </r>
  <r>
    <x v="13"/>
    <n v="384"/>
    <m/>
    <s v="GRAN VITARA"/>
    <s v="BC-441"/>
    <x v="4"/>
    <s v="CAMBIO DE TERMINALES, GUARDAPOLVO"/>
    <n v="150000"/>
    <n v="90000"/>
    <n v="60000"/>
    <s v="TERMINALES/GUARDAPOLVO/GRASA/GASOLINA"/>
    <n v="80000"/>
    <n v="150000"/>
    <s v="CANCELADO"/>
    <n v="70000"/>
  </r>
  <r>
    <x v="13"/>
    <n v="385"/>
    <m/>
    <s v="RENAULT"/>
    <s v="JDR-513"/>
    <x v="0"/>
    <s v="CAMBIO DE FUSIBLES Y TERMINALES"/>
    <n v="10000"/>
    <n v="6000"/>
    <n v="4000"/>
    <s v="TERMINALES/PORTA FUSIBLE/FUSIBLE"/>
    <n v="4800"/>
    <n v="8000"/>
    <s v="CANCELADO"/>
    <n v="3200"/>
  </r>
  <r>
    <x v="13"/>
    <s v="F-47"/>
    <m/>
    <s v="NQR"/>
    <s v="WOS-474"/>
    <x v="3"/>
    <s v="MANTENIMIENTO DE ADMISION, MANTENIMIENTO DE VALVULA EGR"/>
    <n v="600000"/>
    <n v="360000"/>
    <n v="340000"/>
    <s v="CORREA DE ACCESORIO, SODA CAUSTICA, LIQUIDO ACPM, TORNILLOS"/>
    <n v="63000"/>
    <n v="110000"/>
    <s v="CANCELADO"/>
    <n v="47000"/>
  </r>
  <r>
    <x v="14"/>
    <s v="F-48"/>
    <m/>
    <s v="TWINGO"/>
    <s v="CKE-173"/>
    <x v="4"/>
    <s v="CALIBRACION DE VALVULAS"/>
    <n v="100000"/>
    <n v="60000"/>
    <n v="40000"/>
    <s v="EMPAQUETADURA TAPA VALVULA, GASOLINA, SILICONA"/>
    <n v="20000"/>
    <n v="40000"/>
    <s v="CANCELADO"/>
    <n v="20000"/>
  </r>
  <r>
    <x v="14"/>
    <s v="F-345"/>
    <m/>
    <s v="WILLYS"/>
    <s v="HZJ-233"/>
    <x v="0"/>
    <s v="CAMBIO DE ALTERNADOR"/>
    <n v="100000"/>
    <n v="60000"/>
    <n v="40000"/>
    <m/>
    <m/>
    <m/>
    <s v="CANCELADO"/>
    <n v="0"/>
  </r>
  <r>
    <x v="14"/>
    <s v="F-386"/>
    <m/>
    <s v="VOLKSWAGEN"/>
    <s v="JKZ-160"/>
    <x v="1"/>
    <s v="CAMBIO DE ESPARRAGOS"/>
    <n v="30000"/>
    <n v="18000"/>
    <n v="12000"/>
    <s v="ESPARRAGOS"/>
    <n v="19000"/>
    <n v="28000"/>
    <s v="CANCELADO"/>
    <n v="9000"/>
  </r>
  <r>
    <x v="14"/>
    <m/>
    <m/>
    <s v="RENAULT LOGAN"/>
    <s v="RZJ-269"/>
    <x v="1"/>
    <s v="GRADUAR FRENOS"/>
    <n v="10000"/>
    <n v="6000"/>
    <n v="4000"/>
    <m/>
    <m/>
    <m/>
    <s v="CANCELADO"/>
    <n v="0"/>
  </r>
  <r>
    <x v="15"/>
    <s v="F-3-49"/>
    <m/>
    <s v="CHVROLET  SAIL"/>
    <s v="MHS-478"/>
    <x v="1"/>
    <s v="CAMBIAR AMORTIGUADOR DELANTERO DERECHO"/>
    <n v="40000"/>
    <n v="24000"/>
    <n v="16000"/>
    <s v="TORRE DE AMORTIGUADOR"/>
    <n v="38000"/>
    <n v="55000"/>
    <s v="CANCELADO"/>
    <n v="17000"/>
  </r>
  <r>
    <x v="15"/>
    <m/>
    <m/>
    <s v="PEUGEOT"/>
    <s v="BMX-676"/>
    <x v="4"/>
    <s v="SINCRONIZACION"/>
    <n v="120000"/>
    <n v="100000"/>
    <n v="20000"/>
    <m/>
    <m/>
    <m/>
    <s v="CANCELADO"/>
    <n v="0"/>
  </r>
  <r>
    <x v="16"/>
    <m/>
    <m/>
    <s v="JMC ISUZU"/>
    <s v="TSM-580"/>
    <x v="2"/>
    <s v="GRADUACION DE FRENOS"/>
    <n v="10000"/>
    <n v="6000"/>
    <n v="4000"/>
    <m/>
    <m/>
    <m/>
    <s v="CANCELADO"/>
    <n v="0"/>
  </r>
  <r>
    <x v="16"/>
    <m/>
    <m/>
    <s v="CHEVROLET"/>
    <s v="BSZ-607"/>
    <x v="3"/>
    <s v="SINCRONIZADA"/>
    <n v="120000"/>
    <n v="72000"/>
    <n v="48000"/>
    <m/>
    <m/>
    <m/>
    <s v="CANCELADO"/>
    <n v="0"/>
  </r>
  <r>
    <x v="16"/>
    <s v="F-3-50"/>
    <m/>
    <s v="RENAULT"/>
    <s v="JIC-984"/>
    <x v="1"/>
    <s v="CAMBIO DE EMPAQUETADURA DE LA BOMBA DE GASOLINA"/>
    <n v="20000"/>
    <n v="12000"/>
    <n v="8000"/>
    <s v="EMPAQUETADURA BOMBA DE GASOLINA, CHICLERES"/>
    <n v="18000"/>
    <n v="24000"/>
    <s v="CANCELADO"/>
    <n v="6000"/>
  </r>
  <r>
    <x v="16"/>
    <m/>
    <m/>
    <s v="CHEVROLET"/>
    <s v="TGK-040"/>
    <x v="0"/>
    <s v="CAMBIO DE MANGUERA DE ALTERNADOR"/>
    <n v="20000"/>
    <n v="12000"/>
    <n v="8000"/>
    <s v="MANGUERA"/>
    <n v="15000"/>
    <n v="20000"/>
    <s v="CANCELADO"/>
    <n v="5000"/>
  </r>
  <r>
    <x v="16"/>
    <s v="F-3-52"/>
    <m/>
    <s v="CHEVROLET CHEVY"/>
    <s v="BSB-542"/>
    <x v="1"/>
    <s v="CAMBIO DE RESORTE DE BANDAS "/>
    <n v="30000"/>
    <n v="18000"/>
    <n v="12000"/>
    <s v="JUEGO DE RESORTES DE BANDAS, PIN"/>
    <n v="41000"/>
    <n v="90000"/>
    <s v="CANCELADO"/>
    <n v="49000"/>
  </r>
  <r>
    <x v="16"/>
    <s v="F-3-53"/>
    <m/>
    <s v="DODGE JOURNEY"/>
    <s v="HHZ-781"/>
    <x v="1"/>
    <s v="CAMBIO DE BRAZOS AXIALES Y TERMINALE DE DIRECCION"/>
    <n v="80000"/>
    <n v="48000"/>
    <n v="32000"/>
    <s v="BRAZOS AXIALES Y TERMINAL"/>
    <n v="245000"/>
    <n v="370000"/>
    <s v="CANCELADO"/>
    <n v="125000"/>
  </r>
  <r>
    <x v="16"/>
    <s v="F-3-54"/>
    <m/>
    <s v="HINO"/>
    <s v="WFG-235"/>
    <x v="1"/>
    <s v="CAMBIO DE PASTILLAS DELANTERAS"/>
    <n v="70000"/>
    <n v="42000"/>
    <n v="28000"/>
    <s v="PASTILLAS DELANTERAS"/>
    <n v="133000"/>
    <n v="196000"/>
    <s v="CANCELADO"/>
    <n v="63000"/>
  </r>
  <r>
    <x v="16"/>
    <s v="F-387"/>
    <m/>
    <s v="FOTON"/>
    <s v="SPX-665"/>
    <x v="0"/>
    <s v="INSTALACION DE LUCES FURGON"/>
    <n v="50000"/>
    <n v="30000"/>
    <n v="20000"/>
    <s v="CINTA LED BLANCA"/>
    <n v="19000"/>
    <n v="25000"/>
    <s v="CANCELADO"/>
    <n v="6000"/>
  </r>
  <r>
    <x v="16"/>
    <m/>
    <m/>
    <s v="VOLKSWAGEN"/>
    <s v="RCJ-448"/>
    <x v="1"/>
    <s v="REVISION DE RUEDAS "/>
    <n v="60000"/>
    <n v="36000"/>
    <n v="24000"/>
    <s v="RETEN, CHUPAS, GASOLINA, GRASA"/>
    <n v="55000"/>
    <n v="35000"/>
    <s v="CANCELADO"/>
    <n v="-20000"/>
  </r>
  <r>
    <x v="16"/>
    <m/>
    <m/>
    <s v="RENAULT"/>
    <m/>
    <x v="4"/>
    <s v="CAMBIO DE TAPA VALVULA"/>
    <n v="30000"/>
    <n v="18000"/>
    <n v="12000"/>
    <m/>
    <m/>
    <m/>
    <s v="CANCELADO"/>
    <n v="0"/>
  </r>
  <r>
    <x v="17"/>
    <s v="COTIZACION "/>
    <m/>
    <s v="RENAULT CLIO"/>
    <s v="BJL-826"/>
    <x v="1"/>
    <s v="CAMBIO DE PASTILLAS DELANTERAS Y LIQUIDO"/>
    <n v="60000"/>
    <n v="50000"/>
    <n v="24000"/>
    <s v="MANGUERA DE FRENOS, BANDAS, GRADUACIONES,"/>
    <n v="146051"/>
    <n v="420000"/>
    <s v="CANCELADO"/>
    <n v="273949"/>
  </r>
  <r>
    <x v="17"/>
    <s v="COTIZACION "/>
    <m/>
    <s v="RENAULT CLIO"/>
    <s v="BJL-826"/>
    <x v="3"/>
    <s v="CAMBIAR KIT DE REPARTICION "/>
    <n v="100000"/>
    <n v="60000"/>
    <n v="40000"/>
    <s v=" KIT DE REPARTICION"/>
    <m/>
    <m/>
    <s v="CANCELADO"/>
    <n v="0"/>
  </r>
  <r>
    <x v="17"/>
    <s v="FACTURA 56"/>
    <m/>
    <s v="JAC"/>
    <s v="ERL-333"/>
    <x v="1"/>
    <s v="CAMBIO DE BANDAS"/>
    <n v="40000"/>
    <n v="24000"/>
    <n v="16000"/>
    <s v="EL CLIENTE TRAJO LAS BANDAS"/>
    <m/>
    <m/>
    <s v="CANCELADO"/>
    <n v="0"/>
  </r>
  <r>
    <x v="18"/>
    <s v="FACT-56"/>
    <m/>
    <s v="FOTON"/>
    <s v="SPX-665"/>
    <x v="4"/>
    <s v="CAMBIO DE SPLINDER"/>
    <n v="200000"/>
    <n v="120000"/>
    <n v="80000"/>
    <m/>
    <m/>
    <m/>
    <s v="CANCELADO"/>
    <n v="0"/>
  </r>
  <r>
    <x v="18"/>
    <m/>
    <m/>
    <s v="SPARK"/>
    <s v="CHEVROLET"/>
    <x v="6"/>
    <s v="SERVICIO DE ESCANER"/>
    <n v="30000"/>
    <n v="30000"/>
    <n v="20000"/>
    <m/>
    <m/>
    <m/>
    <s v="CANCELADO"/>
    <n v="0"/>
  </r>
  <r>
    <x v="18"/>
    <m/>
    <m/>
    <s v="SPARK"/>
    <s v="CHEVROLET"/>
    <x v="4"/>
    <s v="MANTENIMIENTO DE SENSOR DE POSICION"/>
    <n v="100000"/>
    <n v="60000"/>
    <n v="40000"/>
    <m/>
    <m/>
    <m/>
    <s v="CANCELADO"/>
    <n v="0"/>
  </r>
  <r>
    <x v="18"/>
    <m/>
    <m/>
    <s v="MITSUBISHI"/>
    <s v="SKK-862"/>
    <x v="0"/>
    <s v="MANTENIMIENTO DE FRENOS"/>
    <n v="35000"/>
    <n v="35000"/>
    <n v="14000"/>
    <m/>
    <m/>
    <m/>
    <s v="CANCELADO"/>
    <n v="0"/>
  </r>
  <r>
    <x v="18"/>
    <m/>
    <m/>
    <s v="MITSUBISHI"/>
    <s v="SKK-862"/>
    <x v="1"/>
    <s v="MANTENIMIENTO DE FRENOS"/>
    <n v="35000"/>
    <n v="35000"/>
    <n v="14000"/>
    <m/>
    <m/>
    <m/>
    <s v="CANCELADO"/>
    <n v="0"/>
  </r>
  <r>
    <x v="18"/>
    <m/>
    <m/>
    <s v="RENAULT CLIO"/>
    <s v="CYV-936"/>
    <x v="3"/>
    <s v="CAMBIO DE AMORTIGUADORES Y CAUCHO COPA CAJA"/>
    <n v="150000"/>
    <n v="90000"/>
    <n v="60000"/>
    <m/>
    <m/>
    <m/>
    <s v="CANCELADO"/>
    <n v="0"/>
  </r>
  <r>
    <x v="18"/>
    <s v="CT- 21"/>
    <m/>
    <s v="NISSAN SENTRA"/>
    <s v="CXV-980"/>
    <x v="1"/>
    <s v="CAMBIO BOMBA DE FRENO Y CAMBIO DE LIQUIDO"/>
    <n v="150000"/>
    <n v="90000"/>
    <n v="60000"/>
    <m/>
    <m/>
    <m/>
    <s v="CANCELADO"/>
    <n v="0"/>
  </r>
  <r>
    <x v="18"/>
    <s v="CT-25"/>
    <m/>
    <s v="TOYOTA HILUX"/>
    <s v="RGX-896"/>
    <x v="6"/>
    <s v="BAJAR CAJA DE DIRECCION Y REVISAR FRENOS"/>
    <n v="410000"/>
    <n v="246000"/>
    <n v="164000"/>
    <s v="CAJA DE DIRECCION"/>
    <n v="1050000"/>
    <n v="1380000"/>
    <s v="CANCELADO"/>
    <n v="330000"/>
  </r>
  <r>
    <x v="18"/>
    <s v="CT-18"/>
    <m/>
    <s v="CHERY TIGO"/>
    <s v="WNY-929"/>
    <x v="1"/>
    <s v="REVISION DE FRENOS"/>
    <n v="70000"/>
    <n v="42000"/>
    <n v="28000"/>
    <m/>
    <m/>
    <m/>
    <s v="CANCELADO"/>
    <n v="0"/>
  </r>
  <r>
    <x v="18"/>
    <s v="CT- 22"/>
    <m/>
    <s v="RENAULT"/>
    <s v="TFQ-819"/>
    <x v="3"/>
    <s v="BAJAR CAJA DE CARTER"/>
    <n v="200000"/>
    <n v="120000"/>
    <n v="80000"/>
    <m/>
    <m/>
    <m/>
    <s v="CANCELADO"/>
    <n v="0"/>
  </r>
  <r>
    <x v="18"/>
    <s v="CT-27"/>
    <m/>
    <s v="NISSAN D21"/>
    <s v="DYQ-134"/>
    <x v="1"/>
    <s v="CAMBIO DE GUAYAS"/>
    <n v="50000"/>
    <n v="30000"/>
    <n v="20000"/>
    <s v="GUAYA"/>
    <n v="220000"/>
    <n v="250000"/>
    <s v="CANCELADO"/>
    <n v="30000"/>
  </r>
  <r>
    <x v="18"/>
    <s v="CT- 27"/>
    <m/>
    <s v="NISSAN D21"/>
    <s v="DYQ-134"/>
    <x v="0"/>
    <s v="REPARACION DE ALTERNADOR"/>
    <n v="70000"/>
    <n v="42000"/>
    <n v="28000"/>
    <s v="PORTADIODO Y CARBONERA"/>
    <n v="140000"/>
    <n v="150000"/>
    <s v="CANCELADO"/>
    <n v="10000"/>
  </r>
  <r>
    <x v="18"/>
    <m/>
    <m/>
    <s v="FORD 150"/>
    <s v="FAK-163"/>
    <x v="6"/>
    <s v="CAMBIO DE PASTIILAS DELANTERAS Y REVISAR TRASERAS, CAMBIAR BANDAS Y GRADUACIONES"/>
    <n v="250000"/>
    <n v="150000"/>
    <n v="100000"/>
    <s v="PASTILLAS DELANTERAS, RETENEDOR, BANDAS, GRADUACIONES"/>
    <n v="322000"/>
    <n v="397000"/>
    <s v="CANCELADO"/>
    <n v="75000"/>
  </r>
  <r>
    <x v="18"/>
    <m/>
    <m/>
    <s v="HINO"/>
    <s v="WNO-408"/>
    <x v="1"/>
    <s v="GRADUAR FRENOS"/>
    <n v="10000"/>
    <n v="6000"/>
    <n v="4000"/>
    <m/>
    <m/>
    <m/>
    <s v="CANCELADO"/>
    <n v="0"/>
  </r>
  <r>
    <x v="18"/>
    <m/>
    <m/>
    <s v="TURBO NPR"/>
    <s v="SKH-709"/>
    <x v="1"/>
    <s v="CAMBIO DE MANGUERA Y GRADUAR FRENOS"/>
    <n v="40000"/>
    <n v="24000"/>
    <n v="16000"/>
    <m/>
    <m/>
    <m/>
    <s v="CANCELADO"/>
    <n v="0"/>
  </r>
  <r>
    <x v="19"/>
    <m/>
    <m/>
    <s v="CHEVROLET SPARK"/>
    <s v="IIT-735"/>
    <x v="6"/>
    <s v="AJUSTE DE RODAMIENTOS"/>
    <n v="10000"/>
    <n v="6000"/>
    <n v="4000"/>
    <m/>
    <m/>
    <m/>
    <s v="CANCELADO"/>
    <n v="0"/>
  </r>
  <r>
    <x v="19"/>
    <s v="CT-23"/>
    <m/>
    <s v="MAZDA 3"/>
    <s v="IYN-045"/>
    <x v="6"/>
    <s v="CAMBIO DE RODAMIENTOS Y GUARDAPOLVO"/>
    <n v="100000"/>
    <n v="60000"/>
    <n v="40000"/>
    <s v="RODAMIENTOS, GUARDAPOLVO"/>
    <n v="281200"/>
    <n v="410000"/>
    <s v="CANCELADO"/>
    <n v="128800"/>
  </r>
  <r>
    <x v="19"/>
    <m/>
    <m/>
    <s v="CHEVROLET"/>
    <s v="AEF-028"/>
    <x v="1"/>
    <s v="BAJAR RUEDAS TRASERAS"/>
    <n v="100000"/>
    <n v="60000"/>
    <n v="40000"/>
    <m/>
    <m/>
    <m/>
    <s v="CANCELADO"/>
    <n v="0"/>
  </r>
  <r>
    <x v="19"/>
    <m/>
    <m/>
    <s v="HYUNDAI"/>
    <n v="72"/>
    <x v="4"/>
    <s v="BAJAR CAJA"/>
    <n v="450000"/>
    <n v="270000"/>
    <n v="180000"/>
    <m/>
    <m/>
    <m/>
    <s v="CANCELADO"/>
    <n v="0"/>
  </r>
  <r>
    <x v="19"/>
    <s v="CT-26"/>
    <m/>
    <s v="CHEVROLET ONIX"/>
    <s v="JIO-052"/>
    <x v="1"/>
    <s v="MANTENIMIENTO DE FRENOS"/>
    <n v="50000"/>
    <n v="30000"/>
    <n v="20000"/>
    <m/>
    <m/>
    <m/>
    <s v="CANCELADO"/>
    <n v="0"/>
  </r>
  <r>
    <x v="20"/>
    <m/>
    <m/>
    <m/>
    <m/>
    <x v="0"/>
    <s v="DESVARE"/>
    <n v="20000"/>
    <n v="12000"/>
    <n v="8000"/>
    <m/>
    <m/>
    <m/>
    <s v="CANCELADO"/>
    <n v="0"/>
  </r>
  <r>
    <x v="20"/>
    <m/>
    <m/>
    <s v="KIA"/>
    <s v="DCN-248"/>
    <x v="3"/>
    <s v="CAMBIO DE MANGUERA"/>
    <n v="20000"/>
    <n v="12000"/>
    <n v="8000"/>
    <m/>
    <m/>
    <m/>
    <s v="CANCELADO"/>
    <n v="0"/>
  </r>
  <r>
    <x v="20"/>
    <m/>
    <m/>
    <s v="RENAULT CLIO"/>
    <s v="BDV-427"/>
    <x v="1"/>
    <s v="REVISION DE FRENOS"/>
    <n v="50000"/>
    <n v="30000"/>
    <n v="20000"/>
    <m/>
    <m/>
    <m/>
    <s v="CANCELADO"/>
    <n v="0"/>
  </r>
  <r>
    <x v="20"/>
    <m/>
    <m/>
    <s v="CHERY"/>
    <s v="TTO-157"/>
    <x v="6"/>
    <s v="SIMCRONIZACION Y LAVADO DE INYECTORES"/>
    <n v="150000"/>
    <n v="80000"/>
    <n v="60000"/>
    <s v="BUJIAS, FILTRO DE GASOLINA"/>
    <n v="58000"/>
    <n v="75000"/>
    <s v="CANCELADO"/>
    <n v="17000"/>
  </r>
  <r>
    <x v="20"/>
    <m/>
    <m/>
    <s v="PEUGEOT"/>
    <s v="BJC-966"/>
    <x v="3"/>
    <s v="CAMBIO KIT DE CLOSH Y GUARDAPOLVO"/>
    <n v="300000"/>
    <n v="180000"/>
    <n v="120000"/>
    <s v="KIT DE CLOSH"/>
    <m/>
    <m/>
    <s v="CANCELADO"/>
    <n v="0"/>
  </r>
  <r>
    <x v="20"/>
    <m/>
    <m/>
    <s v="FOTON"/>
    <s v="JOX-062"/>
    <x v="4"/>
    <s v="CAMBIO DE AMORTIGUADORES Y LIQUIDO"/>
    <n v="120000"/>
    <n v="72000"/>
    <n v="48000"/>
    <s v="AMORTIGUADORES, GUARDAPOLVO"/>
    <n v="350000"/>
    <n v="520000"/>
    <s v="CANCELADO"/>
    <n v="170000"/>
  </r>
  <r>
    <x v="20"/>
    <m/>
    <m/>
    <s v="CAMION"/>
    <s v="CIF-574"/>
    <x v="2"/>
    <s v="GRADUACION DE FRENOS"/>
    <n v="10000"/>
    <n v="6000"/>
    <n v="4000"/>
    <m/>
    <m/>
    <m/>
    <s v="CANCELADO"/>
    <n v="0"/>
  </r>
  <r>
    <x v="19"/>
    <m/>
    <m/>
    <s v="NISSAN FRONTIER"/>
    <s v="FWX-911"/>
    <x v="2"/>
    <s v="ESCANER"/>
    <n v="150000"/>
    <n v="90000"/>
    <n v="60000"/>
    <m/>
    <m/>
    <m/>
    <s v="CANCELADO"/>
    <n v="0"/>
  </r>
  <r>
    <x v="21"/>
    <s v="F-68"/>
    <m/>
    <s v="RENAULT SYMBOL"/>
    <s v="CVL-925"/>
    <x v="6"/>
    <s v="CAMBIAR GRADUACION DE FRENOS Y CILINDRO TRASERO IZQ"/>
    <n v="40000"/>
    <n v="24000"/>
    <n v="16000"/>
    <s v="GRADUACION DE FRENOS, CILINDRO DE FRENOS"/>
    <n v="94000"/>
    <n v="120000"/>
    <s v="CANCELADO"/>
    <n v="26000"/>
  </r>
  <r>
    <x v="21"/>
    <s v="F-67"/>
    <m/>
    <s v="CHEYENNE"/>
    <s v="BJT-038"/>
    <x v="1"/>
    <s v="CAMBIO DE PASTILLAS"/>
    <n v="30000"/>
    <n v="18000"/>
    <n v="12000"/>
    <s v="PASTILLAS"/>
    <n v="120000"/>
    <n v="180000"/>
    <s v="CANCELADO"/>
    <n v="60000"/>
  </r>
  <r>
    <x v="21"/>
    <m/>
    <m/>
    <s v="FREIGHTLINER"/>
    <s v="SXW-201"/>
    <x v="6"/>
    <s v="CHEQUEO DE RUADAS TRASERAS"/>
    <n v="80000"/>
    <n v="48000"/>
    <n v="32000"/>
    <m/>
    <m/>
    <m/>
    <s v="CANCELADO"/>
    <n v="0"/>
  </r>
  <r>
    <x v="21"/>
    <s v="F-65 / R-2"/>
    <m/>
    <s v="CHEVROLET SAIL"/>
    <s v="UEY-770"/>
    <x v="6"/>
    <s v="CAMBIO DE TIJERAS, MUÑECO LADO IZQ "/>
    <n v="160000"/>
    <n v="96000"/>
    <n v="64000"/>
    <s v="(2) TIJERAS, MUÑECO LADO IZQ"/>
    <n v="275000"/>
    <n v="350000"/>
    <s v="CANCELADO"/>
    <n v="75000"/>
  </r>
  <r>
    <x v="21"/>
    <m/>
    <m/>
    <s v="NHR"/>
    <s v="WOS-908"/>
    <x v="2"/>
    <s v="GRADUAR FRENOS"/>
    <n v="10000"/>
    <n v="6000"/>
    <n v="4000"/>
    <m/>
    <m/>
    <m/>
    <s v="CANCELADO"/>
    <n v="0"/>
  </r>
  <r>
    <x v="22"/>
    <s v="F69 /R-1-3"/>
    <m/>
    <s v="CLIO 1ERA SERIE"/>
    <s v="BUL-826"/>
    <x v="3"/>
    <s v="CAMBIO DE KIT DE CLOSH, INYECTOR Y SOPORTE IZQ"/>
    <n v="180000"/>
    <n v="108000"/>
    <n v="72000"/>
    <s v="KIT DE CLOSH, EMPAQUE, INYECTOR, SOPORTE DE CAJA , VALVULINA"/>
    <n v="445000"/>
    <n v="565000"/>
    <s v="CANCELADO"/>
    <n v="120000"/>
  </r>
  <r>
    <x v="22"/>
    <s v="CT-31"/>
    <m/>
    <s v="FORD 150"/>
    <s v="SYK-627"/>
    <x v="1"/>
    <s v="CAMBIO DE BUJES DE MORDAZA"/>
    <n v="30000"/>
    <n v="18000"/>
    <n v="12000"/>
    <s v="BUJES DE MORDAZA"/>
    <n v="28000"/>
    <n v="45000"/>
    <s v="CANCELADO"/>
    <n v="17000"/>
  </r>
  <r>
    <x v="23"/>
    <m/>
    <m/>
    <s v="CHEVROLET NPR"/>
    <s v="SQW-799"/>
    <x v="1"/>
    <s v="GRADUAR FRENOS"/>
    <n v="10000"/>
    <n v="6000"/>
    <n v="4000"/>
    <m/>
    <m/>
    <m/>
    <s v="CANCELADO"/>
    <n v="0"/>
  </r>
  <r>
    <x v="23"/>
    <m/>
    <m/>
    <s v="CAMION DE V PATARROYO"/>
    <m/>
    <x v="6"/>
    <s v="GRADUAR FRENOS"/>
    <n v="10000"/>
    <n v="6000"/>
    <n v="4000"/>
    <m/>
    <m/>
    <m/>
    <s v="CANCELADO"/>
    <n v="0"/>
  </r>
  <r>
    <x v="23"/>
    <s v="F-71 /R-4"/>
    <m/>
    <s v="SPARK"/>
    <s v="KGE-941"/>
    <x v="3"/>
    <s v="CAMBIO DE RODAMIENTOS"/>
    <n v="130000"/>
    <n v="78000"/>
    <n v="52000"/>
    <s v="RODAMIENTOS DELANTEROS Y TRASEROS"/>
    <n v="215600"/>
    <n v="310000"/>
    <s v="CANCELADO"/>
    <n v="94400"/>
  </r>
  <r>
    <x v="23"/>
    <s v="F-71 /R-4"/>
    <m/>
    <s v="SPARK"/>
    <s v="KGE-941"/>
    <x v="6"/>
    <s v="REVISION  DE FRENOS"/>
    <n v="40000"/>
    <n v="24000"/>
    <n v="16000"/>
    <m/>
    <m/>
    <m/>
    <s v="CANCELADO"/>
    <n v="0"/>
  </r>
  <r>
    <x v="23"/>
    <s v="F-74 / R -5"/>
    <m/>
    <s v="RENAULT TRAFICT"/>
    <s v="WCZ-799"/>
    <x v="1"/>
    <s v="CAMBIO DE PASTILLAS Y DISCOS, SERVICIO DE PRENSA Y LIQUIDO"/>
    <n v="90000"/>
    <n v="54000"/>
    <n v="36000"/>
    <s v="PASTILLAS, DISCOS, LIQUIDO, SERVICIO DE PRENSA"/>
    <n v="601050"/>
    <n v="872000"/>
    <s v="CANCELADO"/>
    <n v="270950"/>
  </r>
  <r>
    <x v="24"/>
    <m/>
    <m/>
    <s v="DAEWOO"/>
    <s v="CRY-950"/>
    <x v="0"/>
    <s v="CAMBIO DE MANGUETA"/>
    <n v="50000"/>
    <n v="30000"/>
    <n v="20000"/>
    <m/>
    <m/>
    <m/>
    <s v="CANCELADO"/>
    <n v="0"/>
  </r>
  <r>
    <x v="24"/>
    <s v="F-78 / R1-8"/>
    <m/>
    <s v="RENAULT TWINGO"/>
    <s v="CKF-173"/>
    <x v="6"/>
    <s v="CAMBIO DE MANGUERA DE FRENOS"/>
    <n v="40000"/>
    <n v="24000"/>
    <n v="16000"/>
    <s v="LIQUIDO DOT 3 240CM"/>
    <n v="4500"/>
    <m/>
    <s v="CANCELADO"/>
    <n v="-4500"/>
  </r>
  <r>
    <x v="24"/>
    <s v="F-75 / R1-6"/>
    <m/>
    <s v="SUZUKI VITARA"/>
    <s v="GDW-136"/>
    <x v="6"/>
    <s v="CAMBIO DE PASTILLAS DELANTERAS Y TRASERAS, CAMBIO DE LIQUIDO, REVISION DE FRENOS"/>
    <n v="80000"/>
    <n v="48000"/>
    <n v="32000"/>
    <s v="PASTILLAS DELANTERAS, TRASERAS, LIQUIDO"/>
    <n v="257757"/>
    <n v="371000"/>
    <s v="CANCELADO"/>
    <n v="113243"/>
  </r>
  <r>
    <x v="24"/>
    <s v="RM-1-9"/>
    <m/>
    <s v="RENAULT CLIO"/>
    <s v="CYN-936"/>
    <x v="3"/>
    <s v="BAJAR CAJA, CAMBIO DE KIT DE EMBRAGUE, CAMBIO EMPAQUE DE CARTER"/>
    <n v="380000"/>
    <n v="228000"/>
    <n v="152000"/>
    <m/>
    <m/>
    <m/>
    <s v="CANCELADO"/>
    <n v="0"/>
  </r>
  <r>
    <x v="24"/>
    <s v="F-3-77"/>
    <m/>
    <s v="LAND CRUSER"/>
    <s v="CZI-909"/>
    <x v="2"/>
    <s v="CAMBIO DE AMORTIGUADORES TRASEROS"/>
    <n v="60000"/>
    <n v="36000"/>
    <n v="24000"/>
    <s v="AMORTIGUADORES TRASEROS"/>
    <n v="360000"/>
    <n v="490000"/>
    <s v="CANCELADO"/>
    <n v="130000"/>
  </r>
  <r>
    <x v="25"/>
    <s v="F-380"/>
    <m/>
    <s v="CHEVROLET SPARK"/>
    <s v="RMT-940"/>
    <x v="6"/>
    <s v="CAMBIO DE RODAMIENTOS TRASERO IZQ"/>
    <n v="35000"/>
    <n v="21000"/>
    <n v="14000"/>
    <s v="RODAMIENTOS, BOMBILLO"/>
    <n v="60500"/>
    <n v="81000"/>
    <s v="CANCELADO"/>
    <n v="20500"/>
  </r>
  <r>
    <x v="25"/>
    <m/>
    <m/>
    <s v="CHEVROLET CHEVY"/>
    <s v="BSB-542"/>
    <x v="1"/>
    <s v="CAMBIO DE CACHO"/>
    <n v="30000"/>
    <n v="18000"/>
    <n v="12000"/>
    <s v="CACHO, TUERCA, PIN CACHO"/>
    <n v="85000"/>
    <n v="180000"/>
    <s v="CANCELADO"/>
    <n v="95000"/>
  </r>
  <r>
    <x v="25"/>
    <m/>
    <m/>
    <s v="LAND ROVER"/>
    <s v="ANG-006"/>
    <x v="1"/>
    <s v="CAMBIO DE RODAMIENTOS TRASEROS, BANDAS, EMPAQUETADURA DE BOOSTER"/>
    <n v="160000"/>
    <n v="96000"/>
    <n v="64000"/>
    <s v="GASOLINA, RODAMIENTOS TRASEROS, RETENEDORES, JUEGO DE BANDAS, SILICONA, PIN CACHO, LIQUIDO DOT3, ABRAZADERAS, EMP BOOSTER"/>
    <n v="23025"/>
    <n v="593000"/>
    <s v="CANCELADO"/>
    <n v="569975"/>
  </r>
  <r>
    <x v="26"/>
    <m/>
    <m/>
    <s v="RENAULT MEGAN"/>
    <m/>
    <x v="5"/>
    <s v="PULIR RINES"/>
    <n v="120000"/>
    <n v="72000"/>
    <n v="48000"/>
    <m/>
    <m/>
    <m/>
    <s v="CANCELADO"/>
    <n v="0"/>
  </r>
  <r>
    <x v="26"/>
    <m/>
    <m/>
    <s v="NHR"/>
    <s v="WHR-195"/>
    <x v="6"/>
    <s v="DESVARE"/>
    <n v="45000"/>
    <n v="45000"/>
    <n v="18000"/>
    <m/>
    <m/>
    <m/>
    <s v="CANCELADO"/>
    <n v="0"/>
  </r>
  <r>
    <x v="26"/>
    <m/>
    <m/>
    <s v="NHR"/>
    <s v="WHR-195"/>
    <x v="1"/>
    <s v="DESVARE"/>
    <n v="45000"/>
    <n v="45000"/>
    <n v="18000"/>
    <m/>
    <m/>
    <m/>
    <s v="CANCELADO"/>
    <n v="0"/>
  </r>
  <r>
    <x v="26"/>
    <s v="RM-1-14"/>
    <m/>
    <s v="CHEVROLET BLAZER"/>
    <s v="DBA-195"/>
    <x v="0"/>
    <s v="ARREGLO DE ALTERNADOR"/>
    <n v="80000"/>
    <n v="48000"/>
    <n v="32000"/>
    <m/>
    <m/>
    <m/>
    <s v="CANCELADO"/>
    <n v="0"/>
  </r>
  <r>
    <x v="26"/>
    <s v="F-384 / R-15"/>
    <m/>
    <s v="DODGE JOURNEY"/>
    <s v="HHZ-781"/>
    <x v="3"/>
    <s v="SINCORNIZACION, CAMBIO DE MANGUERA Y RETENEDOR DEL DAMPER"/>
    <n v="220000"/>
    <n v="132000"/>
    <n v="88000"/>
    <s v="LIMPIEZA INYECTORES, ABRAZADERAS, BUJIAS"/>
    <n v="47000"/>
    <n v="67000"/>
    <s v="CANCELADO"/>
    <n v="20000"/>
  </r>
  <r>
    <x v="26"/>
    <s v="F-3-82"/>
    <m/>
    <s v="CHEVROLET SAIL"/>
    <s v="DQM-739"/>
    <x v="6"/>
    <s v="CAMBIO DE PASADORES DE MORDAZA "/>
    <n v="50000"/>
    <n v="30000"/>
    <n v="20000"/>
    <s v="JUEGO DE PASADORES, BOMBILLO H4, BOMBILLO 1034"/>
    <n v="38500"/>
    <n v="110000"/>
    <s v="CANCELADO"/>
    <n v="71500"/>
  </r>
  <r>
    <x v="26"/>
    <s v="F-3-83"/>
    <m/>
    <s v="VOLQUETA"/>
    <s v="FTJ-542"/>
    <x v="1"/>
    <s v="BAJAR RUEDAS DELANTERAS"/>
    <n v="100000"/>
    <n v="60000"/>
    <n v="40000"/>
    <s v="GASOLINA, GRASA"/>
    <n v="25000"/>
    <n v="40000"/>
    <s v="CANCELADO"/>
    <n v="15000"/>
  </r>
  <r>
    <x v="26"/>
    <m/>
    <m/>
    <m/>
    <s v="JEEP"/>
    <x v="0"/>
    <s v="CAMBIO DE BOMBILLOS"/>
    <n v="10000"/>
    <n v="6000"/>
    <n v="4000"/>
    <m/>
    <m/>
    <m/>
    <s v="CANCELADO"/>
    <n v="0"/>
  </r>
  <r>
    <x v="27"/>
    <m/>
    <m/>
    <m/>
    <m/>
    <x v="6"/>
    <s v="LAVADO DE INYECTORES"/>
    <n v="30000"/>
    <n v="18000"/>
    <n v="12000"/>
    <m/>
    <m/>
    <m/>
    <s v="CANCELADO"/>
    <n v="0"/>
  </r>
  <r>
    <x v="27"/>
    <m/>
    <m/>
    <m/>
    <m/>
    <x v="6"/>
    <s v="CAMBIO DE EMPAQUE EXOSTO"/>
    <n v="20000"/>
    <n v="12000"/>
    <n v="8000"/>
    <m/>
    <m/>
    <m/>
    <s v="CANCELADO"/>
    <n v="0"/>
  </r>
  <r>
    <x v="27"/>
    <m/>
    <m/>
    <s v="DODGE"/>
    <s v="ELE-893"/>
    <x v="6"/>
    <s v="CAMBIO DE MANGUERA"/>
    <n v="35000"/>
    <n v="21000"/>
    <n v="14000"/>
    <m/>
    <m/>
    <m/>
    <s v="CANCELADO"/>
    <n v="0"/>
  </r>
  <r>
    <x v="27"/>
    <s v="R-1-17"/>
    <m/>
    <s v="JEEP "/>
    <s v="BIO-488"/>
    <x v="0"/>
    <s v="CAMBIO DE ESPARRAGOS"/>
    <n v="50000"/>
    <n v="30000"/>
    <n v="20000"/>
    <m/>
    <m/>
    <m/>
    <s v="CANCELADO"/>
    <n v="0"/>
  </r>
  <r>
    <x v="27"/>
    <s v="R-1-16"/>
    <m/>
    <s v="CHEVROLET SAMURAI"/>
    <s v="FLO-194"/>
    <x v="1"/>
    <s v="MANTENIMIENTO DE RUEDAS TRASERAS, SUAVIZAR FRENO DE MANO, CORREGIR RUIDO DE CAMPANA DERECHA"/>
    <n v="50000"/>
    <n v="30000"/>
    <n v="20000"/>
    <s v="ARANDELAS"/>
    <m/>
    <n v="5000"/>
    <s v="CANCELADO"/>
    <n v="5000"/>
  </r>
  <r>
    <x v="27"/>
    <m/>
    <m/>
    <m/>
    <m/>
    <x v="0"/>
    <s v="CAMBIO DE BOMBILLOS"/>
    <n v="10000"/>
    <n v="6000"/>
    <n v="4000"/>
    <m/>
    <m/>
    <m/>
    <s v="CANCELADO"/>
    <n v="0"/>
  </r>
  <r>
    <x v="27"/>
    <m/>
    <m/>
    <s v="VOLQUETA"/>
    <m/>
    <x v="1"/>
    <s v="CORREGIR FUGA DE VALVULINA"/>
    <n v="20000"/>
    <n v="20000"/>
    <n v="8000"/>
    <m/>
    <m/>
    <m/>
    <s v="CANCELADO"/>
    <n v="0"/>
  </r>
  <r>
    <x v="28"/>
    <m/>
    <m/>
    <m/>
    <m/>
    <x v="4"/>
    <s v="CAMBIO DE TERMINAL DE DIRECCION"/>
    <n v="15000"/>
    <n v="9000"/>
    <n v="6000"/>
    <m/>
    <m/>
    <m/>
    <s v="CANCELADO"/>
    <n v="0"/>
  </r>
  <r>
    <x v="28"/>
    <s v="F-3-90"/>
    <m/>
    <s v="RENAULT MEGAN"/>
    <s v="BTQ-649"/>
    <x v="4"/>
    <s v="BAJAR CULATA/ CAMBIO DE TIJERAS/ CAMBIO DE SOPORTE MOTOR"/>
    <n v="750000"/>
    <n v="450000"/>
    <n v="300000"/>
    <s v="GASOLINA, EMP DE CULTA, SILICONA, BUJIAS, CORREA DE ACCESORIO, PINES PLASTICOS, ABRAZADERAS"/>
    <n v="189000"/>
    <n v="262000"/>
    <s v="CANCELADO"/>
    <n v="73000"/>
  </r>
  <r>
    <x v="28"/>
    <m/>
    <m/>
    <s v="NKR"/>
    <s v="TFT-701"/>
    <x v="4"/>
    <s v="CAMBIO DE MUELLES"/>
    <n v="90000"/>
    <n v="54000"/>
    <n v="36000"/>
    <m/>
    <m/>
    <m/>
    <s v="CANCELADO"/>
    <n v="0"/>
  </r>
  <r>
    <x v="28"/>
    <m/>
    <m/>
    <s v="SANYONG"/>
    <s v="CYL-560"/>
    <x v="6"/>
    <s v="MANTENIMIENTO EGR- INTERCOOLER"/>
    <n v="250000"/>
    <n v="150000"/>
    <n v="100000"/>
    <m/>
    <m/>
    <m/>
    <s v="CANCELADO"/>
    <n v="0"/>
  </r>
  <r>
    <x v="28"/>
    <m/>
    <m/>
    <s v="SANYONG"/>
    <s v="CYL-560"/>
    <x v="1"/>
    <s v="CAMBIO DE SOPORTE DE MOTOR"/>
    <n v="50000"/>
    <n v="30000"/>
    <n v="20000"/>
    <m/>
    <m/>
    <m/>
    <s v="CANCELADO"/>
    <n v="0"/>
  </r>
  <r>
    <x v="28"/>
    <m/>
    <m/>
    <s v="VOLKSWAGEN"/>
    <s v="GOL"/>
    <x v="4"/>
    <s v="CAMBIO CABLE DE ALTA"/>
    <n v="20000"/>
    <n v="12000"/>
    <n v="8000"/>
    <s v="CABLE DE ALTA"/>
    <n v="100000"/>
    <n v="110000"/>
    <s v="CANCELADO"/>
    <n v="10000"/>
  </r>
  <r>
    <x v="28"/>
    <m/>
    <m/>
    <s v="LUV98"/>
    <s v="BJW-839"/>
    <x v="4"/>
    <s v="CAMBIO DE ANTIRUIDOS"/>
    <n v="30000"/>
    <n v="18000"/>
    <n v="12000"/>
    <s v="ANTIRUIDOS"/>
    <n v="16000"/>
    <n v="38000"/>
    <s v="CANCELADO"/>
    <n v="22000"/>
  </r>
  <r>
    <x v="28"/>
    <m/>
    <m/>
    <s v="MB"/>
    <s v="BOL-902"/>
    <x v="3"/>
    <s v="CAMBIO DE TIJERAS, BARRA ESTAB, BUJES DE DIRECCION"/>
    <n v="350000"/>
    <n v="210000"/>
    <n v="140000"/>
    <m/>
    <m/>
    <m/>
    <m/>
    <n v="0"/>
  </r>
  <r>
    <x v="28"/>
    <m/>
    <m/>
    <s v="FRR"/>
    <s v="WOS-477"/>
    <x v="3"/>
    <s v="MANTENIMIENTO VALVULA EGR"/>
    <n v="650000"/>
    <n v="390000"/>
    <n v="260000"/>
    <m/>
    <m/>
    <m/>
    <m/>
    <n v="0"/>
  </r>
  <r>
    <x v="25"/>
    <s v="F-380"/>
    <m/>
    <s v="CHEVROLET SPARK"/>
    <s v="RMT-940"/>
    <x v="6"/>
    <s v="CAMBIO DE RODAMIENTOS TRASERO IZQ"/>
    <n v="35000"/>
    <n v="21000"/>
    <n v="14000"/>
    <s v="RODAMIENTOS, BOMBILLO"/>
    <n v="60500"/>
    <n v="81000"/>
    <s v="CANCELADO"/>
    <n v="20500"/>
  </r>
  <r>
    <x v="25"/>
    <m/>
    <m/>
    <s v="CHEVROLET CHEVY"/>
    <s v="BSB-542"/>
    <x v="1"/>
    <s v="CAMBIO DE CACHO"/>
    <n v="30000"/>
    <n v="18000"/>
    <n v="12000"/>
    <s v="CACHO, TUERCA, PIN CACHO"/>
    <n v="85000"/>
    <n v="180000"/>
    <s v="CANCELADO"/>
    <n v="95000"/>
  </r>
  <r>
    <x v="25"/>
    <m/>
    <m/>
    <s v="LAND ROVER"/>
    <s v="ANG-006"/>
    <x v="1"/>
    <s v="CAMBIO DE RODAMIENTOS TRASEROS, BANDAS, EMPAQUETADURA DE BOOSTER"/>
    <n v="160000"/>
    <n v="96000"/>
    <n v="64000"/>
    <s v="GASOLINA, RODAMIENTOS TRASEROS, RETENEDORES, JUEGO DE BANDAS, SILICONA, PIN CACHO, LIQUIDO DOT3, ABRAZADERAS, EMP BOOSTER"/>
    <n v="23025"/>
    <n v="593000"/>
    <s v="CANCELADO"/>
    <n v="569975"/>
  </r>
  <r>
    <x v="26"/>
    <m/>
    <m/>
    <s v="RENAULT MEGAN"/>
    <m/>
    <x v="5"/>
    <s v="PULIR RINES"/>
    <n v="120000"/>
    <n v="72000"/>
    <n v="48000"/>
    <m/>
    <m/>
    <m/>
    <s v="CANCELADO"/>
    <n v="0"/>
  </r>
  <r>
    <x v="26"/>
    <m/>
    <m/>
    <s v="NHR"/>
    <s v="WHR-195"/>
    <x v="6"/>
    <s v="DESVARE"/>
    <n v="45000"/>
    <n v="45000"/>
    <n v="18000"/>
    <m/>
    <m/>
    <m/>
    <s v="CANCELADO"/>
    <n v="0"/>
  </r>
  <r>
    <x v="26"/>
    <m/>
    <m/>
    <s v="NHR"/>
    <s v="WHR-195"/>
    <x v="1"/>
    <s v="DESVARE"/>
    <n v="45000"/>
    <n v="45000"/>
    <n v="18000"/>
    <m/>
    <m/>
    <m/>
    <s v="CANCELADO"/>
    <n v="0"/>
  </r>
  <r>
    <x v="26"/>
    <s v="RM-1-14"/>
    <m/>
    <s v="CHEVROLET BLAZER"/>
    <s v="DBA-195"/>
    <x v="0"/>
    <s v="ARREGLO DE ALTERNADOR"/>
    <n v="80000"/>
    <n v="48000"/>
    <n v="32000"/>
    <m/>
    <m/>
    <m/>
    <s v="CANCELADO"/>
    <n v="0"/>
  </r>
  <r>
    <x v="26"/>
    <s v="F-384 / R-15"/>
    <m/>
    <s v="DODGE JOURNEY"/>
    <s v="HHZ-781"/>
    <x v="3"/>
    <s v="SINCORNIZACION, CAMBIO DE MANGUERA Y RETENEDOR DEL DAMPER"/>
    <n v="220000"/>
    <n v="132000"/>
    <n v="88000"/>
    <s v="LIMPIEZA INYECTORES, ABRAZADERAS, BUJIAS"/>
    <n v="47000"/>
    <n v="67000"/>
    <s v="CANCELADO"/>
    <n v="20000"/>
  </r>
  <r>
    <x v="26"/>
    <s v="F-3-82"/>
    <m/>
    <s v="CHEVROLET SAIL"/>
    <s v="DQM-739"/>
    <x v="6"/>
    <s v="CAMBIO DE PASADORES DE MORDAZA "/>
    <n v="50000"/>
    <n v="30000"/>
    <n v="20000"/>
    <s v="JUEGO DE PASADORES, BOMBILLO H4, BOMBILLO 1034"/>
    <n v="38500"/>
    <n v="110000"/>
    <s v="CANCELADO"/>
    <n v="71500"/>
  </r>
  <r>
    <x v="26"/>
    <s v="F-3-83"/>
    <m/>
    <s v="VOLQUETA"/>
    <s v="FTJ-542"/>
    <x v="1"/>
    <s v="BAJAR RUEDAS DELANTERAS"/>
    <n v="100000"/>
    <n v="60000"/>
    <n v="40000"/>
    <s v="GASOLINA, GRASA"/>
    <n v="25000"/>
    <n v="40000"/>
    <s v="CANCELADO"/>
    <n v="15000"/>
  </r>
  <r>
    <x v="26"/>
    <m/>
    <m/>
    <m/>
    <s v="JEEP"/>
    <x v="0"/>
    <s v="CAMBIO DE BOMBILLOS"/>
    <n v="10000"/>
    <n v="6000"/>
    <n v="4000"/>
    <m/>
    <m/>
    <m/>
    <s v="CANCELADO"/>
    <n v="0"/>
  </r>
  <r>
    <x v="27"/>
    <m/>
    <m/>
    <m/>
    <m/>
    <x v="6"/>
    <s v="LAVADO DE INYECTORES"/>
    <n v="30000"/>
    <n v="18000"/>
    <n v="12000"/>
    <m/>
    <m/>
    <m/>
    <s v="CANCELADO"/>
    <n v="0"/>
  </r>
  <r>
    <x v="27"/>
    <m/>
    <m/>
    <m/>
    <m/>
    <x v="6"/>
    <s v="CAMBIO DE EMPAQUE EXOSTO"/>
    <n v="20000"/>
    <n v="12000"/>
    <n v="8000"/>
    <m/>
    <m/>
    <m/>
    <s v="CANCELADO"/>
    <n v="0"/>
  </r>
  <r>
    <x v="27"/>
    <m/>
    <m/>
    <s v="DODGE"/>
    <s v="ELE-893"/>
    <x v="6"/>
    <s v="CAMBIO DE MANGUERA"/>
    <n v="35000"/>
    <n v="21000"/>
    <n v="14000"/>
    <m/>
    <m/>
    <m/>
    <s v="CANCELADO"/>
    <n v="0"/>
  </r>
  <r>
    <x v="27"/>
    <s v="R-1-17"/>
    <m/>
    <s v="JEEP "/>
    <s v="BIO-488"/>
    <x v="0"/>
    <s v="CAMBIO DE ESPARRAGOS"/>
    <n v="50000"/>
    <n v="30000"/>
    <n v="20000"/>
    <m/>
    <m/>
    <m/>
    <s v="CANCELADO"/>
    <n v="0"/>
  </r>
  <r>
    <x v="27"/>
    <s v="R-1-16"/>
    <m/>
    <s v="CHEVROLET SAMURAI"/>
    <s v="FLO-194"/>
    <x v="1"/>
    <s v="MANTENIMIENTO DE RUEDAS TRASERAS, SUAVIZAR FRENO DE MANO, CORREGIR RUIDO DE CAMPANA DERECHA"/>
    <n v="50000"/>
    <n v="30000"/>
    <n v="20000"/>
    <s v="ARANDELAS"/>
    <m/>
    <n v="5000"/>
    <s v="CANCELADO"/>
    <n v="5000"/>
  </r>
  <r>
    <x v="27"/>
    <m/>
    <m/>
    <m/>
    <m/>
    <x v="0"/>
    <s v="CAMBIO DE BOMBILLOS"/>
    <n v="10000"/>
    <n v="6000"/>
    <n v="4000"/>
    <m/>
    <m/>
    <m/>
    <s v="CANCELADO"/>
    <n v="0"/>
  </r>
  <r>
    <x v="27"/>
    <m/>
    <m/>
    <s v="VOLQUETA"/>
    <n v="640000"/>
    <x v="1"/>
    <s v="CORREGIR FUGA DE VALVULINA"/>
    <n v="20000"/>
    <n v="20000"/>
    <n v="8000"/>
    <m/>
    <m/>
    <m/>
    <s v="CANCELADO"/>
    <n v="0"/>
  </r>
  <r>
    <x v="28"/>
    <m/>
    <m/>
    <m/>
    <m/>
    <x v="4"/>
    <s v="CAMBIO DE TERMINAL DE DIRECCION"/>
    <n v="15000"/>
    <n v="9000"/>
    <n v="6000"/>
    <m/>
    <m/>
    <m/>
    <s v="CANCELADO"/>
    <n v="0"/>
  </r>
  <r>
    <x v="28"/>
    <s v="F-3-90"/>
    <m/>
    <s v="RENAULT MEGAN"/>
    <s v="BTQ-649"/>
    <x v="4"/>
    <s v="BAJAR CULATA/ CAMBIO DE TIJERAS/ CAMBIO DE SOPORTE MOTOR"/>
    <n v="750000"/>
    <n v="450000"/>
    <n v="300000"/>
    <s v="GASOLINA, EMP DE CULTA, SILICONA, BUJIAS, CORREA DE ACCESORIO, PINES PLASTICOS, ABRAZADERAS"/>
    <n v="189000"/>
    <n v="262000"/>
    <s v="CANCELADO"/>
    <n v="73000"/>
  </r>
  <r>
    <x v="28"/>
    <m/>
    <m/>
    <s v="NKR"/>
    <s v="TFT-701"/>
    <x v="4"/>
    <s v="CAMBIO DE MUELLES"/>
    <n v="90000"/>
    <n v="54000"/>
    <n v="36000"/>
    <m/>
    <m/>
    <m/>
    <s v="CANCELADO"/>
    <n v="0"/>
  </r>
  <r>
    <x v="28"/>
    <m/>
    <m/>
    <s v="SANYONG"/>
    <s v="CYL-560"/>
    <x v="6"/>
    <s v="MANTENIMIENTO EGR- INTERCOOLER"/>
    <n v="250000"/>
    <n v="150000"/>
    <n v="100000"/>
    <m/>
    <m/>
    <m/>
    <s v="CANCELADO"/>
    <n v="0"/>
  </r>
  <r>
    <x v="28"/>
    <m/>
    <m/>
    <s v="SANYONG"/>
    <s v="CYL-560"/>
    <x v="1"/>
    <s v="CAMBIO DE SOPORTE DE MOTOR"/>
    <n v="50000"/>
    <n v="30000"/>
    <n v="20000"/>
    <m/>
    <m/>
    <m/>
    <s v="CANCELADO"/>
    <n v="0"/>
  </r>
  <r>
    <x v="28"/>
    <m/>
    <m/>
    <s v="VOLKSWAGEN"/>
    <s v="GOL"/>
    <x v="4"/>
    <s v="CAMBIO CABLE DE ALTA"/>
    <n v="20000"/>
    <n v="12000"/>
    <n v="8000"/>
    <s v="CABLE DE ALTA"/>
    <n v="100000"/>
    <n v="110000"/>
    <s v="CANCELADO"/>
    <n v="10000"/>
  </r>
  <r>
    <x v="28"/>
    <m/>
    <m/>
    <s v="LUV98"/>
    <s v="BJW-839"/>
    <x v="4"/>
    <s v="CAMBIO DE ANTIRUIDOS"/>
    <n v="30000"/>
    <n v="18000"/>
    <n v="12000"/>
    <s v="ANTIRUIDOS"/>
    <n v="16000"/>
    <n v="38000"/>
    <s v="CANCELADO"/>
    <n v="22000"/>
  </r>
  <r>
    <x v="28"/>
    <m/>
    <m/>
    <s v="MB"/>
    <s v="BOL-902"/>
    <x v="3"/>
    <s v="CAMBIO DE TIJERAS, BARRA ESTAB, BUJES DE DIRECCION"/>
    <n v="350000"/>
    <n v="210000"/>
    <n v="140000"/>
    <m/>
    <m/>
    <m/>
    <s v="CANCELADO"/>
    <n v="0"/>
  </r>
  <r>
    <x v="28"/>
    <m/>
    <m/>
    <s v="FRR"/>
    <s v="WOS-477"/>
    <x v="3"/>
    <s v="MANTENIMIENTO VALVULA EGR"/>
    <n v="650000"/>
    <n v="390000"/>
    <n v="260000"/>
    <m/>
    <m/>
    <m/>
    <s v="CANCELADO"/>
    <n v="0"/>
  </r>
  <r>
    <x v="29"/>
    <s v="F-88 / R-1-21"/>
    <m/>
    <s v="RENAULT KANGOO"/>
    <s v="WPQ-752"/>
    <x v="2"/>
    <s v="CAMBIO DE PASTILLAS"/>
    <n v="40000"/>
    <n v="24000"/>
    <n v="16000"/>
    <s v="PASTILLAS "/>
    <n v="109000"/>
    <n v="160000"/>
    <s v="CANCELADO"/>
    <n v="51000"/>
  </r>
  <r>
    <x v="29"/>
    <s v="F-89 /RM-1-22"/>
    <m/>
    <s v="CHEVROLET AVEO"/>
    <s v="RZL-937"/>
    <x v="3"/>
    <s v="CAMBIO DE SOPORTE DE MOTOR"/>
    <n v="30000"/>
    <n v="18000"/>
    <n v="12000"/>
    <s v="SOPORTE DE MOTOR"/>
    <n v="90000"/>
    <n v="130000"/>
    <s v="CANCELADO"/>
    <n v="40000"/>
  </r>
  <r>
    <x v="29"/>
    <s v="RM-1-24"/>
    <m/>
    <s v="CHEVROLET CAPTIVA"/>
    <s v="RZU-740"/>
    <x v="4"/>
    <s v="CAMBIO DE CAJA DE DIRECCION"/>
    <n v="300000"/>
    <n v="180000"/>
    <n v="120000"/>
    <s v="CAJA DE DIRECCION"/>
    <n v="1400000"/>
    <n v="1600000"/>
    <s v="CANCELADO"/>
    <n v="200000"/>
  </r>
  <r>
    <x v="29"/>
    <s v="F-1-392 / RM 1-25"/>
    <m/>
    <s v="CHEVROLET SAMURAI"/>
    <s v="LLO-194"/>
    <x v="1"/>
    <s v="CAMBIO DE RODAMIENTOS Y CRUCETAS DE CARDAN"/>
    <n v="80000"/>
    <n v="48000"/>
    <n v="32000"/>
    <s v="RODAMIENTOS Y CRUCETAS"/>
    <n v="155000"/>
    <n v="230000"/>
    <s v="CANCELADO"/>
    <n v="75000"/>
  </r>
  <r>
    <x v="30"/>
    <s v="R-1-27"/>
    <s v="JHONNY TENJO"/>
    <s v="MEGAN"/>
    <s v="BMY-215"/>
    <x v="7"/>
    <s v="REPARAR ARRANQUE"/>
    <n v="80000"/>
    <n v="48000"/>
    <n v="32000"/>
    <m/>
    <m/>
    <m/>
    <s v="CANCELADO"/>
    <n v="0"/>
  </r>
  <r>
    <x v="30"/>
    <n v="93"/>
    <s v="OCATI"/>
    <s v="NQR"/>
    <s v="WOS-474"/>
    <x v="5"/>
    <s v="REPARAR 4 SOPORTE GUARDABARRO"/>
    <n v="100000"/>
    <n v="60000"/>
    <n v="40000"/>
    <s v="DISCO DE CORTE"/>
    <m/>
    <m/>
    <s v="CANCELADO"/>
    <n v="0"/>
  </r>
  <r>
    <x v="30"/>
    <m/>
    <s v="ADAN TINJANCA"/>
    <s v="FORD"/>
    <s v="MQM-520"/>
    <x v="7"/>
    <s v="CAMBIO DE CAMARA"/>
    <n v="30000"/>
    <n v="18000"/>
    <n v="12000"/>
    <m/>
    <m/>
    <m/>
    <s v="CANCELADO"/>
    <n v="0"/>
  </r>
  <r>
    <x v="30"/>
    <m/>
    <s v="LUIS BUITRIAGO"/>
    <s v="CHEVROLET BLAZER"/>
    <s v="BGG-491"/>
    <x v="1"/>
    <s v="CAMBIO DE EMPAQUETADURA BOMBA DE FRENO"/>
    <n v="40000"/>
    <n v="24000"/>
    <n v="16000"/>
    <s v="CHUPAS, LIQUIDO, TORNILLOS BLAZER, PINTA DE LIQUIDO"/>
    <n v="45500"/>
    <n v="20000"/>
    <s v="CANCELADO"/>
    <n v="-25500"/>
  </r>
  <r>
    <x v="30"/>
    <s v="FV-94"/>
    <s v="CESAR IZASA"/>
    <s v="DODGE"/>
    <s v="ELE-893"/>
    <x v="1"/>
    <s v="REVISION DE RUEDA TRASERA IZQ"/>
    <n v="40000"/>
    <n v="24000"/>
    <n v="16000"/>
    <s v="GASOLINA, CHUPAS"/>
    <n v="15000"/>
    <n v="22000"/>
    <s v="CANCELADO"/>
    <n v="7000"/>
  </r>
  <r>
    <x v="30"/>
    <s v="FV-94"/>
    <s v="CESAR IZASA"/>
    <s v="DODGE"/>
    <s v="ELE-893"/>
    <x v="7"/>
    <s v="CHEQUEO ELECTRICO"/>
    <n v="10000"/>
    <n v="6000"/>
    <n v="4000"/>
    <s v="FUSIBLE"/>
    <n v="1000"/>
    <n v="2000"/>
    <s v="CANCELADO"/>
    <n v="1000"/>
  </r>
  <r>
    <x v="31"/>
    <s v="RM-28"/>
    <s v="ALEJANDRO MARTIN"/>
    <s v="SPARK"/>
    <s v="RMN-506"/>
    <x v="4"/>
    <s v="CAMBIO DE RODAMIENTOS"/>
    <n v="60000"/>
    <n v="36000"/>
    <n v="24000"/>
    <m/>
    <m/>
    <m/>
    <s v="CANCELADO"/>
    <n v="0"/>
  </r>
  <r>
    <x v="31"/>
    <s v="F-95 / RM-1-30"/>
    <s v="YAMURY SIMACO"/>
    <s v="RENAULT CLIO"/>
    <s v="BYU-890"/>
    <x v="6"/>
    <s v="CAMBIO DE BOCIN Y RODAMIENTOS TRASEROS DERECHO"/>
    <n v="60000"/>
    <n v="36000"/>
    <n v="24000"/>
    <s v="BOCIN, RODAMIENTOS, ESPARRAGOS"/>
    <n v="143000"/>
    <n v="228000"/>
    <s v="CANCELADO"/>
    <n v="85000"/>
  </r>
  <r>
    <x v="31"/>
    <s v="RM-29"/>
    <s v="ANA ROMERO"/>
    <s v="RENAULT STEWAY"/>
    <s v="GTL-424"/>
    <x v="4"/>
    <s v="MANTENIMEINTO DE RUEDAS TRASERAS"/>
    <n v="30000"/>
    <n v="18000"/>
    <n v="12000"/>
    <m/>
    <m/>
    <m/>
    <s v="CANCELADO"/>
    <n v="0"/>
  </r>
  <r>
    <x v="31"/>
    <s v="FV-96/RM-31"/>
    <s v="JAIME GARCIA"/>
    <s v="MAZDA 2004"/>
    <s v="BNT-159"/>
    <x v="6"/>
    <s v="BAJAR TIJERAS Y TEMPLETES"/>
    <n v="600000"/>
    <n v="360000"/>
    <n v="240000"/>
    <s v="RETENEDOR EJE DE LEVA, RETENEDOR DE CAJA"/>
    <n v="117000"/>
    <n v="190000"/>
    <s v="CANCELADO"/>
    <n v="73000"/>
  </r>
  <r>
    <x v="31"/>
    <m/>
    <m/>
    <s v="BUS"/>
    <s v="UFT-931"/>
    <x v="1"/>
    <s v="GRADUAR FRENOS"/>
    <n v="10000"/>
    <n v="6000"/>
    <n v="4000"/>
    <m/>
    <m/>
    <m/>
    <s v="CANCELADO"/>
    <n v="0"/>
  </r>
  <r>
    <x v="32"/>
    <s v="RM-1-32"/>
    <s v="ROBERTO JAIME"/>
    <s v="HONDA"/>
    <s v="BFM-230"/>
    <x v="4"/>
    <s v="CAMBIO DE BUJES DE TIJERAS"/>
    <n v="400000"/>
    <n v="240000"/>
    <n v="160000"/>
    <s v="SERVICIO DE PRENSA"/>
    <m/>
    <m/>
    <s v="CANCELADO"/>
    <n v="0"/>
  </r>
  <r>
    <x v="32"/>
    <s v="F-98"/>
    <s v="AUTORALLY"/>
    <s v="CHEVY"/>
    <s v="ZXT-837"/>
    <x v="6"/>
    <s v="SERVICIO DE ESCANER, REVISION DE TESTIGO"/>
    <n v="100000"/>
    <n v="90000"/>
    <n v="40000"/>
    <m/>
    <m/>
    <m/>
    <s v="CANCELADO"/>
    <n v="0"/>
  </r>
  <r>
    <x v="33"/>
    <s v="F-97"/>
    <s v="CAROLINA OCHOA"/>
    <s v="MITSUBISHI ECLIPSE"/>
    <s v="RAI-561"/>
    <x v="6"/>
    <s v="CAMBIO DE PERNOS, BAJAR TIJERAS"/>
    <n v="340000"/>
    <n v="204000"/>
    <n v="136000"/>
    <s v="PERNOS, BUJES"/>
    <m/>
    <m/>
    <s v="CANCELADO"/>
    <n v="0"/>
  </r>
  <r>
    <x v="33"/>
    <m/>
    <m/>
    <s v="RENAULT SANDERO"/>
    <m/>
    <x v="4"/>
    <s v="GRADUACION "/>
    <n v="20000"/>
    <n v="12000"/>
    <n v="8000"/>
    <m/>
    <m/>
    <m/>
    <s v="CANCELADO"/>
    <n v="0"/>
  </r>
  <r>
    <x v="33"/>
    <m/>
    <s v="JOSE LUIS TRIALA"/>
    <s v="JAC"/>
    <s v="ERK-645"/>
    <x v="1"/>
    <s v="GRADUAR FRENOS"/>
    <n v="10000"/>
    <n v="6000"/>
    <n v="4000"/>
    <m/>
    <m/>
    <m/>
    <s v="CANCELADO"/>
    <n v="0"/>
  </r>
  <r>
    <x v="34"/>
    <s v="FV-101"/>
    <s v="ALEXANDER GUIZA"/>
    <s v="HINO"/>
    <s v="EQZ-261"/>
    <x v="6"/>
    <s v="CAMBIO DE BANDAS Y RODAMIENTOS"/>
    <n v="40000"/>
    <n v="40000"/>
    <s v="-"/>
    <m/>
    <m/>
    <m/>
    <s v="CANCELADO"/>
    <n v="0"/>
  </r>
  <r>
    <x v="34"/>
    <s v="FE-102 / RM:1-34"/>
    <s v="DAMARYS GONZALES"/>
    <s v="MAZDA 3"/>
    <s v="RBQ-698"/>
    <x v="1"/>
    <s v="CAMBIO DE PASTILLAS DELANTERAS, CAMBIO DE LIQUIDO"/>
    <n v="100000"/>
    <n v="60000"/>
    <n v="40000"/>
    <s v="PASTILLAS, LIQUIDO"/>
    <n v="160000"/>
    <n v="232000"/>
    <s v="CANCELADO"/>
    <n v="72000"/>
  </r>
  <r>
    <x v="34"/>
    <s v="RM-1-33"/>
    <s v="CAROLINA ROCHA"/>
    <s v="CHEVROLET"/>
    <s v="UFY-425"/>
    <x v="7"/>
    <s v="CHEQUEO DE DIRECCIONALES Y ESTACIONARIAS"/>
    <n v="50000"/>
    <n v="30000"/>
    <n v="20000"/>
    <m/>
    <m/>
    <m/>
    <s v="CANCELADO"/>
    <n v="0"/>
  </r>
  <r>
    <x v="34"/>
    <m/>
    <m/>
    <s v="JEEP GRAN CHEROKY"/>
    <s v="CFG-298"/>
    <x v="1"/>
    <s v="CAMBIO DE PASTILLAS DELANTERAS Y TRASERAS, ARREGLO FRENO DE MANO"/>
    <n v="80000"/>
    <n v="48000"/>
    <n v="32000"/>
    <m/>
    <m/>
    <m/>
    <s v="CANCELADO"/>
    <n v="0"/>
  </r>
  <r>
    <x v="34"/>
    <m/>
    <m/>
    <s v="JEEP GRAN CHEROKY"/>
    <s v="CFG-298"/>
    <x v="3"/>
    <s v="CAMBIO DE RETENEDOR CAJA DE DIRECCION"/>
    <n v="190000"/>
    <n v="114000"/>
    <n v="76000"/>
    <m/>
    <m/>
    <m/>
    <s v="CANCELADO"/>
    <n v="0"/>
  </r>
  <r>
    <x v="34"/>
    <m/>
    <m/>
    <m/>
    <s v="BOP-852"/>
    <x v="5"/>
    <s v="PINTURA"/>
    <n v="206000"/>
    <n v="123600"/>
    <n v="82400"/>
    <m/>
    <m/>
    <m/>
    <s v="CANCELADO"/>
    <n v="0"/>
  </r>
  <r>
    <x v="35"/>
    <m/>
    <m/>
    <s v="JEEP"/>
    <s v="BDN-052"/>
    <x v="3"/>
    <s v="CAMBIO DE EMPAQUE TAPA VALVULA Y CORREGIR FUGA DE TAIMER"/>
    <n v="50000"/>
    <n v="30000"/>
    <n v="20000"/>
    <s v="EMPAQUE"/>
    <n v="30000"/>
    <n v="40000"/>
    <s v="CANCELADO"/>
    <n v="10000"/>
  </r>
  <r>
    <x v="35"/>
    <m/>
    <m/>
    <s v="FORD EXPLORER"/>
    <s v="MKX-392"/>
    <x v="6"/>
    <s v="CAMBIO DE PASTILLAS DELANTERAS Y TRASERAS"/>
    <n v="70000"/>
    <n v="42000"/>
    <n v="28000"/>
    <s v="PASTILLAS DELANTERAS Y TRASERAS"/>
    <n v="198000"/>
    <n v="270000"/>
    <s v="CANCELADO"/>
    <n v="72000"/>
  </r>
  <r>
    <x v="35"/>
    <s v="FE-106"/>
    <s v="YOVANNY AUSIQUE"/>
    <s v="LOGAN SYMBOL"/>
    <s v="MNT-961"/>
    <x v="6"/>
    <s v="REVISION DE FRENOS, GRADUACION, BAJAR TIJERAS"/>
    <n v="50000"/>
    <n v="30000"/>
    <n v="20000"/>
    <s v="TIJERA COMPLETA, TAPA TARRO AGUA"/>
    <n v="140000"/>
    <n v="170000"/>
    <s v="CANCELADO"/>
    <n v="30000"/>
  </r>
  <r>
    <x v="35"/>
    <s v="FE-106"/>
    <s v="YOVANNY AUSIQUE"/>
    <s v="LOGAN SYMBOL"/>
    <s v="MNT-961"/>
    <x v="7"/>
    <s v="CHEQUEO DE LUCES"/>
    <n v="15000"/>
    <n v="9000"/>
    <n v="6000"/>
    <m/>
    <m/>
    <m/>
    <s v="CANCELADO"/>
    <n v="0"/>
  </r>
  <r>
    <x v="35"/>
    <m/>
    <m/>
    <m/>
    <m/>
    <x v="7"/>
    <s v="DESVARE"/>
    <n v="50000"/>
    <n v="50000"/>
    <n v="20000"/>
    <m/>
    <m/>
    <m/>
    <s v="CANCELADO"/>
    <n v="0"/>
  </r>
  <r>
    <x v="35"/>
    <m/>
    <m/>
    <s v="VOLQUETA"/>
    <m/>
    <x v="1"/>
    <s v="CAMBIO DE VALVULA PARA LLENAR RUEDA"/>
    <n v="20000"/>
    <n v="20000"/>
    <n v="8000"/>
    <m/>
    <m/>
    <m/>
    <s v="CANCELADO"/>
    <n v="0"/>
  </r>
  <r>
    <x v="35"/>
    <s v="FE-106"/>
    <s v="YOVANNY AUSIQUE"/>
    <s v="LOGAN SYMBOL"/>
    <s v="MNT-961"/>
    <x v="1"/>
    <s v="REVISION FRENOS"/>
    <n v="20000"/>
    <n v="20000"/>
    <n v="8000"/>
    <m/>
    <m/>
    <m/>
    <s v="CANCELADO"/>
    <n v="0"/>
  </r>
  <r>
    <x v="35"/>
    <m/>
    <m/>
    <s v="JOURNEY"/>
    <m/>
    <x v="3"/>
    <s v="CAMBIO DE MANGUERA DE AGUA Y EMPAQUE TAPA VALVULA"/>
    <n v="100000"/>
    <n v="60000"/>
    <n v="40000"/>
    <m/>
    <m/>
    <m/>
    <s v="CANCELADO"/>
    <n v="0"/>
  </r>
  <r>
    <x v="36"/>
    <m/>
    <m/>
    <s v="NHR"/>
    <m/>
    <x v="1"/>
    <s v="GRADUAR FRENOS"/>
    <n v="10000"/>
    <n v="6000"/>
    <n v="4000"/>
    <m/>
    <m/>
    <m/>
    <s v="CANCELADO"/>
    <n v="0"/>
  </r>
  <r>
    <x v="36"/>
    <m/>
    <m/>
    <s v="CLIO"/>
    <s v="CXG-752"/>
    <x v="7"/>
    <s v="AJUSTE DE RADIO"/>
    <n v="10000"/>
    <n v="6000"/>
    <n v="4000"/>
    <m/>
    <m/>
    <m/>
    <s v="CANCELADO"/>
    <n v="0"/>
  </r>
  <r>
    <x v="36"/>
    <m/>
    <m/>
    <s v="JEEP"/>
    <s v="CFG-298"/>
    <x v="3"/>
    <s v="REPARAR RADIADOR"/>
    <n v="20000"/>
    <n v="12000"/>
    <n v="8000"/>
    <m/>
    <m/>
    <m/>
    <s v="CANCELADO"/>
    <n v="0"/>
  </r>
  <r>
    <x v="36"/>
    <s v="RM-1-37/FV-3-109"/>
    <s v="JUAN C FORERO"/>
    <s v="MITSUBISHI CAMIONETA"/>
    <s v="SSI-295"/>
    <x v="1"/>
    <s v="CAMBIO DE PASTILLAS"/>
    <n v="30000"/>
    <n v="18000"/>
    <n v="12000"/>
    <s v="PASTILLAS DELANTERAS"/>
    <n v="127000"/>
    <n v="170000"/>
    <s v="CANCELADO"/>
    <n v="43000"/>
  </r>
  <r>
    <x v="36"/>
    <s v="FV-108"/>
    <s v="COOTRACAR"/>
    <s v="MB/AUTOBUS"/>
    <s v="ESY-747"/>
    <x v="7"/>
    <s v="CAMBIO DE CORREA DE ALTERNADOR"/>
    <n v="30000"/>
    <n v="18000"/>
    <n v="12000"/>
    <m/>
    <m/>
    <m/>
    <s v="CANCELADO"/>
    <n v="0"/>
  </r>
  <r>
    <x v="36"/>
    <s v="FV-108"/>
    <s v="COOTRACAR"/>
    <s v="MB/AUTOBUS"/>
    <s v="ESY-747"/>
    <x v="5"/>
    <s v="SOLDAR BASE ALTERNADOR"/>
    <n v="25000"/>
    <n v="20000"/>
    <n v="10000"/>
    <m/>
    <m/>
    <m/>
    <s v="CANCELADO"/>
    <n v="0"/>
  </r>
  <r>
    <x v="36"/>
    <s v="FV-108"/>
    <s v="COOTRACAR"/>
    <s v="MB/AUTOBUS"/>
    <s v="ESY-747"/>
    <x v="1"/>
    <s v="CAMBIO DE ESPARRAGOS"/>
    <n v="40000"/>
    <n v="24000"/>
    <n v="16000"/>
    <s v="ESPARRAGOS, CORREA ALTERNADOR"/>
    <n v="62000"/>
    <n v="120000"/>
    <s v="CANCELADO"/>
    <n v="58000"/>
  </r>
  <r>
    <x v="36"/>
    <m/>
    <s v="ALEJANDRO RIVERA"/>
    <s v="FIAT UNO"/>
    <s v="BRK-566"/>
    <x v="7"/>
    <s v="SUBIR MINIMA"/>
    <n v="30000"/>
    <n v="18000"/>
    <n v="12000"/>
    <m/>
    <m/>
    <m/>
    <s v="CANCELADO"/>
    <n v="0"/>
  </r>
  <r>
    <x v="37"/>
    <s v="RM-112"/>
    <s v="JORGE MIRAMA"/>
    <s v="FOTON"/>
    <s v="SPX-710"/>
    <x v="1"/>
    <s v="RECALZAR BANDAS DELANTERA DERECHA"/>
    <n v="30000"/>
    <n v="18000"/>
    <n v="12000"/>
    <m/>
    <m/>
    <m/>
    <s v="CANCELADO"/>
    <n v="0"/>
  </r>
  <r>
    <x v="37"/>
    <s v="RM-1-40"/>
    <s v="JULIO C GOMEZ"/>
    <s v="TOYOTA"/>
    <s v="ANG-154"/>
    <x v="4"/>
    <s v="CAMBIO DE PASTILLAS DE FRENOS Y CHUPAS"/>
    <n v="70000"/>
    <n v="42000"/>
    <n v="28000"/>
    <s v="PASTILLAS, CHUPAS"/>
    <n v="68000"/>
    <n v="107000"/>
    <s v="CANCELADO"/>
    <n v="39000"/>
  </r>
  <r>
    <x v="37"/>
    <m/>
    <s v="JAVIER DIAGAMA"/>
    <s v="MULA"/>
    <s v="XIE-128"/>
    <x v="7"/>
    <s v="INICIADA"/>
    <n v="30000"/>
    <n v="18000"/>
    <n v="12000"/>
    <m/>
    <m/>
    <m/>
    <s v="CANCELADO"/>
    <n v="0"/>
  </r>
  <r>
    <x v="37"/>
    <s v="RM-1-39"/>
    <s v="MANUEL RODRIGUEZ"/>
    <s v="HINO"/>
    <s v="UFT-931"/>
    <x v="1"/>
    <s v="CAMBIO DE DIAFRAGMA Y RESORTE 7 GRADUAR FRENOS"/>
    <n v="70000"/>
    <n v="42000"/>
    <n v="28000"/>
    <s v="DIAFRAGMA Y RESORTE"/>
    <m/>
    <m/>
    <s v="CANCELADO"/>
    <n v="0"/>
  </r>
  <r>
    <x v="37"/>
    <m/>
    <m/>
    <s v="JEEP"/>
    <s v="BDN-052"/>
    <x v="3"/>
    <s v="REPARACION DE RADIADOR (MONTAR RADIADOR) "/>
    <n v="30000"/>
    <n v="18000"/>
    <n v="12000"/>
    <m/>
    <m/>
    <m/>
    <s v="CANCELADO"/>
    <n v="0"/>
  </r>
  <r>
    <x v="37"/>
    <m/>
    <m/>
    <s v="JEEP"/>
    <s v="BDN-052"/>
    <x v="5"/>
    <s v="REPARACION DE PUERTAS"/>
    <n v="150000"/>
    <n v="90000"/>
    <n v="60000"/>
    <m/>
    <m/>
    <m/>
    <s v="CANCELADO"/>
    <n v="0"/>
  </r>
  <r>
    <x v="37"/>
    <s v="FE-113"/>
    <s v="PERFOTECH INGENIERIA"/>
    <s v="DIMAX"/>
    <s v="TZY-870"/>
    <x v="6"/>
    <s v="CAMBIO DE BUJES DE TIJERAS"/>
    <n v="470000"/>
    <n v="282000"/>
    <n v="188000"/>
    <m/>
    <m/>
    <m/>
    <s v="CANCELADO"/>
    <n v="0"/>
  </r>
  <r>
    <x v="37"/>
    <s v="FE-113"/>
    <s v="PERFOTECH INGENIERIA"/>
    <s v="DIMAX"/>
    <s v="TZY-870"/>
    <x v="5"/>
    <s v="SOLDAR BASE BARILLA TENSORA"/>
    <n v="80000"/>
    <n v="48000"/>
    <n v="32000"/>
    <m/>
    <m/>
    <m/>
    <s v="CANCELADO"/>
    <n v="0"/>
  </r>
  <r>
    <x v="38"/>
    <s v="RM-1-42"/>
    <s v="WILSON BELTRAN"/>
    <s v="NHR"/>
    <s v="ETM-576"/>
    <x v="1"/>
    <s v="REVISION DE RUEDA TRASERA"/>
    <n v="35000"/>
    <n v="21000"/>
    <n v="14000"/>
    <m/>
    <m/>
    <m/>
    <s v="CANCELADO"/>
    <n v="0"/>
  </r>
  <r>
    <x v="38"/>
    <s v="FE-114 / RM-43"/>
    <s v="CARLOS PEDROZA"/>
    <s v="MAZDA"/>
    <s v="KAT-796"/>
    <x v="4"/>
    <s v="CAMBIO DE CORREA DE ACCESORIO Y MUÑECO"/>
    <n v="80000"/>
    <n v="48000"/>
    <n v="32000"/>
    <s v="CORREA DE ACCESORIO Y MUÑECOS"/>
    <n v="128000"/>
    <n v="200000"/>
    <s v="CANCELADO"/>
    <n v="72000"/>
  </r>
  <r>
    <x v="38"/>
    <s v="FE-116"/>
    <s v="MONGUIBELLO"/>
    <s v="NISSAN"/>
    <s v="BHX-773"/>
    <x v="3"/>
    <s v="_x000a_BAJAR CAJA /BAJAR CULATA / CAMBIAR CORREA DE REPARTICION"/>
    <n v="680000"/>
    <n v="408000"/>
    <n v="272000"/>
    <m/>
    <m/>
    <m/>
    <s v="CANCELADO"/>
    <n v="0"/>
  </r>
  <r>
    <x v="38"/>
    <s v="RM-144"/>
    <s v="JAUN SANTANA"/>
    <m/>
    <s v="WPQ-752"/>
    <x v="2"/>
    <s v="CAMBIO DE LIQUIDO"/>
    <n v="35000"/>
    <n v="21000"/>
    <n v="14000"/>
    <s v="LIQUIDO"/>
    <n v="14000"/>
    <n v="25000"/>
    <s v="CANCELADO"/>
    <n v="11000"/>
  </r>
  <r>
    <x v="39"/>
    <s v="FE-117 / RM-45"/>
    <s v="MANUEL RODRIGUEZ"/>
    <s v="HINO"/>
    <s v="UTF-931"/>
    <x v="4"/>
    <s v="CAMBIO DE BLOQUES RUEDA TRASERA"/>
    <n v="40000"/>
    <n v="24000"/>
    <n v="16000"/>
    <m/>
    <m/>
    <m/>
    <s v="CANCELADO"/>
    <n v="0"/>
  </r>
  <r>
    <x v="39"/>
    <s v="FE-117 / RM-45"/>
    <s v="MANUEL RODRIGUEZ"/>
    <s v="HINO"/>
    <s v="UTF-931"/>
    <x v="1"/>
    <s v="CAMBIO DE BLOQUES RUEDA TRASERA"/>
    <n v="40000"/>
    <n v="24000"/>
    <n v="16000"/>
    <s v="JUEGO DE BLOQUES, LIQUIDO, GASOLINA"/>
    <n v="265000"/>
    <n v="387000"/>
    <s v="CANCELADO"/>
    <n v="122000"/>
  </r>
  <r>
    <x v="39"/>
    <s v="FE-118"/>
    <s v="ALVARO GIRALDO"/>
    <s v="RENAULT"/>
    <s v="BWB-518"/>
    <x v="3"/>
    <s v="CAMBIO DE TIJERAS"/>
    <n v="70000"/>
    <n v="42000"/>
    <n v="28000"/>
    <s v="TIJERAS DELANTERAS"/>
    <n v="230000"/>
    <n v="300000"/>
    <s v="CANCELADO"/>
    <n v="70000"/>
  </r>
  <r>
    <x v="39"/>
    <s v="FE-118"/>
    <s v="ALVARO GIRALDO"/>
    <s v="RENAULT"/>
    <s v="BWB-518"/>
    <x v="1"/>
    <s v="MANTENIMIENTO / GRADUACION TRASERAS"/>
    <n v="50000"/>
    <n v="30000"/>
    <n v="20000"/>
    <m/>
    <m/>
    <m/>
    <s v="CANCELADO"/>
    <n v="0"/>
  </r>
  <r>
    <x v="39"/>
    <m/>
    <m/>
    <m/>
    <m/>
    <x v="7"/>
    <s v="CAMBIO DE BOMBILLO"/>
    <n v="10000"/>
    <n v="6000"/>
    <n v="4000"/>
    <m/>
    <m/>
    <m/>
    <s v="CANCELADO"/>
    <n v="0"/>
  </r>
  <r>
    <x v="39"/>
    <m/>
    <s v="PITER LOPEZ"/>
    <s v="CHEVROLET"/>
    <s v="EFM-758"/>
    <x v="1"/>
    <s v="MANTENIMIENTO DELANTERAS"/>
    <n v="30000"/>
    <n v="18000"/>
    <n v="12000"/>
    <m/>
    <m/>
    <m/>
    <s v="CANCELADO"/>
    <n v="0"/>
  </r>
  <r>
    <x v="39"/>
    <s v="FE-120 / RM-147"/>
    <s v="OSCAR SANCHEZ"/>
    <s v="CHERY TIGGO"/>
    <s v="HTU-901"/>
    <x v="7"/>
    <s v="CAMBIO DE FLOTADOR BOMBA DE GASOLINA"/>
    <n v="100000"/>
    <n v="60000"/>
    <n v="40000"/>
    <s v="BFLOTADOR BOMBA DE GASOLINA"/>
    <n v="290000"/>
    <n v="340000"/>
    <s v="CANCELADO"/>
    <n v="50000"/>
  </r>
  <r>
    <x v="40"/>
    <s v="FE-121 / RM: 48"/>
    <s v="BRAYAN GOMEZ"/>
    <s v="CHVEROLET"/>
    <s v="HPS-879"/>
    <x v="3"/>
    <s v="CAMBIO DE MANGUERA DE CALEFACCION / CAMBIO DE EMPAQUES"/>
    <n v="150000"/>
    <n v="90000"/>
    <n v="60000"/>
    <s v="MANGUERA DE CALEFACCION / EMPAQUES"/>
    <n v="36000"/>
    <n v="121000"/>
    <s v="CANCELADO"/>
    <n v="85000"/>
  </r>
  <r>
    <x v="40"/>
    <s v="RM-49"/>
    <s v="ALVARO ROJAS"/>
    <s v="KIA"/>
    <s v="ANA-914"/>
    <x v="7"/>
    <s v="ARREGLO DE LUCES"/>
    <n v="30000"/>
    <n v="18000"/>
    <n v="12000"/>
    <s v="CABLE ROJO"/>
    <n v="4000"/>
    <n v="8000"/>
    <s v="CANCELADO"/>
    <n v="4000"/>
  </r>
  <r>
    <x v="40"/>
    <s v="FE-576"/>
    <s v="SERGIO CARDONA"/>
    <s v="CORSA"/>
    <s v="BYJ-576"/>
    <x v="7"/>
    <s v="ARREGLO DE EXPLORADORA"/>
    <n v="30000"/>
    <n v="18000"/>
    <n v="12000"/>
    <s v="TERMINAL DE ENCHUFE, TERMINAL DE OJO, FUSIBLE 15AMP"/>
    <n v="1400"/>
    <n v="2900"/>
    <s v="CANCELADO"/>
    <n v="1500"/>
  </r>
  <r>
    <x v="41"/>
    <s v="RM-55 / FE: 129"/>
    <s v="SERGIO CARDONA"/>
    <s v="CORSA"/>
    <s v="BYJ-576"/>
    <x v="3"/>
    <s v="CAMBIO DE AMORTIGUADORES"/>
    <n v="80000"/>
    <n v="48000"/>
    <n v="32000"/>
    <s v="AMORTIGUADORES TRASEROS"/>
    <n v="210000"/>
    <n v="272000"/>
    <s v="CANCELADO"/>
    <n v="62000"/>
  </r>
  <r>
    <x v="41"/>
    <s v="FE: 128/  RM-54"/>
    <s v="LUIS ROMERO"/>
    <s v="CHEVROLET"/>
    <s v="SEA-130"/>
    <x v="4"/>
    <s v="CAMBIO DE RETENEDOR DE TRANSMISION Y RETENEDOR EJE TRASERO DERECHO"/>
    <n v="100000"/>
    <n v="60000"/>
    <n v="40000"/>
    <s v="RETENDOR DE TRANSMISION, RETENEDOR EJE TRASERO, GASOLINA, GRASA, OPINTA DE LIQUIDO"/>
    <n v="31000"/>
    <n v="145000"/>
    <s v="CANCELADO"/>
    <n v="114000"/>
  </r>
  <r>
    <x v="41"/>
    <s v="FE:127 / RM: 53"/>
    <s v="LISSANDRO HERRERA"/>
    <s v="RENAULT 19"/>
    <s v="BJH-490"/>
    <x v="6"/>
    <s v="CAMBIO DE PASTILLAS DELANTERAS Y SUAVIZAR MORDAZAS"/>
    <n v="50000"/>
    <n v="30000"/>
    <n v="20000"/>
    <s v="PASTILLAS"/>
    <n v="50000"/>
    <n v="90000"/>
    <s v="CANCELADO"/>
    <n v="40000"/>
  </r>
  <r>
    <x v="41"/>
    <s v="FE:127 / RM: 53"/>
    <s v="LISSANDRO HERRERA"/>
    <s v="RENAULT 19"/>
    <s v="BJH-490"/>
    <x v="3"/>
    <s v="CAMBIO DE RETENDOR DEL DAMPER / LEVA Y BARILLA ESTABILIZADORA"/>
    <n v="190000"/>
    <n v="114000"/>
    <n v="76000"/>
    <s v="RETENDOR DEL DAMPER, RETENEDOR DE LEVA, CORREA LATERNADOR, KIT DE REPARTICION, CAUCHOS"/>
    <n v="207000"/>
    <n v="287000"/>
    <s v="CANCELADO"/>
    <n v="80000"/>
  </r>
  <r>
    <x v="41"/>
    <s v="FE:127 / RM: 53"/>
    <s v="LISSANDRO HERRERA"/>
    <s v="RENAULT 19"/>
    <s v="BJH-490"/>
    <x v="7"/>
    <s v="MANTENIMIENTO ELECTRICO"/>
    <n v="100000"/>
    <n v="60000"/>
    <n v="40000"/>
    <s v="BOMBILLOS, FLASHER ELECTRONICO, ESCOBILLAS, BOMBILLOS 10-12W LED"/>
    <n v="60000"/>
    <n v="84000"/>
    <s v="CANCELADO"/>
    <n v="24000"/>
  </r>
  <r>
    <x v="41"/>
    <s v="FE: 125 / RM-51"/>
    <s v="JHONNY TENJO"/>
    <s v="RENAULT MEGAN"/>
    <s v="BMY-215"/>
    <x v="1"/>
    <s v="CAMBIO DE TIJERAS Y BUJES DE BARRA ESTABILIZADORA"/>
    <n v="100000"/>
    <n v="60000"/>
    <n v="40000"/>
    <s v="TIJERAS, CAUCHOS"/>
    <n v="240000"/>
    <n v="332000"/>
    <s v="CANCELADO"/>
    <n v="92000"/>
  </r>
  <r>
    <x v="41"/>
    <s v="FE: 126 / RM: 52"/>
    <s v="SAUL ZANABRIA"/>
    <s v="RENAULT SYMBOL"/>
    <s v="SKL-365"/>
    <x v="4"/>
    <s v="CAMBIO DE PUNTA DE EJE"/>
    <n v="100000"/>
    <n v="60000"/>
    <n v="40000"/>
    <s v="PUNTA DE EJE, ABRZADERAS"/>
    <n v="261000"/>
    <n v="200700"/>
    <s v="CANCELADO"/>
    <n v="-60300"/>
  </r>
  <r>
    <x v="42"/>
    <m/>
    <m/>
    <s v="MULA"/>
    <m/>
    <x v="7"/>
    <s v="INICIADA"/>
    <n v="30000"/>
    <n v="18000"/>
    <n v="12000"/>
    <m/>
    <m/>
    <m/>
    <s v="CANCELADO"/>
    <n v="0"/>
  </r>
  <r>
    <x v="42"/>
    <s v="F-132 / RM: 59"/>
    <s v="BRAYAN GOMEZ"/>
    <s v="CHEVROLET SONIC"/>
    <s v="HPS-879"/>
    <x v="3"/>
    <s v="CAMBIO DE ENFRIADOR DE ACEITE"/>
    <n v="80000"/>
    <n v="48000"/>
    <n v="32000"/>
    <s v="MANGUERA DE RETORNO"/>
    <n v="90000"/>
    <n v="110000"/>
    <s v="CANCELADO"/>
    <n v="20000"/>
  </r>
  <r>
    <x v="42"/>
    <s v="FE: 130 / RM: 57"/>
    <s v="PEDRO SANTANA"/>
    <s v="LOGAN"/>
    <s v="IZM-278"/>
    <x v="1"/>
    <s v="CAMBIO DE PASTILLAS, DISCOS Y LIQUIDO"/>
    <n v="80000"/>
    <n v="48000"/>
    <n v="32000"/>
    <s v="PASTILLAS DISCOS"/>
    <n v="302000"/>
    <n v="568000"/>
    <s v="CANCELADO"/>
    <n v="266000"/>
  </r>
  <r>
    <x v="42"/>
    <s v="RM-158"/>
    <s v="IVON MASMELA"/>
    <s v="FOTON"/>
    <s v="SPX-665"/>
    <x v="7"/>
    <s v="CHEQUEO ELECTRICO"/>
    <n v="30000"/>
    <n v="18000"/>
    <n v="12000"/>
    <m/>
    <m/>
    <m/>
    <s v="CANCELADO"/>
    <n v="0"/>
  </r>
  <r>
    <x v="42"/>
    <s v="FE:1-31"/>
    <s v="OCATI"/>
    <s v="FRR"/>
    <s v="WOS-477"/>
    <x v="1"/>
    <s v="GRADUAR FRENOS"/>
    <n v="10000"/>
    <n v="6000"/>
    <n v="4000"/>
    <m/>
    <m/>
    <m/>
    <s v="CANCELADO"/>
    <n v="0"/>
  </r>
  <r>
    <x v="43"/>
    <s v="F-136"/>
    <s v="VARICHEN"/>
    <s v="FOTON"/>
    <s v="THY-344"/>
    <x v="5"/>
    <s v="REPARACION Y PINTURA DE BOMPER"/>
    <n v="152000"/>
    <n v="91200"/>
    <n v="60800"/>
    <m/>
    <m/>
    <m/>
    <s v="CANCELADO"/>
    <n v="0"/>
  </r>
  <r>
    <x v="43"/>
    <s v="FE: 137 / RM: 1-63"/>
    <s v="PEDRO GARCIA"/>
    <s v="LUV2300"/>
    <s v="AQB-093"/>
    <x v="6"/>
    <s v="CAMBIO DE CHUPAS TRASERAS DERECHA"/>
    <n v="20000"/>
    <n v="12000"/>
    <n v="8000"/>
    <s v="LIQUIDO DE FRENO, JUEGO DE CHUPAS GUARADAPOLVOS "/>
    <n v="23025"/>
    <n v="37000"/>
    <s v="CANCELADO"/>
    <n v="13975"/>
  </r>
  <r>
    <x v="43"/>
    <s v="RM-1-61"/>
    <s v="SERGIO DURAN"/>
    <s v="AVEO GT"/>
    <s v="MSM-840"/>
    <x v="6"/>
    <s v="CAMBIO DE PASTILLAS DELANTERAS"/>
    <n v="25000"/>
    <n v="15000"/>
    <n v="10000"/>
    <m/>
    <m/>
    <m/>
    <s v="CANCELADO"/>
    <n v="0"/>
  </r>
  <r>
    <x v="43"/>
    <s v="RM-164"/>
    <s v="RODOLFO SERRANO"/>
    <s v="FRAN VITARA"/>
    <s v="CQG-462"/>
    <x v="1"/>
    <s v="GRADUAR FRENOS"/>
    <n v="12000"/>
    <n v="7200"/>
    <n v="4800"/>
    <m/>
    <m/>
    <m/>
    <s v="CANCELADO"/>
    <n v="0"/>
  </r>
  <r>
    <x v="43"/>
    <s v="RM-164"/>
    <s v="RODOLFO SERRANO"/>
    <s v="FRAN VITARA"/>
    <s v="CQG-462"/>
    <x v="2"/>
    <s v="ESCANEADA"/>
    <n v="28000"/>
    <n v="16800"/>
    <n v="11200"/>
    <m/>
    <m/>
    <m/>
    <s v="CANCELADO"/>
    <n v="0"/>
  </r>
  <r>
    <x v="43"/>
    <m/>
    <s v="JHONATHAN CHACON"/>
    <s v="FOTON"/>
    <s v="THY-187"/>
    <x v="1"/>
    <s v="GRADUAR FRENOS"/>
    <n v="10000"/>
    <n v="6000"/>
    <n v="4000"/>
    <m/>
    <m/>
    <m/>
    <s v="CANCELADO"/>
    <n v="0"/>
  </r>
  <r>
    <x v="43"/>
    <s v="FE-135 / RM-1-62"/>
    <s v="LUIS ROMERO"/>
    <s v="LUV2300"/>
    <s v="SEA-130"/>
    <x v="1"/>
    <s v="CAMBIO DE BOMBA DE FRENO"/>
    <n v="30000"/>
    <n v="18000"/>
    <n v="12000"/>
    <s v="BOMBA DE FRENO, LIQUIDO"/>
    <n v="235000"/>
    <n v="312000"/>
    <s v="CANCELADO"/>
    <n v="77000"/>
  </r>
  <r>
    <x v="43"/>
    <s v="F: 133 RM:1-60"/>
    <s v="MARY AVELLANEDA"/>
    <s v="CHEVROLET CHEVY"/>
    <s v="BSB-542"/>
    <x v="4"/>
    <s v="SICRONIZAR Y LAVADO DE INYECTORES"/>
    <n v="180000"/>
    <n v="108000"/>
    <n v="72000"/>
    <s v="GASOLINA, BUJIAS, CABLE DE LATA, EMPAQUE, ABRZADERA"/>
    <n v="126100"/>
    <n v="186300"/>
    <s v="CANCELADO"/>
    <n v="60200"/>
  </r>
  <r>
    <x v="44"/>
    <m/>
    <s v="LUIS FERNANDO CALDERON"/>
    <s v="FORD ECOESPORT"/>
    <s v="REU-780"/>
    <x v="6"/>
    <s v="CAMBIO DE CADENA DE REPARTICION Y SINCRONIZACION"/>
    <n v="600000"/>
    <n v="360000"/>
    <n v="240000"/>
    <m/>
    <m/>
    <m/>
    <s v="CANCELADO"/>
    <n v="0"/>
  </r>
  <r>
    <x v="44"/>
    <m/>
    <s v="LUIS FERNANDO CALDERON"/>
    <s v="FORD"/>
    <s v="REU-780"/>
    <x v="6"/>
    <s v="SERVICIO  DE ESCANER"/>
    <n v="60000"/>
    <n v="36000"/>
    <n v="24000"/>
    <m/>
    <m/>
    <m/>
    <s v="CANCELADO"/>
    <n v="0"/>
  </r>
  <r>
    <x v="44"/>
    <s v="FE: 139 / RM-1-65"/>
    <s v="IVON MASMELA"/>
    <s v="FOTON"/>
    <s v="WOX-099"/>
    <x v="1"/>
    <s v="MANTENIMIENTO DE RUEDAS DELANTERAS, CAMBIO DE RETENEDOR DELANTERO DERECHO"/>
    <n v="60000"/>
    <n v="36000"/>
    <n v="24000"/>
    <m/>
    <m/>
    <m/>
    <s v="CANCELADO"/>
    <n v="0"/>
  </r>
  <r>
    <x v="44"/>
    <s v="FE: 139 / RM-1-65"/>
    <s v="IVON MASMELA"/>
    <s v="FOTON"/>
    <s v="WOX-099"/>
    <x v="5"/>
    <s v="RECONSTRUCCION PALANCA DE VELOCIDAD"/>
    <n v="80000"/>
    <n v="48000"/>
    <n v="32000"/>
    <m/>
    <m/>
    <m/>
    <s v="CANCELADO"/>
    <n v="0"/>
  </r>
  <r>
    <x v="45"/>
    <s v="RM-1-66"/>
    <s v="JHON BARRADO"/>
    <s v="NHR"/>
    <s v="FSU-423"/>
    <x v="7"/>
    <s v="CAMBIO DE BATERIAS"/>
    <n v="20000"/>
    <n v="20000"/>
    <m/>
    <m/>
    <m/>
    <m/>
    <s v="CANCELADO"/>
    <n v="0"/>
  </r>
  <r>
    <x v="45"/>
    <m/>
    <s v="ALEJANDRO DIAZ"/>
    <s v="NISSAN"/>
    <m/>
    <x v="1"/>
    <s v="MANTENIMIENTO RUEDAS"/>
    <n v="50000"/>
    <n v="50000"/>
    <n v="20000"/>
    <m/>
    <m/>
    <m/>
    <s v="CANCELADO"/>
    <n v="0"/>
  </r>
  <r>
    <x v="45"/>
    <m/>
    <s v="ALEJANDRO DIAZ"/>
    <s v="NISSAN"/>
    <m/>
    <x v="6"/>
    <s v="DESMONTADA Y MONTADA DE CAJA DE DIRECCION"/>
    <n v="180000"/>
    <n v="108000"/>
    <n v="72000"/>
    <m/>
    <m/>
    <m/>
    <s v="CANCELADO"/>
    <n v="0"/>
  </r>
  <r>
    <x v="45"/>
    <m/>
    <m/>
    <s v="LUV2"/>
    <m/>
    <x v="1"/>
    <s v="CAMBIO DE CHUPAS"/>
    <n v="15000"/>
    <n v="15000"/>
    <n v="6000"/>
    <m/>
    <m/>
    <m/>
    <s v="CANCELADO"/>
    <n v="0"/>
  </r>
  <r>
    <x v="46"/>
    <m/>
    <m/>
    <s v="RENAULT"/>
    <m/>
    <x v="3"/>
    <s v="COLOCAR PIN SELECTOR DE CAMBIO"/>
    <n v="20000"/>
    <n v="12000"/>
    <n v="8000"/>
    <m/>
    <m/>
    <m/>
    <s v="CANCELADO"/>
    <n v="0"/>
  </r>
  <r>
    <x v="46"/>
    <m/>
    <s v="MARIO AVELLANEDA"/>
    <s v="FORD  ECOSPORT"/>
    <s v="RBM-966"/>
    <x v="1"/>
    <s v="CAMBIO DE PASTILLAS(GARANTIA)"/>
    <n v="30000"/>
    <n v="18000"/>
    <n v="12000"/>
    <m/>
    <m/>
    <m/>
    <s v="CANCELADO"/>
    <n v="0"/>
  </r>
  <r>
    <x v="46"/>
    <s v="FE: 144 / RM: 70"/>
    <s v="CESAR QUEKAN"/>
    <s v="TWINGO"/>
    <s v="CKF-173"/>
    <x v="6"/>
    <s v="CAMBIO DE SOPORTE Y RIODAMIENTO DE AMORTIGUADOR"/>
    <n v="40000"/>
    <n v="24000"/>
    <n v="16000"/>
    <s v="AMOTIGUADOR CON RODAMIENTO"/>
    <n v="45000"/>
    <n v="70000"/>
    <s v="CANCELADO"/>
    <n v="25000"/>
  </r>
  <r>
    <x v="47"/>
    <s v="FE:148 / RM: 73"/>
    <s v="PEDRO JIMENEZ"/>
    <s v="HYUNDAI ACCENT "/>
    <s v="CYC-155"/>
    <x v="6"/>
    <s v="CAMBIO DE AMORTIGUADORES Y MUÑECOS"/>
    <n v="130000"/>
    <n v="78000"/>
    <n v="52000"/>
    <s v="FUSIBLE, BOMBILLOS, AMORTIGUADORES DELANTEROS Y MUÑECO"/>
    <n v="329300"/>
    <n v="495000"/>
    <s v="CANCELADO"/>
    <n v="165700"/>
  </r>
  <r>
    <x v="47"/>
    <s v="FE: 3-149"/>
    <s v="JORGE GUTIERREZ"/>
    <s v="FORD 150"/>
    <s v="FAK-163"/>
    <x v="8"/>
    <s v="CAMBIO DE GUAYAS"/>
    <m/>
    <n v="0"/>
    <n v="0"/>
    <s v="GUAYAS, ABRAZADERAS"/>
    <n v="123000"/>
    <n v="186000"/>
    <s v="CANCELADO"/>
    <n v="63000"/>
  </r>
  <r>
    <x v="47"/>
    <s v="FE: 150 / RM: 74"/>
    <s v="CARLOS DUARTE"/>
    <s v="RENAULT 9"/>
    <s v="ATF-879"/>
    <x v="6"/>
    <s v="CAMBIO DE BANDAS Y PASTILLAS Y SUAVIZAR MORDAZA"/>
    <n v="70000"/>
    <n v="42000"/>
    <n v="28000"/>
    <s v="CHUPAS, PINTA DE LIQUIDO, JUEGO DE PASTILLAS, BANDAS"/>
    <n v="113000"/>
    <n v="140000"/>
    <s v="CANCELADO"/>
    <n v="27000"/>
  </r>
  <r>
    <x v="47"/>
    <s v="RM-1-75"/>
    <s v="OSCAR ACERO"/>
    <s v="CHERY TIIGO"/>
    <s v="WNY-929"/>
    <x v="1"/>
    <s v="CAMBIO DE BANDAS FRENO DE MANO Y BUJES DE AMORTIGUADORES TRASEROS"/>
    <n v="100000"/>
    <n v="60000"/>
    <n v="40000"/>
    <m/>
    <m/>
    <m/>
    <s v="CANCELADO"/>
    <n v="0"/>
  </r>
  <r>
    <x v="47"/>
    <s v="FE: 146 /RM: 1-72"/>
    <s v="CARLOS SAMIENTO"/>
    <s v="NISSAN TIIDA"/>
    <s v="RML-816"/>
    <x v="3"/>
    <s v="CAMBIO DE BUJES Y MUÑECO"/>
    <n v="70000"/>
    <n v="42000"/>
    <n v="28000"/>
    <s v="BUJE DE PUÑO, BUJE TIJERA, MUÑECO BARRA ESTABILIZADORA"/>
    <n v="130400"/>
    <n v="234000"/>
    <s v="CANCELADO"/>
    <n v="103600"/>
  </r>
  <r>
    <x v="47"/>
    <s v="FE: 145 / RM-71"/>
    <s v="JULIAN CRUZ"/>
    <s v="SKODA FELICIA"/>
    <s v="QFY-096"/>
    <x v="1"/>
    <s v="CAMBIO DE RODAMIENTOS DELANTERO, MANTENIMIENTO DELANTERAS Y TRASERAS"/>
    <n v="110000"/>
    <n v="66000"/>
    <n v="44000"/>
    <s v="RODAMIENTO Y BOCIN"/>
    <n v="168000"/>
    <n v="215000"/>
    <s v="CANCELADO"/>
    <n v="47000"/>
  </r>
  <r>
    <x v="47"/>
    <m/>
    <s v="ERNESTO POVER"/>
    <s v="MAZDA 323"/>
    <m/>
    <x v="2"/>
    <s v="GRADUACION DE FRENOS"/>
    <n v="10000"/>
    <n v="6000"/>
    <n v="4000"/>
    <m/>
    <m/>
    <m/>
    <s v="CANCELADO"/>
    <n v="0"/>
  </r>
  <r>
    <x v="47"/>
    <s v="FE: 151 "/>
    <s v="CAMPO ABIERTO"/>
    <s v="RENAULT KANGOO"/>
    <s v="WDO-126"/>
    <x v="3"/>
    <s v="CAMBIO DE EMPAQUETADURA DE DIRECCION"/>
    <n v="250000"/>
    <n v="150000"/>
    <n v="100000"/>
    <s v="EMPAQUETADURA, ABRZADERAS, VALVULINA"/>
    <n v="275600"/>
    <n v="261000"/>
    <s v="CANCELADO"/>
    <n v="-14600"/>
  </r>
  <r>
    <x v="48"/>
    <s v="RM-1-76"/>
    <s v="CRISTIAN SANCHEZ"/>
    <s v="CHEVROLET SAMURAI"/>
    <s v="FLO-194"/>
    <x v="1"/>
    <s v="CHEQUEO DE RUEDAS (GARANTIA)"/>
    <n v="30000"/>
    <n v="18000"/>
    <n v="12000"/>
    <m/>
    <m/>
    <m/>
    <s v="CANCELADO"/>
    <n v="0"/>
  </r>
  <r>
    <x v="48"/>
    <s v="FE: 153"/>
    <s v="OCATI"/>
    <m/>
    <s v="WOS-477"/>
    <x v="6"/>
    <s v="INSTALACION FRENO DE AHOGO / CAMBIO DE BATERIAS, REVISION DE LUCES DE FURGON, MANTENIMIENTO PACHES DE MOTOR"/>
    <n v="80000"/>
    <n v="48000"/>
    <n v="32000"/>
    <s v="BATERIAS, BORNE"/>
    <m/>
    <m/>
    <s v="CANCELADO"/>
    <n v="0"/>
  </r>
  <r>
    <x v="48"/>
    <s v="FE: 155 RM-77"/>
    <s v="ALVEIRO VILLAMIL"/>
    <s v="CITROEN AX"/>
    <s v="BUK-819"/>
    <x v="4"/>
    <s v="CAMBIO DE KIT DE REPARTICION, RODAMIENTOS, Y GUAYA DE CLOSH"/>
    <n v="280000"/>
    <n v="168000"/>
    <n v="112000"/>
    <s v="RODAMIENTOS, KIT DE REPARTICION, GUAYA DE CLOSH, GASOLINA, ABRZADERAS"/>
    <n v="301000"/>
    <n v="412000"/>
    <s v="CANCELADO"/>
    <n v="111000"/>
  </r>
  <r>
    <x v="49"/>
    <m/>
    <s v="WALTER MORALES"/>
    <s v="CHEVROLET"/>
    <s v="ELA-671"/>
    <x v="3"/>
    <s v="DESMONTAJE Y MONTAJE DE TIJERA"/>
    <n v="50000"/>
    <n v="30000"/>
    <n v="20000"/>
    <m/>
    <m/>
    <m/>
    <s v="CANCELADO"/>
    <n v="0"/>
  </r>
  <r>
    <x v="49"/>
    <s v="FE: 156"/>
    <s v="OCATI"/>
    <s v="CHEVROLET NQR"/>
    <s v="WOS-474"/>
    <x v="1"/>
    <s v="CAMBIO DE RODAMIENTOS, ENGRASE RUEDAS TRASERAS, Y CAMBIO DE BANDAS"/>
    <n v="200000"/>
    <n v="120000"/>
    <n v="80000"/>
    <s v="RODAMIENTOS, BLOQUE, GRASA, GASOLINA, PINES CACHO"/>
    <n v="221000"/>
    <n v="416424"/>
    <s v="CANCELADO"/>
    <n v="195424"/>
  </r>
  <r>
    <x v="50"/>
    <m/>
    <s v="ANDRES RODRIGUEZ"/>
    <s v="FOTON"/>
    <s v="KOK-228"/>
    <x v="6"/>
    <s v="GRADUACION DE FRENOS"/>
    <n v="12000"/>
    <n v="7200"/>
    <n v="4800"/>
    <m/>
    <m/>
    <m/>
    <s v="CANCELADO"/>
    <n v="0"/>
  </r>
  <r>
    <x v="50"/>
    <s v="FE:159 RM:1-80"/>
    <s v="JESUS PEÑA DUARTE"/>
    <s v="CHEVROLET AVEO"/>
    <s v="CVM-214"/>
    <x v="6"/>
    <s v="CAMBIO DE BOMBILLOS"/>
    <n v="20000"/>
    <n v="12000"/>
    <n v="8000"/>
    <s v="BOMBILLOS, CINTA NEGRA"/>
    <n v="10000"/>
    <n v="20500"/>
    <s v="CANCELADO"/>
    <n v="10500"/>
  </r>
  <r>
    <x v="50"/>
    <s v="RM-179"/>
    <s v="ANDRES GAITAN"/>
    <s v="KIA PREGIO"/>
    <s v="SKL-762"/>
    <x v="1"/>
    <s v="CAMBIO DE RESORTES"/>
    <n v="150000"/>
    <n v="90000"/>
    <n v="60000"/>
    <s v="RESORTES"/>
    <n v="20000"/>
    <n v="35000"/>
    <s v="CANCELADO"/>
    <n v="15000"/>
  </r>
  <r>
    <x v="50"/>
    <s v="RM-179"/>
    <s v="ANDRES GAITAN"/>
    <s v="KIA PREGIO"/>
    <s v="SKL-762"/>
    <x v="5"/>
    <s v="COLOCAR DOS REMACHES"/>
    <n v="10000"/>
    <n v="10000"/>
    <n v="4000"/>
    <m/>
    <m/>
    <m/>
    <s v="CANCELADO"/>
    <n v="0"/>
  </r>
  <r>
    <x v="50"/>
    <s v="RM-181"/>
    <s v="JOSE GUTIERREZ"/>
    <s v="CHANA"/>
    <s v="USA-874"/>
    <x v="1"/>
    <s v="CAMBIO DE BUJES DE TEMPLETE, TERMINALES, CAJA DE DIRECCION"/>
    <n v="75000"/>
    <n v="75000"/>
    <n v="50000"/>
    <m/>
    <m/>
    <m/>
    <s v="CANCELADO"/>
    <n v="0"/>
  </r>
  <r>
    <x v="50"/>
    <s v="RM-181"/>
    <s v="JOSE GUTIERREZ"/>
    <s v="CHANA"/>
    <s v="USA-874"/>
    <x v="6"/>
    <s v="CAMBIO DE BUJES DE TEMPLETE, TERMINALES, CAJA DE DIRECCION"/>
    <n v="75000"/>
    <n v="75000"/>
    <m/>
    <m/>
    <m/>
    <m/>
    <s v="CANCELADO"/>
    <n v="0"/>
  </r>
  <r>
    <x v="50"/>
    <s v="FE: 167"/>
    <s v="METALCARGOS"/>
    <s v="FVR"/>
    <s v="GZZ-341"/>
    <x v="3"/>
    <s v="MANTENIMIENTO INTERCOOLER EGR"/>
    <n v="350000"/>
    <n v="210000"/>
    <n v="140000"/>
    <m/>
    <m/>
    <m/>
    <s v="CANCELADO"/>
    <n v="0"/>
  </r>
  <r>
    <x v="50"/>
    <m/>
    <s v="BRAYAN GOMEZ"/>
    <s v="SONIC"/>
    <s v="HPS-879"/>
    <x v="3"/>
    <s v="REPARACION DE MOTOR"/>
    <n v="1200000"/>
    <n v="720000"/>
    <n v="480000"/>
    <s v="CASQUETES DE BIELA, BOMBA D EGUA, KIT DE REPARTICION, ANILLOS, GASOLINA, SILICONA, EMPAQUETADURA, CORREA DE ACCESORIO, ACEITE, REFRIGERNATE"/>
    <n v="1801000"/>
    <n v="2423000"/>
    <s v="CANCELADO"/>
    <n v="622000"/>
  </r>
  <r>
    <x v="50"/>
    <s v="FE: 167"/>
    <s v="METALCARGOS"/>
    <s v="FVR"/>
    <s v="GZZ-341"/>
    <x v="6"/>
    <s v="ARREGLO FRENO DE AHOGO"/>
    <n v="100000"/>
    <n v="60000"/>
    <n v="40000"/>
    <m/>
    <m/>
    <m/>
    <s v="CANCELADO"/>
    <n v="0"/>
  </r>
  <r>
    <x v="51"/>
    <s v="FE:  164"/>
    <s v="FRUVECOM"/>
    <s v="DFSK"/>
    <s v="TLO-165"/>
    <x v="4"/>
    <s v="BAJAR TANQUE, SOLADARE SOPORTES FURGON, SOLDAR TANQUE"/>
    <n v="120000"/>
    <n v="72000"/>
    <n v="48000"/>
    <m/>
    <m/>
    <m/>
    <s v="CANCELADO"/>
    <n v="0"/>
  </r>
  <r>
    <x v="51"/>
    <s v="FE:  164"/>
    <s v="FRUVECOM"/>
    <s v="DFSK"/>
    <s v="TLO-165"/>
    <x v="5"/>
    <s v="SOLDAR SOPORTES DE FURGON"/>
    <n v="30000"/>
    <n v="18000"/>
    <n v="12000"/>
    <m/>
    <m/>
    <m/>
    <s v="POR CANCELAR"/>
    <n v="0"/>
  </r>
  <r>
    <x v="51"/>
    <s v="FE: 162/RM: 1-83"/>
    <s v="FANY GARZON"/>
    <s v="MAZDA"/>
    <s v="HZM-447"/>
    <x v="6"/>
    <s v="CAMBIO DE DISCOS Y PASTILLAS"/>
    <n v="100000"/>
    <n v="60000"/>
    <n v="40000"/>
    <s v="DISCOS, PASTILLAS"/>
    <n v="462000"/>
    <n v="530000"/>
    <s v="CANCELADO"/>
    <n v="68000"/>
  </r>
  <r>
    <x v="51"/>
    <s v="FE: 163"/>
    <s v="PERFOTECH INGENIERIA"/>
    <s v="CHEVROLET"/>
    <s v="TZY-870"/>
    <x v="6"/>
    <s v="CAMBIO DE BUJES DE AMORTIGUADORES"/>
    <n v="60000"/>
    <n v="36000"/>
    <n v="24000"/>
    <s v="BUJES"/>
    <n v="13000"/>
    <n v="30000"/>
    <s v="CANCELADO"/>
    <n v="17000"/>
  </r>
  <r>
    <x v="51"/>
    <m/>
    <s v="CLIENTE FINAL"/>
    <s v="VOLSWAGEN"/>
    <s v="PEW-924"/>
    <x v="6"/>
    <s v="MATTO RUEDA REV RUEDAS DELANTERAS"/>
    <n v="30000"/>
    <n v="18000"/>
    <n v="12000"/>
    <m/>
    <m/>
    <m/>
    <s v="CANCELADO"/>
    <n v="0"/>
  </r>
  <r>
    <x v="50"/>
    <s v="FE: 167"/>
    <s v="METALCARGOS"/>
    <s v="FVR"/>
    <s v="GZZ-341"/>
    <x v="5"/>
    <s v="ARREGLO DE FAROLA"/>
    <n v="60000"/>
    <n v="36000"/>
    <n v="24000"/>
    <m/>
    <m/>
    <m/>
    <s v="CANCELADO"/>
    <n v="0"/>
  </r>
  <r>
    <x v="52"/>
    <s v="FE: 165 RM: 1-84"/>
    <s v="YADIRA CARRO"/>
    <s v="NISSAN"/>
    <s v="IJW-188"/>
    <x v="6"/>
    <s v="CAMBIO DE PASTILLAS DELANTERAS Y MATTO RUEDA TRASERA"/>
    <n v="80000"/>
    <n v="48000"/>
    <n v="32000"/>
    <s v="PASTILLAS DELANTERAS"/>
    <n v="135000"/>
    <n v="190000"/>
    <s v="CANCELADO"/>
    <n v="55000"/>
  </r>
  <r>
    <x v="52"/>
    <s v="RM-185 FE: 166"/>
    <s v="ROBERTO SANCHEZ"/>
    <s v="FOTON"/>
    <s v="JOX-062"/>
    <x v="6"/>
    <n v="0"/>
    <n v="240000"/>
    <n v="144000"/>
    <n v="96000"/>
    <s v="JUEGO DE SPLINDER, GASOLINA, PIN CACHO, BANDAS,"/>
    <n v="302000"/>
    <n v="464000"/>
    <s v="CANCELADO"/>
    <n v="162000"/>
  </r>
  <r>
    <x v="53"/>
    <m/>
    <m/>
    <m/>
    <m/>
    <x v="6"/>
    <s v="GRADUACION DE FRENOS"/>
    <n v="10000"/>
    <n v="6000"/>
    <n v="4000"/>
    <m/>
    <m/>
    <m/>
    <s v="CANCELADO"/>
    <n v="0"/>
  </r>
  <r>
    <x v="53"/>
    <m/>
    <m/>
    <m/>
    <m/>
    <x v="4"/>
    <s v="GRADUACION DE CLOSH"/>
    <n v="10000"/>
    <n v="6000"/>
    <n v="4000"/>
    <m/>
    <m/>
    <m/>
    <s v="CANCELADO"/>
    <n v="0"/>
  </r>
  <r>
    <x v="54"/>
    <m/>
    <m/>
    <m/>
    <m/>
    <x v="6"/>
    <s v="GRADUACION DE FRENOS"/>
    <n v="10000"/>
    <n v="6000"/>
    <n v="4000"/>
    <m/>
    <m/>
    <m/>
    <s v="CANCELADO"/>
    <n v="0"/>
  </r>
  <r>
    <x v="54"/>
    <s v="FE: 168 / RM: 1-86"/>
    <s v="JORGE MURCIA"/>
    <s v="KENWORTH"/>
    <s v="APG-537"/>
    <x v="4"/>
    <s v="REVISION ESCAPE DE AIRE, CAMBIO DE ESPARRAGOS,BAJAR RUEDAS TROQUE TRASERO Y RUEDAS DELANTERAS/ CAMBIO DIAFRGAMA RUEDA DERECHA TROQUE INTERMEDIO Y CAUCHO VALVULA DE ESCAPE TRASERO"/>
    <n v="300000"/>
    <n v="180000"/>
    <n v="120000"/>
    <s v="ESPARRAGOS, GRASAS, BROCA, CAUCHO VALVULA ESCAPE, DIAFRAGMA, JUEGO DE BLOQUE"/>
    <n v="185200"/>
    <n v="297000"/>
    <s v="CANCELADO"/>
    <n v="111800"/>
  </r>
  <r>
    <x v="54"/>
    <s v="RM-1-87 /FE: 171"/>
    <s v="MILLER MUÑOZ"/>
    <s v="VOLQUETA"/>
    <s v="TEA-103"/>
    <x v="4"/>
    <s v="CAMBIO DE RESORTE DE SEGURIDAD Y GRADUAR FRENOS"/>
    <n v="40000"/>
    <n v="24000"/>
    <n v="16000"/>
    <s v="DIAFRAGMA Y RESORTE DE SEGURIDAD"/>
    <n v="18000"/>
    <n v="74000"/>
    <s v="CANCELADO"/>
    <n v="56000"/>
  </r>
  <r>
    <x v="54"/>
    <s v="RM-188"/>
    <s v="JOSE RODRIGUEZ"/>
    <s v="JMC"/>
    <s v="KPS-167"/>
    <x v="3"/>
    <s v="CAMBIO DE KIT DE CLOSH"/>
    <n v="180000"/>
    <n v="108000"/>
    <n v="72000"/>
    <s v="KIT DE CLOSH"/>
    <n v="750000"/>
    <n v="1000000"/>
    <s v="CANCELADO"/>
    <n v="250000"/>
  </r>
  <r>
    <x v="54"/>
    <s v="FE: 169"/>
    <s v="OCATI"/>
    <s v="NQR"/>
    <s v="WOS-474"/>
    <x v="5"/>
    <s v="ASEGURAR BASE DE COCUYOS"/>
    <n v="20000"/>
    <n v="12000"/>
    <n v="8000"/>
    <m/>
    <m/>
    <m/>
    <s v="POR CANCELAR"/>
    <n v="0"/>
  </r>
  <r>
    <x v="55"/>
    <s v="RM-90 / FE: 172"/>
    <s v="CARLOS SARMIENTO"/>
    <s v="NISSAN TIIDA"/>
    <s v="RMI-816"/>
    <x v="6"/>
    <s v="CAMBIO DE JUEGO DE PASADORES DE MORDAZA"/>
    <n v="20000"/>
    <n v="12000"/>
    <n v="8000"/>
    <s v="PASADORES DE MORDAZA"/>
    <n v="26000"/>
    <n v="36000"/>
    <s v="CANCELADO"/>
    <n v="10000"/>
  </r>
  <r>
    <x v="55"/>
    <m/>
    <m/>
    <s v="MAZDA "/>
    <m/>
    <x v="6"/>
    <s v="TENSIONADA DE FRENOS"/>
    <n v="15000"/>
    <n v="9000"/>
    <n v="6000"/>
    <m/>
    <m/>
    <m/>
    <s v="CANCELADO"/>
    <n v="0"/>
  </r>
  <r>
    <x v="55"/>
    <s v="RM-89"/>
    <s v="DISNEY AMIN"/>
    <s v="SUBARU"/>
    <s v="CYK-558"/>
    <x v="3"/>
    <s v="CAMBIO DE AMORTIGUADORES DELANTEROS"/>
    <n v="100000"/>
    <n v="60000"/>
    <n v="40000"/>
    <m/>
    <m/>
    <m/>
    <s v="CANCELADO"/>
    <n v="0"/>
  </r>
  <r>
    <x v="55"/>
    <m/>
    <s v="VICENTE PATARROYO"/>
    <s v="CH"/>
    <s v="MAO--470"/>
    <x v="6"/>
    <s v="CAMBIO DE MANGUERA"/>
    <n v="60000"/>
    <n v="36000"/>
    <n v="24000"/>
    <m/>
    <m/>
    <m/>
    <s v="CANCELADO"/>
    <n v="0"/>
  </r>
  <r>
    <x v="55"/>
    <m/>
    <s v="YEBRAIL MORA"/>
    <s v="NHR"/>
    <s v="UPS-855"/>
    <x v="6"/>
    <s v="CAMBIO DE CHUPAS"/>
    <n v="20000"/>
    <n v="12000"/>
    <n v="8000"/>
    <s v="CHUPAS"/>
    <n v="2000"/>
    <n v="5000"/>
    <s v="CANCELADO"/>
    <n v="3000"/>
  </r>
  <r>
    <x v="56"/>
    <s v="RM-1-96"/>
    <s v="JUAN BERMUDEZ"/>
    <s v="ESTEEM"/>
    <s v="CIO-865"/>
    <x v="4"/>
    <s v="CAMBIO DE TUBO BOMBA DE AGUA"/>
    <n v="80000"/>
    <n v="48000"/>
    <n v="32000"/>
    <m/>
    <m/>
    <m/>
    <s v="CANCELADO"/>
    <n v="0"/>
  </r>
  <r>
    <x v="56"/>
    <s v="FE: 176/RM: 1-98"/>
    <s v="EDWIN PRIETO"/>
    <s v="ASIA"/>
    <s v="BHV-650"/>
    <x v="6"/>
    <s v="CAMBIO DE CHUPAS TRASERAS"/>
    <n v="40000"/>
    <n v="24000"/>
    <n v="16000"/>
    <m/>
    <m/>
    <m/>
    <s v="CANCELADO"/>
    <m/>
  </r>
  <r>
    <x v="56"/>
    <s v="FE: 176/RM: 1-98"/>
    <s v="EDWIN PRIETO"/>
    <s v="ASIA"/>
    <s v="BHV-650"/>
    <x v="3"/>
    <s v="BAJAR TANQUE DE GASOLINA"/>
    <n v="120000"/>
    <n v="72000"/>
    <n v="48000"/>
    <s v="CHUPAS, PACHA"/>
    <n v="66000"/>
    <m/>
    <s v="CANCELADO"/>
    <n v="-66000"/>
  </r>
  <r>
    <x v="56"/>
    <s v="RM-1-97"/>
    <s v="GILBERTO RINCON"/>
    <s v="EPICA"/>
    <s v="BQK-766"/>
    <x v="3"/>
    <s v="LIMPIEZA DE BUJIAS"/>
    <n v="20000"/>
    <n v="12000"/>
    <n v="8000"/>
    <m/>
    <m/>
    <m/>
    <s v="CANCELADO"/>
    <n v="0"/>
  </r>
  <r>
    <x v="56"/>
    <s v="RM-195"/>
    <s v="YANIBE GUZMAN"/>
    <s v="KIA PICANTO"/>
    <s v="HOA-955"/>
    <x v="6"/>
    <s v="CAMBIO DE TOPES DE AMORTIGUADORES DELANTEROS"/>
    <n v="100000"/>
    <n v="60000"/>
    <n v="40000"/>
    <m/>
    <m/>
    <m/>
    <s v="CANCELADO"/>
    <n v="0"/>
  </r>
  <r>
    <x v="57"/>
    <s v="FE: 181 / RM: 103"/>
    <s v="ANDRES MAYORCA"/>
    <s v="RENAULT LOGAN"/>
    <s v="JDR-513"/>
    <x v="1"/>
    <s v="CAMBIO DE DISCOS Y PASTILLAS"/>
    <n v="40000"/>
    <n v="40000"/>
    <n v="16000"/>
    <s v="DISCOS Y PASTILLAS"/>
    <n v="318000"/>
    <n v="360000"/>
    <m/>
    <n v="42000"/>
  </r>
  <r>
    <x v="57"/>
    <s v="FE: 177 / RM: 99"/>
    <s v="WILLIAM CANDIL"/>
    <s v="CHEVROLET CAPTIVA"/>
    <s v="RJT-476"/>
    <x v="1"/>
    <s v="CAMBIO DE GUAYA DE FRENO DE MANO "/>
    <n v="120000"/>
    <n v="72000"/>
    <n v="48000"/>
    <s v="GUAYA DE FRENO DE MANO"/>
    <n v="40000"/>
    <n v="80000"/>
    <m/>
    <n v="40000"/>
  </r>
  <r>
    <x v="57"/>
    <s v="RM: 101 / FE: 179"/>
    <s v="NELSON TAMAYO"/>
    <s v="ECOSPORT"/>
    <s v="MUQ-265"/>
    <x v="1"/>
    <s v="CAMBIO DE PASTILLAS DELANTERAS Y MANTENIMIENTO TRASERO"/>
    <n v="60000"/>
    <n v="36000"/>
    <n v="24000"/>
    <s v="JUEGO DE PASTILLAS "/>
    <n v="150000"/>
    <n v="210000"/>
    <m/>
    <n v="60000"/>
  </r>
  <r>
    <x v="57"/>
    <s v="FE: 178"/>
    <s v="ANGEL LEON"/>
    <s v="RENAULT SIMBOL"/>
    <s v="BLT-604"/>
    <x v="1"/>
    <s v="CAMBIO DE CORREA DE ACCESORIO "/>
    <n v="25000"/>
    <n v="15000"/>
    <n v="10000"/>
    <s v="CORREA DE ACCESORIO, ABRAZADERAS"/>
    <n v="60900"/>
    <n v="85000"/>
    <m/>
    <n v="24100"/>
  </r>
  <r>
    <x v="57"/>
    <s v="FE: 180 / RM: 102"/>
    <s v="ALEXANDER SOTO"/>
    <s v="SPARK"/>
    <s v="DBR-141"/>
    <x v="3"/>
    <s v="CAMBIO KIT DE EMBRAGUE Y GUAYA"/>
    <n v="180000"/>
    <n v="108000"/>
    <n v="72000"/>
    <s v="KIT DE EMBRAGUE, GUAYA, RETEN"/>
    <n v="258000"/>
    <n v="290000"/>
    <m/>
    <n v="32000"/>
  </r>
  <r>
    <x v="57"/>
    <m/>
    <m/>
    <s v="VOLSKWAGEN GOL"/>
    <m/>
    <x v="1"/>
    <s v="MANTENIMIENTO RUEDAS TRASERAS"/>
    <n v="30000"/>
    <n v="18000"/>
    <n v="12000"/>
    <m/>
    <m/>
    <m/>
    <m/>
    <n v="0"/>
  </r>
  <r>
    <x v="57"/>
    <m/>
    <m/>
    <m/>
    <m/>
    <x v="8"/>
    <s v="REVISION RUEDAS TRASERAS"/>
    <n v="30000"/>
    <n v="18000"/>
    <n v="12000"/>
    <m/>
    <m/>
    <m/>
    <m/>
    <n v="0"/>
  </r>
  <r>
    <x v="57"/>
    <m/>
    <m/>
    <m/>
    <m/>
    <x v="1"/>
    <s v="DESVARE"/>
    <n v="30000"/>
    <n v="18000"/>
    <n v="12000"/>
    <m/>
    <m/>
    <m/>
    <m/>
    <n v="0"/>
  </r>
  <r>
    <x v="58"/>
    <s v="FE: 184 / RM: 108"/>
    <s v="JESUS PEÑA"/>
    <s v="AVEO"/>
    <s v="CVM-214"/>
    <x v="1"/>
    <s v="CAMBIO DE AUTOMATICO Y RODAMIENTAS "/>
    <n v="130000"/>
    <n v="78000"/>
    <n v="52000"/>
    <s v="AUTOMATICO, RODAMIENTO DELANTEROS"/>
    <n v="210000"/>
    <n v="145000"/>
    <m/>
    <n v="-65000"/>
  </r>
  <r>
    <x v="58"/>
    <s v="FE: 183 / RM: 105"/>
    <s v="CARLOS MATEUS"/>
    <s v="HONDA CIVICO"/>
    <s v="BHX-931"/>
    <x v="1"/>
    <s v="CAMBIO DE CALIPER DELANTERO IZQ"/>
    <n v="23000"/>
    <n v="13800"/>
    <n v="9200"/>
    <s v="PINTA DE LIQUIDO, CALIPER"/>
    <n v="15000"/>
    <m/>
    <m/>
    <n v="-15000"/>
  </r>
  <r>
    <x v="58"/>
    <s v="RM: 106"/>
    <s v="MARCO OVALLE"/>
    <s v="RENAULT 9"/>
    <s v="BIL-530"/>
    <x v="1"/>
    <s v="CAMBIAR TANQUE DE GASOLINA"/>
    <n v="100000"/>
    <n v="60000"/>
    <n v="40000"/>
    <s v="ABRAZADERAS, ABRAZADERAS METALICAS"/>
    <n v="8600"/>
    <n v="11000"/>
    <m/>
    <n v="2400"/>
  </r>
  <r>
    <x v="58"/>
    <s v="FE:185 / RM: 109"/>
    <s v="RAFAEL MORA"/>
    <s v="VOLSWAGEN"/>
    <s v="CVL-510"/>
    <x v="1"/>
    <s v="CAMBIO DE TERMINAL IZQ DEL Y RODAMIENTO TRASERO EXTERNO"/>
    <n v="60000"/>
    <n v="36000"/>
    <n v="24000"/>
    <s v="TERMINAL IZQ DEL / RODAMIENTO TRASERO EXTERNO"/>
    <n v="89000"/>
    <n v="122000"/>
    <m/>
    <n v="33000"/>
  </r>
  <r>
    <x v="59"/>
    <m/>
    <m/>
    <s v="FOTON"/>
    <m/>
    <x v="8"/>
    <s v="GRADUACION DE FRENOS "/>
    <n v="10000"/>
    <n v="6000"/>
    <n v="4000"/>
    <m/>
    <m/>
    <m/>
    <m/>
    <n v="0"/>
  </r>
  <r>
    <x v="59"/>
    <s v="FE: 187"/>
    <s v="MUNAR INGENIERIA"/>
    <m/>
    <s v="12S-365"/>
    <x v="4"/>
    <s v="CAMBIO DE EMPAQ DE GOBERNADOR"/>
    <n v="20000"/>
    <n v="12000"/>
    <n v="8000"/>
    <m/>
    <m/>
    <m/>
    <m/>
    <n v="0"/>
  </r>
  <r>
    <x v="59"/>
    <m/>
    <s v="FERNANDO ROMERO"/>
    <s v="CHEVROLET SAIL"/>
    <s v="IKX-010"/>
    <x v="1"/>
    <s v="CAMBIO DE BOMBILLO"/>
    <n v="6500"/>
    <n v="3900"/>
    <n v="2600"/>
    <m/>
    <m/>
    <m/>
    <m/>
    <n v="0"/>
  </r>
  <r>
    <x v="59"/>
    <m/>
    <s v="ALEXANDER AYALA"/>
    <s v="FORD"/>
    <s v="RAT-770"/>
    <x v="1"/>
    <s v="MANTENIMIENTO TRASERO"/>
    <n v="30000"/>
    <n v="18000"/>
    <n v="12000"/>
    <m/>
    <m/>
    <m/>
    <m/>
    <n v="0"/>
  </r>
  <r>
    <x v="60"/>
    <s v="FE: 191 / RM: 115"/>
    <s v="EDWIN PRIETO"/>
    <s v="ASIA"/>
    <s v="BHX-650"/>
    <x v="1"/>
    <s v="SINCRONIZADA"/>
    <n v="120000"/>
    <n v="72000"/>
    <n v="48000"/>
    <s v="BOBINA"/>
    <n v="100000"/>
    <n v="120000"/>
    <m/>
    <n v="20000"/>
  </r>
  <r>
    <x v="60"/>
    <s v="RM-113"/>
    <s v="URIEL HERRERA"/>
    <s v="JAC"/>
    <s v="SZN-245"/>
    <x v="1"/>
    <s v="MANTENIMIENTO VALVULA RELAY"/>
    <n v="30000"/>
    <n v="18000"/>
    <n v="12000"/>
    <m/>
    <m/>
    <m/>
    <m/>
    <n v="0"/>
  </r>
  <r>
    <x v="60"/>
    <s v="RM-112"/>
    <s v="FREVECOM"/>
    <s v="DESK"/>
    <s v="TLO-165"/>
    <x v="4"/>
    <s v="CAMBIAR CRUCETA"/>
    <n v="40000"/>
    <n v="24000"/>
    <n v="16000"/>
    <m/>
    <m/>
    <m/>
    <m/>
    <n v="0"/>
  </r>
  <r>
    <x v="60"/>
    <s v="RM-117"/>
    <s v="FREDY SASTOQUI"/>
    <s v="VOLSWAGEN"/>
    <s v="CSM-853"/>
    <x v="4"/>
    <s v="SINCRONIZADA, CAMBIO TAPA VALVULA, CAMBIO KIT DE REPARTICION"/>
    <n v="330000"/>
    <n v="198000"/>
    <n v="132000"/>
    <s v="EMPQUE CUERPO DE ACELERACION"/>
    <n v="10000"/>
    <n v="15000"/>
    <m/>
    <n v="5000"/>
  </r>
  <r>
    <x v="60"/>
    <s v="RM-116"/>
    <s v="JOSE OSPINA"/>
    <s v="MAZDA"/>
    <s v="BBA-677"/>
    <x v="1"/>
    <s v="REVISION DE FRENOS"/>
    <n v="50000"/>
    <n v="30000"/>
    <n v="20000"/>
    <m/>
    <m/>
    <m/>
    <m/>
    <n v="0"/>
  </r>
  <r>
    <x v="60"/>
    <s v="FE: 190"/>
    <s v="MARA LOPEZ"/>
    <s v="RENAULT MEGAN 1"/>
    <s v="BSF-412"/>
    <x v="1"/>
    <s v="CAMBIO DE GRADUACION DE FRENOS"/>
    <n v="20000"/>
    <n v="12000"/>
    <n v="8000"/>
    <s v="GRADUACION"/>
    <n v="38000"/>
    <n v="60000"/>
    <m/>
    <n v="22000"/>
  </r>
  <r>
    <x v="61"/>
    <s v="RM-118"/>
    <s v="JOSE SIERRA"/>
    <s v="NPR"/>
    <s v="ZIO-178"/>
    <x v="3"/>
    <s v="CAMBIO DE CENTRAL"/>
    <n v="50000"/>
    <n v="30000"/>
    <n v="20000"/>
    <s v="CENTYRAL"/>
    <n v="3200"/>
    <n v="6000"/>
    <m/>
    <n v="2800"/>
  </r>
  <r>
    <x v="61"/>
    <m/>
    <s v="JHON JAIRO RAMIREZ"/>
    <s v="VOLSWAGEN"/>
    <s v="BNC-815"/>
    <x v="3"/>
    <s v="CAMBIO DE KIT DE CLOSH"/>
    <n v="150000"/>
    <n v="90000"/>
    <n v="60000"/>
    <m/>
    <m/>
    <m/>
    <m/>
    <n v="0"/>
  </r>
  <r>
    <x v="62"/>
    <s v="RM-122"/>
    <m/>
    <m/>
    <m/>
    <x v="5"/>
    <s v="SOLDADURA CARDAN"/>
    <n v="10000"/>
    <n v="10000"/>
    <n v="4000"/>
    <m/>
    <m/>
    <m/>
    <m/>
    <n v="0"/>
  </r>
  <r>
    <x v="62"/>
    <m/>
    <m/>
    <m/>
    <m/>
    <x v="3"/>
    <s v="DESVARE"/>
    <n v="50000"/>
    <n v="30000"/>
    <n v="20000"/>
    <m/>
    <m/>
    <m/>
    <m/>
    <n v="0"/>
  </r>
  <r>
    <x v="62"/>
    <s v="RM: 194"/>
    <s v="HECTOR PINTO"/>
    <s v="FORD EXPLORER"/>
    <s v="DDM-680"/>
    <x v="1"/>
    <s v="CAMBIO DE PASTILLAS DELANTERAS Y MTTO. TRASERO"/>
    <n v="80000"/>
    <n v="48000"/>
    <n v="32000"/>
    <s v="JUEGO DE PASTILLAS DELANTERAS"/>
    <n v="163000"/>
    <n v="230000"/>
    <m/>
    <n v="67000"/>
  </r>
  <r>
    <x v="62"/>
    <s v="FE: 193"/>
    <s v="CESAR ISAZA"/>
    <s v="JAC"/>
    <s v="WDC-287"/>
    <x v="1"/>
    <s v="CAMBIO EMP VALVULA DE ESCAPE/ MTTO BOTON PP1"/>
    <n v="40000"/>
    <n v="24000"/>
    <n v="16000"/>
    <m/>
    <m/>
    <m/>
    <m/>
    <n v="0"/>
  </r>
  <r>
    <x v="62"/>
    <s v="RM: 121"/>
    <s v="ANA VELASQUE"/>
    <s v="SPARK"/>
    <s v="CYJ-239"/>
    <x v="3"/>
    <s v="CAMBIO DE BOMBA DE AGUA"/>
    <n v="70000"/>
    <n v="42000"/>
    <n v="28000"/>
    <m/>
    <m/>
    <m/>
    <m/>
    <n v="0"/>
  </r>
  <r>
    <x v="62"/>
    <m/>
    <m/>
    <s v="TWINGO"/>
    <m/>
    <x v="3"/>
    <s v="REPARAR MOTOR"/>
    <n v="1200000"/>
    <n v="720000"/>
    <n v="480000"/>
    <m/>
    <m/>
    <m/>
    <m/>
    <n v="0"/>
  </r>
  <r>
    <x v="62"/>
    <m/>
    <m/>
    <s v="HIUNDAY"/>
    <s v="TSM-266"/>
    <x v="1"/>
    <s v="GRADUACION DE FRENOS"/>
    <n v="10000"/>
    <n v="6000"/>
    <n v="4000"/>
    <m/>
    <m/>
    <m/>
    <m/>
    <n v="0"/>
  </r>
  <r>
    <x v="62"/>
    <s v="RM-123"/>
    <s v="DAVID CASTELLANOS"/>
    <s v="JAC"/>
    <s v="DXM-189"/>
    <x v="1"/>
    <s v="MANTENIMIENTO, BAJAR DISCOS"/>
    <n v="100000"/>
    <n v="60000"/>
    <n v="40000"/>
    <m/>
    <m/>
    <m/>
    <m/>
    <n v="0"/>
  </r>
  <r>
    <x v="58"/>
    <m/>
    <m/>
    <m/>
    <m/>
    <x v="1"/>
    <s v="GRADUACION DE FRENOS"/>
    <n v="5000"/>
    <n v="3000"/>
    <n v="2000"/>
    <m/>
    <m/>
    <m/>
    <m/>
    <n v="0"/>
  </r>
  <r>
    <x v="63"/>
    <m/>
    <s v="DAVID ROJAS"/>
    <s v="CHEVROLET SAIL"/>
    <s v="EOL-262"/>
    <x v="1"/>
    <s v="RECTIFICACION DE DISCOS , MATTO DELA Y TRASERO"/>
    <n v="80000"/>
    <n v="48000"/>
    <n v="32000"/>
    <s v="RECTIFICACION DE DISCOS"/>
    <n v="40000"/>
    <n v="70000"/>
    <m/>
    <n v="30000"/>
  </r>
  <r>
    <x v="64"/>
    <m/>
    <s v="JOSE RIBERO"/>
    <s v="NISSAN TIIDA"/>
    <s v="FZQ-020"/>
    <x v="1"/>
    <s v="MANTENIMIENTO DE FRENOS"/>
    <n v="50000"/>
    <n v="30000"/>
    <n v="20000"/>
    <m/>
    <m/>
    <m/>
    <m/>
    <n v="0"/>
  </r>
  <r>
    <x v="64"/>
    <m/>
    <s v="ALEJANDRO RIVERA"/>
    <s v="FIAT UNO"/>
    <s v="BRK-566"/>
    <x v="6"/>
    <s v="LAVADO DE INYECTORES"/>
    <n v="50000"/>
    <n v="30000"/>
    <n v="20000"/>
    <m/>
    <m/>
    <m/>
    <m/>
    <n v="0"/>
  </r>
  <r>
    <x v="64"/>
    <s v="FE: 196"/>
    <s v="NASAGRO"/>
    <s v="RENAULT OROCH"/>
    <s v="FPU-121"/>
    <x v="1"/>
    <s v="MANTENIMEINTO TRASERO"/>
    <n v="20000"/>
    <n v="12000"/>
    <n v="8000"/>
    <m/>
    <m/>
    <m/>
    <m/>
    <n v="0"/>
  </r>
  <r>
    <x v="65"/>
    <s v="FE: 198"/>
    <s v="MONICA JAIME"/>
    <s v="CAMION INTERNACIONAL"/>
    <s v="SUK-068"/>
    <x v="6"/>
    <s v="CAMBIO DE MANGUERA"/>
    <n v="30000"/>
    <n v="18000"/>
    <n v="12000"/>
    <m/>
    <m/>
    <m/>
    <m/>
    <n v="0"/>
  </r>
  <r>
    <x v="65"/>
    <s v="RM: 128"/>
    <s v="JOSE GUTIERREZ"/>
    <s v="CHANA"/>
    <s v="USA-874"/>
    <x v="4"/>
    <s v="CAMBIO DE BOMBA DE AGUA, KIT DE REPARTICION, BASE DE TERMOSTATO"/>
    <n v="200000"/>
    <n v="120000"/>
    <n v="80000"/>
    <m/>
    <m/>
    <m/>
    <m/>
    <n v="0"/>
  </r>
  <r>
    <x v="65"/>
    <s v="FE: 197 / RM: 127"/>
    <s v="WENCESLAO POVEDA"/>
    <s v="SKODA FELICIA"/>
    <s v="CRV-992"/>
    <x v="1"/>
    <s v="CAMBIO DE PASTILLAS DELANTERAS/ RECTIFICACION DE DISCOS/ CAMBIO DE MANGUERA DE FRENOS"/>
    <n v="50000"/>
    <n v="30000"/>
    <n v="20000"/>
    <s v="MANGUERA DE FRENOS, RECTIFICACION DE DISCOS, PASTILLAS DEL."/>
    <n v="145000"/>
    <n v="220000"/>
    <m/>
    <n v="75000"/>
  </r>
  <r>
    <x v="65"/>
    <s v="RM-126"/>
    <s v="ERNESTO POVEDA"/>
    <s v="MAZDA"/>
    <s v="BFH-766"/>
    <x v="6"/>
    <s v="CAMBIO DE BOMBA DE FRENO"/>
    <n v="30000"/>
    <n v="18000"/>
    <n v="12000"/>
    <m/>
    <m/>
    <m/>
    <m/>
    <n v="0"/>
  </r>
  <r>
    <x v="66"/>
    <s v="FE: 202 / RM: 131"/>
    <s v="EDWIN PRIETO"/>
    <s v="ASIA"/>
    <s v="BHS-650"/>
    <x v="1"/>
    <s v="MANTTO COMPLETOY CAMBIO NDE RODAMIENTO DELANTERO DERECHO /BAJAR BOMBA"/>
    <n v="150000"/>
    <n v="90000"/>
    <n v="60000"/>
    <m/>
    <m/>
    <m/>
    <m/>
    <n v="0"/>
  </r>
  <r>
    <x v="66"/>
    <m/>
    <m/>
    <s v="MITSUBISHI"/>
    <s v="SKK-862"/>
    <x v="6"/>
    <s v="GRADUAR FRENOS"/>
    <n v="12000"/>
    <n v="7200"/>
    <n v="4800"/>
    <m/>
    <m/>
    <m/>
    <m/>
    <n v="0"/>
  </r>
  <r>
    <x v="67"/>
    <m/>
    <s v="MAURICIO"/>
    <s v="NISSAN"/>
    <m/>
    <x v="3"/>
    <s v="LIMPIAR INYECTORES / CAMBIO DE BUJIAS"/>
    <n v="120000"/>
    <n v="72000"/>
    <n v="48000"/>
    <m/>
    <m/>
    <m/>
    <m/>
    <n v="0"/>
  </r>
  <r>
    <x v="66"/>
    <s v="RM-132"/>
    <s v="SEBASTIAN RAMIREZ"/>
    <s v="SYMBOL"/>
    <s v="KGW-180"/>
    <x v="6"/>
    <s v="CAMBIO BOMBA DE FRENO"/>
    <n v="80000"/>
    <n v="48000"/>
    <n v="32000"/>
    <m/>
    <m/>
    <m/>
    <m/>
    <n v="0"/>
  </r>
  <r>
    <x v="68"/>
    <m/>
    <s v="MONGUIBELLO"/>
    <s v="DOGGE VERDE"/>
    <m/>
    <x v="1"/>
    <s v="GRADUACION DE FRENOS"/>
    <n v="10000"/>
    <n v="6000"/>
    <n v="4000"/>
    <m/>
    <m/>
    <m/>
    <m/>
    <n v="0"/>
  </r>
  <r>
    <x v="67"/>
    <s v="FE: 207 /RM:134"/>
    <s v="LEONARDO PINZON"/>
    <s v="SPARK GT"/>
    <s v="DOZ-064"/>
    <x v="1"/>
    <s v="CAMBIO DE MUÑECOS DELANTEROS"/>
    <n v="40000"/>
    <n v="24000"/>
    <n v="16000"/>
    <s v="MUÑECOS"/>
    <n v="73000"/>
    <n v="130000"/>
    <m/>
    <n v="57000"/>
  </r>
  <r>
    <x v="67"/>
    <s v="FE:206 / RM:133"/>
    <s v="YOVANNY PINEDA"/>
    <s v="CHEVROLET NHR"/>
    <s v="USD-121"/>
    <x v="4"/>
    <s v="AJUSTAR TRANSMISION"/>
    <n v="300000"/>
    <n v="180000"/>
    <n v="120000"/>
    <m/>
    <m/>
    <m/>
    <m/>
    <n v="0"/>
  </r>
  <r>
    <x v="69"/>
    <s v="RM:135"/>
    <s v="YADIRA CARRO"/>
    <s v="NISSAN"/>
    <s v="IJW-188"/>
    <x v="1"/>
    <s v="RECTIFICAR DISCOS, LAVADO DE SILLAS"/>
    <n v="80000"/>
    <n v="48000"/>
    <n v="32000"/>
    <s v="RECTIFICAR DISCOS "/>
    <m/>
    <n v="100000"/>
    <m/>
    <n v="100000"/>
  </r>
  <r>
    <x v="69"/>
    <s v="FE: 208"/>
    <s v="VICTOR HERNANDEZ"/>
    <s v="RENAULT SYMBOL"/>
    <s v="FDL-662"/>
    <x v="1"/>
    <s v="CAMBIO DE KIT DE BOTA"/>
    <n v="50000"/>
    <n v="30000"/>
    <n v="20000"/>
    <s v="KIT DE BOTA"/>
    <n v="60000"/>
    <n v="80000"/>
    <m/>
    <n v="20000"/>
  </r>
  <r>
    <x v="69"/>
    <m/>
    <s v="TOT"/>
    <s v="CHEVROLET"/>
    <s v="SKK-590"/>
    <x v="1"/>
    <s v="GRADUAR FRENOS"/>
    <n v="10000"/>
    <n v="6000"/>
    <n v="4000"/>
    <m/>
    <m/>
    <m/>
    <m/>
    <n v="0"/>
  </r>
  <r>
    <x v="70"/>
    <m/>
    <m/>
    <s v="PRADO"/>
    <s v="LUE-983"/>
    <x v="4"/>
    <s v="CAMBIO DE CAUCHO BRAZO AXIAL"/>
    <n v="20000"/>
    <n v="12000"/>
    <n v="8000"/>
    <m/>
    <m/>
    <m/>
    <m/>
    <n v="0"/>
  </r>
  <r>
    <x v="70"/>
    <s v="RM-137"/>
    <s v="AUTORALLY"/>
    <s v="LOGAN"/>
    <s v="INL-675"/>
    <x v="4"/>
    <s v="SINCRONIZADA"/>
    <n v="150000"/>
    <n v="90000"/>
    <n v="60000"/>
    <m/>
    <m/>
    <m/>
    <m/>
    <n v="0"/>
  </r>
  <r>
    <x v="71"/>
    <m/>
    <s v="JESUS PEÑA"/>
    <s v="AVEO"/>
    <s v="CVM-214"/>
    <x v="1"/>
    <s v="ROTAR CAUCHOS"/>
    <n v="15000"/>
    <n v="9000"/>
    <n v="6000"/>
    <s v="ABRAZADERAS"/>
    <n v="2100"/>
    <n v="4300"/>
    <m/>
    <n v="2200"/>
  </r>
  <r>
    <x v="71"/>
    <s v="RM-138"/>
    <s v="OLMEDO RODRIGUEZ"/>
    <s v="HONDA"/>
    <s v="LOK-390"/>
    <x v="4"/>
    <s v="CORREGIR BOTE DE ACEITE CARTER"/>
    <n v="130000"/>
    <n v="78000"/>
    <n v="52000"/>
    <s v="SILICONA WURTH"/>
    <n v="14000"/>
    <n v="20000"/>
    <m/>
    <n v="6000"/>
  </r>
  <r>
    <x v="71"/>
    <m/>
    <s v="OCATI"/>
    <s v="NQR"/>
    <s v="WOS-474"/>
    <x v="1"/>
    <s v="GRADUAR FRENOS"/>
    <n v="10000"/>
    <n v="6000"/>
    <n v="4000"/>
    <m/>
    <m/>
    <m/>
    <m/>
    <n v="0"/>
  </r>
  <r>
    <x v="72"/>
    <s v="RM-142"/>
    <s v="PEDRO RUIZ "/>
    <s v="FORD"/>
    <s v="RCL-744"/>
    <x v="6"/>
    <s v="CAMBIO DE BUJES DE TIJERAS, BJAR SUSPENSION TRASERA"/>
    <n v="500000"/>
    <n v="300000"/>
    <n v="200000"/>
    <m/>
    <m/>
    <m/>
    <m/>
    <n v="0"/>
  </r>
  <r>
    <x v="72"/>
    <s v="FE: 215"/>
    <s v="ALIMENTOS LEYLA"/>
    <s v="JAC"/>
    <s v="ERL-515"/>
    <x v="4"/>
    <s v="CAMBIO DE KIT DE CLOSH Y GUAYA DE CAMBIOS"/>
    <n v="250000"/>
    <n v="150000"/>
    <n v="100000"/>
    <m/>
    <m/>
    <m/>
    <m/>
    <n v="0"/>
  </r>
  <r>
    <x v="72"/>
    <s v="RM-139"/>
    <s v="PAOLA MONTAÑA"/>
    <s v="CHEVROLET"/>
    <s v="HFR-311"/>
    <x v="6"/>
    <s v="CAMBIO DE GUARDAPOLVO Y AMORTIGUADORES"/>
    <n v="40000"/>
    <n v="24000"/>
    <n v="16000"/>
    <m/>
    <m/>
    <m/>
    <m/>
    <n v="0"/>
  </r>
  <r>
    <x v="72"/>
    <s v="RM-141"/>
    <s v="MARITZA GAMBOA"/>
    <s v="DODGE"/>
    <s v="HHZ-781"/>
    <x v="8"/>
    <s v="REPARACION DE MOTOR"/>
    <n v="1400000"/>
    <n v="840000"/>
    <n v="560000"/>
    <m/>
    <m/>
    <m/>
    <m/>
    <n v="0"/>
  </r>
  <r>
    <x v="73"/>
    <s v="RM-143"/>
    <s v="SEBASTIAN OROZCO"/>
    <s v="VOLKSWAGEN"/>
    <s v="HCL-881"/>
    <x v="3"/>
    <s v="SINCRONIZACION"/>
    <n v="150000"/>
    <n v="90000"/>
    <n v="60000"/>
    <m/>
    <m/>
    <m/>
    <s v="CANCELADO"/>
    <n v="0"/>
  </r>
  <r>
    <x v="73"/>
    <s v="RM-144"/>
    <s v="OSWALDO MIRANDA"/>
    <s v="KODIAK"/>
    <s v="SUC-865"/>
    <x v="4"/>
    <s v="CAMBIO DE MANGUERA"/>
    <n v="30000"/>
    <n v="18000"/>
    <n v="12000"/>
    <m/>
    <m/>
    <m/>
    <s v="CANCELADO"/>
    <n v="0"/>
  </r>
  <r>
    <x v="73"/>
    <s v="RM-146"/>
    <s v="JHON CANO"/>
    <s v="JEEP"/>
    <s v="IDV-079"/>
    <x v="1"/>
    <s v="MANTENIMIENTO COMPLETO DE FRENOS"/>
    <n v="80000"/>
    <n v="48000"/>
    <n v="32000"/>
    <m/>
    <m/>
    <m/>
    <s v="CANCELADO"/>
    <n v="0"/>
  </r>
  <r>
    <x v="73"/>
    <s v="RM-145"/>
    <s v="RAFAEL CASTILLO"/>
    <s v="CHEVROLET"/>
    <s v="VEY-770"/>
    <x v="3"/>
    <s v="REVISION DE AMORTIGUADORES"/>
    <n v="80000"/>
    <n v="48000"/>
    <n v="32000"/>
    <m/>
    <m/>
    <m/>
    <s v="CANCELADO"/>
    <n v="0"/>
  </r>
  <r>
    <x v="74"/>
    <s v="FE: 218 / RM: 147"/>
    <s v="JUSTO ROCHA"/>
    <s v="NPR"/>
    <s v="MQM-109"/>
    <x v="6"/>
    <s v="REVISION DE FRENOS / BAJAR RUEDAS TRASERAS/ CAMBIO DE LIQUIDO GENERAL / CAMBIO DE BANDAS FRENOS DE MANO"/>
    <n v="160000"/>
    <n v="96000"/>
    <n v="64000"/>
    <s v="BANDAS FRENOS DE MANO, GASOLINA, JUEGO DE PUNTILLAS, CRUCETA, LIQUIDO, CHUPAS"/>
    <n v="170000"/>
    <n v="300000"/>
    <s v="CANCELADO"/>
    <n v="130000"/>
  </r>
  <r>
    <x v="75"/>
    <s v="RM-150"/>
    <s v="ALVARO DIAZ"/>
    <s v="CHEVROLET - NPR"/>
    <s v="WFR-003"/>
    <x v="4"/>
    <s v="MANTENIMIENTO SENSOR ABS / CAMBIO DE EMPAQUE "/>
    <n v="120000"/>
    <n v="72000"/>
    <n v="48000"/>
    <s v="EMAPQUETADURA DE LA VALVULA EGR, SILICONA, SERVICIO DE ESCANER"/>
    <n v="79500"/>
    <n v="90000"/>
    <s v="CANCELADO"/>
    <n v="10500"/>
  </r>
  <r>
    <x v="75"/>
    <s v="FE: 222/RM:148"/>
    <s v="MARTIN ESPIFIA"/>
    <s v="RENAULT SANDERO"/>
    <s v="KIZ-064"/>
    <x v="6"/>
    <s v="REVISION DE RUDAS TRASERAS Y DELANTERAS"/>
    <n v="60000"/>
    <n v="36000"/>
    <n v="24000"/>
    <s v="PASTILLAS DELANTERAS"/>
    <n v="118000"/>
    <n v="164000"/>
    <s v="CANCELADO"/>
    <n v="46000"/>
  </r>
  <r>
    <x v="75"/>
    <s v="FE:224 / RM:149"/>
    <s v="JAIME MONCADA"/>
    <s v="MITSUBISHI"/>
    <s v="SKK-862"/>
    <x v="1"/>
    <s v="REVISION DE RUEDA TRASERA DERECHA/ CAMBIO DE RETENEDOR Y RODAMIENTO"/>
    <n v="40000"/>
    <n v="24000"/>
    <n v="16000"/>
    <s v="RETENEDOR,RODAMIENTOS, GRASA, GASOLINA"/>
    <n v="150000"/>
    <n v="185000"/>
    <s v="CANCELADO"/>
    <n v="35000"/>
  </r>
  <r>
    <x v="75"/>
    <s v="RM-151"/>
    <s v="ANDRES ESTRADA"/>
    <s v="RENAULT MEGAN"/>
    <s v="BSF-412"/>
    <x v="6"/>
    <s v="CAMBIO DE BUJES DE LA BARRA ESTABILIZADORA Y SELECTOR DE CAMBIO"/>
    <n v="70000"/>
    <n v="42000"/>
    <n v="28000"/>
    <m/>
    <m/>
    <m/>
    <s v="CANCELADO"/>
    <n v="0"/>
  </r>
  <r>
    <x v="76"/>
    <s v="RM-157"/>
    <s v="JOSE GUTIERREZ"/>
    <s v="CHANA"/>
    <s v="SLJ-080"/>
    <x v="6"/>
    <s v="BAJAR CAJA, BASE DE AMORTIGUADORES, MUÑECOS, BUJES DAMPER Y TIJERAS"/>
    <n v="290000"/>
    <n v="174000"/>
    <n v="116000"/>
    <m/>
    <m/>
    <m/>
    <s v="CANCELADO"/>
    <n v="0"/>
  </r>
  <r>
    <x v="76"/>
    <s v="RM-153"/>
    <s v="AVELARDO SOLANO"/>
    <s v="NKR"/>
    <s v="USB-323"/>
    <x v="4"/>
    <s v="MANTENIMEINTO COMPLETO"/>
    <n v="100000"/>
    <n v="60000"/>
    <n v="40000"/>
    <s v="RETENEDOR, CHUPAS, GRASAS, PINES CACHO, LIQUIDO"/>
    <m/>
    <m/>
    <s v="CANCELADO"/>
    <n v="0"/>
  </r>
  <r>
    <x v="76"/>
    <s v="FE: 225 / RM:152"/>
    <s v="RICARDO HERNANDEZ"/>
    <s v="RENAULT ROJO"/>
    <s v="FCC-465"/>
    <x v="3"/>
    <s v="SUSPENSION DELANTERA"/>
    <n v="150000"/>
    <n v="90000"/>
    <n v="60000"/>
    <m/>
    <m/>
    <m/>
    <s v="CANCELADO"/>
    <n v="0"/>
  </r>
  <r>
    <x v="76"/>
    <s v="FE: 225 / RM:152"/>
    <s v="RICARDO HERNANDEZ"/>
    <s v="RENAULT ROJO"/>
    <s v="FCC-465"/>
    <x v="1"/>
    <s v="MANTENIMIENTO DE FRENOS"/>
    <n v="100000"/>
    <n v="60000"/>
    <n v="40000"/>
    <m/>
    <m/>
    <m/>
    <s v="CANCELADO"/>
    <n v="0"/>
  </r>
  <r>
    <x v="76"/>
    <s v="FE: 226 RM: 154"/>
    <s v="PEDRO CANO"/>
    <s v="TWINGO"/>
    <s v="CCN-593"/>
    <x v="6"/>
    <s v="CAMBIO DE BANDAS TRASERAS Y CHUPAS"/>
    <n v="30000"/>
    <n v="18000"/>
    <n v="12000"/>
    <s v="BANDAS FRENOS, CHUPAS"/>
    <n v="90000"/>
    <n v="125000"/>
    <s v="CANCELADO"/>
    <n v="35000"/>
  </r>
  <r>
    <x v="77"/>
    <s v="RM-161"/>
    <m/>
    <s v="CHEVROLET-AVEO"/>
    <s v="RAL-384"/>
    <x v="4"/>
    <s v="ARREGLO FUGA DE ACEITE"/>
    <n v="220000"/>
    <n v="132000"/>
    <n v="88000"/>
    <m/>
    <m/>
    <m/>
    <s v="CANCELADO"/>
    <n v="0"/>
  </r>
  <r>
    <x v="77"/>
    <m/>
    <m/>
    <s v="LAND CRUCER"/>
    <s v="FNV-416"/>
    <x v="6"/>
    <s v="REVISION DE TRASERAS"/>
    <n v="30000"/>
    <n v="18000"/>
    <n v="12000"/>
    <s v="PASTILLAS TRASERAS"/>
    <n v="80920"/>
    <n v="140000"/>
    <s v="CANCELADO"/>
    <n v="59080"/>
  </r>
  <r>
    <x v="77"/>
    <s v="FE: 228 / RM: 158"/>
    <s v="ALEXANDER NUÑEZ"/>
    <s v="FORD"/>
    <s v="DFR-841"/>
    <x v="1"/>
    <s v="MANTENIMEINTO COMPELTO DE FRENOS, CAMBIO DE LIQUIDO, ESCANER"/>
    <n v="120000"/>
    <n v="72000"/>
    <n v="48000"/>
    <s v="LIQUIDO DOT4, ANTIRUIDO"/>
    <n v="17000"/>
    <n v="45000"/>
    <s v="CANCELADO"/>
    <n v="28000"/>
  </r>
  <r>
    <x v="77"/>
    <s v="FE: 229 "/>
    <s v="ALIRIO SANTA"/>
    <s v="RENAULT"/>
    <s v="ZIW-085"/>
    <x v="6"/>
    <s v="CAMBIO DE AMORTIGUADORES TRASEROS, CALIPER, JUEGO DE PASTILLAS, PINTA DE LIQUIDO"/>
    <n v="60000"/>
    <n v="60000"/>
    <n v="24000"/>
    <s v="AMORTIGUADORES TRASEROS, CALIPER, JUEGO DE PASTILLAS, PINTA DE LIQUIDO"/>
    <n v="460000"/>
    <n v="569000"/>
    <s v="CANCELADO"/>
    <n v="109000"/>
  </r>
  <r>
    <x v="77"/>
    <m/>
    <m/>
    <m/>
    <s v="TEP-622"/>
    <x v="1"/>
    <s v="GRADUAR FRENOS DE MANO"/>
    <n v="20000"/>
    <n v="12000"/>
    <n v="8000"/>
    <m/>
    <n v="170000"/>
    <m/>
    <s v="CANCELADO"/>
    <n v="-170000"/>
  </r>
  <r>
    <x v="77"/>
    <s v="RM-159"/>
    <s v="KATERIN MORALES"/>
    <s v="SKODA"/>
    <s v="BEV-321"/>
    <x v="3"/>
    <s v="CAMBIO DE EMPAQUE DE CULATA "/>
    <n v="250000"/>
    <n v="150000"/>
    <n v="100000"/>
    <m/>
    <m/>
    <m/>
    <s v="CANCELADO"/>
    <n v="0"/>
  </r>
  <r>
    <x v="77"/>
    <m/>
    <s v="PLEXIMUNDO"/>
    <s v="NPR"/>
    <s v="BRP-560"/>
    <x v="1"/>
    <s v="GRADUAR FRENOS"/>
    <n v="12000"/>
    <n v="7200"/>
    <n v="4800"/>
    <m/>
    <m/>
    <m/>
    <s v="CANCELADO"/>
    <n v="0"/>
  </r>
  <r>
    <x v="77"/>
    <s v="FE:231"/>
    <s v="ALIMENTOS LEYLA"/>
    <s v="JAC"/>
    <s v="ERL-515"/>
    <x v="3"/>
    <s v="BAJAR Y MONTAR CAJA "/>
    <n v="250000"/>
    <n v="150000"/>
    <n v="100000"/>
    <m/>
    <m/>
    <m/>
    <s v="CANCELADO"/>
    <n v="0"/>
  </r>
  <r>
    <x v="77"/>
    <m/>
    <s v="MONGUIBELLO"/>
    <s v="FORD"/>
    <s v="CIF-574"/>
    <x v="6"/>
    <s v="GRADUAR FRENOS"/>
    <n v="10000"/>
    <n v="6000"/>
    <n v="4000"/>
    <m/>
    <m/>
    <m/>
    <s v="CANCELADO"/>
    <n v="0"/>
  </r>
  <r>
    <x v="77"/>
    <m/>
    <s v="JAIRO ALONSO GONZALES"/>
    <s v="CHEVROLET"/>
    <s v="UPQ-573"/>
    <x v="1"/>
    <s v="GRADUAR FRENOS"/>
    <n v="20000"/>
    <n v="12000"/>
    <n v="8000"/>
    <m/>
    <m/>
    <m/>
    <s v="CANCELADO"/>
    <n v="0"/>
  </r>
  <r>
    <x v="78"/>
    <s v="RM-162"/>
    <s v="RODRIGO ROJAS"/>
    <s v="CHEVROLET SPRINT"/>
    <s v="BFV-954"/>
    <x v="6"/>
    <s v="REVISION DE TRASERAS"/>
    <n v="30000"/>
    <n v="18000"/>
    <n v="12000"/>
    <m/>
    <m/>
    <m/>
    <s v="CANCELADO"/>
    <n v="0"/>
  </r>
  <r>
    <x v="78"/>
    <s v="RM-162"/>
    <s v="RODRIGO ROJAS"/>
    <s v="CHEVROLET SPRINT"/>
    <s v="BFV-954"/>
    <x v="3"/>
    <s v="CAMBIO DE PUNTA DELANTERA DERECHA Y GUARDAPOLVO "/>
    <n v="50000"/>
    <n v="30000"/>
    <n v="20000"/>
    <m/>
    <m/>
    <m/>
    <s v="CANCELADO"/>
    <n v="0"/>
  </r>
  <r>
    <x v="78"/>
    <s v="FE: 235"/>
    <s v="OCATI"/>
    <s v="VOLSKWAGEN"/>
    <s v="JKV-447"/>
    <x v="2"/>
    <s v="ADAPTACION DE MANGUERA SOPLA CABINA Y MANGUERA INFLA LLANTAS "/>
    <n v="90000"/>
    <n v="54000"/>
    <n v="36000"/>
    <m/>
    <m/>
    <m/>
    <s v="CANCELADO"/>
    <n v="0"/>
  </r>
  <r>
    <x v="78"/>
    <s v="FE: 235"/>
    <s v="OCATI"/>
    <s v="VOLSKWAGEN"/>
    <s v="JKV-447"/>
    <x v="6"/>
    <s v="REVISION DE FRENOS DELANTEROS"/>
    <n v="150000"/>
    <n v="90000"/>
    <n v="60000"/>
    <m/>
    <n v="170000"/>
    <m/>
    <s v="CANCELADO"/>
    <n v="-170000"/>
  </r>
  <r>
    <x v="78"/>
    <s v="RM-164"/>
    <s v="NESTOR RINCON"/>
    <s v="MERCEDEZ BENZ"/>
    <s v="HKK-453"/>
    <x v="6"/>
    <s v="MANTENIMIENTO DE FRENOS COMPLETO / CAMBIO DE  PASTILLAS DELANTERAS Y TRASERAS"/>
    <n v="80000"/>
    <n v="48000"/>
    <n v="32000"/>
    <m/>
    <m/>
    <m/>
    <s v="CANCELADO"/>
    <n v="0"/>
  </r>
  <r>
    <x v="78"/>
    <s v="RM-163"/>
    <s v="LORENA PATARROYO"/>
    <s v="MAZDA 3"/>
    <s v="BWE-859"/>
    <x v="6"/>
    <s v="MANTENIMIENTO COMPLETO DE FRENOS"/>
    <n v="60000"/>
    <n v="36000"/>
    <n v="24000"/>
    <m/>
    <m/>
    <m/>
    <s v="CANCELADO"/>
    <n v="0"/>
  </r>
  <r>
    <x v="78"/>
    <s v="FE: 232"/>
    <s v="KYZ INGENIERIA Y TRANSPORTE"/>
    <s v="RENAULT ALASKA"/>
    <s v="KNZ-531"/>
    <x v="1"/>
    <s v="MANTENIMIENTO DE FRENOS / CAMBIO DE PASTILLAS DELANTERAS"/>
    <n v="40000"/>
    <n v="40000"/>
    <n v="16000"/>
    <s v="PASTILLAS DE FRENOS"/>
    <n v="160000"/>
    <n v="230000"/>
    <s v="CANCELADO"/>
    <n v="70000"/>
  </r>
  <r>
    <x v="78"/>
    <s v="FE: 233 / RM: 165"/>
    <s v="JAUN CARLOS DIAZ"/>
    <s v="MAZDA CX5"/>
    <s v="DNL-683"/>
    <x v="1"/>
    <s v="REVISION DE FRENOS TRASEROS / CAMBIO DE PASTILLAS"/>
    <n v="40000"/>
    <n v="24000"/>
    <n v="16000"/>
    <s v="PASTILLAS"/>
    <n v="104000"/>
    <n v="144000"/>
    <s v="CANCELADO"/>
    <n v="40000"/>
  </r>
  <r>
    <x v="78"/>
    <s v="FE: 234"/>
    <s v="MARIO ALMONASIC"/>
    <s v="CHEVROLET CHEYENNE"/>
    <s v="CRY-082"/>
    <x v="3"/>
    <s v="CAMBIO DE KIT DE CLOSH"/>
    <n v="280000"/>
    <n v="168000"/>
    <n v="112000"/>
    <s v="KIT DE CLOSH"/>
    <n v="950000"/>
    <n v="1310000"/>
    <s v="CANCELADO"/>
    <n v="360000"/>
  </r>
  <r>
    <x v="78"/>
    <m/>
    <m/>
    <s v="EXPLORER"/>
    <s v="BIK"/>
    <x v="1"/>
    <s v="AJUSTE DE CARDAN"/>
    <n v="10000"/>
    <n v="6000"/>
    <n v="4000"/>
    <m/>
    <m/>
    <m/>
    <s v="CANCELADO"/>
    <n v="0"/>
  </r>
  <r>
    <x v="78"/>
    <m/>
    <m/>
    <s v="CHEVROLET"/>
    <s v="SMB-542"/>
    <x v="2"/>
    <s v="PULGAR CLOSH"/>
    <n v="10000"/>
    <n v="6000"/>
    <n v="4000"/>
    <m/>
    <n v="170000"/>
    <m/>
    <s v="CANCELADO"/>
    <n v="-170000"/>
  </r>
  <r>
    <x v="78"/>
    <m/>
    <s v="HERNANDO MORALES"/>
    <s v="CHEVROLET"/>
    <s v="BEV-393"/>
    <x v="1"/>
    <s v="REVISION DE TRASERAS"/>
    <n v="30000"/>
    <n v="18000"/>
    <n v="12000"/>
    <m/>
    <n v="170000"/>
    <m/>
    <s v="CANCELADO"/>
    <n v="-170000"/>
  </r>
  <r>
    <x v="79"/>
    <s v="FE: 236"/>
    <s v="MONGUIBELLO"/>
    <s v="HINO"/>
    <s v="WNO-408"/>
    <x v="1"/>
    <s v="GRADUAR FRENOS"/>
    <n v="12000"/>
    <n v="7200"/>
    <n v="4800"/>
    <m/>
    <m/>
    <m/>
    <s v="CANCELADO"/>
    <n v="0"/>
  </r>
  <r>
    <x v="79"/>
    <s v="RM-169"/>
    <s v="CESAR CASERES"/>
    <s v="LOGAN"/>
    <s v="KEX-298"/>
    <x v="1"/>
    <s v="REVISION DE RUEDAS DELANTERAS "/>
    <n v="10000"/>
    <n v="6000"/>
    <n v="4000"/>
    <m/>
    <m/>
    <m/>
    <s v="CANCELADO"/>
    <n v="0"/>
  </r>
  <r>
    <x v="79"/>
    <s v="RM-169"/>
    <s v="CESAR CASERES"/>
    <s v="LOGAN"/>
    <s v="KEX-298"/>
    <x v="6"/>
    <s v="REVISION DE RUEDAS DELANTERAS "/>
    <n v="10000"/>
    <n v="6000"/>
    <n v="4000"/>
    <m/>
    <m/>
    <m/>
    <s v="CANCELADO"/>
    <n v="0"/>
  </r>
  <r>
    <x v="79"/>
    <m/>
    <s v="VICENTE PATARROYO"/>
    <m/>
    <m/>
    <x v="8"/>
    <s v="GARDUAR FRENOS "/>
    <n v="5000"/>
    <n v="3000"/>
    <n v="2000"/>
    <m/>
    <m/>
    <m/>
    <s v="CANCELADO"/>
    <n v="0"/>
  </r>
  <r>
    <x v="79"/>
    <s v="RM-155"/>
    <s v="PAUL ANDRES CONTRERAS"/>
    <s v="DODGE"/>
    <s v="EKH-222"/>
    <x v="3"/>
    <s v="REPARACION DE MOTOR"/>
    <n v="800000"/>
    <n v="800000"/>
    <n v="320000"/>
    <m/>
    <m/>
    <m/>
    <s v="CANCELADO"/>
    <n v="0"/>
  </r>
  <r>
    <x v="79"/>
    <s v="RM-155"/>
    <s v="PAUL ANDRES CONTRERAS"/>
    <s v="DODGE"/>
    <s v="EKH-222"/>
    <x v="6"/>
    <s v="REVISION DE FRENOS"/>
    <n v="100000"/>
    <n v="100000"/>
    <n v="40000"/>
    <m/>
    <m/>
    <m/>
    <s v="CANCELADO"/>
    <n v="0"/>
  </r>
  <r>
    <x v="80"/>
    <s v="FE: 239 /RM: 170"/>
    <s v="DANIELA RODRIGUEZ"/>
    <s v="RENAULT LOGAN"/>
    <s v="EGN-663"/>
    <x v="6"/>
    <s v="CAMBIO DE SOPORTES Y GIARDAPOLVOS"/>
    <n v="100000"/>
    <n v="60000"/>
    <n v="40000"/>
    <s v="ASOPORTES Y GUARDAPOLVO"/>
    <n v="134000"/>
    <n v="170000"/>
    <s v="CANCELADO"/>
    <n v="36000"/>
  </r>
  <r>
    <x v="80"/>
    <m/>
    <s v="MAURICIO ROA"/>
    <s v="CHEVROLET AVEO"/>
    <s v="CWO-124"/>
    <x v="6"/>
    <s v="AJUSTAR CUNA, CAMBIO DE MUÑECOS"/>
    <n v="40000"/>
    <n v="24000"/>
    <n v="16000"/>
    <m/>
    <m/>
    <m/>
    <s v="CANCELADO"/>
    <n v="0"/>
  </r>
  <r>
    <x v="80"/>
    <m/>
    <m/>
    <s v="NHR"/>
    <s v="USB-323"/>
    <x v="1"/>
    <s v="GRADUAR FRENOS"/>
    <n v="10000"/>
    <n v="6000"/>
    <n v="4000"/>
    <m/>
    <m/>
    <m/>
    <s v="CANCELADO"/>
    <n v="0"/>
  </r>
  <r>
    <x v="80"/>
    <m/>
    <s v="OSWALDO MIRANDA"/>
    <m/>
    <s v="TSN-167"/>
    <x v="2"/>
    <s v="CAMBIO DE DIAFRAGMA, PASTA CHIVONA"/>
    <n v="25000"/>
    <n v="15000"/>
    <n v="10000"/>
    <s v="DIAFRAGMA-PASTA CHIYONA"/>
    <n v="25000"/>
    <n v="15000"/>
    <s v="CANCELADO"/>
    <n v="-10000"/>
  </r>
  <r>
    <x v="81"/>
    <m/>
    <s v="OLIMPIA HERNANDEZ"/>
    <m/>
    <s v="TGK-439"/>
    <x v="5"/>
    <s v="SOLDADURA CUADRO REPUESTO"/>
    <n v="30000"/>
    <n v="20000"/>
    <n v="12000"/>
    <m/>
    <m/>
    <m/>
    <s v="CANCELADO"/>
    <n v="0"/>
  </r>
  <r>
    <x v="81"/>
    <s v="F-242"/>
    <s v="FRESKIFRUTA"/>
    <s v="JAC"/>
    <s v="VAK-117"/>
    <x v="6"/>
    <s v="CAMBIO DE SPLINDER, AMORTIGUADORES"/>
    <n v="280000"/>
    <n v="168000"/>
    <n v="112000"/>
    <m/>
    <m/>
    <m/>
    <s v="CANCELADO"/>
    <n v="0"/>
  </r>
  <r>
    <x v="81"/>
    <s v="RM-172"/>
    <s v="JOSE MONCADA"/>
    <s v="FORD"/>
    <s v="IOV-661"/>
    <x v="1"/>
    <s v="REVISION DE TRASERAS"/>
    <n v="30000"/>
    <n v="18000"/>
    <n v="12000"/>
    <m/>
    <m/>
    <m/>
    <s v="CANCELADO"/>
    <n v="0"/>
  </r>
  <r>
    <x v="81"/>
    <s v="RM-171 / FE: 241"/>
    <s v="PAULO GERENAS"/>
    <s v="FIAT SIENA"/>
    <s v="UCW-460"/>
    <x v="1"/>
    <s v="CAMBIO DE PASTILLAS DELANTERAS Y LIQUIDO"/>
    <n v="100000"/>
    <n v="60000"/>
    <n v="40000"/>
    <s v="JUEGO DE PASTILLAS DELANTERAS"/>
    <n v="110000"/>
    <n v="160000"/>
    <s v="CANCELADO"/>
    <n v="50000"/>
  </r>
  <r>
    <x v="81"/>
    <m/>
    <m/>
    <s v="KIA"/>
    <s v="MKL-874"/>
    <x v="3"/>
    <s v="CAMBIO KIT DE EMBRAGUE"/>
    <n v="180000"/>
    <n v="108000"/>
    <n v="72000"/>
    <m/>
    <m/>
    <m/>
    <s v="CANCELADO"/>
    <n v="0"/>
  </r>
  <r>
    <x v="81"/>
    <s v="RM-174"/>
    <s v="CAROLINA RAMIREZ"/>
    <s v="CAPTIVA SPORT"/>
    <s v="UBW-979"/>
    <x v="3"/>
    <s v="SINCRONIZADA"/>
    <n v="130000"/>
    <n v="78000"/>
    <n v="52000"/>
    <m/>
    <m/>
    <m/>
    <s v="CANCELADO"/>
    <n v="0"/>
  </r>
  <r>
    <x v="81"/>
    <s v="RM-174"/>
    <s v="CAROLINA RAMIREZ"/>
    <s v="CAPTIVA SPORT"/>
    <s v="UBW-979"/>
    <x v="6"/>
    <s v="MANTENIMEINTO DE SENSORES ABS"/>
    <n v="100000"/>
    <n v="60000"/>
    <n v="40000"/>
    <m/>
    <m/>
    <m/>
    <s v="CANCELADO"/>
    <n v="0"/>
  </r>
  <r>
    <x v="81"/>
    <s v="FE:246"/>
    <s v="OCATI"/>
    <s v="VITARA"/>
    <m/>
    <x v="3"/>
    <s v="AJUSTE DE CORREA E INSTALACION DE CUCHILLAS LIMPIA PARABRISAS"/>
    <n v="30000"/>
    <n v="18000"/>
    <n v="12000"/>
    <m/>
    <m/>
    <m/>
    <s v="CANCELADO"/>
    <n v="0"/>
  </r>
  <r>
    <x v="82"/>
    <s v="FE: 224 / RM: 177"/>
    <s v="HERNANDO JIMENEZ"/>
    <s v="TROOPER"/>
    <s v="BAW-200"/>
    <x v="6"/>
    <s v="CAMBIO DE GUARADAPOLVO LADO CAJA Y LADO RUEDA"/>
    <n v="60000"/>
    <n v="36000"/>
    <n v="24000"/>
    <s v="GRADAPOLVOS, ABRAZADERA, PIN CACHO"/>
    <n v="22000"/>
    <n v="33000"/>
    <s v="CANCELADO"/>
    <n v="11000"/>
  </r>
  <r>
    <x v="82"/>
    <s v="RM-179"/>
    <s v="JAROL VILLAMIL"/>
    <s v="JAC"/>
    <s v="ZNN-375"/>
    <x v="1"/>
    <s v="CAMBIO DE BANDAS-ENGRASE DE RODAMIENTOS"/>
    <n v="100000"/>
    <n v="60000"/>
    <n v="40000"/>
    <s v="GRASAS, BANDAS, GASOLINA, ESPARRAGOS"/>
    <m/>
    <m/>
    <s v="CANCELADO"/>
    <n v="0"/>
  </r>
  <r>
    <x v="82"/>
    <s v="FE: 243 / RM: 175"/>
    <s v="JUSTO DEL TORO"/>
    <s v="CHEVROLET N-300"/>
    <s v="MPU-552"/>
    <x v="3"/>
    <s v="CAMBIO DE COBINA"/>
    <n v="30000"/>
    <n v="18000"/>
    <n v="12000"/>
    <m/>
    <m/>
    <m/>
    <s v="CANCELADO"/>
    <n v="0"/>
  </r>
  <r>
    <x v="82"/>
    <s v="FE: 243 / RM: 175"/>
    <s v="JUSTO DEL TORO"/>
    <s v="CHEVROLET N-300"/>
    <s v="MPU-552"/>
    <x v="1"/>
    <s v=" CAMBIO DE BUJES DE LA BARRA ESTABILIZADORA, Y MUÑECOS"/>
    <n v="50000"/>
    <n v="30000"/>
    <n v="20000"/>
    <s v="BOBINA, BUJES DE LA BARRA ESYABILIZADORA, MUÑECOS"/>
    <n v="200000"/>
    <n v="255000"/>
    <s v="CANCELADO"/>
    <n v="55000"/>
  </r>
  <r>
    <x v="82"/>
    <s v="RM: 176"/>
    <s v="CAROLINA OCHOA"/>
    <s v="HUMMER"/>
    <s v="HBN-909"/>
    <x v="6"/>
    <s v="CAMBIO DE PASTILLAS DELANTERAS Y TRASERAS, CAMBIO DE TEMPLETES"/>
    <n v="180000"/>
    <n v="108000"/>
    <n v="72000"/>
    <m/>
    <m/>
    <m/>
    <s v="CANCELADO"/>
    <n v="0"/>
  </r>
  <r>
    <x v="82"/>
    <s v="FE:245 RM: 180"/>
    <s v="MIGUEL ROMERO"/>
    <s v="MITSUBIHI MONTERO"/>
    <s v="GPO-381"/>
    <x v="6"/>
    <s v="CAMBIO DE PASTILLAS TRASERAS Y DELANTERAS"/>
    <n v="80000"/>
    <n v="48000"/>
    <n v="32000"/>
    <s v="PASTILLAS DELANTERAS Y TRASERAS"/>
    <n v="194000"/>
    <n v="268000"/>
    <s v="CANCELADO"/>
    <n v="74000"/>
  </r>
  <r>
    <x v="82"/>
    <s v="RM-181"/>
    <s v="AUTORRALLY"/>
    <s v="NISSAN VERSA"/>
    <s v="FJW-106"/>
    <x v="3"/>
    <s v="COLOCAR PERNO LLANTA TRASERA Y ROTAR LLANTAS"/>
    <n v="25000"/>
    <n v="15000"/>
    <n v="10000"/>
    <s v="PERNO Y ARANDELA"/>
    <n v="5400"/>
    <n v="8000"/>
    <s v="CANCELADO"/>
    <n v="2600"/>
  </r>
  <r>
    <x v="82"/>
    <m/>
    <m/>
    <s v="RENAULT 9"/>
    <s v="JIC-984"/>
    <x v="3"/>
    <s v="CORREGIR FUGA DE AGUA"/>
    <n v="20000"/>
    <n v="12000"/>
    <n v="8000"/>
    <m/>
    <m/>
    <m/>
    <s v="CANCELADO"/>
    <n v="0"/>
  </r>
  <r>
    <x v="83"/>
    <s v="RM-178"/>
    <s v="MARY AVELLANEDA"/>
    <s v="CHEVY"/>
    <s v="BSB-542"/>
    <x v="1"/>
    <s v="REVISAR TRASERAS"/>
    <n v="30000"/>
    <n v="18000"/>
    <n v="12000"/>
    <m/>
    <m/>
    <m/>
    <s v="CANCELADO"/>
    <n v="0"/>
  </r>
  <r>
    <x v="83"/>
    <s v="FE: 249 /  RM: 185"/>
    <s v="MANUEL ABRIL"/>
    <s v="RENAULT DUSTER"/>
    <s v="HJS-421"/>
    <x v="1"/>
    <s v="REVISION DE TRASERAS / CAMBIO DE CILINDRO TRASERO"/>
    <n v="80000"/>
    <n v="48000"/>
    <n v="32000"/>
    <s v="ANTIRUIDO, BUJIAS, CILNDRO"/>
    <n v="140000"/>
    <n v="200000"/>
    <s v="CANCELADO"/>
    <n v="60000"/>
  </r>
  <r>
    <x v="83"/>
    <s v="FE: 249 /  RM: 185"/>
    <s v="MANUEL ABRIL"/>
    <s v="RENAULT DUSTER"/>
    <s v="HJS-421"/>
    <x v="3"/>
    <s v="SINCRONIZACION / LAVADO DE INYECTORES"/>
    <n v="180000"/>
    <n v="108000"/>
    <n v="72000"/>
    <s v="ANTIRUIDO, BUJIAS, CILNDRO"/>
    <n v="140000"/>
    <n v="200000"/>
    <s v="CANCELADO"/>
    <n v="60000"/>
  </r>
  <r>
    <x v="83"/>
    <s v="RM-183 FE: 247"/>
    <s v="MARY AVELLANEDA"/>
    <s v="CHEVY"/>
    <s v="BSB-542"/>
    <x v="1"/>
    <s v="CAMBIO DE BANDAS"/>
    <n v="20000"/>
    <n v="12000"/>
    <n v="8000"/>
    <s v="BANDAS"/>
    <n v="90000"/>
    <m/>
    <s v="CANCELADO"/>
    <n v="-90000"/>
  </r>
  <r>
    <x v="83"/>
    <s v="FE:248 RM: 184"/>
    <s v="GUILLERMO JARA"/>
    <s v="TENAULT TWINGO"/>
    <s v="KGU-053"/>
    <x v="1"/>
    <s v="CAMBIO DE PASTILLAS DELANTERAS Y MANTENIMIENTO TRASERO/ CAMBIO DE SOPORTE AMORTIGUADOR"/>
    <n v="160000"/>
    <n v="96000"/>
    <n v="64000"/>
    <s v="SOPORTE AMORTIGUADOR/PASTILLAS DEL"/>
    <m/>
    <m/>
    <s v="CANCELADO"/>
    <n v="0"/>
  </r>
  <r>
    <x v="83"/>
    <m/>
    <s v="LUIS CALDERON"/>
    <s v="FORD ESCOSPORT"/>
    <s v="REV-780"/>
    <x v="3"/>
    <s v="CAMBIAR BASE DE TERMOSTASTO"/>
    <n v="30000"/>
    <n v="18000"/>
    <n v="12000"/>
    <m/>
    <m/>
    <m/>
    <s v="CANCELADO"/>
    <n v="0"/>
  </r>
  <r>
    <x v="83"/>
    <m/>
    <m/>
    <s v="TWINGO"/>
    <m/>
    <x v="1"/>
    <s v="MANTENIMIENTO DE FRENOS"/>
    <n v="30000"/>
    <n v="18000"/>
    <n v="12000"/>
    <m/>
    <n v="170000"/>
    <m/>
    <s v="CANCELADO"/>
    <n v="-170000"/>
  </r>
  <r>
    <x v="84"/>
    <m/>
    <m/>
    <s v="CHYENNE"/>
    <m/>
    <x v="8"/>
    <s v="CAMBIO DE BANDAS, CILINDRO Y REVISION"/>
    <n v="80000"/>
    <n v="48000"/>
    <n v="32000"/>
    <m/>
    <n v="170000"/>
    <m/>
    <s v="CANCELADO"/>
    <n v="-170000"/>
  </r>
  <r>
    <x v="84"/>
    <m/>
    <m/>
    <s v="SANYON"/>
    <m/>
    <x v="1"/>
    <s v="REVISION DE FRENOS"/>
    <n v="30000"/>
    <n v="18000"/>
    <n v="12000"/>
    <m/>
    <n v="170000"/>
    <m/>
    <s v="CANCELADO"/>
    <n v="-170000"/>
  </r>
  <r>
    <x v="85"/>
    <m/>
    <m/>
    <s v="CHEYENNE"/>
    <m/>
    <x v="3"/>
    <s v="CAMBIO DE ROTULAS Y TERMINALES"/>
    <n v="150000"/>
    <n v="90000"/>
    <n v="60000"/>
    <m/>
    <m/>
    <m/>
    <s v="CANCELADO"/>
    <n v="0"/>
  </r>
  <r>
    <x v="85"/>
    <m/>
    <m/>
    <m/>
    <s v="RKO-741"/>
    <x v="3"/>
    <s v="CAMBIO DE AMORTIGUADORES TRASEROS"/>
    <n v="40000"/>
    <n v="24000"/>
    <n v="16000"/>
    <m/>
    <m/>
    <m/>
    <s v="CANCELADO"/>
    <n v="0"/>
  </r>
  <r>
    <x v="86"/>
    <s v="RM-187 FE:253"/>
    <s v="LUIS GUITAGO"/>
    <s v="CHEVROLET BLAZER"/>
    <s v="BGG-491"/>
    <x v="1"/>
    <s v="REVISION DELANTERAS Y TRASERAS/ CAMBIO DE PASTILLAS DELANTERAS Y BANDAS TRASERAS"/>
    <n v="80000"/>
    <n v="48000"/>
    <n v="32000"/>
    <s v="GASOLINA, JUEGIO DE BNADAS, PASTILLAS PIN R"/>
    <n v="166000"/>
    <n v="255500"/>
    <s v="CANCELADO"/>
    <n v="89500"/>
  </r>
  <r>
    <x v="86"/>
    <s v="FE: 255 / RM: 190"/>
    <s v="CARLOS CASAYA"/>
    <s v="LUV2300"/>
    <s v="KEB-952"/>
    <x v="6"/>
    <s v="CAMBIO DE ESPARRAGOS, CHUPAS "/>
    <n v="60000"/>
    <n v="36000"/>
    <n v="24000"/>
    <s v="CHUPAS / ESPARRAGOS/ ABRAZADERAS, LIQUIDO DOT3"/>
    <n v="24000"/>
    <n v="43000"/>
    <s v="CANCELADO"/>
    <n v="19000"/>
  </r>
  <r>
    <x v="86"/>
    <s v="FE:254 / RM:188"/>
    <s v="ANDERSON DE LA NOI"/>
    <s v="RENAULT SYMBOL"/>
    <s v="BZU-005"/>
    <x v="6"/>
    <s v="CAMBIO TOPES DE AMORTIGUADORES Y DISCOS "/>
    <n v="100000"/>
    <n v="100000"/>
    <s v="-"/>
    <s v="TOPES AMORTIGUADORES Y DISCOS/ PASTILLAS"/>
    <n v="415000"/>
    <n v="472000"/>
    <s v="CANCELADO"/>
    <n v="57000"/>
  </r>
  <r>
    <x v="86"/>
    <s v="RM-186"/>
    <s v="RICARDO HERNANDEZ"/>
    <s v="RENAULT 12"/>
    <s v="FCC-465"/>
    <x v="3"/>
    <s v="CAMBIO DE SOPORTE DE LA CAJA"/>
    <n v="30000"/>
    <n v="18000"/>
    <n v="12000"/>
    <m/>
    <m/>
    <m/>
    <s v="CANCELADO"/>
    <n v="0"/>
  </r>
  <r>
    <x v="86"/>
    <s v="RM-186"/>
    <s v="RICARDO HERNANDEZ"/>
    <s v="RENAULT 12"/>
    <s v="FCC-465"/>
    <x v="5"/>
    <s v="SOLDADURA SOPORTE"/>
    <n v="60000"/>
    <n v="36000"/>
    <n v="24000"/>
    <m/>
    <m/>
    <m/>
    <s v="CANCELADO"/>
    <n v="0"/>
  </r>
  <r>
    <x v="86"/>
    <m/>
    <s v="OSWALDO PEREZ"/>
    <s v="ZAFIRA"/>
    <s v="GYM-011"/>
    <x v="3"/>
    <s v="CAMBIO DE MANGUERA DE AGUA"/>
    <n v="60000"/>
    <n v="36000"/>
    <n v="24000"/>
    <s v="MANGUERA DE AGUA"/>
    <n v="45000"/>
    <n v="60000"/>
    <s v="CANCELADO"/>
    <n v="15000"/>
  </r>
  <r>
    <x v="86"/>
    <m/>
    <s v="JOSE MONCADA"/>
    <s v="JAC"/>
    <s v="JKV-331"/>
    <x v="2"/>
    <s v="CAMBIO DE INFLALLANTAS"/>
    <n v="10000"/>
    <n v="6000"/>
    <n v="4000"/>
    <m/>
    <m/>
    <m/>
    <s v="CANCELADO"/>
    <n v="0"/>
  </r>
  <r>
    <x v="86"/>
    <m/>
    <m/>
    <s v="LUV2300"/>
    <m/>
    <x v="6"/>
    <s v="CAMBIO DE ESPARRAGOS"/>
    <n v="20000"/>
    <n v="12000"/>
    <n v="8000"/>
    <m/>
    <n v="170000"/>
    <m/>
    <s v="CANCELADO"/>
    <n v="-170000"/>
  </r>
  <r>
    <x v="86"/>
    <s v="FE: 256"/>
    <s v="OCATI"/>
    <s v="FRR"/>
    <s v="WOS-477"/>
    <x v="1"/>
    <s v="GRADUACION DE CLOSH Y FRENOS"/>
    <n v="20000"/>
    <n v="12000"/>
    <n v="8000"/>
    <m/>
    <m/>
    <m/>
    <s v="CANCELADO"/>
    <n v="0"/>
  </r>
  <r>
    <x v="86"/>
    <s v="FE: 257"/>
    <s v="OCATI"/>
    <m/>
    <s v="WOS-474"/>
    <x v="5"/>
    <s v="REPARACION DE CAVA"/>
    <n v="50000"/>
    <n v="30000"/>
    <n v="20000"/>
    <m/>
    <m/>
    <m/>
    <s v="CANCELADO"/>
    <n v="0"/>
  </r>
  <r>
    <x v="87"/>
    <s v="FE:259"/>
    <s v="ADRIANA CALDERON"/>
    <s v="CH SPARK"/>
    <s v="DBX-028"/>
    <x v="4"/>
    <s v="CAMBIO DE MANGUERA - CAMBIO EMPAQUE TAPA VALVULA-RETENEDORES"/>
    <n v="200000"/>
    <n v="120000"/>
    <n v="80000"/>
    <m/>
    <m/>
    <m/>
    <s v="CANCELADO"/>
    <n v="0"/>
  </r>
  <r>
    <x v="87"/>
    <s v="RM:191"/>
    <s v="JORGE MATEUS"/>
    <s v="MONZA"/>
    <s v="CHB-385"/>
    <x v="1"/>
    <s v="CAMBIO DE ROTULA DELANTERA Y LIQUIDO"/>
    <n v="40000"/>
    <n v="24000"/>
    <n v="16000"/>
    <m/>
    <m/>
    <m/>
    <s v="CANCELADO"/>
    <n v="0"/>
  </r>
  <r>
    <x v="87"/>
    <s v="RM-192"/>
    <s v="SAUL BETANCOURT"/>
    <s v="CHEVROLET"/>
    <s v="BEU-479"/>
    <x v="5"/>
    <s v="SOLDAR CHASSI"/>
    <n v="80000"/>
    <n v="48000"/>
    <n v="32000"/>
    <m/>
    <m/>
    <m/>
    <s v="CANCELADO"/>
    <n v="0"/>
  </r>
  <r>
    <x v="87"/>
    <m/>
    <s v="CARLOS CASAYA"/>
    <s v="LUV2300"/>
    <s v="KEB-952"/>
    <x v="1"/>
    <s v="CORREGIR FUGA DE LIQUIDO"/>
    <n v="10000"/>
    <n v="10000"/>
    <n v="4000"/>
    <m/>
    <m/>
    <m/>
    <s v="CANCELADO"/>
    <n v="0"/>
  </r>
  <r>
    <x v="87"/>
    <m/>
    <s v="CESAR ISAZA"/>
    <s v="HINO500"/>
    <s v="GZZ-228"/>
    <x v="4"/>
    <s v="CORREGIR FUGA DE AIRE"/>
    <n v="10000"/>
    <n v="6000"/>
    <n v="4000"/>
    <m/>
    <m/>
    <m/>
    <s v="CANCELADO"/>
    <n v="0"/>
  </r>
  <r>
    <x v="87"/>
    <m/>
    <m/>
    <s v="SUBARU"/>
    <s v="BWP-890"/>
    <x v="1"/>
    <s v="MANTENIMIENTO TRASERO (REVISION)"/>
    <n v="36000"/>
    <n v="36000"/>
    <n v="14400"/>
    <m/>
    <m/>
    <m/>
    <s v="CANCELADO"/>
    <n v="0"/>
  </r>
  <r>
    <x v="87"/>
    <s v="RM_205"/>
    <s v="GUILLERMO OCHOA"/>
    <s v="CHEVROLET N300"/>
    <s v="WPO-827"/>
    <x v="3"/>
    <s v="REPARACION DE MOTOR"/>
    <n v="1000000"/>
    <n v="600000"/>
    <n v="400000"/>
    <s v="SILICONA, GASOLINA"/>
    <n v="30000"/>
    <n v="24000"/>
    <s v="CANCELADO"/>
    <n v="-6000"/>
  </r>
  <r>
    <x v="88"/>
    <s v="RM: 196"/>
    <s v="ADOLFO PINILLA"/>
    <s v="MITSUBISHI"/>
    <s v="UPS-523"/>
    <x v="6"/>
    <s v="REVISION DE RUEDA TRASERA Y CAMBIO DE RETENEDOR"/>
    <n v="40000"/>
    <n v="24000"/>
    <n v="16000"/>
    <s v="GRASA"/>
    <n v="14000"/>
    <n v="17000"/>
    <s v="CANCELADO"/>
    <n v="3000"/>
  </r>
  <r>
    <x v="88"/>
    <s v="RM: 195 / FE: 260"/>
    <s v="JOSE DIAZ"/>
    <s v="CHEVROLET SPARK"/>
    <s v="BZX-793"/>
    <x v="6"/>
    <s v="CAMBIO DE BUJES DE TEMPLETE Y BUJES DE LA BARRA ESTABILIZADORA"/>
    <n v="40000"/>
    <n v="24000"/>
    <n v="16000"/>
    <s v="BUJES"/>
    <n v="36000"/>
    <n v="100000"/>
    <s v="CANCELADO"/>
    <n v="64000"/>
  </r>
  <r>
    <x v="88"/>
    <s v="FE:262 / 198"/>
    <s v="JAIME MONCADA"/>
    <s v="JAC"/>
    <s v="ERL-333"/>
    <x v="1"/>
    <s v="CAMBIO DE BANDAS"/>
    <n v="80000"/>
    <n v="48000"/>
    <n v="32000"/>
    <s v="BANDAS, RETENEDORES, GRASA, GASOLINA, VALVULA RELAY"/>
    <n v="327000"/>
    <n v="295000"/>
    <s v="CANCELADO"/>
    <n v="-32000"/>
  </r>
  <r>
    <x v="88"/>
    <s v="FE:262 / 198"/>
    <s v="JAIME MONCADA"/>
    <s v="JAC"/>
    <s v="ERL-333"/>
    <x v="2"/>
    <s v="CAMBIO DE VALVULA RELAY"/>
    <n v="580000"/>
    <n v="348000"/>
    <n v="232000"/>
    <m/>
    <m/>
    <m/>
    <s v="CANCELADO"/>
    <n v="0"/>
  </r>
  <r>
    <x v="88"/>
    <s v="RM-197"/>
    <s v="ALEJANDRO GOMEZ"/>
    <s v="HYUNDAI"/>
    <s v="ETU-721"/>
    <x v="1"/>
    <s v="REVISION DE FRENOS"/>
    <n v="60000"/>
    <n v="36000"/>
    <n v="24000"/>
    <m/>
    <m/>
    <m/>
    <s v="CANCELADO"/>
    <n v="0"/>
  </r>
  <r>
    <x v="88"/>
    <m/>
    <m/>
    <s v="MB"/>
    <m/>
    <x v="3"/>
    <s v="DESARMAR MOTOR"/>
    <n v="250000"/>
    <n v="150000"/>
    <n v="100000"/>
    <m/>
    <m/>
    <m/>
    <s v="CANCELADO"/>
    <n v="0"/>
  </r>
  <r>
    <x v="88"/>
    <m/>
    <s v="LUIS FERNANDO CALDERON"/>
    <s v="KIA"/>
    <s v="WCT-458"/>
    <x v="1"/>
    <s v="REVISION "/>
    <n v="20000"/>
    <n v="12000"/>
    <n v="8000"/>
    <m/>
    <m/>
    <m/>
    <s v="CANCELADO"/>
    <n v="0"/>
  </r>
  <r>
    <x v="89"/>
    <s v="RM:199"/>
    <s v="LUIS ROMERO"/>
    <s v="LUV2300"/>
    <s v="SEA-130"/>
    <x v="4"/>
    <s v="CAMBIO DE KIT DE CLOSH"/>
    <n v="250000"/>
    <n v="150000"/>
    <n v="100000"/>
    <s v="KIT DE CLOSH , GASOLINA"/>
    <n v="780000"/>
    <n v="980000"/>
    <s v="CANCELADO"/>
    <n v="200000"/>
  </r>
  <r>
    <x v="89"/>
    <s v="FE:263 / RM:200"/>
    <s v="JOSE ORDOÑEZ"/>
    <s v="HYUNDAI STARES"/>
    <s v="UPQ-923"/>
    <x v="1"/>
    <s v="CAMBIO DE CHUPAS, LIQUIDO Y MANGUERA DE FRENOS"/>
    <n v="100000"/>
    <n v="60000"/>
    <n v="40000"/>
    <s v="MANGUERA DE FRENOS, LIQUIDO, CHUPAS"/>
    <n v="59000"/>
    <n v="145000"/>
    <s v="CANCELADO"/>
    <n v="86000"/>
  </r>
  <r>
    <x v="89"/>
    <m/>
    <m/>
    <m/>
    <m/>
    <x v="2"/>
    <s v="GRADUACION DE FRENOS"/>
    <n v="10000"/>
    <n v="6000"/>
    <n v="4000"/>
    <m/>
    <m/>
    <m/>
    <s v="CANCELADO"/>
    <n v="0"/>
  </r>
  <r>
    <x v="90"/>
    <s v="RM:202"/>
    <s v="RODRIGO LOZANO"/>
    <s v="BM-320"/>
    <s v="BZX-498"/>
    <x v="1"/>
    <s v="CAMBIO DE DISCOS Y PASTILLAS DELANTERAS"/>
    <n v="120000"/>
    <n v="72000"/>
    <n v="48000"/>
    <s v="JUEGO DE DISCOS Y PASTILLAS DELANTERAS"/>
    <n v="918000"/>
    <n v="1330000"/>
    <s v="CANCELADO"/>
    <n v="412000"/>
  </r>
  <r>
    <x v="90"/>
    <m/>
    <s v="JOSE RODRIGUEZ"/>
    <s v="JMC"/>
    <s v="KSP-167"/>
    <x v="6"/>
    <s v="GRADUAR FRENOS"/>
    <n v="10000"/>
    <n v="6000"/>
    <n v="4000"/>
    <m/>
    <m/>
    <m/>
    <s v="CANCELADO"/>
    <n v="0"/>
  </r>
  <r>
    <x v="91"/>
    <s v="FE:265 / RM:204"/>
    <s v="ADRIANA CALDERON"/>
    <s v="CHEVROLET SPARK"/>
    <s v="DBX-028"/>
    <x v="6"/>
    <s v="CAMBIO DE RADIADOR Y MANGUERA"/>
    <n v="30000"/>
    <n v="30000"/>
    <s v="-"/>
    <s v="MANGUERA, RADIADOR"/>
    <n v="252000"/>
    <n v="320000"/>
    <s v="CANCELADO"/>
    <n v="68000"/>
  </r>
  <r>
    <x v="91"/>
    <m/>
    <s v="JOSE DIAZ"/>
    <s v="CHEVROLET SPARK"/>
    <s v="BZX-793"/>
    <x v="6"/>
    <s v="MANTENIMIENTO DE FRENOS"/>
    <n v="100000"/>
    <n v="100000"/>
    <s v="-"/>
    <m/>
    <m/>
    <m/>
    <s v="CANCELADO"/>
    <n v="0"/>
  </r>
  <r>
    <x v="91"/>
    <m/>
    <s v="JOSE DIAZ"/>
    <s v="CHEVROLET SPARK"/>
    <s v="BZX-793"/>
    <x v="4"/>
    <s v="CAMBIO DE KIT DE REPARTICION,  RETENEDORE, CORREA DE ACCESORIO"/>
    <n v="420000"/>
    <n v="252000"/>
    <n v="168000"/>
    <m/>
    <m/>
    <m/>
    <s v="CANCELADO"/>
    <n v="0"/>
  </r>
  <r>
    <x v="91"/>
    <m/>
    <s v="JOSE DIAZ"/>
    <s v="CHEVROLET SPARK"/>
    <s v="BZX-793"/>
    <x v="5"/>
    <s v="REPARACION PUERTA"/>
    <n v="30000"/>
    <n v="30000"/>
    <n v="12000"/>
    <m/>
    <m/>
    <m/>
    <s v="CANCELADO"/>
    <n v="0"/>
  </r>
  <r>
    <x v="92"/>
    <s v="RM: 210"/>
    <s v="COMERCIALIZAR GILSAN"/>
    <s v="HINO"/>
    <s v="SKN-751"/>
    <x v="2"/>
    <s v="CORREGIR FUGA DE AIRE"/>
    <n v="35000"/>
    <n v="21000"/>
    <n v="14000"/>
    <m/>
    <m/>
    <m/>
    <s v="CANCELADO"/>
    <n v="0"/>
  </r>
  <r>
    <x v="92"/>
    <m/>
    <m/>
    <s v="MAZDA3"/>
    <s v="IYN-045"/>
    <x v="1"/>
    <s v=" REVISION DE RUEDAS"/>
    <n v="20000"/>
    <n v="12000"/>
    <n v="8000"/>
    <m/>
    <m/>
    <m/>
    <s v="CANCELADO"/>
    <n v="0"/>
  </r>
  <r>
    <x v="92"/>
    <m/>
    <m/>
    <s v="DUSTER"/>
    <m/>
    <x v="1"/>
    <s v="REVISION DE FUGA DE LIQUIDO"/>
    <n v="10000"/>
    <n v="6000"/>
    <n v="4000"/>
    <m/>
    <n v="170000"/>
    <m/>
    <s v="CANCELADO"/>
    <n v="-170000"/>
  </r>
  <r>
    <x v="92"/>
    <m/>
    <s v="AUTORRALLY"/>
    <s v="LOGAN"/>
    <s v="IEM-243"/>
    <x v="6"/>
    <s v="CAMBIO DE TERMOSTATO"/>
    <n v="50000"/>
    <n v="30000"/>
    <n v="20000"/>
    <m/>
    <m/>
    <m/>
    <s v="CANCELADO"/>
    <n v="0"/>
  </r>
  <r>
    <x v="92"/>
    <m/>
    <s v="GUSTAVO GONZALES"/>
    <s v="FORD"/>
    <s v="BYG-136"/>
    <x v="6"/>
    <s v="PULGAR"/>
    <n v="30000"/>
    <n v="18000"/>
    <n v="12000"/>
    <s v="LIQUIDO"/>
    <n v="14000"/>
    <n v="22000"/>
    <s v="CANCELADO"/>
    <n v="8000"/>
  </r>
  <r>
    <x v="93"/>
    <m/>
    <s v="CARLOS DUARTE"/>
    <s v="RENAULT9"/>
    <s v="ATF-879"/>
    <x v="6"/>
    <s v="CAMBIO DE TAPONES DE VASO "/>
    <n v="20000"/>
    <n v="12000"/>
    <n v="8000"/>
    <s v="LIQUIDO, TAPONES"/>
    <n v="15000"/>
    <n v="27000"/>
    <s v="CANCELADO"/>
    <n v="12000"/>
  </r>
  <r>
    <x v="93"/>
    <s v="RM-215"/>
    <s v="JOSE GARRIDO"/>
    <s v="NKR"/>
    <s v="WLS-061"/>
    <x v="6"/>
    <s v="GRADUACION DE FRENOS"/>
    <n v="15000"/>
    <n v="9000"/>
    <n v="6000"/>
    <m/>
    <m/>
    <m/>
    <s v="CANCELADO"/>
    <n v="0"/>
  </r>
  <r>
    <x v="93"/>
    <m/>
    <s v="OCATI"/>
    <s v="FRR"/>
    <s v="WOS-477"/>
    <x v="6"/>
    <s v="REVISAR FRENO DE AHOGO, CAMBIO DE TORNILLO Y EMPAQUE"/>
    <n v="80000"/>
    <n v="48000"/>
    <n v="32000"/>
    <s v="EMPAQUE, TORNILLO"/>
    <n v="23000"/>
    <m/>
    <s v="CANCELADO"/>
    <n v="-23000"/>
  </r>
  <r>
    <x v="93"/>
    <m/>
    <s v="OCATI"/>
    <s v="FRR"/>
    <s v="WOS-477"/>
    <x v="1"/>
    <s v="GRADUACION DE FRENOS"/>
    <n v="15000"/>
    <n v="9000"/>
    <n v="6000"/>
    <m/>
    <m/>
    <m/>
    <s v="CANCELADO"/>
    <n v="0"/>
  </r>
  <r>
    <x v="93"/>
    <m/>
    <m/>
    <s v="MAZDA626"/>
    <m/>
    <x v="1"/>
    <s v="GRADUAR TRASERAS, PULGAR"/>
    <n v="20000"/>
    <n v="12000"/>
    <n v="8000"/>
    <m/>
    <n v="170000"/>
    <m/>
    <s v="CANCELADO"/>
    <n v="-170000"/>
  </r>
  <r>
    <x v="94"/>
    <s v="FE:269 / RM:219"/>
    <s v="MANUEL GENECO"/>
    <s v="NISSAN"/>
    <s v="BKZ-254"/>
    <x v="1"/>
    <s v="MANTENIMIENTO DE FRENOS"/>
    <n v="90000"/>
    <n v="54000"/>
    <n v="36000"/>
    <s v="JUEGO DE PASTILLAS"/>
    <n v="149000"/>
    <n v="210000"/>
    <s v="CANCELADO"/>
    <n v="61000"/>
  </r>
  <r>
    <x v="94"/>
    <m/>
    <s v="ANDRES SOCHA"/>
    <s v="FOTON"/>
    <s v="EXX-566"/>
    <x v="1"/>
    <s v="GRADUAR FRENOS"/>
    <n v="10000"/>
    <n v="6000"/>
    <n v="4000"/>
    <m/>
    <m/>
    <m/>
    <s v="CANCELADO"/>
    <n v="0"/>
  </r>
  <r>
    <x v="94"/>
    <s v="FE:271"/>
    <s v="TMEGOLF"/>
    <s v="MB"/>
    <s v="KGH-591"/>
    <x v="9"/>
    <s v="REPARACION ELECTRICIDAD"/>
    <n v="80000"/>
    <n v="48000"/>
    <n v="32000"/>
    <m/>
    <m/>
    <m/>
    <s v="CANCELADO"/>
    <n v="0"/>
  </r>
  <r>
    <x v="94"/>
    <s v="RM:218"/>
    <s v="CARLOS PEDROZA"/>
    <s v="MAZDA2"/>
    <s v="KAT-796"/>
    <x v="1"/>
    <s v="CAMBIO DE PASTILLAS DE FRENOS Y SOPORTE CAJA"/>
    <n v="80000"/>
    <n v="48000"/>
    <n v="32000"/>
    <s v="PASTILLAS, SOPORTE CAJA"/>
    <n v="170000"/>
    <n v="400000"/>
    <s v="CANCELADO"/>
    <n v="230000"/>
  </r>
  <r>
    <x v="95"/>
    <m/>
    <m/>
    <m/>
    <s v="UFZ-846"/>
    <x v="2"/>
    <s v="GRADUAR FRENOS"/>
    <n v="10000"/>
    <n v="6000"/>
    <n v="4000"/>
    <m/>
    <m/>
    <m/>
    <s v="CANCELADO"/>
    <n v="0"/>
  </r>
  <r>
    <x v="95"/>
    <s v="RM-221"/>
    <s v="CE RED LOGISTICA"/>
    <m/>
    <s v="WLS-227"/>
    <x v="3"/>
    <s v="CORREGIR FUGA DE COMBUSTIBLE"/>
    <n v="20000"/>
    <n v="12000"/>
    <n v="8000"/>
    <m/>
    <m/>
    <m/>
    <s v="CANCELADO"/>
    <n v="0"/>
  </r>
  <r>
    <x v="96"/>
    <s v="FE:272"/>
    <s v="TECNIPROYECTOS"/>
    <s v="NISSAN"/>
    <s v="WFT-028"/>
    <x v="6"/>
    <s v="SUAVIZAR MORDAZA, ENGRASE DE RODAMIENTOS"/>
    <n v="50000"/>
    <n v="30000"/>
    <n v="20000"/>
    <s v="GASOLINA, GRASA, ANTIRUIDO, PN CACHO, RETEN"/>
    <m/>
    <m/>
    <s v="CANCELADO"/>
    <n v="0"/>
  </r>
  <r>
    <x v="97"/>
    <s v="RM:223"/>
    <s v="AUTORRALLY"/>
    <s v="JAC"/>
    <s v="IVX-949"/>
    <x v="6"/>
    <s v="CAMBIO DE MANGUERA DE CLOSH, CAMBIO KIT DE CLOSH, BAJAR VOLANTE / REVISION DE FRENOS, CAMBIO DE BASE DE AMORTIGUADORES, BRAZOS AXIALES Y MUÑECO"/>
    <n v="400000"/>
    <n v="240000"/>
    <n v="160000"/>
    <m/>
    <m/>
    <m/>
    <s v="CANCELADO"/>
    <n v="0"/>
  </r>
  <r>
    <x v="97"/>
    <m/>
    <m/>
    <m/>
    <m/>
    <x v="1"/>
    <s v="DESVARE"/>
    <n v="50000"/>
    <n v="30000"/>
    <n v="20000"/>
    <m/>
    <m/>
    <m/>
    <s v="CANCELADO"/>
    <n v="0"/>
  </r>
  <r>
    <x v="97"/>
    <s v="FE:227"/>
    <s v="METALCARGOS"/>
    <s v="NKR"/>
    <s v="TFT-701"/>
    <x v="3"/>
    <s v="REPARAR MOTOR"/>
    <n v="2400000"/>
    <n v="720000"/>
    <n v="960000"/>
    <m/>
    <m/>
    <m/>
    <s v="CANCELADO"/>
    <n v="0"/>
  </r>
  <r>
    <x v="97"/>
    <s v="FE:227"/>
    <s v="METALCARGOS"/>
    <s v="NKR"/>
    <s v="TFT-701"/>
    <x v="4"/>
    <s v="REPARAR MOTOR"/>
    <n v="2400000"/>
    <n v="720000"/>
    <s v="-"/>
    <m/>
    <m/>
    <m/>
    <s v="CANCELADO"/>
    <n v="0"/>
  </r>
  <r>
    <x v="97"/>
    <m/>
    <m/>
    <s v="JAC"/>
    <s v="ERK-645"/>
    <x v="1"/>
    <s v="GRADUAR FRENOS"/>
    <n v="10000"/>
    <n v="6000"/>
    <n v="4000"/>
    <m/>
    <m/>
    <m/>
    <s v="CANCELADO"/>
    <n v="0"/>
  </r>
  <r>
    <x v="97"/>
    <s v="RM-225"/>
    <s v="JAIME AVELLANEDA"/>
    <s v="CHEVROLET"/>
    <s v="MAO-470"/>
    <x v="3"/>
    <s v="SINCRONIZADA /LAVADA DE INYECTORES/ ULTRASONIDO"/>
    <n v="150000"/>
    <n v="90000"/>
    <n v="60000"/>
    <m/>
    <m/>
    <m/>
    <s v="CANCELADO"/>
    <n v="0"/>
  </r>
  <r>
    <x v="98"/>
    <m/>
    <m/>
    <s v="VOLQUETA"/>
    <s v="SLE-858"/>
    <x v="3"/>
    <s v="REVISION "/>
    <n v="20000"/>
    <n v="12000"/>
    <n v="8000"/>
    <m/>
    <m/>
    <m/>
    <s v="CANCELADO"/>
    <n v="0"/>
  </r>
  <r>
    <x v="98"/>
    <m/>
    <m/>
    <m/>
    <s v="USE-572"/>
    <x v="1"/>
    <s v="REVISION FRENO DE AIRE"/>
    <n v="10000"/>
    <n v="6000"/>
    <n v="4000"/>
    <m/>
    <m/>
    <m/>
    <s v="CANCELADO"/>
    <n v="0"/>
  </r>
  <r>
    <x v="98"/>
    <m/>
    <s v="MAURICIO CORREDOR"/>
    <m/>
    <s v="BZE-255"/>
    <x v="10"/>
    <s v="REVISION DE FRENOS"/>
    <n v="100000"/>
    <n v="60000"/>
    <n v="40000"/>
    <m/>
    <m/>
    <m/>
    <s v="CANCELADO"/>
    <n v="0"/>
  </r>
  <r>
    <x v="98"/>
    <m/>
    <s v="CESAR IZASA"/>
    <s v="CHEVROLET"/>
    <s v="TFP-394"/>
    <x v="6"/>
    <s v="CAMBIO DE HOJA  BUJES DE MUELLE"/>
    <n v="60000"/>
    <n v="36000"/>
    <n v="24000"/>
    <m/>
    <m/>
    <m/>
    <s v="CANCELADO"/>
    <n v="0"/>
  </r>
  <r>
    <x v="98"/>
    <m/>
    <m/>
    <s v="NHR"/>
    <s v="WOS-908"/>
    <x v="1"/>
    <s v="GARDUACION DE FRENOS Y CAMBIO DE BUJES"/>
    <n v="40000"/>
    <n v="24000"/>
    <n v="16000"/>
    <m/>
    <m/>
    <m/>
    <s v="CANCELADO"/>
    <n v="0"/>
  </r>
  <r>
    <x v="98"/>
    <m/>
    <s v="JAIME MONCADA"/>
    <m/>
    <s v="ERL-333"/>
    <x v="4"/>
    <s v="ADAPTACION FRENO DE AHOGO"/>
    <n v="30000"/>
    <n v="30000"/>
    <s v="-"/>
    <m/>
    <m/>
    <m/>
    <s v="CANCELADO"/>
    <n v="0"/>
  </r>
  <r>
    <x v="98"/>
    <m/>
    <s v="JAIME MONCADA"/>
    <m/>
    <s v="ERL-333"/>
    <x v="10"/>
    <s v="CAMBIO DE DIAFRAGMAS TIPO 20"/>
    <n v="30000"/>
    <n v="18000"/>
    <n v="12000"/>
    <s v="2- DIAFRAGMAS"/>
    <n v="25000"/>
    <n v="40000"/>
    <s v="CANCELADO"/>
    <n v="15000"/>
  </r>
  <r>
    <x v="99"/>
    <m/>
    <m/>
    <s v="FORD"/>
    <m/>
    <x v="1"/>
    <s v="CAMBIO DE ARRANQUE"/>
    <n v="50000"/>
    <n v="30000"/>
    <n v="20000"/>
    <m/>
    <m/>
    <m/>
    <s v="CANCELADO"/>
    <n v="0"/>
  </r>
  <r>
    <x v="99"/>
    <m/>
    <s v="LUIS CARLOS GAMBOA"/>
    <s v="KIA PICANTO"/>
    <s v="KNX-975"/>
    <x v="1"/>
    <s v="CAMBIO DE RADIADOR"/>
    <n v="80000"/>
    <n v="80000"/>
    <s v="-"/>
    <s v="RADIADOR"/>
    <n v="425000"/>
    <n v="490000"/>
    <s v="CANCELADO"/>
    <n v="65000"/>
  </r>
  <r>
    <x v="99"/>
    <s v="RM-237"/>
    <s v="AUTORALLY"/>
    <s v="LOGAN"/>
    <s v="INL-675"/>
    <x v="3"/>
    <s v="CAMBIO DE BALI BOMBA"/>
    <n v="180000"/>
    <n v="108000"/>
    <n v="72000"/>
    <s v="LIQUIDO"/>
    <n v="5000"/>
    <n v="12000"/>
    <s v="CANCELADO"/>
    <n v="7000"/>
  </r>
  <r>
    <x v="99"/>
    <s v="RM-234"/>
    <s v="VICENTE PATARROYO"/>
    <s v="CAMION"/>
    <s v="MAO-470"/>
    <x v="1"/>
    <s v="BAJAR TYRASERAS IZQ/ CAMBIO DE RODAMIENTO INTERNO"/>
    <n v="50000"/>
    <n v="30000"/>
    <n v="20000"/>
    <m/>
    <m/>
    <m/>
    <s v="CANCELADO"/>
    <n v="0"/>
  </r>
  <r>
    <x v="99"/>
    <m/>
    <m/>
    <s v="CHEVROLET TRUPPER"/>
    <s v="BAW-200"/>
    <x v="6"/>
    <s v="REVISION DE RUEDA DELANTERA"/>
    <n v="40000"/>
    <n v="24000"/>
    <n v="16000"/>
    <m/>
    <m/>
    <m/>
    <s v="CANCELADO"/>
    <n v="0"/>
  </r>
  <r>
    <x v="99"/>
    <s v="FE:277 / RM: 236"/>
    <s v="RAUL MENDOZA"/>
    <s v="NISSAN"/>
    <s v="EKM-795"/>
    <x v="10"/>
    <s v="CAMBIO DE PASTILLAS DE FRENOS TARSERAS Y CAMBIO DE LIQUIDO"/>
    <n v="80000"/>
    <n v="48000"/>
    <n v="32000"/>
    <s v="JUEGO DE PASTILLAS Y LIQUIDO"/>
    <n v="137000"/>
    <n v="200000"/>
    <s v="CANCELADO"/>
    <n v="63000"/>
  </r>
  <r>
    <x v="99"/>
    <m/>
    <s v="JOSE ALFONSO MONCADA"/>
    <s v="FRR"/>
    <s v="TFR-572"/>
    <x v="1"/>
    <s v="GRADUAR FRENOS"/>
    <n v="12000"/>
    <n v="7200"/>
    <n v="4800"/>
    <m/>
    <m/>
    <m/>
    <s v="CANCELADO"/>
    <n v="0"/>
  </r>
  <r>
    <x v="100"/>
    <s v="FE: 279 "/>
    <s v="AQUILES VILLANUEVA"/>
    <s v="CH TRAVERSE"/>
    <s v="NEN-691"/>
    <x v="1"/>
    <s v="CAMBIO DE AMORTIGUADORES"/>
    <n v="120000"/>
    <n v="72000"/>
    <n v="48000"/>
    <s v="AMORTIGUADORES, MUÑECOS"/>
    <n v="940000"/>
    <n v="1180000"/>
    <s v="CANCELADO"/>
    <n v="240000"/>
  </r>
  <r>
    <x v="100"/>
    <s v="FE: 282 / RM: 142"/>
    <s v="VERONICA GIL"/>
    <s v="KIA"/>
    <s v="KLY-075"/>
    <x v="1"/>
    <s v="CAMBIO DE PASTILLAS DEL CORREGIR FUGA DE LIQUIDO"/>
    <n v="80000"/>
    <n v="48000"/>
    <n v="32000"/>
    <s v="PASTILLAS, LIQUIDO"/>
    <n v="152000"/>
    <n v="212000"/>
    <s v="CANCELADO"/>
    <n v="60000"/>
  </r>
  <r>
    <x v="100"/>
    <s v="fe:281 -RM:241"/>
    <s v="ASTRIZ DIAZ"/>
    <s v="RENAULT KWID"/>
    <s v="GSZ-977"/>
    <x v="1"/>
    <s v="CAMBIO DE PASTILLAS DELANTERAS"/>
    <n v="30000"/>
    <n v="18000"/>
    <n v="12000"/>
    <s v="PASTILAS DEL"/>
    <n v="95000"/>
    <n v="135000"/>
    <s v="CANCELADO"/>
    <n v="40000"/>
  </r>
  <r>
    <x v="101"/>
    <s v="RM:245"/>
    <s v="MARCELA DAVILA"/>
    <s v="HINO"/>
    <s v="QGW-258"/>
    <x v="2"/>
    <s v="ADPATACION DE BOOTER"/>
    <n v="1400000"/>
    <n v="840000"/>
    <n v="560000"/>
    <s v="HIDRO BOOTER/TEFLON/ RACORES/ ABRAZADERAS , LIQUIDO DOT3 "/>
    <m/>
    <m/>
    <s v="CANCELADO"/>
    <n v="0"/>
  </r>
  <r>
    <x v="101"/>
    <m/>
    <s v="JULIO AMAYA"/>
    <s v="CHEVROLET SPARK"/>
    <s v="RMV-876"/>
    <x v="6"/>
    <s v="CAMBIO DE CILINDRO TRASEROS"/>
    <n v="40000"/>
    <n v="24000"/>
    <n v="16000"/>
    <s v="CILINDROS"/>
    <n v="90000"/>
    <n v="130000"/>
    <s v="CANCELADO"/>
    <n v="40000"/>
  </r>
  <r>
    <x v="101"/>
    <m/>
    <s v="MAURICIO"/>
    <s v="NISSAN"/>
    <s v="HEY-067"/>
    <x v="3"/>
    <s v="REVISAR SOPORTE DE CAJA"/>
    <n v="60000"/>
    <n v="36000"/>
    <n v="24000"/>
    <m/>
    <m/>
    <m/>
    <s v="CANCELADO"/>
    <n v="0"/>
  </r>
  <r>
    <x v="101"/>
    <s v="RM:244"/>
    <s v="AQUILESVILLANUEVA"/>
    <s v="CHEVROLET TRAVERSE"/>
    <s v="NEN-691"/>
    <x v="1"/>
    <s v="CAMBIO DE ROTULAS"/>
    <n v="60000"/>
    <n v="36000"/>
    <n v="24000"/>
    <s v="ROTULAS"/>
    <n v="160000"/>
    <n v="200000"/>
    <s v="CANCELADO"/>
    <n v="40000"/>
  </r>
  <r>
    <x v="101"/>
    <m/>
    <m/>
    <m/>
    <s v="KEX-032"/>
    <x v="3"/>
    <s v="CAMBIO DE TIJERAS DELANTERAS"/>
    <n v="180000"/>
    <n v="108000"/>
    <n v="72000"/>
    <s v="TIJERAS"/>
    <n v="240000"/>
    <n v="300000"/>
    <s v="CANCELADO"/>
    <n v="60000"/>
  </r>
  <r>
    <x v="102"/>
    <m/>
    <s v="JAIME MONCADA"/>
    <s v="JAC"/>
    <s v="ERL-333"/>
    <x v="10"/>
    <s v="AJUSTE DE MANGUERA"/>
    <n v="30000"/>
    <n v="18000"/>
    <n v="12000"/>
    <m/>
    <m/>
    <m/>
    <s v="CANCELADO"/>
    <n v="0"/>
  </r>
  <r>
    <x v="102"/>
    <s v="FE:289"/>
    <s v="FRESKIFRUTA"/>
    <s v="DFSK"/>
    <s v="TLO-165"/>
    <x v="4"/>
    <s v="BAJAR VILLARET"/>
    <n v="400000"/>
    <n v="240000"/>
    <n v="160000"/>
    <m/>
    <m/>
    <m/>
    <s v="CANCELADO"/>
    <n v="0"/>
  </r>
  <r>
    <x v="102"/>
    <s v="FE: 287"/>
    <s v="OCATI"/>
    <s v="FRR"/>
    <s v="WOS-477"/>
    <x v="4"/>
    <s v="CAMBIAR CUERPO DE ACELERACION "/>
    <n v="40000"/>
    <n v="40000"/>
    <n v="16000"/>
    <m/>
    <m/>
    <m/>
    <s v="CANCELADO"/>
    <n v="0"/>
  </r>
  <r>
    <x v="102"/>
    <s v="RM:246"/>
    <s v="ADRIANA CALDERON"/>
    <s v="SPARK"/>
    <s v="DBX-028"/>
    <x v="6"/>
    <s v="CAMBIO ENVASE DE REFRIGERANTE Y MANGUERA SUPERIOR RADIADOR (GARANTIA)"/>
    <n v="20000"/>
    <n v="12000"/>
    <n v="8000"/>
    <s v="ENVASE, ABRAZADERAS"/>
    <n v="40500"/>
    <n v="76000"/>
    <s v="CANCELADO"/>
    <n v="35500"/>
  </r>
  <r>
    <x v="102"/>
    <m/>
    <m/>
    <s v="VOLQUETA"/>
    <s v="XGJ-109"/>
    <x v="1"/>
    <s v="CAMBIO DE ACOPLE"/>
    <n v="20000"/>
    <n v="12000"/>
    <n v="8000"/>
    <m/>
    <m/>
    <m/>
    <s v="CANCELADO"/>
    <n v="0"/>
  </r>
  <r>
    <x v="102"/>
    <m/>
    <m/>
    <s v="TWINGO"/>
    <s v="CKF-176"/>
    <x v="3"/>
    <s v="CAMBIO DE VALVULA IAC"/>
    <m/>
    <n v="0"/>
    <n v="0"/>
    <m/>
    <m/>
    <m/>
    <s v="CANCELADO"/>
    <n v="0"/>
  </r>
  <r>
    <x v="102"/>
    <m/>
    <s v="OCATI"/>
    <s v="NQR"/>
    <s v="WOS-474"/>
    <x v="6"/>
    <s v="CAMBIO DE MUELLES TRASEROS Y DELANTEROS Y BUJES"/>
    <n v="210000"/>
    <n v="147000"/>
    <n v="84000"/>
    <s v="HOJA, TORNILLO"/>
    <m/>
    <m/>
    <s v="CANCELADO"/>
    <n v="0"/>
  </r>
  <r>
    <x v="103"/>
    <m/>
    <s v="JAVIER SASTOQUI"/>
    <s v="CHEVROLET"/>
    <s v="VFZ-846"/>
    <x v="1"/>
    <s v="CAMBIO EMPAQUETADURA AUXILAR"/>
    <n v="40000"/>
    <n v="24000"/>
    <n v="16000"/>
    <m/>
    <m/>
    <m/>
    <s v="CANCELADO"/>
    <n v="0"/>
  </r>
  <r>
    <x v="103"/>
    <s v="FE:291"/>
    <s v="RAFAEL POLO"/>
    <s v="NISSAN VERSA"/>
    <s v="HVO-927"/>
    <x v="6"/>
    <s v="CAMBIO DE BUJES, Y BANDAS"/>
    <n v="160000"/>
    <n v="96000"/>
    <n v="64000"/>
    <s v="BANDAS, BUJES"/>
    <n v="264000"/>
    <m/>
    <s v="CANCELADO"/>
    <n v="-264000"/>
  </r>
  <r>
    <x v="103"/>
    <s v="RM-248"/>
    <s v="GUILLERMO OCHOA"/>
    <s v="CHEVROLET"/>
    <s v="WPO-827"/>
    <x v="10"/>
    <s v="CAMBIO DE CRUCETA"/>
    <n v="30000"/>
    <n v="18000"/>
    <n v="12000"/>
    <m/>
    <m/>
    <m/>
    <s v="CANCELADO"/>
    <n v="0"/>
  </r>
  <r>
    <x v="103"/>
    <m/>
    <m/>
    <m/>
    <s v="BDN-052"/>
    <x v="3"/>
    <s v="BAJAR TANQUE DE COMBUSTIBLE"/>
    <n v="90000"/>
    <n v="54000"/>
    <n v="36000"/>
    <m/>
    <m/>
    <m/>
    <s v="CANCELADO"/>
    <n v="0"/>
  </r>
  <r>
    <x v="103"/>
    <m/>
    <s v="YEISON PEREZ"/>
    <s v="REMNAULT TWINGO"/>
    <s v="BNS-450"/>
    <x v="10"/>
    <s v="CAMBIO DE COPA CAJA"/>
    <n v="50000"/>
    <n v="30000"/>
    <n v="20000"/>
    <s v="COPA CAJA"/>
    <n v="60000"/>
    <n v="80000"/>
    <s v="CANCELADO"/>
    <n v="20000"/>
  </r>
  <r>
    <x v="104"/>
    <m/>
    <m/>
    <s v="FORD ESCAPE"/>
    <s v="DDE-386"/>
    <x v="6"/>
    <s v="CAMBIO DE LIQUIDO"/>
    <n v="50000"/>
    <n v="30000"/>
    <n v="20000"/>
    <m/>
    <m/>
    <m/>
    <s v="CANCELADO"/>
    <n v="0"/>
  </r>
  <r>
    <x v="104"/>
    <m/>
    <m/>
    <s v="FORD ESCAPE"/>
    <s v="DDE-386"/>
    <x v="6"/>
    <s v="ESCANER"/>
    <n v="50000"/>
    <n v="30000"/>
    <n v="20000"/>
    <m/>
    <m/>
    <m/>
    <s v="CANCELADO"/>
    <n v="0"/>
  </r>
  <r>
    <x v="104"/>
    <s v="RM-253"/>
    <s v="JUAN DAVID HERNANDEZ"/>
    <s v="VOLSKWAGEN"/>
    <s v="TTX-503"/>
    <x v="10"/>
    <s v="REVISION DE FRENOS"/>
    <n v="40000"/>
    <n v="24000"/>
    <n v="16000"/>
    <m/>
    <m/>
    <m/>
    <s v="CANCELADO"/>
    <n v="0"/>
  </r>
  <r>
    <x v="104"/>
    <s v="RM-254"/>
    <s v="JHON CRUZ RAMIREZ"/>
    <s v="VOLSKWAGEN"/>
    <s v="BNC-815"/>
    <x v="1"/>
    <s v="CAMBIO DE PUNTA DE LA CAJA "/>
    <n v="80000"/>
    <n v="48000"/>
    <n v="32000"/>
    <s v="PUNTA DE CAJA "/>
    <m/>
    <m/>
    <s v="CANCELADO"/>
    <n v="0"/>
  </r>
  <r>
    <x v="104"/>
    <m/>
    <s v="OCATI"/>
    <s v="NQR"/>
    <s v="WOS-474"/>
    <x v="6"/>
    <s v="CAMBIO DE ESPARRAGOS"/>
    <n v="50000"/>
    <n v="30000"/>
    <n v="20000"/>
    <s v="HOJA, TORNILLO, ESPARRAGOS, BOMBILLOS, SILICONA, PIN CACHO"/>
    <m/>
    <m/>
    <s v="CANCELADO"/>
    <n v="0"/>
  </r>
  <r>
    <x v="105"/>
    <s v="RM-255"/>
    <s v="ANDRES TIRA"/>
    <s v="HONDA"/>
    <s v="BDY-574"/>
    <x v="1"/>
    <s v="MANTENIMIENTO RUEDAS DELANTERAS CAMBIAR ROTULAS SUPERIOR, BUJES DE TIJERAS TRASERAS"/>
    <n v="350000"/>
    <n v="210000"/>
    <n v="140000"/>
    <m/>
    <m/>
    <m/>
    <s v="CANCELADO"/>
    <n v="0"/>
  </r>
  <r>
    <x v="105"/>
    <s v="RM-255"/>
    <s v="ANDRES TIRA"/>
    <s v="HONDA"/>
    <s v="BDY-574"/>
    <x v="5"/>
    <s v="SOLDADURA DE TIJERAS"/>
    <n v="30000"/>
    <n v="20000"/>
    <n v="12000"/>
    <m/>
    <m/>
    <m/>
    <s v="CANCELADO"/>
    <n v="0"/>
  </r>
  <r>
    <x v="106"/>
    <m/>
    <s v="CESAR ISAZA"/>
    <s v="CH"/>
    <s v="BLO-452"/>
    <x v="3"/>
    <s v="CAMBIO DE DISCO, PRENSA Y BALINERA"/>
    <n v="180000"/>
    <n v="108000"/>
    <n v="72000"/>
    <m/>
    <m/>
    <m/>
    <s v="CANCELADO"/>
    <n v="0"/>
  </r>
  <r>
    <x v="106"/>
    <m/>
    <s v="MANUEL TOZORIA"/>
    <s v="MAZDA 323"/>
    <s v="SFF-954"/>
    <x v="4"/>
    <s v="CAMBIO DE RODAMIENTO TRASEROS"/>
    <n v="70000"/>
    <n v="42000"/>
    <n v="28000"/>
    <m/>
    <m/>
    <m/>
    <s v="CANCELADO"/>
    <n v="0"/>
  </r>
  <r>
    <x v="106"/>
    <s v="FE: 295"/>
    <s v="ARKATEC"/>
    <s v="FOTON"/>
    <s v="WOO-547"/>
    <x v="6"/>
    <s v="CAMBIO DE BANDAS, CAMBIO DE RODAMIENTOS"/>
    <n v="80000"/>
    <n v="80000"/>
    <s v="-"/>
    <s v="JUEGO DE BLOQUE, GRASAS, GASOLINA, SILICONA, RESORTE, RETEN"/>
    <n v="626500"/>
    <n v="1013100"/>
    <s v="CANCELADO"/>
    <n v="386600"/>
  </r>
  <r>
    <x v="106"/>
    <m/>
    <m/>
    <m/>
    <m/>
    <x v="5"/>
    <s v="REMACHE DE CAVA "/>
    <n v="40000"/>
    <n v="24000"/>
    <n v="16000"/>
    <m/>
    <m/>
    <m/>
    <s v="CANCELADO"/>
    <n v="0"/>
  </r>
  <r>
    <x v="107"/>
    <s v="FE:297 / RM: 258"/>
    <s v="JUAN CARLOS REMOLINA"/>
    <s v="CH CRUZE"/>
    <s v="INZ-672"/>
    <x v="6"/>
    <s v="CAMBIO DE PASTILLAS DELANTERAS"/>
    <n v="60000"/>
    <n v="36000"/>
    <n v="24000"/>
    <s v="PASTILLAS DELANTERAS"/>
    <n v="140000"/>
    <n v="195000"/>
    <s v="CANCELADO"/>
    <n v="55000"/>
  </r>
  <r>
    <x v="107"/>
    <s v="fe:298"/>
    <s v="MONGUIBELLO"/>
    <s v="JEEP"/>
    <s v="FTO-372"/>
    <x v="4"/>
    <s v="CAMBIAR EMPAQUE DE CARTER"/>
    <n v="180000"/>
    <n v="108000"/>
    <n v="72000"/>
    <s v="GASOLINA, SILICONA, EMPAQUES DE CARTER"/>
    <n v="50000"/>
    <n v="80000"/>
    <s v="CANCELADO"/>
    <n v="30000"/>
  </r>
  <r>
    <x v="108"/>
    <m/>
    <m/>
    <s v="BUSETA"/>
    <s v="TSX-986"/>
    <x v="1"/>
    <s v="GRADUAR FRENOS"/>
    <n v="5000"/>
    <n v="5000"/>
    <n v="2000"/>
    <m/>
    <m/>
    <m/>
    <s v="CANCELADO"/>
    <n v="0"/>
  </r>
  <r>
    <x v="108"/>
    <m/>
    <m/>
    <s v="CHEVROLET SPRINT"/>
    <s v="BDY-763"/>
    <x v="3"/>
    <s v="CAMBIO EMPAQUE DE CULATA, CAMBIO CORREA DE REPARTICION, RETENEDORES DE MOTOR, PUNTA DE EJE, CAMBIA EMPAQUE TAPA VALVULA"/>
    <n v="730000"/>
    <n v="438000"/>
    <n v="292000"/>
    <m/>
    <m/>
    <m/>
    <s v="CANCELADO"/>
    <n v="0"/>
  </r>
  <r>
    <x v="108"/>
    <m/>
    <m/>
    <s v="CHEVROLET SPRINT"/>
    <s v="BDY-763"/>
    <x v="10"/>
    <s v="CAMBIO DE PASTILLAS DE FRENOS"/>
    <n v="60000"/>
    <n v="36000"/>
    <n v="24000"/>
    <m/>
    <m/>
    <m/>
    <s v="CANCELADO"/>
    <n v="0"/>
  </r>
  <r>
    <x v="108"/>
    <m/>
    <s v="JORGE MORALES"/>
    <s v="SKODA"/>
    <s v="CJH-276"/>
    <x v="1"/>
    <s v="CAMBIO DE SOPORTE DE MOTOR"/>
    <n v="60000"/>
    <n v="36000"/>
    <n v="24000"/>
    <m/>
    <m/>
    <m/>
    <s v="CANCELADO"/>
    <n v="0"/>
  </r>
  <r>
    <x v="109"/>
    <m/>
    <m/>
    <s v="FORD"/>
    <s v="MQI-302"/>
    <x v="10"/>
    <s v="CAMBIO DE PASTILLAS DELANTERAS"/>
    <n v="60000"/>
    <n v="36000"/>
    <n v="24000"/>
    <s v="JUEGO DE PASTILLAS DELANTERAS"/>
    <n v="115000"/>
    <n v="125000"/>
    <m/>
    <n v="10000"/>
  </r>
  <r>
    <x v="109"/>
    <m/>
    <m/>
    <s v="RENAULT TWINGO"/>
    <s v="CKF-173"/>
    <x v="4"/>
    <s v="LAVADO DE INYECTORES"/>
    <n v="120000"/>
    <n v="72000"/>
    <n v="48000"/>
    <m/>
    <m/>
    <m/>
    <m/>
    <n v="0"/>
  </r>
  <r>
    <x v="109"/>
    <m/>
    <m/>
    <s v="JEEP"/>
    <m/>
    <x v="3"/>
    <s v="MONTAR BOMBA"/>
    <n v="25000"/>
    <n v="15000"/>
    <n v="10000"/>
    <m/>
    <m/>
    <m/>
    <s v="CANCELADO"/>
    <n v="0"/>
  </r>
  <r>
    <x v="109"/>
    <m/>
    <m/>
    <s v="RENAULT LOGAN"/>
    <s v="DCZ-930"/>
    <x v="4"/>
    <s v="CAMBIAR EMPAQUE DE TAPA VCALVULA"/>
    <n v="40000"/>
    <n v="24000"/>
    <n v="16000"/>
    <m/>
    <m/>
    <m/>
    <m/>
    <n v="0"/>
  </r>
  <r>
    <x v="109"/>
    <m/>
    <m/>
    <s v="RENAULT 19"/>
    <s v="APR-520"/>
    <x v="6"/>
    <s v="CAMBIO DE PASTILLAS"/>
    <n v="30000"/>
    <n v="18000"/>
    <n v="12000"/>
    <m/>
    <m/>
    <m/>
    <m/>
    <n v="0"/>
  </r>
  <r>
    <x v="110"/>
    <m/>
    <m/>
    <s v="BUSETA"/>
    <s v="USE-940"/>
    <x v="5"/>
    <s v="SOLDADURA SOPORTE TUBO ESCAPE"/>
    <n v="100000"/>
    <n v="60000"/>
    <n v="40000"/>
    <m/>
    <m/>
    <m/>
    <m/>
    <n v="0"/>
  </r>
  <r>
    <x v="110"/>
    <s v="FE: 302"/>
    <s v="ALFONSO MONCADA"/>
    <m/>
    <s v="TFR-572"/>
    <x v="10"/>
    <s v="BAJAR FRENO DE AHOGO, EMBUJAR"/>
    <n v="60000"/>
    <n v="36000"/>
    <n v="24000"/>
    <s v="EMBUJAR"/>
    <n v="45000"/>
    <n v="60000"/>
    <m/>
    <n v="15000"/>
  </r>
  <r>
    <x v="110"/>
    <s v="RM: 264"/>
    <s v="DANIEL POVEDA"/>
    <s v="CHEVROLET-STEEM"/>
    <s v="ZIP-501"/>
    <x v="1"/>
    <s v="CAMBIO DE BRAZO AXIALES"/>
    <n v="60000"/>
    <n v="36000"/>
    <n v="24000"/>
    <m/>
    <m/>
    <m/>
    <m/>
    <n v="0"/>
  </r>
  <r>
    <x v="110"/>
    <s v="RM-266"/>
    <s v="FERMIN TRUJILLO"/>
    <s v="JAC NHR"/>
    <s v="TTY-134"/>
    <x v="4"/>
    <s v="CAMBIAR BOMBA PRINCIPAL DE CLOSH"/>
    <n v="40000"/>
    <n v="24000"/>
    <n v="16000"/>
    <s v="BOMBA PRINCIPAL DE CLOSH"/>
    <m/>
    <m/>
    <m/>
    <n v="0"/>
  </r>
  <r>
    <x v="110"/>
    <m/>
    <s v="AVELARDO SOLANO"/>
    <m/>
    <s v="USB-323"/>
    <x v="1"/>
    <s v="GRADUAR FRENOS"/>
    <n v="8000"/>
    <n v="8000"/>
    <n v="3200"/>
    <m/>
    <m/>
    <m/>
    <m/>
    <n v="0"/>
  </r>
  <r>
    <x v="111"/>
    <m/>
    <s v="MARCOS OCATI"/>
    <m/>
    <m/>
    <x v="6"/>
    <s v="SUBIR SUSPENSION"/>
    <n v="60000"/>
    <n v="8000"/>
    <n v="24000"/>
    <m/>
    <m/>
    <m/>
    <m/>
    <n v="0"/>
  </r>
  <r>
    <x v="111"/>
    <m/>
    <m/>
    <m/>
    <m/>
    <x v="10"/>
    <s v="BAJAR RUEDA"/>
    <n v="10000"/>
    <n v="10000"/>
    <n v="4000"/>
    <m/>
    <m/>
    <m/>
    <m/>
    <n v="0"/>
  </r>
  <r>
    <x v="111"/>
    <s v="FE:304 / RM: 271"/>
    <s v="GERMAN PARRA"/>
    <s v="LOGAN"/>
    <s v="BYV-949"/>
    <x v="4"/>
    <s v="CAMBIO DE KIT DE CLOSH, SENSOR CKP, ROTULAS Y AMORTIGUADORES"/>
    <n v="455000"/>
    <n v="273000"/>
    <n v="182000"/>
    <m/>
    <m/>
    <m/>
    <m/>
    <n v="0"/>
  </r>
  <r>
    <x v="112"/>
    <s v="RM-273"/>
    <s v="JHON CRUZ RAMIREZ"/>
    <s v="VOLSKWAGEN"/>
    <s v="BNC-815"/>
    <x v="3"/>
    <s v="CAMBIO DE ORQUILLA"/>
    <n v="150000"/>
    <n v="90000"/>
    <n v="60000"/>
    <m/>
    <m/>
    <m/>
    <s v="CANCELADO"/>
    <n v="0"/>
  </r>
  <r>
    <x v="111"/>
    <m/>
    <m/>
    <s v="NISSAN"/>
    <m/>
    <x v="6"/>
    <s v="CAMBIO DE PASTILLAS"/>
    <n v="30000"/>
    <n v="18000"/>
    <n v="12000"/>
    <m/>
    <m/>
    <m/>
    <m/>
    <n v="0"/>
  </r>
  <r>
    <x v="111"/>
    <m/>
    <m/>
    <s v="HONDA"/>
    <s v="HDK-316"/>
    <x v="1"/>
    <s v="MANTENIMIENTO DE FRENOS"/>
    <n v="60000"/>
    <n v="50000"/>
    <n v="24000"/>
    <m/>
    <m/>
    <m/>
    <m/>
    <n v="0"/>
  </r>
  <r>
    <x v="111"/>
    <s v="FE:303 / RM: 267"/>
    <s v="MAICOL RODRIGUEZ"/>
    <s v="FOTON"/>
    <s v="WEW-059"/>
    <x v="10"/>
    <s v="CAMBIO DE BANDAS TRASERAS, CHUPAS "/>
    <n v="50000"/>
    <n v="40000"/>
    <n v="20000"/>
    <m/>
    <m/>
    <m/>
    <m/>
    <n v="0"/>
  </r>
  <r>
    <x v="111"/>
    <m/>
    <s v="MARCOS"/>
    <s v="RENAULT"/>
    <s v="BIL-530"/>
    <x v="5"/>
    <s v="SOLDADURA"/>
    <n v="60000"/>
    <n v="36000"/>
    <n v="24000"/>
    <m/>
    <m/>
    <m/>
    <m/>
    <n v="0"/>
  </r>
  <r>
    <x v="111"/>
    <m/>
    <s v="FREDDY VILLALOBOS"/>
    <s v="RENAULT TWINGO"/>
    <s v="RJT-090"/>
    <x v="6"/>
    <s v="CAMBIO DE PASTILLAS DELANTERAS"/>
    <n v="30000"/>
    <n v="18000"/>
    <n v="12000"/>
    <m/>
    <m/>
    <m/>
    <m/>
    <n v="0"/>
  </r>
  <r>
    <x v="111"/>
    <s v="RM:269"/>
    <s v="JOSE LUIS DURAN"/>
    <s v="TOYOTA RUNNER "/>
    <s v="IIV-261"/>
    <x v="1"/>
    <s v="CAMBIO DE PASTILLAS DEL Y TRASERAS"/>
    <n v="70000"/>
    <n v="70000"/>
    <n v="28000"/>
    <m/>
    <m/>
    <m/>
    <m/>
    <n v="0"/>
  </r>
  <r>
    <x v="113"/>
    <s v="RM-275"/>
    <s v="JOSE ALFONZO MEZA"/>
    <s v="NISSAN"/>
    <s v="SKO-507"/>
    <x v="3"/>
    <s v="CAMBIO DE GUAYA DE CAMBIOS"/>
    <n v="50000"/>
    <n v="30000"/>
    <n v="20000"/>
    <m/>
    <m/>
    <m/>
    <s v="CANCELADO"/>
    <n v="0"/>
  </r>
  <r>
    <x v="113"/>
    <s v="RM-272"/>
    <s v="NADIA PINILLA"/>
    <s v="CHERY"/>
    <s v="MFT-339"/>
    <x v="10"/>
    <s v="CAMBIO DE LIQUIDO / MATTO DE FRENOS"/>
    <n v="100000"/>
    <n v="60000"/>
    <n v="40000"/>
    <m/>
    <m/>
    <m/>
    <m/>
    <n v="0"/>
  </r>
  <r>
    <x v="113"/>
    <s v="RM-272"/>
    <s v="NADIA PINILLA"/>
    <s v="CHERY"/>
    <s v="MFT-339"/>
    <x v="1"/>
    <s v="CAMBIO DE LIQUIDO / MATTO DE FRENOS"/>
    <n v="50000"/>
    <n v="30000"/>
    <n v="20000"/>
    <m/>
    <m/>
    <m/>
    <m/>
    <n v="0"/>
  </r>
  <r>
    <x v="113"/>
    <m/>
    <s v="OLIMPIA HERNANDEZ"/>
    <s v="HINO"/>
    <s v="TGK-439"/>
    <x v="4"/>
    <s v="REPARACION BARRA ESTABILIZADORA"/>
    <n v="10000"/>
    <n v="6000"/>
    <n v="4000"/>
    <m/>
    <m/>
    <m/>
    <m/>
    <n v="0"/>
  </r>
  <r>
    <x v="113"/>
    <m/>
    <m/>
    <m/>
    <s v="BSM-697"/>
    <x v="3"/>
    <s v="CAMBIO Y SOLDADURA DE HOJA DE BALLESTA"/>
    <n v="70000"/>
    <n v="42000"/>
    <n v="28000"/>
    <m/>
    <m/>
    <m/>
    <s v="CANCELADO"/>
    <n v="0"/>
  </r>
  <r>
    <x v="113"/>
    <s v="RM-274"/>
    <s v="FERRETERIA LA ESMERALDA"/>
    <s v="FOTON"/>
    <s v="WNX-179"/>
    <x v="4"/>
    <s v="CAMBIO DE ESPLINDER"/>
    <n v="150000"/>
    <n v="90000"/>
    <n v="60000"/>
    <m/>
    <m/>
    <m/>
    <m/>
    <n v="0"/>
  </r>
  <r>
    <x v="113"/>
    <s v="RM-274"/>
    <s v="FERRETERIA LA ESMERALDA"/>
    <s v="FOTON"/>
    <s v="WNX-179"/>
    <x v="6"/>
    <s v="REVISION DE RUDAS"/>
    <n v="100000"/>
    <n v="80000"/>
    <n v="40000"/>
    <m/>
    <m/>
    <m/>
    <m/>
    <n v="0"/>
  </r>
  <r>
    <x v="113"/>
    <s v="RM:276"/>
    <s v="MIGUEL BATISTA"/>
    <s v="HINO"/>
    <s v="XJA-514"/>
    <x v="10"/>
    <s v="CAMBIO DE MANGUERA DE FRENOS Y EMPAQUETADURA AUXILIAR"/>
    <n v="120000"/>
    <n v="72000"/>
    <n v="48000"/>
    <m/>
    <m/>
    <m/>
    <m/>
    <n v="0"/>
  </r>
  <r>
    <x v="114"/>
    <s v="RM-277"/>
    <s v="JESUS LARA"/>
    <s v="MAZDA 323"/>
    <s v="BFL-099"/>
    <x v="4"/>
    <s v="CAMBIO DE GUARDAPOLVO EJE"/>
    <n v="40000"/>
    <n v="24000"/>
    <n v="16000"/>
    <m/>
    <m/>
    <m/>
    <m/>
    <n v="0"/>
  </r>
  <r>
    <x v="114"/>
    <s v="FE:209 / RM: 279"/>
    <s v="CARLOS MARCHAN"/>
    <s v="CHEVROLET AVEO 2066"/>
    <s v="ZIV-086"/>
    <x v="6"/>
    <s v="CAMBIO DE LIQUIDO, CAMBIO DE BUJES DE TIJERAS Y PASTILLAS DELANTERAS"/>
    <n v="190000"/>
    <n v="190000"/>
    <n v="90000"/>
    <m/>
    <m/>
    <m/>
    <m/>
    <n v="0"/>
  </r>
  <r>
    <x v="114"/>
    <m/>
    <s v="OCATI"/>
    <s v="WOS-477"/>
    <s v="FRR"/>
    <x v="1"/>
    <s v="GRADUACION DE FRENOS"/>
    <n v="10000"/>
    <n v="6000"/>
    <n v="4000"/>
    <m/>
    <m/>
    <m/>
    <m/>
    <n v="0"/>
  </r>
  <r>
    <x v="114"/>
    <s v="RM: 278 / FE: 397"/>
    <s v="EDWIN ESPINOZA"/>
    <s v="IWZ-007"/>
    <s v="DUSTER"/>
    <x v="6"/>
    <s v="CAMBIO DE MUÑECOS"/>
    <n v="40000"/>
    <n v="24000"/>
    <n v="16000"/>
    <m/>
    <m/>
    <m/>
    <m/>
    <n v="0"/>
  </r>
  <r>
    <x v="114"/>
    <m/>
    <s v="ANDRES RUIZ"/>
    <s v="KIAT CADENZA"/>
    <s v="KJQ-895"/>
    <x v="6"/>
    <s v="CAMBIO DE TERMINALES "/>
    <n v="50000"/>
    <n v="50000"/>
    <n v="10000"/>
    <m/>
    <m/>
    <m/>
    <m/>
    <n v="0"/>
  </r>
  <r>
    <x v="114"/>
    <m/>
    <m/>
    <s v="SANYONG"/>
    <s v="RZF-114"/>
    <x v="10"/>
    <s v="CAMBIO DE TERMINAL DEL IZQ"/>
    <n v="20000"/>
    <n v="20000"/>
    <n v="10000"/>
    <m/>
    <m/>
    <m/>
    <m/>
    <n v="0"/>
  </r>
  <r>
    <x v="115"/>
    <s v="RM:283 /FE: 311"/>
    <s v="OSCAR ALEXANDER RODRIGUEZ"/>
    <s v="CH AVEO"/>
    <s v="MNY-524"/>
    <x v="1"/>
    <s v="CAMBIO DE AMORTIGUADORES-BUJES DE TJERAS-MUÑECOS-CAMBIO DE SOPORTE DE MOTOR-GUARDAPOLVO Y EMPAQUE TAPA VALVULA "/>
    <n v="380000"/>
    <n v="266000"/>
    <n v="114000"/>
    <m/>
    <m/>
    <m/>
    <m/>
    <n v="0"/>
  </r>
  <r>
    <x v="115"/>
    <m/>
    <m/>
    <s v="HILUX"/>
    <m/>
    <x v="1"/>
    <s v="CAMBIO DE PASTILLAS DELANTERAS"/>
    <n v="30000"/>
    <n v="18000"/>
    <n v="12000"/>
    <m/>
    <m/>
    <m/>
    <m/>
    <n v="0"/>
  </r>
  <r>
    <x v="115"/>
    <s v="FE:312 / RM: 286"/>
    <s v="ANDRES SANZ"/>
    <s v="GRAN VITARA"/>
    <s v="BND-149"/>
    <x v="1"/>
    <s v="CAMBIO DE AMORTIGUADORES DEL, MUÑECOS, TERMINALES, CAUCHOS LADO RUEDA, BUJES BARRA ESTAB, TIJERAS DELAN, SOPORTE AMORTIG"/>
    <n v="450000"/>
    <n v="360000"/>
    <n v="135000"/>
    <m/>
    <m/>
    <m/>
    <m/>
    <n v="0"/>
  </r>
  <r>
    <x v="115"/>
    <s v="RM-284"/>
    <s v="MIGUEL BAUTISTA"/>
    <s v="VOLSKWAGEN"/>
    <s v="TSX-986"/>
    <x v="1"/>
    <s v="CAMBIO DE MANGUERA DE FRENOS Y EMPAQUETADURA AUXILIAR"/>
    <n v="40000"/>
    <n v="24000"/>
    <n v="16000"/>
    <m/>
    <m/>
    <m/>
    <m/>
    <n v="0"/>
  </r>
  <r>
    <x v="115"/>
    <s v="RM-285"/>
    <s v="MAURICIO GIL"/>
    <s v="FORD"/>
    <s v="TBK-039"/>
    <x v="1"/>
    <s v="CAMBIO DE VALVULA RELAY"/>
    <n v="45000"/>
    <n v="27000"/>
    <n v="18000"/>
    <m/>
    <m/>
    <m/>
    <m/>
    <n v="0"/>
  </r>
  <r>
    <x v="116"/>
    <s v="RM: 287"/>
    <s v="CHRISTIAN BALLEN "/>
    <s v="RENAULT CLIO"/>
    <s v="BWQ-407"/>
    <x v="6"/>
    <s v="CAMBIO DE DISCOS Y CAMBIO DE LIQUIDO"/>
    <n v="150000"/>
    <n v="90000"/>
    <n v="60000"/>
    <m/>
    <m/>
    <m/>
    <m/>
    <n v="0"/>
  </r>
  <r>
    <x v="116"/>
    <s v="FE: 313"/>
    <s v="METALCARGOS"/>
    <s v="NKR"/>
    <s v="TFT-701"/>
    <x v="3"/>
    <s v="CAMBIO DE KIT DE CLOSH"/>
    <n v="250000"/>
    <n v="150000"/>
    <n v="100000"/>
    <m/>
    <m/>
    <m/>
    <s v="CANCELADO"/>
    <n v="0"/>
  </r>
  <r>
    <x v="116"/>
    <s v="FE: 313"/>
    <s v="METALCARGOS"/>
    <s v="NKR"/>
    <s v="TFT-701"/>
    <x v="6"/>
    <s v="MANTENIMIENTO DE FRENOS"/>
    <n v="200000"/>
    <n v="120000"/>
    <n v="80000"/>
    <m/>
    <m/>
    <m/>
    <m/>
    <n v="0"/>
  </r>
  <r>
    <x v="116"/>
    <s v="RM: 288"/>
    <s v="ALVEIRO VILLAMIL"/>
    <s v="CITROEN"/>
    <s v="BUK-819"/>
    <x v="10"/>
    <s v="CAMBIO DE PASTILLAS  DEL."/>
    <n v="30000"/>
    <n v="18000"/>
    <n v="12000"/>
    <m/>
    <m/>
    <m/>
    <m/>
    <n v="0"/>
  </r>
  <r>
    <x v="117"/>
    <s v="RM:292"/>
    <s v="IGNACIO RODRIGUEZ"/>
    <s v="NHR"/>
    <s v="WLQ-621"/>
    <x v="4"/>
    <s v="CAMBIO DE RETENEDOR DE DAMPER"/>
    <n v="80000"/>
    <n v="48000"/>
    <n v="32000"/>
    <m/>
    <m/>
    <m/>
    <m/>
    <n v="0"/>
  </r>
  <r>
    <x v="117"/>
    <s v="RM293"/>
    <s v="IGNACIO RODRIGUEZ"/>
    <s v="SUZUKI"/>
    <s v="GUE-822"/>
    <x v="1"/>
    <s v="CAMBIO DE RETENEDORES TRASEROS"/>
    <n v="70000"/>
    <n v="42000"/>
    <n v="28000"/>
    <m/>
    <m/>
    <m/>
    <m/>
    <n v="0"/>
  </r>
  <r>
    <x v="117"/>
    <m/>
    <m/>
    <s v="TOYOTA"/>
    <m/>
    <x v="10"/>
    <s v="GRADUAR FRENOS"/>
    <n v="15000"/>
    <n v="15000"/>
    <n v="5000"/>
    <m/>
    <m/>
    <m/>
    <m/>
    <n v="0"/>
  </r>
  <r>
    <x v="117"/>
    <s v="FE: 314"/>
    <s v="MUNAR INGENIERIA"/>
    <s v="VOLQUETA"/>
    <s v="WDC-566"/>
    <x v="10"/>
    <s v="CAMBIO DE VALVULA SECADORA"/>
    <n v="40000"/>
    <n v="24000"/>
    <n v="16000"/>
    <m/>
    <m/>
    <m/>
    <m/>
    <n v="0"/>
  </r>
  <r>
    <x v="117"/>
    <s v="RM-295"/>
    <s v="WILSON MORENO"/>
    <s v="CHEVROLET AVEO "/>
    <s v="RGT-916"/>
    <x v="3"/>
    <s v="CAMBIO DE EMPAQUE DE CULATA / CORREA DE REPARTICION Y BOMBA DE AGUA "/>
    <n v="350000"/>
    <n v="210000"/>
    <n v="140000"/>
    <m/>
    <m/>
    <m/>
    <s v="CANCELADO"/>
    <n v="0"/>
  </r>
  <r>
    <x v="118"/>
    <s v="RM-296"/>
    <s v="NESTOR MAURICIO ROA GUTIERREZ"/>
    <s v="GMC"/>
    <s v="KBJ-983"/>
    <x v="10"/>
    <s v="REVISION DE FRENOS /SUAVIZAR MORDAZAS Y CAMBIO DE GUAYA DE FRENO DE MANO"/>
    <n v="200000"/>
    <n v="120000"/>
    <n v="80000"/>
    <m/>
    <m/>
    <m/>
    <m/>
    <n v="0"/>
  </r>
  <r>
    <x v="118"/>
    <s v="RM-296"/>
    <s v="NESTOR MAURICIO ROA GUTIERREZ"/>
    <s v="GMC"/>
    <s v="KBJ-983"/>
    <x v="5"/>
    <s v="SOLDADURA DE PEDAL"/>
    <n v="20000"/>
    <n v="20000"/>
    <n v="8000"/>
    <m/>
    <m/>
    <m/>
    <m/>
    <n v="0"/>
  </r>
  <r>
    <x v="118"/>
    <s v="RM-296"/>
    <s v="NESTOR MAURICIO ROA GUTIERREZ"/>
    <s v="GMC"/>
    <s v="KBJ-983"/>
    <x v="3"/>
    <s v="ARREGLO MEUELLES/ ARREGLO SOPORTE DE CAJA"/>
    <n v="160000"/>
    <n v="96000"/>
    <n v="64000"/>
    <m/>
    <m/>
    <m/>
    <s v="CANCELADO"/>
    <n v="0"/>
  </r>
  <r>
    <x v="118"/>
    <s v="FE: 315"/>
    <s v="MUNAR INGENIERIA"/>
    <s v="HINO"/>
    <s v="WOU-451"/>
    <x v="1"/>
    <s v="ADAPTACION DE CORNETA "/>
    <n v="30000"/>
    <n v="20000"/>
    <n v="12000"/>
    <m/>
    <m/>
    <m/>
    <m/>
    <n v="0"/>
  </r>
  <r>
    <x v="118"/>
    <s v="RM:297"/>
    <s v="NELSON TAMAYO"/>
    <s v="FORD ECOESPORT"/>
    <s v="MUQ-265"/>
    <x v="10"/>
    <s v="CAMBIO DE DISCOS DELANTEROS"/>
    <n v="30000"/>
    <n v="18000"/>
    <n v="12000"/>
    <m/>
    <m/>
    <m/>
    <m/>
    <n v="0"/>
  </r>
  <r>
    <x v="118"/>
    <m/>
    <m/>
    <s v="CHERY"/>
    <s v="CTW-928"/>
    <x v="6"/>
    <s v="CAMBIO DE LIQUIDO/ MTTO DE FRENOS"/>
    <n v="150000"/>
    <n v="90000"/>
    <n v="60000"/>
    <m/>
    <m/>
    <m/>
    <m/>
    <n v="0"/>
  </r>
  <r>
    <x v="118"/>
    <m/>
    <m/>
    <s v="CHERY"/>
    <s v="COA-451"/>
    <x v="1"/>
    <s v="CAMBIO VALVULA SECADORA"/>
    <n v="60000"/>
    <n v="36000"/>
    <n v="24000"/>
    <m/>
    <m/>
    <m/>
    <m/>
    <n v="0"/>
  </r>
  <r>
    <x v="119"/>
    <m/>
    <m/>
    <s v="TOYOTA"/>
    <s v="EBV-326"/>
    <x v="1"/>
    <s v="CAMBIO DE RODAMIENTO DELANTEROS IZQ. TERMINALES BUJES"/>
    <n v="80000"/>
    <n v="80000"/>
    <n v="20000"/>
    <m/>
    <m/>
    <m/>
    <m/>
    <n v="0"/>
  </r>
  <r>
    <x v="119"/>
    <m/>
    <m/>
    <s v="HYUNDAI"/>
    <s v="QGW-258"/>
    <x v="10"/>
    <s v="ARREGLO SOPORTE CABINA"/>
    <n v="30000"/>
    <n v="30000"/>
    <n v="10000"/>
    <m/>
    <m/>
    <m/>
    <m/>
    <n v="0"/>
  </r>
  <r>
    <x v="119"/>
    <m/>
    <m/>
    <s v="HYUNDAI"/>
    <s v="QGW-258"/>
    <x v="5"/>
    <s v="SOLDADURA SOPORTE CABINA"/>
    <n v="30000"/>
    <n v="30000"/>
    <n v="10000"/>
    <m/>
    <m/>
    <m/>
    <m/>
    <n v="0"/>
  </r>
  <r>
    <x v="120"/>
    <s v="RM-301"/>
    <s v="ADRIANA CALDERON"/>
    <s v="SPARK"/>
    <s v="DBX-028"/>
    <x v="3"/>
    <s v="CAMBIO DE EMPAQUE DE CULATA, TERMOSTATO, RETENEDOIR DE LEVA, BUJIAS, CABLES DE ALTA"/>
    <n v="250000"/>
    <n v="150000"/>
    <n v="100000"/>
    <m/>
    <m/>
    <m/>
    <s v="CANCELADO"/>
    <n v="0"/>
  </r>
  <r>
    <x v="120"/>
    <m/>
    <s v="WILLIAM GRANJA"/>
    <s v="FORD"/>
    <s v="CKD-019"/>
    <x v="6"/>
    <s v="REVISION DE RODAMIENTOS"/>
    <n v="10000"/>
    <n v="6000"/>
    <n v="4000"/>
    <m/>
    <m/>
    <m/>
    <m/>
    <n v="0"/>
  </r>
  <r>
    <x v="120"/>
    <m/>
    <s v="MURICIO PIRAGUA"/>
    <s v="NISSAN TIIDA"/>
    <s v="RML-816"/>
    <x v="6"/>
    <s v="SINCRONIZADA/ CAMBIO DE RADIADOR / ESCANEADA"/>
    <n v="230000"/>
    <n v="138000"/>
    <n v="92000"/>
    <m/>
    <m/>
    <m/>
    <m/>
    <n v="0"/>
  </r>
  <r>
    <x v="120"/>
    <m/>
    <m/>
    <m/>
    <m/>
    <x v="6"/>
    <s v="REMACHAR BANDAS"/>
    <n v="30000"/>
    <n v="30000"/>
    <n v="12000"/>
    <m/>
    <m/>
    <m/>
    <m/>
    <n v="0"/>
  </r>
  <r>
    <x v="121"/>
    <s v="RM:304"/>
    <s v="CESAR FLORES"/>
    <s v="GREAT WALL"/>
    <s v="HYP-349"/>
    <x v="1"/>
    <s v="CAMBIO DE PASTILLAS DELANTERAS, RETENEDOR."/>
    <n v="90000"/>
    <n v="62999.999999999993"/>
    <n v="36000"/>
    <m/>
    <m/>
    <m/>
    <m/>
    <n v="0"/>
  </r>
  <r>
    <x v="121"/>
    <s v="RM: 302"/>
    <s v="MARCELA AVILA"/>
    <m/>
    <s v="QGW-258"/>
    <x v="11"/>
    <s v="CAMBIO ENVASE DE AGUA, FLOTADOR, PERA DE FRENO DE AHOGO"/>
    <m/>
    <n v="0"/>
    <n v="0"/>
    <m/>
    <m/>
    <m/>
    <m/>
    <n v="0"/>
  </r>
  <r>
    <x v="121"/>
    <m/>
    <m/>
    <s v="NISSAN"/>
    <m/>
    <x v="10"/>
    <s v="DESVARE"/>
    <n v="50000"/>
    <n v="30000"/>
    <n v="20000"/>
    <m/>
    <m/>
    <m/>
    <m/>
    <n v="0"/>
  </r>
  <r>
    <x v="121"/>
    <m/>
    <s v="JORGE MORALES"/>
    <s v="TOYOTA"/>
    <s v="RKO-741"/>
    <x v="3"/>
    <s v="LAVADO DE INYECTORES/ SINCRONIZADA"/>
    <n v="150000"/>
    <n v="105000"/>
    <n v="60000"/>
    <m/>
    <m/>
    <m/>
    <s v="CANCELADO"/>
    <n v="0"/>
  </r>
  <r>
    <x v="121"/>
    <s v="RM-305"/>
    <m/>
    <s v="DAIHATSU"/>
    <s v="AJF-937"/>
    <x v="10"/>
    <s v="BAJAR RUEDAS TRASERAS"/>
    <n v="40000"/>
    <n v="24000"/>
    <n v="16000"/>
    <m/>
    <m/>
    <m/>
    <m/>
    <n v="0"/>
  </r>
  <r>
    <x v="122"/>
    <m/>
    <s v="JAIME MONCADA"/>
    <s v="MITSIUBISHI"/>
    <s v="SKK-812"/>
    <x v="6"/>
    <s v="CAMBIAR BOMBA Y GRADUACION"/>
    <n v="40000"/>
    <n v="28000"/>
    <n v="16000"/>
    <m/>
    <m/>
    <m/>
    <m/>
    <n v="0"/>
  </r>
  <r>
    <x v="122"/>
    <m/>
    <m/>
    <s v="CHEVROLET"/>
    <s v="ARO-681"/>
    <x v="4"/>
    <s v="CAMBIO DE TUBO DE RENO DEL, DERECHO "/>
    <n v="40000"/>
    <n v="24000"/>
    <n v="16000"/>
    <m/>
    <m/>
    <m/>
    <m/>
    <n v="0"/>
  </r>
  <r>
    <x v="122"/>
    <s v="RM-306"/>
    <s v="ENNER GARCIA"/>
    <s v="ISUZU"/>
    <s v="FSQ-710"/>
    <x v="4"/>
    <s v="CAMBIO DE DIAFRAGMA FRENO DE AHOGO/ GRADUAR FRENOS Y TENSAR CORREAS"/>
    <n v="60000"/>
    <n v="36000"/>
    <n v="24000"/>
    <m/>
    <m/>
    <m/>
    <m/>
    <n v="0"/>
  </r>
  <r>
    <x v="122"/>
    <m/>
    <s v="ANDERSON DE LA NOI"/>
    <s v="LOGAN"/>
    <s v="BZU-005"/>
    <x v="10"/>
    <s v="MANTENIMIENTO DE FRENOS (GARANTIA)"/>
    <n v="20000"/>
    <n v="20000"/>
    <n v="8000"/>
    <m/>
    <m/>
    <m/>
    <m/>
    <n v="0"/>
  </r>
  <r>
    <x v="123"/>
    <s v="RM-309"/>
    <s v="CHRISTIAN BALLEN "/>
    <s v="CLIO"/>
    <s v="BWQ-407"/>
    <x v="6"/>
    <s v="CAMBIO DE TOPES DE AMORTIGUADORES/ BRAZOS AXIALES Y MUÑECOS"/>
    <n v="180000"/>
    <n v="125999.99999999999"/>
    <n v="72000"/>
    <m/>
    <m/>
    <m/>
    <m/>
    <n v="0"/>
  </r>
  <r>
    <x v="123"/>
    <m/>
    <s v="PABLO RINCON"/>
    <s v="SKODA"/>
    <s v="SQX-078"/>
    <x v="2"/>
    <s v="SERVICIO DE ESCANER"/>
    <n v="60000"/>
    <n v="36000"/>
    <n v="24000"/>
    <m/>
    <m/>
    <m/>
    <m/>
    <n v="0"/>
  </r>
  <r>
    <x v="124"/>
    <m/>
    <m/>
    <m/>
    <s v="AAJ-348"/>
    <x v="6"/>
    <s v="CAMBIO DE RETENEDOR RUEDA TRASERA IZQ"/>
    <n v="80000"/>
    <n v="56000"/>
    <n v="32000"/>
    <m/>
    <m/>
    <m/>
    <m/>
    <n v="0"/>
  </r>
  <r>
    <x v="124"/>
    <s v="FE: 319"/>
    <s v="CEGA SAS"/>
    <s v="MAZDA 2"/>
    <s v="GKW-107"/>
    <x v="6"/>
    <s v="CAMBIO DE PASTILLAS DELANTERAS"/>
    <n v="30000"/>
    <n v="21000"/>
    <n v="12000"/>
    <m/>
    <m/>
    <m/>
    <m/>
    <n v="0"/>
  </r>
  <r>
    <x v="124"/>
    <m/>
    <m/>
    <s v="DODGE"/>
    <s v="HSP-280"/>
    <x v="6"/>
    <s v="GRADUACION DE FRENOS"/>
    <n v="10000"/>
    <n v="7000"/>
    <n v="4000"/>
    <m/>
    <m/>
    <m/>
    <m/>
    <n v="0"/>
  </r>
  <r>
    <x v="124"/>
    <m/>
    <s v="YESSID RODRIGUEZ"/>
    <s v="SAIL"/>
    <s v="HXW-468"/>
    <x v="10"/>
    <s v="CAMBIO DE CARTER"/>
    <n v="100000"/>
    <n v="70000"/>
    <n v="40000"/>
    <m/>
    <m/>
    <m/>
    <m/>
    <n v="0"/>
  </r>
  <r>
    <x v="124"/>
    <m/>
    <s v="YESSID RODRIGUEZ"/>
    <s v="SAIL"/>
    <s v="HXW-468"/>
    <x v="10"/>
    <s v="MAYO"/>
    <n v="10000"/>
    <n v="6000"/>
    <n v="4000"/>
    <m/>
    <m/>
    <m/>
    <m/>
    <n v="0"/>
  </r>
  <r>
    <x v="124"/>
    <m/>
    <m/>
    <s v="JAC"/>
    <s v="ERL-333"/>
    <x v="1"/>
    <s v="GRADUACION DE FRENOS"/>
    <n v="10000"/>
    <n v="7000"/>
    <n v="4000"/>
    <m/>
    <m/>
    <m/>
    <m/>
    <n v="0"/>
  </r>
  <r>
    <x v="125"/>
    <s v="RM:314"/>
    <s v="JAIRO ESCOBAR"/>
    <s v="NISSAN SENTRA"/>
    <s v="KHT-423"/>
    <x v="6"/>
    <s v="CAMBIO DE BRAZO AXIAL, SINCRONIZAR"/>
    <n v="180000"/>
    <n v="125999.99999999999"/>
    <n v="72000"/>
    <m/>
    <m/>
    <m/>
    <m/>
    <n v="0"/>
  </r>
  <r>
    <x v="125"/>
    <m/>
    <s v="GABRIEL TOVAR"/>
    <s v="CHEVROLET"/>
    <s v="SQW-666"/>
    <x v="1"/>
    <s v="GRADUAR FRENO Y FRENO DE MANO"/>
    <n v="15000"/>
    <n v="10500"/>
    <n v="6000"/>
    <m/>
    <m/>
    <m/>
    <m/>
    <n v="0"/>
  </r>
  <r>
    <x v="125"/>
    <m/>
    <s v="FRANCISCO SASTOQUE"/>
    <s v="LAND ROVER"/>
    <s v="JKJ-296"/>
    <x v="3"/>
    <s v="REPARACION DE MOTOR"/>
    <n v="1200000"/>
    <n v="840000"/>
    <n v="480000"/>
    <m/>
    <m/>
    <m/>
    <s v="CANCELADO"/>
    <n v="0"/>
  </r>
  <r>
    <x v="125"/>
    <m/>
    <s v="FRANCISCO SASTOQUE"/>
    <s v="LAND ROVER"/>
    <s v="JKJ-296"/>
    <x v="10"/>
    <s v="REVISION DE FRENO COMPLETO, REVISION DE MUELLES Y BUJES"/>
    <n v="70000"/>
    <n v="70000"/>
    <n v="28000"/>
    <m/>
    <m/>
    <m/>
    <m/>
    <n v="0"/>
  </r>
  <r>
    <x v="125"/>
    <m/>
    <s v="MURICIO PIRAGUA"/>
    <s v="NISSAN TIIDA"/>
    <s v="RML-816"/>
    <x v="3"/>
    <s v="MECANICA"/>
    <n v="200000"/>
    <n v="200000"/>
    <s v="-"/>
    <m/>
    <m/>
    <m/>
    <s v="CANCELADO"/>
    <n v="0"/>
  </r>
  <r>
    <x v="126"/>
    <m/>
    <s v="CHRISTIAN BALLEN "/>
    <s v="RENAULT CLIO"/>
    <s v="BWQ-407"/>
    <x v="6"/>
    <s v="CAMBIO DE GUARDAPOLVO LADO CAJA"/>
    <n v="50000"/>
    <n v="35000"/>
    <n v="20000"/>
    <m/>
    <m/>
    <m/>
    <s v="CANCELADO"/>
    <n v="0"/>
  </r>
  <r>
    <x v="126"/>
    <m/>
    <s v="EUGENIA CASTILLO"/>
    <s v="CHEVROLET SPRING"/>
    <s v="BMA-685"/>
    <x v="3"/>
    <s v="CAMBIO DE BUJES DE TIJERAS"/>
    <n v="60000"/>
    <n v="42000"/>
    <n v="24000"/>
    <m/>
    <m/>
    <m/>
    <s v="CANCELADO"/>
    <n v="0"/>
  </r>
  <r>
    <x v="126"/>
    <m/>
    <s v="ALEXANDER SPULVEDA"/>
    <s v="CHEVROLET AVEO"/>
    <s v="BST-815"/>
    <x v="6"/>
    <s v="CAMBIO DE CILINDRO DE FRENOS TRASEROS / REVISION DE TRASERAS"/>
    <n v="45000"/>
    <n v="31499.999999999996"/>
    <n v="18000"/>
    <m/>
    <m/>
    <m/>
    <s v="CANCELADO"/>
    <n v="0"/>
  </r>
  <r>
    <x v="126"/>
    <m/>
    <m/>
    <s v="BUSETA"/>
    <m/>
    <x v="5"/>
    <s v="SOLDAR TAPA BATERIA Y COLOCAR PLACAS "/>
    <n v="70000"/>
    <n v="42000"/>
    <n v="28000"/>
    <m/>
    <m/>
    <m/>
    <s v="CANCELADO"/>
    <n v="0"/>
  </r>
  <r>
    <x v="126"/>
    <m/>
    <m/>
    <s v="PEGEOUT"/>
    <s v="BHB-245"/>
    <x v="6"/>
    <s v="CAMBIO DE CHUPAS Y REVISION DE TRASERAS"/>
    <n v="40000"/>
    <n v="28000"/>
    <n v="16000"/>
    <m/>
    <m/>
    <m/>
    <s v="CANCELADO"/>
    <n v="0"/>
  </r>
  <r>
    <x v="127"/>
    <m/>
    <m/>
    <s v="CH SPARK"/>
    <s v="ZGC-026"/>
    <x v="3"/>
    <s v="CAMBIO DE BUJES DE TIJERAS"/>
    <n v="40000"/>
    <n v="28000"/>
    <n v="16000"/>
    <m/>
    <m/>
    <m/>
    <s v="CANCELADO"/>
    <n v="0"/>
  </r>
  <r>
    <x v="127"/>
    <m/>
    <s v="JOSE PICO"/>
    <s v="HIUNDAY"/>
    <s v="BEA-126"/>
    <x v="6"/>
    <s v="CAMBIO DE BUJIAS INSTALACION DE ALTA"/>
    <n v="70000"/>
    <n v="49000"/>
    <n v="28000"/>
    <m/>
    <m/>
    <m/>
    <s v="CANCELADO"/>
    <n v="0"/>
  </r>
  <r>
    <x v="127"/>
    <n v="320"/>
    <s v="LINA GUZMAN"/>
    <s v="VOLSWAGEN"/>
    <s v="DQL-105"/>
    <x v="6"/>
    <s v="MANTENIMIENTO DE FRENOS COMPLETO/ CAMBIO DE LIQUIDO"/>
    <n v="100000"/>
    <n v="70000"/>
    <n v="40000"/>
    <m/>
    <m/>
    <m/>
    <s v="CANCELADO"/>
    <n v="0"/>
  </r>
  <r>
    <x v="127"/>
    <n v="324"/>
    <s v="CARLOS A TRIANA"/>
    <s v="CHANA"/>
    <s v="SLJ-080"/>
    <x v="3"/>
    <s v="BAJAR CULATA-CAMBIO EMPAQUE DE CULATA-TUBERIA DE AGUA Y CORREA DE REPARTICION "/>
    <n v="350000"/>
    <n v="244999.99999999997"/>
    <n v="140000"/>
    <m/>
    <m/>
    <m/>
    <s v="CANCELADO"/>
    <n v="0"/>
  </r>
  <r>
    <x v="127"/>
    <n v="320"/>
    <s v="LINA GUZMAN"/>
    <s v="VOLSWAGEN"/>
    <s v="DQL-105"/>
    <x v="12"/>
    <s v="SERVICIO DE ESCANER Y CHEQUEO ELECTRICO"/>
    <n v="150000"/>
    <n v="90000"/>
    <n v="60000"/>
    <m/>
    <m/>
    <m/>
    <s v="CANCELADO"/>
    <n v="0"/>
  </r>
  <r>
    <x v="128"/>
    <m/>
    <s v="JOSE VICENTE COJO"/>
    <s v="NISAN"/>
    <s v="FSH-849"/>
    <x v="4"/>
    <s v="CAMBIO E CHUPAS, GP"/>
    <n v="70000"/>
    <n v="42000"/>
    <n v="28000"/>
    <m/>
    <m/>
    <m/>
    <s v="CANCELADO"/>
    <n v="0"/>
  </r>
  <r>
    <x v="128"/>
    <m/>
    <m/>
    <s v="GRAN VITARA"/>
    <s v="CQG-462"/>
    <x v="10"/>
    <s v="MANTENIMIENTO DE LAS MORDAZAS DELANTERAS"/>
    <n v="50000"/>
    <n v="30000"/>
    <n v="20000"/>
    <m/>
    <m/>
    <m/>
    <s v="CANCELADO"/>
    <n v="0"/>
  </r>
  <r>
    <x v="128"/>
    <s v="RM:327"/>
    <s v="ANDRES RAMIREZ"/>
    <s v="SPARK"/>
    <s v="DDW-254"/>
    <x v="4"/>
    <s v="CAMBIO DE RODAMIENTO DELANTERO DER"/>
    <n v="40000"/>
    <n v="24000"/>
    <n v="16000"/>
    <m/>
    <m/>
    <m/>
    <s v="CANCELADO"/>
    <n v="0"/>
  </r>
  <r>
    <x v="128"/>
    <m/>
    <m/>
    <s v="STEEPWAY"/>
    <s v="RKT-150"/>
    <x v="3"/>
    <s v="REVISION DE AMORT/BAJAR AMORTIGUADOR"/>
    <n v="30000"/>
    <n v="21000"/>
    <n v="12000"/>
    <m/>
    <m/>
    <m/>
    <s v="CANCELADO"/>
    <n v="0"/>
  </r>
  <r>
    <x v="128"/>
    <m/>
    <s v="JOSE MONCADA"/>
    <s v="SONIC"/>
    <s v="IOV-661"/>
    <x v="6"/>
    <s v="CAMBIO DE MUÑECOS Y SOPORTE"/>
    <n v="140000"/>
    <n v="98000"/>
    <n v="56000"/>
    <m/>
    <m/>
    <m/>
    <s v="CANCELADO"/>
    <n v="0"/>
  </r>
  <r>
    <x v="128"/>
    <m/>
    <s v="FABIAN GARCIA"/>
    <s v="NISSAN FRONTIER"/>
    <s v="MBL-513"/>
    <x v="1"/>
    <s v="CAMBIO DE MUÑECOS-BUJES BARRA ESTA/ BUJES DE TIJERA-BUJES DE MUELLE/ BUJES DE CABINA"/>
    <n v="300000"/>
    <n v="210000"/>
    <n v="120000"/>
    <m/>
    <m/>
    <m/>
    <s v="CANCELADO"/>
    <n v="0"/>
  </r>
  <r>
    <x v="129"/>
    <m/>
    <s v="LUIS PENAGO"/>
    <s v="PEGEOUT"/>
    <s v="MAM-961"/>
    <x v="4"/>
    <s v="CAMBIO DE GP / PUNTA DE EJE LADO RUEDA LADO CAJA / BAJAR TIJERAS/ CAMBIO DE ROTULAS/ REVISION DE FRENOS"/>
    <n v="260000"/>
    <n v="156000"/>
    <n v="104000"/>
    <m/>
    <m/>
    <m/>
    <s v="CANCELADO"/>
    <n v="0"/>
  </r>
  <r>
    <x v="129"/>
    <s v="RM: 330"/>
    <s v="JORGE RODRIGUEZ"/>
    <s v="FORD LASER"/>
    <s v="MQI-302"/>
    <x v="1"/>
    <s v="CAMBIO DE BUJES DE TIJERA CAMBIO KIT DE INYECTOR"/>
    <n v="180000"/>
    <n v="125999.99999999999"/>
    <n v="72000"/>
    <m/>
    <m/>
    <m/>
    <s v="CANCELADO"/>
    <n v="0"/>
  </r>
  <r>
    <x v="129"/>
    <m/>
    <s v="OSCAR ACERO"/>
    <s v="CHERY"/>
    <s v="WNY-929"/>
    <x v="6"/>
    <s v="CAMBIO DE MANGUERAS-CALIPER-MEÑECOS-CAMBIO DE BUJES DE TIJERA-BUJES BARRA ESTA"/>
    <n v="500000"/>
    <n v="350000"/>
    <n v="200000"/>
    <m/>
    <m/>
    <m/>
    <s v="CANCELADO"/>
    <n v="0"/>
  </r>
  <r>
    <x v="130"/>
    <m/>
    <s v="EUGENIA CASTILLO"/>
    <s v="SPRINT"/>
    <s v="BMA-685"/>
    <x v="3"/>
    <s v="REVISION/ CAMBIO DE TRICETAS"/>
    <n v="40000"/>
    <n v="28000"/>
    <n v="16000"/>
    <m/>
    <m/>
    <m/>
    <s v="CANCELADO"/>
    <n v="0"/>
  </r>
  <r>
    <x v="130"/>
    <s v="RM:333"/>
    <s v="AREPAS EL CARRIEL"/>
    <s v="NHR"/>
    <s v="WNR-195"/>
    <x v="6"/>
    <s v="CAMBIO DE CORREA DE ACCESORIO"/>
    <n v="20000"/>
    <n v="14000"/>
    <n v="8000"/>
    <m/>
    <m/>
    <m/>
    <s v="CANCELADO"/>
    <n v="0"/>
  </r>
  <r>
    <x v="130"/>
    <m/>
    <s v="ALEXANDER SOTO"/>
    <s v="DBR-141"/>
    <s v="SPARK"/>
    <x v="12"/>
    <s v="CAMBIO DE BENDIX"/>
    <n v="70000"/>
    <n v="42000"/>
    <n v="28000"/>
    <m/>
    <m/>
    <m/>
    <s v="CANCELADO"/>
    <n v="0"/>
  </r>
  <r>
    <x v="130"/>
    <m/>
    <s v="OCATI"/>
    <s v="WOS-477"/>
    <s v="FRR"/>
    <x v="12"/>
    <s v="REVISION ELECTRICA"/>
    <n v="40000"/>
    <n v="24000"/>
    <n v="16000"/>
    <m/>
    <m/>
    <m/>
    <s v="CANCELADO"/>
    <n v="0"/>
  </r>
  <r>
    <x v="130"/>
    <m/>
    <s v="OCATI"/>
    <s v="WOS-477"/>
    <s v="FRR"/>
    <x v="5"/>
    <s v="ARREGLO PUERTA"/>
    <n v="130000"/>
    <n v="78000"/>
    <n v="52000"/>
    <m/>
    <m/>
    <m/>
    <s v="CANCELADO"/>
    <n v="0"/>
  </r>
  <r>
    <x v="130"/>
    <m/>
    <s v="OCATI"/>
    <s v="WOS-474"/>
    <s v="NQR"/>
    <x v="5"/>
    <s v="ARREGLO TUBIO"/>
    <n v="20000"/>
    <n v="12000"/>
    <n v="8000"/>
    <m/>
    <m/>
    <m/>
    <s v="CANCELADO"/>
    <n v="0"/>
  </r>
  <r>
    <x v="130"/>
    <s v="RM:335"/>
    <s v="JESSY RODRIGUEZ"/>
    <s v="HXW-468"/>
    <s v="SAIL"/>
    <x v="1"/>
    <s v="CAMBIO DE BOMBA DE FRENOS"/>
    <n v="110000"/>
    <n v="77000"/>
    <n v="44000"/>
    <m/>
    <m/>
    <m/>
    <s v="CANCELADO"/>
    <n v="0"/>
  </r>
  <r>
    <x v="131"/>
    <s v="RM:337"/>
    <s v="JHON LOPEZ"/>
    <s v="HJW-941"/>
    <s v="JETTA"/>
    <x v="1"/>
    <s v="MANTENIMEINTO DE FRENOS TRASEROS"/>
    <n v="30000"/>
    <n v="21000"/>
    <n v="12000"/>
    <m/>
    <m/>
    <m/>
    <s v="CANCELADO"/>
    <n v="0"/>
  </r>
  <r>
    <x v="131"/>
    <m/>
    <s v="XO-RECICLAJE"/>
    <s v="TSM-562"/>
    <s v="JAC"/>
    <x v="1"/>
    <s v="GRADUAR FRENO Y FRENO DE MANO"/>
    <n v="15000"/>
    <n v="10500"/>
    <n v="6000"/>
    <m/>
    <m/>
    <m/>
    <s v="CANCELADO"/>
    <n v="0"/>
  </r>
  <r>
    <x v="131"/>
    <m/>
    <s v="TRANSPOCARGA"/>
    <s v="KSP-624"/>
    <s v="FOTON"/>
    <x v="1"/>
    <s v="GRADUAR FRENOS"/>
    <n v="10000"/>
    <n v="7000"/>
    <n v="4000"/>
    <m/>
    <m/>
    <m/>
    <s v="CANCELADO"/>
    <n v="0"/>
  </r>
  <r>
    <x v="131"/>
    <m/>
    <s v="MARCAO EQUIPOS"/>
    <s v="GMC GRUA"/>
    <s v="SWP-745"/>
    <x v="12"/>
    <s v="CAMBIO DE FUSIBLES, CAMBIO DE BOMBILLOS DELANTEROS"/>
    <n v="15000"/>
    <n v="9000"/>
    <n v="6000"/>
    <m/>
    <m/>
    <m/>
    <s v="CANCELADO"/>
    <n v="0"/>
  </r>
  <r>
    <x v="131"/>
    <m/>
    <s v="MARIO ALMONACITA"/>
    <s v="CHEVROLET"/>
    <s v="CRY-082"/>
    <x v="3"/>
    <s v="CAMBIO DE BASE TERMOSTATO"/>
    <n v="20000"/>
    <n v="14000"/>
    <n v="8000"/>
    <m/>
    <m/>
    <m/>
    <s v="CANCELADO"/>
    <n v="0"/>
  </r>
  <r>
    <x v="131"/>
    <m/>
    <m/>
    <s v="LUV 2300"/>
    <s v="AGC-159"/>
    <x v="6"/>
    <s v="CAMBIO EMP. DEL BOOTER"/>
    <n v="100000"/>
    <n v="70000"/>
    <n v="40000"/>
    <m/>
    <m/>
    <m/>
    <s v="CANCELADO"/>
    <n v="0"/>
  </r>
  <r>
    <x v="131"/>
    <m/>
    <s v="CAMILO BUITRIAGO"/>
    <s v="RENAULT LOGAN"/>
    <s v="ROL-254"/>
    <x v="1"/>
    <s v="REVISION DE FRENOS COMPLETO-CAMBIO DE LIQUIDO-CAMBIO DE BRAZO AXIAL"/>
    <n v="140000"/>
    <n v="98000"/>
    <n v="56000"/>
    <m/>
    <m/>
    <m/>
    <s v="CANCELADO"/>
    <n v="0"/>
  </r>
  <r>
    <x v="131"/>
    <m/>
    <s v="ALBERTO FORERO"/>
    <s v="LOGAN"/>
    <s v="JFN-502"/>
    <x v="6"/>
    <s v="SINCRONIZADA"/>
    <n v="120000"/>
    <n v="84000"/>
    <n v="48000"/>
    <m/>
    <m/>
    <m/>
    <s v="CANCELADO"/>
    <n v="0"/>
  </r>
  <r>
    <x v="131"/>
    <m/>
    <s v="ALBERTO FORERO"/>
    <s v="LOGAN"/>
    <s v="JFN-502"/>
    <x v="5"/>
    <s v="REPARACION DE GOTERA"/>
    <n v="40000"/>
    <n v="24000"/>
    <n v="16000"/>
    <m/>
    <m/>
    <m/>
    <s v="CANCELADO"/>
    <n v="0"/>
  </r>
  <r>
    <x v="131"/>
    <m/>
    <s v="ALBERTO FORERO"/>
    <s v="LOGAN"/>
    <s v="JFN-502"/>
    <x v="10"/>
    <s v="REVISION DE FRENOS, CAMBIO DE PASTILLAS Y DISCOS"/>
    <n v="100000"/>
    <n v="60000"/>
    <n v="40000"/>
    <m/>
    <m/>
    <m/>
    <s v="CANCELADO"/>
    <n v="0"/>
  </r>
  <r>
    <x v="131"/>
    <m/>
    <s v="ALBERTO FORERO"/>
    <s v="LOGAN"/>
    <s v="JFN-502"/>
    <x v="1"/>
    <s v="CAMBIO DE LIQUIDO"/>
    <n v="40000"/>
    <n v="28000"/>
    <n v="16000"/>
    <m/>
    <m/>
    <m/>
    <s v="CANCELADO"/>
    <n v="0"/>
  </r>
  <r>
    <x v="131"/>
    <m/>
    <s v="FREKIFRUTA"/>
    <s v="DFSK"/>
    <s v="TLD-165"/>
    <x v="3"/>
    <s v="CAMBIO DE BUJIAS, BOBINA E INYECTORES"/>
    <n v="150000"/>
    <n v="105000"/>
    <n v="60000"/>
    <m/>
    <m/>
    <m/>
    <s v="CANCELADO"/>
    <n v="0"/>
  </r>
  <r>
    <x v="131"/>
    <m/>
    <s v="ANDRES TIRIA"/>
    <s v="PEGEOUT"/>
    <m/>
    <x v="3"/>
    <s v="SINCRONIZADA"/>
    <n v="70000"/>
    <n v="49000"/>
    <n v="28000"/>
    <m/>
    <m/>
    <m/>
    <s v="CANCELADO"/>
    <n v="0"/>
  </r>
  <r>
    <x v="131"/>
    <s v="RM:348"/>
    <s v="GONZALO GARCIA"/>
    <m/>
    <s v="BBL-523"/>
    <x v="10"/>
    <s v="CAMBIO DE PUNTA DE EJE "/>
    <n v="90000"/>
    <n v="60000"/>
    <n v="36000"/>
    <m/>
    <m/>
    <m/>
    <s v="CANCELADO"/>
    <n v="0"/>
  </r>
  <r>
    <x v="131"/>
    <m/>
    <s v="METALCARGOS"/>
    <s v="FVR"/>
    <s v="GZZ-341"/>
    <x v="10"/>
    <s v="REVISION DE FRENOS"/>
    <n v="100000"/>
    <n v="80000"/>
    <n v="40000"/>
    <m/>
    <m/>
    <m/>
    <s v="CANCELADO"/>
    <n v="0"/>
  </r>
  <r>
    <x v="131"/>
    <s v="RM:344"/>
    <s v="JOSE LEON"/>
    <s v="KIAT PICANTO"/>
    <s v="IVX-095"/>
    <x v="3"/>
    <s v="BAJAR CAJA -REPARACION CAJA"/>
    <n v="350000"/>
    <n v="244999.99999999997"/>
    <n v="140000"/>
    <m/>
    <m/>
    <m/>
    <s v="CANCELADO"/>
    <n v="0"/>
  </r>
  <r>
    <x v="132"/>
    <m/>
    <m/>
    <s v="DAEWOO"/>
    <s v="BEA-803"/>
    <x v="12"/>
    <s v="CAMBIO DE BOMBILLOS Y PACHAS"/>
    <n v="30000"/>
    <n v="18000"/>
    <n v="12000"/>
    <m/>
    <m/>
    <m/>
    <m/>
    <n v="0"/>
  </r>
  <r>
    <x v="132"/>
    <s v="RM:342"/>
    <s v="EDGAR LAGO"/>
    <s v="HIUNDAY"/>
    <s v="SQI-851"/>
    <x v="6"/>
    <s v="SERVICIO DE ESCANER"/>
    <n v="50000"/>
    <n v="35000"/>
    <n v="20000"/>
    <m/>
    <m/>
    <m/>
    <m/>
    <n v="0"/>
  </r>
  <r>
    <x v="132"/>
    <m/>
    <s v="CARLOS PEDROZA"/>
    <s v="MAZDA"/>
    <s v="KAT-796"/>
    <x v="4"/>
    <s v="CAMBIO DE DISCO DE CLOSH"/>
    <n v="200000"/>
    <n v="120000"/>
    <n v="80000"/>
    <m/>
    <m/>
    <m/>
    <m/>
    <n v="0"/>
  </r>
  <r>
    <x v="132"/>
    <s v="FE: 331"/>
    <s v="METALCARGOS"/>
    <s v="NKR"/>
    <s v="TFT-701"/>
    <x v="6"/>
    <s v="CAMBIO DE ESPARRAGOS"/>
    <n v="80000"/>
    <n v="56000"/>
    <n v="32000"/>
    <m/>
    <m/>
    <m/>
    <m/>
    <n v="0"/>
  </r>
  <r>
    <x v="132"/>
    <s v="FE: 331"/>
    <s v="METALCARGOS"/>
    <s v="NKR"/>
    <s v="TFT-701"/>
    <x v="10"/>
    <s v="DOMICILIO DESVARE"/>
    <n v="50000"/>
    <n v="50000"/>
    <n v="20000"/>
    <m/>
    <m/>
    <m/>
    <m/>
    <n v="0"/>
  </r>
  <r>
    <x v="132"/>
    <m/>
    <m/>
    <s v="SPARK"/>
    <m/>
    <x v="3"/>
    <s v="CAMBIO DE GUAYA DE CLOSH"/>
    <n v="35000"/>
    <n v="24500"/>
    <n v="14000"/>
    <m/>
    <m/>
    <m/>
    <s v="CANCELADO"/>
    <n v="0"/>
  </r>
  <r>
    <x v="132"/>
    <s v="RM:345"/>
    <s v="ALVEIRO VILLAMIL"/>
    <s v="SPRINT CITROEN"/>
    <s v="BUK-819"/>
    <x v="6"/>
    <s v="CAMBIO DE DISCOS -PUNTAS-RODAMIENTOS"/>
    <n v="200000"/>
    <n v="140000"/>
    <n v="80000"/>
    <m/>
    <m/>
    <m/>
    <m/>
    <n v="0"/>
  </r>
  <r>
    <x v="133"/>
    <s v="RM: 346"/>
    <s v="EBER OSORIO"/>
    <s v="MAZDA"/>
    <s v="BAY-545"/>
    <x v="2"/>
    <s v="CAMBIO DE PASTILLAS DELANTERAS, REVISAR TRASERAS, CAMBIO DE MANGUERA DELANTERA DERECHA"/>
    <n v="40000"/>
    <n v="24000"/>
    <n v="16000"/>
    <m/>
    <m/>
    <m/>
    <m/>
    <n v="0"/>
  </r>
  <r>
    <x v="133"/>
    <s v="FE:333"/>
    <s v="OCATI"/>
    <s v="VOLKWAGEN"/>
    <s v="JKV-447"/>
    <x v="10"/>
    <s v="CAMBIO DE RETENEDOR EXTERNO"/>
    <n v="100000"/>
    <n v="60000"/>
    <n v="40000"/>
    <m/>
    <m/>
    <m/>
    <m/>
    <n v="0"/>
  </r>
  <r>
    <x v="132"/>
    <s v="FE:334"/>
    <s v="METALCARGOS"/>
    <s v="FVR"/>
    <s v="GZZ-341"/>
    <x v="6"/>
    <s v="CORREGIR FUGA DE AIRE"/>
    <n v="60000"/>
    <n v="42000"/>
    <n v="24000"/>
    <m/>
    <m/>
    <m/>
    <m/>
    <n v="0"/>
  </r>
  <r>
    <x v="134"/>
    <m/>
    <s v="OCATI"/>
    <m/>
    <s v="WOS-474"/>
    <x v="5"/>
    <s v="ARREGLO MARCO DE PUERTA"/>
    <n v="300000"/>
    <n v="180000"/>
    <n v="120000"/>
    <m/>
    <m/>
    <m/>
    <m/>
    <n v="0"/>
  </r>
  <r>
    <x v="134"/>
    <s v="RM:347"/>
    <s v="VICTOR DELGADO"/>
    <s v="CHEVROLET"/>
    <s v="AEF-028"/>
    <x v="1"/>
    <s v="MANTENIMIENTO RACHE DE FRENOS"/>
    <n v="30000"/>
    <n v="21000"/>
    <n v="12000"/>
    <m/>
    <m/>
    <m/>
    <m/>
    <n v="0"/>
  </r>
  <r>
    <x v="134"/>
    <m/>
    <s v="PEDRO"/>
    <m/>
    <m/>
    <x v="10"/>
    <s v="CAMBIO DE CHUPAS"/>
    <n v="10000"/>
    <n v="6000"/>
    <n v="4000"/>
    <m/>
    <m/>
    <m/>
    <m/>
    <n v="0"/>
  </r>
  <r>
    <x v="134"/>
    <m/>
    <s v="AIRPLUS"/>
    <s v="CHEVROLET"/>
    <s v="TTZ-926"/>
    <x v="6"/>
    <s v="CAMBIO DE LIQUIDO"/>
    <n v="50000"/>
    <n v="35000"/>
    <n v="20000"/>
    <m/>
    <m/>
    <m/>
    <m/>
    <n v="0"/>
  </r>
  <r>
    <x v="134"/>
    <m/>
    <s v="CLEMENTO SIERRA"/>
    <s v="JAC"/>
    <s v="TJX-795"/>
    <x v="1"/>
    <s v="GRADUAR FRENOS "/>
    <n v="10000"/>
    <n v="7000"/>
    <n v="4000"/>
    <m/>
    <m/>
    <m/>
    <m/>
    <n v="0"/>
  </r>
  <r>
    <x v="134"/>
    <m/>
    <s v="JUAN SARMIENTO"/>
    <s v="FORD"/>
    <s v="SCH-028"/>
    <x v="6"/>
    <s v="CAMBIO DE DIAFRAGMA DE FRENOS"/>
    <n v="15000"/>
    <n v="10500"/>
    <n v="6000"/>
    <m/>
    <m/>
    <m/>
    <m/>
    <n v="0"/>
  </r>
  <r>
    <x v="134"/>
    <m/>
    <s v="WILLIAN CASTRO"/>
    <s v="MERCEDEZ"/>
    <s v="SKP-121"/>
    <x v="10"/>
    <s v="CAMBIO DE DIAFRAGMA DE FRENOS"/>
    <n v="15000"/>
    <n v="9000"/>
    <n v="6000"/>
    <m/>
    <m/>
    <m/>
    <m/>
    <n v="0"/>
  </r>
  <r>
    <x v="134"/>
    <m/>
    <s v="JULIO SOLANO"/>
    <s v="HONDA"/>
    <s v="LAF-512"/>
    <x v="10"/>
    <s v="REVISION RUEDA DEL. DERECHA"/>
    <n v="20000"/>
    <n v="12000"/>
    <n v="8000"/>
    <m/>
    <m/>
    <m/>
    <m/>
    <n v="0"/>
  </r>
  <r>
    <x v="135"/>
    <m/>
    <s v="CARLOS DAZA"/>
    <s v="BMW"/>
    <s v="CYI-951"/>
    <x v="6"/>
    <s v="REVISION"/>
    <n v="30000"/>
    <n v="21000"/>
    <n v="12000"/>
    <m/>
    <m/>
    <m/>
    <m/>
    <n v="0"/>
  </r>
  <r>
    <x v="136"/>
    <m/>
    <m/>
    <s v="AVEO"/>
    <m/>
    <x v="3"/>
    <s v="MEDIR COMPRESION"/>
    <n v="20000"/>
    <n v="14000"/>
    <n v="8000"/>
    <m/>
    <m/>
    <m/>
    <s v="CANCELADO"/>
    <n v="0"/>
  </r>
  <r>
    <x v="135"/>
    <m/>
    <s v="MUNAR INGENIERIA"/>
    <s v="HINO"/>
    <s v="USE-572"/>
    <x v="3"/>
    <s v="MATTO CAMARA COMPRESOR"/>
    <n v="150000"/>
    <n v="105000"/>
    <n v="60000"/>
    <m/>
    <m/>
    <m/>
    <s v="CANCELADO"/>
    <n v="0"/>
  </r>
  <r>
    <x v="135"/>
    <m/>
    <s v="DANIEL ROJA"/>
    <s v="HIUNDAY"/>
    <s v="TDL-313"/>
    <x v="10"/>
    <s v="GRADUAR FRENOS, CAMBIO RACHE"/>
    <n v="20000"/>
    <n v="12000"/>
    <n v="8000"/>
    <m/>
    <m/>
    <m/>
    <m/>
    <n v="0"/>
  </r>
  <r>
    <x v="137"/>
    <m/>
    <s v="FRESKIFRUTA"/>
    <s v="JAC"/>
    <s v="VAK-117"/>
    <x v="1"/>
    <s v="BAJAR FRENO DE AHOGO"/>
    <n v="60000"/>
    <n v="42000"/>
    <n v="24000"/>
    <m/>
    <m/>
    <m/>
    <m/>
    <n v="0"/>
  </r>
  <r>
    <x v="137"/>
    <m/>
    <s v="FRESKIFRUTA"/>
    <s v="JAC"/>
    <s v="VAK-117"/>
    <x v="3"/>
    <s v="CALIBRAR VALVULAS / BAJAR INYECTORES"/>
    <n v="200000"/>
    <n v="140000"/>
    <n v="80000"/>
    <m/>
    <m/>
    <m/>
    <s v="CANCELADO"/>
    <n v="0"/>
  </r>
  <r>
    <x v="138"/>
    <m/>
    <s v="FREDY CANTOR"/>
    <s v="JAC"/>
    <s v="TLZ-486"/>
    <x v="1"/>
    <s v="CORREGIR FUGA DE AIRE"/>
    <n v="50000"/>
    <n v="35000"/>
    <n v="20000"/>
    <m/>
    <m/>
    <m/>
    <m/>
    <n v="0"/>
  </r>
  <r>
    <x v="138"/>
    <m/>
    <s v="OCATI"/>
    <s v="NQR"/>
    <s v="WOS-474"/>
    <x v="6"/>
    <s v="DOMICILIO, SERVICIO DE ESCANER"/>
    <n v="120000"/>
    <n v="84000"/>
    <n v="48000"/>
    <m/>
    <m/>
    <m/>
    <m/>
    <n v="0"/>
  </r>
  <r>
    <x v="135"/>
    <m/>
    <s v="JUSTO ROCHA"/>
    <s v="LAND CRUCER"/>
    <s v="BUI-036"/>
    <x v="6"/>
    <s v="CAMBIO DE PASTILLAS DELANTERAS Y TRASERAS/KIT DE LIGAS/RETENEDORES/LIQUIDO/EMPAQUETADURA SUAVIZADOR"/>
    <n v="300000"/>
    <n v="210000"/>
    <n v="120000"/>
    <m/>
    <m/>
    <m/>
    <m/>
    <n v="0"/>
  </r>
  <r>
    <x v="138"/>
    <m/>
    <s v="VICTOR MANUEL NIÑO"/>
    <s v="CH-STEEM"/>
    <s v="BLQ-578"/>
    <x v="4"/>
    <s v="CAMBIO DE KIT DE RESPARTICION Y CORREA DE ACCESORIO"/>
    <n v="150000"/>
    <n v="90000"/>
    <n v="60000"/>
    <m/>
    <m/>
    <m/>
    <m/>
    <n v="0"/>
  </r>
  <r>
    <x v="138"/>
    <m/>
    <s v="JESUS LARA"/>
    <s v="MAZDA 3"/>
    <s v="BFL-099"/>
    <x v="1"/>
    <s v="REVISION COMPLETA DE FRENOS. SUAVIZAR MORDAZAS-CAMBIO DE LIQUIDO"/>
    <n v="100000"/>
    <n v="70000"/>
    <n v="40000"/>
    <m/>
    <m/>
    <m/>
    <m/>
    <n v="0"/>
  </r>
  <r>
    <x v="138"/>
    <s v="RM: 10"/>
    <s v="TATIANA ZAMUDIO"/>
    <s v="PEGEOUT 106"/>
    <s v="BJC-966"/>
    <x v="3"/>
    <s v="REPARACION MOTOR"/>
    <n v="600000"/>
    <n v="420000"/>
    <n v="240000"/>
    <m/>
    <m/>
    <m/>
    <s v="CANCELADO"/>
    <n v="0"/>
  </r>
  <r>
    <x v="139"/>
    <m/>
    <s v="CAROLINA"/>
    <s v="HUMMER"/>
    <s v="HBN-909"/>
    <x v="1"/>
    <s v="BAJAR TIJERAS Y AXIAL"/>
    <n v="100000"/>
    <n v="70000"/>
    <n v="40000"/>
    <m/>
    <m/>
    <m/>
    <m/>
    <n v="0"/>
  </r>
  <r>
    <x v="139"/>
    <m/>
    <s v="CAROLINA"/>
    <s v="HUMMER"/>
    <s v="HBN-909"/>
    <x v="5"/>
    <s v="LATONERIA Y PINTURA"/>
    <n v="50000"/>
    <n v="30000"/>
    <n v="20000"/>
    <m/>
    <m/>
    <m/>
    <m/>
    <n v="0"/>
  </r>
  <r>
    <x v="139"/>
    <m/>
    <s v="CARLOS PEDROZA"/>
    <s v="MAZDA2"/>
    <s v="KAT-796"/>
    <x v="3"/>
    <s v="SINCRONIZACION"/>
    <n v="150000"/>
    <n v="105000"/>
    <n v="60000"/>
    <m/>
    <m/>
    <m/>
    <s v="CANCELADO"/>
    <n v="0"/>
  </r>
  <r>
    <x v="139"/>
    <m/>
    <s v="EMELSON HENAO"/>
    <s v="TOYOTA"/>
    <s v="BFO-815"/>
    <x v="4"/>
    <s v="SINCRONIZADA, CAMBIO DE PATIN, BUJIAS, CORREA Y TAPON MOTOR"/>
    <n v="450000"/>
    <n v="270000"/>
    <n v="180000"/>
    <m/>
    <m/>
    <m/>
    <m/>
    <n v="0"/>
  </r>
  <r>
    <x v="139"/>
    <m/>
    <s v="YESI RODRIGUEZ"/>
    <s v="CH SAIL"/>
    <s v="HXW-468"/>
    <x v="6"/>
    <s v="CAMBIO DE BRAZOS AXIALES"/>
    <n v="60000"/>
    <n v="42000"/>
    <n v="24000"/>
    <m/>
    <m/>
    <m/>
    <m/>
    <n v="0"/>
  </r>
  <r>
    <x v="139"/>
    <m/>
    <s v="OSCAR RODRIGUEZ"/>
    <s v="AVEO"/>
    <s v="MNY-524"/>
    <x v="1"/>
    <s v="CAMBIO DE BOMBA DE AGUA, CAMBIO DE CORREA DE REP"/>
    <n v="280000"/>
    <n v="168000"/>
    <n v="112000"/>
    <m/>
    <m/>
    <m/>
    <m/>
    <n v="0"/>
  </r>
  <r>
    <x v="139"/>
    <s v="RM-1-6"/>
    <s v="ANGELA CORREDOR"/>
    <s v="JEEP"/>
    <s v="BIO-488"/>
    <x v="3"/>
    <s v="CAMBIO KIT DE EMBRAGUE"/>
    <n v="300000"/>
    <n v="180000"/>
    <n v="120000"/>
    <m/>
    <m/>
    <m/>
    <s v="CANCELADO"/>
    <n v="0"/>
  </r>
  <r>
    <x v="139"/>
    <s v="FE: 10"/>
    <s v="INTERCON"/>
    <s v="KENWOERTH"/>
    <s v="XLD-472"/>
    <x v="3"/>
    <s v="CAMBIO DE RODAMIENTOS"/>
    <n v="50000"/>
    <n v="30000"/>
    <n v="20000"/>
    <m/>
    <m/>
    <m/>
    <s v="CANCELADO"/>
    <n v="0"/>
  </r>
  <r>
    <x v="140"/>
    <s v="RM:1-8"/>
    <s v="PIEDAD OSORIO"/>
    <s v="CHEVROLET CORSA"/>
    <s v="BHP-482"/>
    <x v="6"/>
    <s v="CAMBIO DE CORREA DE ACCESORIO"/>
    <n v="20000"/>
    <n v="14000"/>
    <n v="8000"/>
    <m/>
    <m/>
    <m/>
    <m/>
    <n v="0"/>
  </r>
  <r>
    <x v="140"/>
    <s v="RM 1-9"/>
    <s v="NICOLAS AVENDAÑO"/>
    <s v="RENAULT SANDERO"/>
    <s v="MFT-152"/>
    <x v="6"/>
    <s v="SINCRONIZACION"/>
    <n v="150000"/>
    <n v="105000"/>
    <n v="60000"/>
    <m/>
    <m/>
    <m/>
    <m/>
    <n v="0"/>
  </r>
  <r>
    <x v="140"/>
    <m/>
    <m/>
    <s v="FORD SPACE"/>
    <m/>
    <x v="10"/>
    <s v="REVISION DE FRENOS "/>
    <n v="80000"/>
    <n v="48000"/>
    <n v="32000"/>
    <m/>
    <m/>
    <m/>
    <m/>
    <n v="0"/>
  </r>
  <r>
    <x v="141"/>
    <m/>
    <s v="YONATHAN ERAZO"/>
    <s v="CHEVROLET SAIL"/>
    <m/>
    <x v="10"/>
    <s v="CAMBIO DEPASTILLAS DE FRENOS"/>
    <n v="30000"/>
    <n v="18000"/>
    <n v="12000"/>
    <m/>
    <m/>
    <m/>
    <m/>
    <n v="0"/>
  </r>
  <r>
    <x v="142"/>
    <m/>
    <m/>
    <s v="GRAN VITARA"/>
    <m/>
    <x v="3"/>
    <s v="CAMBIO DE CORREA"/>
    <n v="20000"/>
    <n v="14000"/>
    <n v="8000"/>
    <m/>
    <m/>
    <m/>
    <s v="CANCELADO"/>
    <n v="0"/>
  </r>
  <r>
    <x v="139"/>
    <m/>
    <m/>
    <m/>
    <m/>
    <x v="3"/>
    <s v="MEDIR COMPRESION"/>
    <n v="30000"/>
    <n v="18000"/>
    <n v="12000"/>
    <m/>
    <m/>
    <m/>
    <s v="CANCELADO"/>
    <n v="0"/>
  </r>
  <r>
    <x v="143"/>
    <s v="FAS: 11"/>
    <s v="OCATI"/>
    <s v="VITARA"/>
    <s v="RNS-176"/>
    <x v="6"/>
    <s v="REVISION DE FRENOS COMPLETO, CAMBIO DE LIQUIDO, CAMBIO DE BOMBILLO"/>
    <n v="130000"/>
    <n v="91000"/>
    <n v="52000"/>
    <m/>
    <m/>
    <m/>
    <m/>
    <n v="0"/>
  </r>
  <r>
    <x v="144"/>
    <m/>
    <s v="RAFAEL BUENO"/>
    <s v="MITSUBISHI "/>
    <s v="GND-172"/>
    <x v="4"/>
    <s v="CAMBIO DE CAUCHO -BARILLA ESTABILIZADORA/ AJUSTE DE TIJERAS"/>
    <n v="40000"/>
    <n v="24000"/>
    <n v="16000"/>
    <m/>
    <m/>
    <m/>
    <m/>
    <n v="0"/>
  </r>
  <r>
    <x v="144"/>
    <s v="RM:1-14"/>
    <s v="PAOLA CALDERON"/>
    <s v="VITARA"/>
    <s v="CVR-058"/>
    <x v="3"/>
    <s v="SINCRONIZACION"/>
    <n v="150000"/>
    <n v="105000"/>
    <n v="60000"/>
    <m/>
    <m/>
    <m/>
    <s v="CANCELADO"/>
    <n v="0"/>
  </r>
  <r>
    <x v="144"/>
    <s v="RM: 16"/>
    <s v="JAVIER SASTOQUI"/>
    <s v="CAPTIVA"/>
    <s v="DHP-439"/>
    <x v="1"/>
    <s v="CAMBIO DE RODAMIENTOS DELANTERO IZQ"/>
    <n v="50000"/>
    <n v="35000"/>
    <n v="20000"/>
    <m/>
    <m/>
    <m/>
    <m/>
    <n v="0"/>
  </r>
  <r>
    <x v="144"/>
    <s v="FE:12 RM: 15"/>
    <s v="LUIS FERNANDO OLARTE"/>
    <s v="MB"/>
    <s v="AGD-224"/>
    <x v="10"/>
    <s v="CAMBIO DE LIQUIDO, REVISION COMPLETO, CAMBIO DE PASTILALS DELANTERAS Y TRASERAS"/>
    <n v="120000"/>
    <n v="72000"/>
    <n v="48000"/>
    <m/>
    <m/>
    <m/>
    <m/>
    <n v="0"/>
  </r>
  <r>
    <x v="144"/>
    <m/>
    <s v="OMAIRA RINCON"/>
    <s v="CHINA"/>
    <s v="SPL-874"/>
    <x v="10"/>
    <s v="PULGAR"/>
    <n v="15000"/>
    <n v="9000"/>
    <n v="6000"/>
    <m/>
    <m/>
    <m/>
    <m/>
    <n v="0"/>
  </r>
  <r>
    <x v="144"/>
    <m/>
    <m/>
    <s v="RENAULT"/>
    <s v="NCM-147"/>
    <x v="10"/>
    <s v="REVISION DE TRASERAS Y CAMBIO DE GRADUACION DE FRENOS"/>
    <n v="30000"/>
    <n v="18000"/>
    <n v="12000"/>
    <m/>
    <m/>
    <m/>
    <m/>
    <n v="0"/>
  </r>
  <r>
    <x v="145"/>
    <s v="RM:17"/>
    <s v="WILLIAMS TORREZ"/>
    <m/>
    <s v="BIJ-394"/>
    <x v="3"/>
    <s v="REPARACION PARCIAL DE MOTOR"/>
    <n v="800000"/>
    <n v="560000"/>
    <n v="320000"/>
    <m/>
    <m/>
    <m/>
    <s v="CANCELADO"/>
    <n v="0"/>
  </r>
  <r>
    <x v="145"/>
    <s v="RM:17"/>
    <s v="WILLIAMS TORREZ"/>
    <m/>
    <s v="BIJ-394"/>
    <x v="10"/>
    <s v="REVISION DE FRENOS"/>
    <n v="180000"/>
    <n v="108000"/>
    <n v="72000"/>
    <m/>
    <m/>
    <m/>
    <m/>
    <n v="0"/>
  </r>
  <r>
    <x v="145"/>
    <m/>
    <m/>
    <s v="SPARK"/>
    <s v="RIT-880"/>
    <x v="3"/>
    <s v="CAMBIO KIT DE EMBRAGUE"/>
    <n v="150000"/>
    <n v="105000"/>
    <n v="60000"/>
    <m/>
    <m/>
    <m/>
    <s v="CANCELADO"/>
    <n v="0"/>
  </r>
  <r>
    <x v="145"/>
    <m/>
    <m/>
    <s v="SPARK GT"/>
    <m/>
    <x v="6"/>
    <s v="SINCRONIZADA "/>
    <n v="120000"/>
    <n v="84000"/>
    <n v="48000"/>
    <m/>
    <m/>
    <m/>
    <m/>
    <n v="0"/>
  </r>
  <r>
    <x v="146"/>
    <m/>
    <s v="OCATI"/>
    <s v="NQR"/>
    <s v="WOS-474"/>
    <x v="12"/>
    <s v="INSTALACION DE PITOS"/>
    <n v="30000"/>
    <n v="18000"/>
    <n v="12000"/>
    <m/>
    <m/>
    <m/>
    <m/>
    <n v="0"/>
  </r>
  <r>
    <x v="146"/>
    <m/>
    <s v="JOVANNY AYALA"/>
    <s v="FORD"/>
    <s v="RAT-770"/>
    <x v="6"/>
    <s v="CAMBIO DE SUAVIZADOR"/>
    <n v="200000"/>
    <n v="140000"/>
    <n v="80000"/>
    <m/>
    <m/>
    <m/>
    <m/>
    <n v="0"/>
  </r>
  <r>
    <x v="146"/>
    <s v="RM:18"/>
    <s v="EUGENIO CASTILLO"/>
    <s v="MITSUBISHI MONTERO"/>
    <s v="BMR-478"/>
    <x v="6"/>
    <s v="REVISION DE FRENOS"/>
    <n v="70000"/>
    <n v="49000"/>
    <n v="28000"/>
    <m/>
    <m/>
    <m/>
    <m/>
    <n v="0"/>
  </r>
  <r>
    <x v="146"/>
    <m/>
    <s v="JULIO CARO"/>
    <s v="HIUNDAY TUCSON"/>
    <s v="CWK-872"/>
    <x v="10"/>
    <s v="MATTO GENERAL DE FRENOS "/>
    <n v="80000"/>
    <n v="48000"/>
    <n v="32000"/>
    <m/>
    <m/>
    <m/>
    <m/>
    <n v="0"/>
  </r>
  <r>
    <x v="146"/>
    <m/>
    <m/>
    <s v="RENAULT LOGAN"/>
    <s v="GSZ-853"/>
    <x v="6"/>
    <s v="CAMBIO DE PASTILLAS DELANTERAS Y GRADUACION "/>
    <n v="40000"/>
    <n v="28000"/>
    <n v="16000"/>
    <m/>
    <m/>
    <m/>
    <m/>
    <n v="0"/>
  </r>
  <r>
    <x v="146"/>
    <m/>
    <s v="INDELCO"/>
    <s v="CHEVROLET"/>
    <s v="STX-753"/>
    <x v="6"/>
    <s v="GRADUACION DE FRENOS"/>
    <n v="15000"/>
    <n v="10500"/>
    <n v="6000"/>
    <m/>
    <m/>
    <m/>
    <m/>
    <n v="0"/>
  </r>
  <r>
    <x v="146"/>
    <m/>
    <s v="RICARDO CORREA"/>
    <s v="KIAT SORENTO"/>
    <s v="RDT-290"/>
    <x v="6"/>
    <s v="SUSPENSION DEL Y TRASERA"/>
    <n v="700000"/>
    <n v="489999.99999999994"/>
    <n v="280000"/>
    <m/>
    <m/>
    <m/>
    <m/>
    <n v="0"/>
  </r>
  <r>
    <x v="146"/>
    <m/>
    <m/>
    <s v="TWINGO"/>
    <s v="CMF-783"/>
    <x v="4"/>
    <s v="MONTAR CAJA DE DIRECCION"/>
    <n v="150000"/>
    <n v="90000"/>
    <n v="60000"/>
    <m/>
    <m/>
    <m/>
    <m/>
    <n v="0"/>
  </r>
  <r>
    <x v="147"/>
    <s v="RM:19  FE-:13"/>
    <s v="HERNAN RODRIGUEZ"/>
    <s v="LAND CRUCER"/>
    <s v="KLK-079"/>
    <x v="6"/>
    <s v="CAMBIO DE PASTILLAS DELANTERAS Y TRASERAS / CAMBIO DE DISCOS TRASEROS-CAMBIO DE LIQUIDO"/>
    <n v="160000"/>
    <n v="112000"/>
    <n v="64000"/>
    <m/>
    <m/>
    <m/>
    <m/>
    <n v="0"/>
  </r>
  <r>
    <x v="147"/>
    <m/>
    <s v="MADERAS Y EQUIPOS CHIA"/>
    <s v="NKR"/>
    <s v="SSX-919"/>
    <x v="10"/>
    <s v="BAJAR RUEDA TRASERA-CAMBIO DE ESPARRAGO"/>
    <n v="40000"/>
    <n v="24000"/>
    <n v="16000"/>
    <m/>
    <m/>
    <m/>
    <m/>
    <n v="0"/>
  </r>
  <r>
    <x v="147"/>
    <m/>
    <m/>
    <s v="SYMBOL"/>
    <s v="BSF"/>
    <x v="10"/>
    <s v="CAMBIO DE SOPORTE DE MOTOR"/>
    <n v="40000"/>
    <n v="24000"/>
    <n v="16000"/>
    <m/>
    <m/>
    <m/>
    <m/>
    <n v="0"/>
  </r>
  <r>
    <x v="147"/>
    <s v="RM:22"/>
    <s v="JULIO DUARTE"/>
    <s v="TOYOTA98"/>
    <s v="BVW-614"/>
    <x v="10"/>
    <s v="REVISION DE FRENOS, CAMBIO DE LIQUIDO"/>
    <n v="80000"/>
    <n v="48000"/>
    <n v="32000"/>
    <m/>
    <m/>
    <m/>
    <m/>
    <n v="0"/>
  </r>
  <r>
    <x v="147"/>
    <m/>
    <m/>
    <s v="CHEVROLET -SPARK"/>
    <s v="BZI-440"/>
    <x v="3"/>
    <s v="CAMBIO DE RETENEDOR COPA CAJA"/>
    <n v="30000"/>
    <n v="21000"/>
    <n v="12000"/>
    <m/>
    <m/>
    <m/>
    <s v="CANCELADO"/>
    <n v="0"/>
  </r>
  <r>
    <x v="147"/>
    <m/>
    <m/>
    <s v="CHEVROLET -SPARK"/>
    <s v="BZI-440"/>
    <x v="1"/>
    <s v="CAMBIO DE PASTILLAS Y CHUPAS"/>
    <n v="30000"/>
    <n v="21000"/>
    <n v="12000"/>
    <m/>
    <m/>
    <m/>
    <m/>
    <n v="0"/>
  </r>
  <r>
    <x v="147"/>
    <m/>
    <s v="NELSON CALDERON"/>
    <s v="FIAAT-750"/>
    <s v="ALI-167"/>
    <x v="6"/>
    <s v="AJUSTE DE SUSPENSION"/>
    <n v="30000"/>
    <n v="21000"/>
    <n v="12000"/>
    <m/>
    <m/>
    <m/>
    <m/>
    <n v="0"/>
  </r>
  <r>
    <x v="147"/>
    <m/>
    <s v="METALCARGOS"/>
    <s v="FVR"/>
    <s v="GZZ-341"/>
    <x v="8"/>
    <s v="SERVICIO DE MONTALLANTA"/>
    <n v="150000"/>
    <n v="90000"/>
    <n v="60000"/>
    <m/>
    <m/>
    <m/>
    <m/>
    <n v="0"/>
  </r>
  <r>
    <x v="148"/>
    <m/>
    <m/>
    <s v="JAC"/>
    <m/>
    <x v="10"/>
    <s v="CAMBIO DE CHUPAS"/>
    <m/>
    <n v="25000"/>
    <n v="0"/>
    <m/>
    <m/>
    <m/>
    <m/>
    <n v="0"/>
  </r>
  <r>
    <x v="148"/>
    <m/>
    <m/>
    <m/>
    <s v="CHINA"/>
    <x v="10"/>
    <s v="CAMBIO DE RODAMIENTOS"/>
    <m/>
    <m/>
    <n v="0"/>
    <m/>
    <m/>
    <m/>
    <m/>
    <n v="0"/>
  </r>
  <r>
    <x v="149"/>
    <m/>
    <m/>
    <m/>
    <s v="FDJ-497"/>
    <x v="10"/>
    <s v="GRADUAR FRENOS1"/>
    <n v="10000"/>
    <n v="6000"/>
    <n v="4000"/>
    <m/>
    <m/>
    <m/>
    <m/>
    <n v="0"/>
  </r>
  <r>
    <x v="149"/>
    <m/>
    <s v="JHON LEAL"/>
    <s v="HYUNDAI"/>
    <s v="VFE-665"/>
    <x v="10"/>
    <s v="BAJAR RUEDA, GRADUAR FRENOS, CAMBIO DE BANDAS"/>
    <n v="70000"/>
    <n v="42000"/>
    <n v="28000"/>
    <m/>
    <m/>
    <m/>
    <m/>
    <n v="0"/>
  </r>
  <r>
    <x v="149"/>
    <m/>
    <s v="NELSON REYES"/>
    <s v="TOYOTA HILUX"/>
    <s v="ABQ-648"/>
    <x v="6"/>
    <s v="GRADUAR TRASERAS"/>
    <n v="30000"/>
    <n v="21000"/>
    <n v="12000"/>
    <m/>
    <m/>
    <m/>
    <m/>
    <n v="0"/>
  </r>
  <r>
    <x v="150"/>
    <m/>
    <s v="MARCO OVALLES"/>
    <s v="RENAULT 9"/>
    <s v="BIL-530"/>
    <x v="6"/>
    <s v="MANTENIMIENTO DE FRENOS"/>
    <n v="60000"/>
    <n v="42000"/>
    <n v="24000"/>
    <m/>
    <m/>
    <m/>
    <m/>
    <n v="0"/>
  </r>
  <r>
    <x v="136"/>
    <m/>
    <m/>
    <s v="JMC"/>
    <m/>
    <x v="8"/>
    <s v="CHEQUEO"/>
    <n v="50000"/>
    <n v="30000"/>
    <n v="20000"/>
    <m/>
    <m/>
    <m/>
    <m/>
    <n v="0"/>
  </r>
  <r>
    <x v="150"/>
    <m/>
    <s v="CESAR ISAZA"/>
    <s v="CHEVROLET"/>
    <s v="BLO-452"/>
    <x v="4"/>
    <s v="BAJAR CAJA"/>
    <n v="180000"/>
    <n v="108000"/>
    <n v="72000"/>
    <m/>
    <m/>
    <m/>
    <m/>
    <n v="0"/>
  </r>
  <r>
    <x v="150"/>
    <m/>
    <m/>
    <s v="CH ISUZU"/>
    <s v="UFZ-846"/>
    <x v="10"/>
    <s v="CAMBIO DE DIAFRAGMA /GRADUAR FRENOS"/>
    <n v="45000"/>
    <n v="27000"/>
    <n v="18000"/>
    <m/>
    <m/>
    <m/>
    <m/>
    <n v="0"/>
  </r>
  <r>
    <x v="150"/>
    <s v="RM-29"/>
    <s v="GABRIEL RODRIGUEZ"/>
    <s v="TWINGO"/>
    <s v="RKL-893"/>
    <x v="6"/>
    <s v="CAMBIO DE TOPES DE AMORTIGUADOR CON RODAMIENTOS"/>
    <n v="100000"/>
    <n v="70000"/>
    <n v="40000"/>
    <m/>
    <m/>
    <m/>
    <m/>
    <n v="0"/>
  </r>
  <r>
    <x v="150"/>
    <s v="RM-28"/>
    <s v="NELSON CASTILLO"/>
    <s v="VOLKSWAGEN AMARO"/>
    <s v="HJV-493"/>
    <x v="6"/>
    <s v="CAMBIO DE BANDAS TRASERAS"/>
    <n v="30000"/>
    <n v="21000"/>
    <n v="12000"/>
    <m/>
    <m/>
    <m/>
    <m/>
    <n v="0"/>
  </r>
  <r>
    <x v="150"/>
    <m/>
    <m/>
    <m/>
    <s v="IJL-688"/>
    <x v="10"/>
    <s v="CAMBIO DE RODAMIENTO TRASEROS"/>
    <n v="30000"/>
    <n v="18000"/>
    <n v="12000"/>
    <m/>
    <m/>
    <m/>
    <m/>
    <n v="0"/>
  </r>
  <r>
    <x v="151"/>
    <m/>
    <s v="BORIS LEON"/>
    <s v="MITSUBISHI"/>
    <s v="WLQ-582"/>
    <x v="6"/>
    <s v="BAJAR TANQUE DE COMBUSTIBLE "/>
    <n v="100000"/>
    <n v="70000"/>
    <n v="40000"/>
    <m/>
    <m/>
    <m/>
    <m/>
    <n v="0"/>
  </r>
  <r>
    <x v="151"/>
    <m/>
    <s v="OLIMPIA HERNANDEZ"/>
    <s v="HINO"/>
    <s v="TGK-439"/>
    <x v="1"/>
    <s v="CAMBIO DE CAUCHO BARRA ESTABILIZADORA"/>
    <n v="30000"/>
    <n v="21000"/>
    <n v="12000"/>
    <m/>
    <m/>
    <m/>
    <m/>
    <n v="0"/>
  </r>
  <r>
    <x v="151"/>
    <m/>
    <s v="YANURI SIMACO"/>
    <s v="RENAULT CLIO"/>
    <s v="BYU-890"/>
    <x v="1"/>
    <s v="CAMBIO DE AMORTIGUADORES DELANTEROS  Y SOPORTES CON ROD."/>
    <n v="100000"/>
    <n v="70000"/>
    <n v="40000"/>
    <m/>
    <m/>
    <m/>
    <m/>
    <n v="0"/>
  </r>
  <r>
    <x v="151"/>
    <m/>
    <s v="ALMACENES LISTA"/>
    <s v="RENAULT KANGU"/>
    <s v="CYA-044"/>
    <x v="3"/>
    <s v="REPARAR CAJA"/>
    <n v="450000"/>
    <n v="315000"/>
    <n v="180000"/>
    <m/>
    <m/>
    <m/>
    <s v="CANCELADO"/>
    <n v="0"/>
  </r>
  <r>
    <x v="151"/>
    <m/>
    <s v="JOSE DIAZ"/>
    <s v="SPARK VERDE"/>
    <s v="BZX-793"/>
    <x v="4"/>
    <s v="REPARAR CAJA Y CAMBIO DE GUAYA SELECRTORA"/>
    <n v="400000"/>
    <n v="240000"/>
    <n v="160000"/>
    <m/>
    <m/>
    <m/>
    <m/>
    <n v="0"/>
  </r>
  <r>
    <x v="152"/>
    <m/>
    <s v="JUSTO ROCHA"/>
    <s v="CAPTIVA"/>
    <s v="GNO-136"/>
    <x v="4"/>
    <s v="REVISAR REPARTICION/ AJUSTE DE VALVULAS/BAJAR CARTER"/>
    <n v="800000"/>
    <n v="480000"/>
    <n v="320000"/>
    <m/>
    <m/>
    <m/>
    <m/>
    <n v="0"/>
  </r>
  <r>
    <x v="152"/>
    <s v="FE:22"/>
    <s v="INVERSIONES RED"/>
    <s v="KENWORTH"/>
    <s v="SKK-778"/>
    <x v="10"/>
    <s v="CAMBIO DE CAMARA TRASERA"/>
    <n v="40000"/>
    <n v="24000"/>
    <n v="16000"/>
    <m/>
    <m/>
    <m/>
    <m/>
    <n v="0"/>
  </r>
  <r>
    <x v="152"/>
    <s v="FE:22"/>
    <s v="INVERSIONES RED"/>
    <s v="KENWORTH"/>
    <s v="SKK-778"/>
    <x v="1"/>
    <s v="/ AJUSTE SOPORTE DE MOTOR"/>
    <n v="30000"/>
    <n v="21000"/>
    <n v="12000"/>
    <m/>
    <m/>
    <m/>
    <m/>
    <n v="0"/>
  </r>
  <r>
    <x v="152"/>
    <s v="RM:38"/>
    <s v="ORLANDO MORENO"/>
    <s v="RENAULT SYMBOL"/>
    <s v="BVC-887"/>
    <x v="1"/>
    <s v="CAMBIO DE AMORTIGUADOR Y GUARDAPOLVO  Y CAMBIO DE PERA"/>
    <n v="110000"/>
    <n v="77000"/>
    <n v="44000"/>
    <m/>
    <m/>
    <m/>
    <m/>
    <n v="0"/>
  </r>
  <r>
    <x v="152"/>
    <m/>
    <s v="DISTRIELEC"/>
    <s v="NHR"/>
    <s v="TSW-067"/>
    <x v="1"/>
    <s v="ARREGLO DE FRENO DE AHOGO Y RETENEDOR DE CUPLIN"/>
    <n v="100000"/>
    <n v="70000"/>
    <n v="40000"/>
    <m/>
    <m/>
    <m/>
    <m/>
    <n v="0"/>
  </r>
  <r>
    <x v="152"/>
    <s v="RM:37"/>
    <s v="DARIO SOLER"/>
    <s v="MAZDA"/>
    <s v="ZYW-305"/>
    <x v="6"/>
    <s v="CAMBIO DE PASTILLAS DELANTERAS"/>
    <n v="30000"/>
    <n v="21000"/>
    <n v="12000"/>
    <m/>
    <m/>
    <m/>
    <m/>
    <n v="0"/>
  </r>
  <r>
    <x v="152"/>
    <m/>
    <s v="GRUAS JB"/>
    <s v="OPTRA"/>
    <s v="RJX-226"/>
    <x v="6"/>
    <s v="GRADUAR FRENOS"/>
    <n v="20000"/>
    <n v="14000"/>
    <n v="8000"/>
    <m/>
    <m/>
    <m/>
    <m/>
    <n v="0"/>
  </r>
  <r>
    <x v="152"/>
    <m/>
    <s v="MIGUEL BASTISTA"/>
    <s v="SAPRK"/>
    <s v="DCP-334"/>
    <x v="10"/>
    <s v="GRADUAR FRENOS"/>
    <n v="10000"/>
    <n v="6000"/>
    <n v="4000"/>
    <m/>
    <m/>
    <m/>
    <m/>
    <n v="0"/>
  </r>
  <r>
    <x v="152"/>
    <m/>
    <s v="VICENTE PATARROYO"/>
    <m/>
    <m/>
    <x v="6"/>
    <s v="GRADUAR FRENOS"/>
    <n v="8000"/>
    <n v="5600"/>
    <n v="3200"/>
    <m/>
    <m/>
    <m/>
    <m/>
    <n v="0"/>
  </r>
  <r>
    <x v="152"/>
    <m/>
    <m/>
    <s v="CHANA"/>
    <m/>
    <x v="6"/>
    <s v="BAJAR CULATA"/>
    <m/>
    <m/>
    <n v="0"/>
    <m/>
    <m/>
    <m/>
    <m/>
    <n v="0"/>
  </r>
  <r>
    <x v="152"/>
    <m/>
    <s v="HENRY BENAVIDEZ"/>
    <s v="CHEVROLET"/>
    <s v="BLT-506"/>
    <x v="3"/>
    <s v="REPARAR MOTOR"/>
    <n v="700000"/>
    <n v="500000"/>
    <n v="280000"/>
    <m/>
    <m/>
    <m/>
    <s v="CANCELADO"/>
    <n v="0"/>
  </r>
  <r>
    <x v="152"/>
    <m/>
    <m/>
    <m/>
    <m/>
    <x v="3"/>
    <s v="DESVARE"/>
    <n v="80000"/>
    <n v="56000"/>
    <n v="32000"/>
    <m/>
    <m/>
    <m/>
    <s v="CANCELADO"/>
    <n v="0"/>
  </r>
  <r>
    <x v="153"/>
    <m/>
    <s v="JULIO DUARTE"/>
    <s v="TOYOTA"/>
    <s v="BVW-614"/>
    <x v="3"/>
    <s v="CAMBIO DE BUJIAS"/>
    <n v="35000"/>
    <n v="24500"/>
    <n v="14000"/>
    <m/>
    <m/>
    <m/>
    <s v="CANCELADO"/>
    <n v="0"/>
  </r>
  <r>
    <x v="153"/>
    <s v="RM:43"/>
    <s v="VICTOR ESCOBAR"/>
    <s v="NISSAN SENTRA"/>
    <s v="CIC-079"/>
    <x v="6"/>
    <s v="CAMBIO DE KIT DE EMBRAGUE Y PUNTA DE JE "/>
    <n v="190000"/>
    <n v="133000"/>
    <n v="76000"/>
    <m/>
    <m/>
    <m/>
    <m/>
    <n v="0"/>
  </r>
  <r>
    <x v="153"/>
    <s v="RM-44"/>
    <s v="MANUEL BARRIGA"/>
    <s v="VOLQUETA"/>
    <s v="SAC-324"/>
    <x v="10"/>
    <s v="CAMBIO DE ESPARRAGOS TRASERO DER."/>
    <n v="150000"/>
    <n v="105000"/>
    <n v="60000"/>
    <m/>
    <m/>
    <m/>
    <m/>
    <n v="0"/>
  </r>
  <r>
    <x v="154"/>
    <s v="RM:45"/>
    <s v="EDELMIRA BRIJALDO"/>
    <s v="GRAN VITARA"/>
    <s v="UGT-472"/>
    <x v="1"/>
    <s v="CAMBIO DE LIQUIDO"/>
    <n v="40000"/>
    <n v="28000"/>
    <n v="16000"/>
    <m/>
    <m/>
    <m/>
    <m/>
    <n v="0"/>
  </r>
  <r>
    <x v="154"/>
    <m/>
    <s v="YOVANNY AYALA"/>
    <s v="FORD EDGE"/>
    <s v="RAT-770"/>
    <x v="1"/>
    <s v="MANTENIMIENTO DE RUEDAS TRASERAS"/>
    <n v="30000"/>
    <n v="21000"/>
    <n v="12000"/>
    <m/>
    <m/>
    <m/>
    <m/>
    <n v="0"/>
  </r>
  <r>
    <x v="154"/>
    <s v="RM:48"/>
    <s v="PEDRO GARCIA"/>
    <s v="LUV84"/>
    <s v="AQB-093"/>
    <x v="1"/>
    <s v="CAMBIO DE BUJES DE TIJERA, ROTULAS Y CALIPER"/>
    <n v="120000"/>
    <n v="84000"/>
    <n v="48000"/>
    <m/>
    <m/>
    <m/>
    <m/>
    <n v="0"/>
  </r>
  <r>
    <x v="155"/>
    <m/>
    <m/>
    <s v="AVEO"/>
    <s v="KIQ-477"/>
    <x v="1"/>
    <s v="MANTENIMIENTO DE FRENOS COMPLETO"/>
    <n v="60000"/>
    <n v="42000"/>
    <n v="24000"/>
    <m/>
    <m/>
    <m/>
    <m/>
    <n v="0"/>
  </r>
  <r>
    <x v="155"/>
    <s v="FE:28"/>
    <s v="PLEXIMUNDO"/>
    <s v="NPR"/>
    <s v="BRP-560"/>
    <x v="10"/>
    <s v="BAJAR DELANTERAS, GRADUAR FRENOS"/>
    <n v="60000"/>
    <n v="36000"/>
    <n v="24000"/>
    <m/>
    <m/>
    <m/>
    <m/>
    <n v="0"/>
  </r>
  <r>
    <x v="155"/>
    <s v="RM:51"/>
    <s v="JAIME CASALLAS"/>
    <s v="RENAULT SYMBOL"/>
    <s v="FAR-619"/>
    <x v="1"/>
    <s v="MANTENIMIENTO DE FRENOS, CAMBIO DE LIQUIDO"/>
    <n v="100000"/>
    <n v="70000"/>
    <n v="40000"/>
    <m/>
    <m/>
    <m/>
    <m/>
    <n v="0"/>
  </r>
  <r>
    <x v="155"/>
    <s v="RM:50"/>
    <s v="VICTOR NIÑO"/>
    <s v="CHEVROLET STEEM"/>
    <s v="BLQ-578"/>
    <x v="4"/>
    <s v="CAMBIO DE PASTILLAS DELANTERAS"/>
    <n v="40000"/>
    <n v="24000"/>
    <n v="16000"/>
    <m/>
    <m/>
    <m/>
    <m/>
    <n v="0"/>
  </r>
  <r>
    <x v="155"/>
    <m/>
    <s v="ALEJANDRO ALONSO"/>
    <s v="SPARK CRONOS"/>
    <s v="BWK-081"/>
    <x v="6"/>
    <s v="BAJAR CAJA -REPARACION CAJA- CAMBIO DE KIT DE EMBRAGUE"/>
    <n v="150000"/>
    <n v="105000"/>
    <n v="60000"/>
    <m/>
    <m/>
    <m/>
    <m/>
    <n v="0"/>
  </r>
  <r>
    <x v="155"/>
    <s v="RM:49"/>
    <s v="MANUEL BARRIGA"/>
    <s v="NISSAN"/>
    <s v="CID-675"/>
    <x v="1"/>
    <s v="CAMBIO DE KIT DE CLOSH, BASE SOPORTE MOTOR Y CAJA/ BRAZOS AXIALES"/>
    <n v="250000"/>
    <n v="175000"/>
    <n v="100000"/>
    <m/>
    <m/>
    <m/>
    <m/>
    <n v="0"/>
  </r>
  <r>
    <x v="156"/>
    <m/>
    <s v="NELSON ROBAYO"/>
    <s v="RENAULT"/>
    <s v="RHV-707"/>
    <x v="1"/>
    <s v="REVISION DE RUEDAS TRASERAS"/>
    <n v="30000"/>
    <n v="21000"/>
    <n v="12000"/>
    <m/>
    <m/>
    <m/>
    <m/>
    <n v="0"/>
  </r>
  <r>
    <x v="156"/>
    <m/>
    <s v="CRISTIAN DIAZ"/>
    <s v="NISSAN"/>
    <s v="HST-590"/>
    <x v="6"/>
    <s v="CAMBIO DE BUJES DE AMORTIGUADORES Y PASADORES DE MORDAZA"/>
    <n v="60000"/>
    <n v="42000"/>
    <n v="24000"/>
    <m/>
    <m/>
    <m/>
    <m/>
    <n v="0"/>
  </r>
  <r>
    <x v="156"/>
    <m/>
    <m/>
    <s v="CHEVROLET"/>
    <s v="GRD-869"/>
    <x v="1"/>
    <s v="CORREGIR FUGA DE LIQUIDO"/>
    <n v="30000"/>
    <n v="21000"/>
    <n v="12000"/>
    <m/>
    <m/>
    <m/>
    <m/>
    <n v="0"/>
  </r>
  <r>
    <x v="156"/>
    <m/>
    <s v="JUAN CARLOS GORDO"/>
    <s v="KIA PICANTO"/>
    <s v="CIF-839"/>
    <x v="10"/>
    <s v="RECALZAR BANDAS"/>
    <n v="40000"/>
    <n v="24000"/>
    <n v="16000"/>
    <m/>
    <m/>
    <m/>
    <m/>
    <n v="0"/>
  </r>
  <r>
    <x v="156"/>
    <m/>
    <s v="JUAN SANTANA"/>
    <s v="RENAULT KANGOO"/>
    <s v="WPQ-752"/>
    <x v="1"/>
    <s v="CAMBIO DE BUJES DE MUÑECO"/>
    <n v="30000"/>
    <n v="21000"/>
    <n v="12000"/>
    <m/>
    <m/>
    <m/>
    <m/>
    <n v="0"/>
  </r>
  <r>
    <x v="156"/>
    <s v="RM: 55"/>
    <s v="LICETH TRIANA "/>
    <s v="VITARA"/>
    <s v="RDR-398"/>
    <x v="3"/>
    <s v="REPARACION DE MOTOR"/>
    <n v="1000000"/>
    <n v="700000"/>
    <n v="400000"/>
    <m/>
    <m/>
    <m/>
    <s v="CANCELADO"/>
    <n v="0"/>
  </r>
  <r>
    <x v="157"/>
    <m/>
    <s v="JAIRO GALVIS"/>
    <s v="MB"/>
    <s v="ARJ-539"/>
    <x v="1"/>
    <s v="REVISION DE RUEDAS TRASERAS Y CAMBIO DE BANDAS FRENO DE MANO"/>
    <n v="80000"/>
    <n v="56000"/>
    <n v="32000"/>
    <m/>
    <m/>
    <m/>
    <m/>
    <n v="0"/>
  </r>
  <r>
    <x v="157"/>
    <m/>
    <m/>
    <s v="MAZDA"/>
    <s v="CHE-148"/>
    <x v="6"/>
    <s v="ROTACION D RUEDA"/>
    <n v="14000"/>
    <n v="9800"/>
    <n v="5600"/>
    <m/>
    <m/>
    <m/>
    <m/>
    <n v="0"/>
  </r>
  <r>
    <x v="157"/>
    <m/>
    <s v="HENRY BENAVIDEZ"/>
    <s v="CHEVROLET"/>
    <s v="BLT-506"/>
    <x v="3"/>
    <s v="REPARAR MOTOR"/>
    <n v="700000"/>
    <n v="200000"/>
    <n v="280000"/>
    <m/>
    <m/>
    <m/>
    <s v="CANCELADO"/>
    <n v="0"/>
  </r>
  <r>
    <x v="153"/>
    <m/>
    <m/>
    <s v="OPTRA"/>
    <m/>
    <x v="3"/>
    <s v="CAMBIO DE MANGUERA"/>
    <n v="20000"/>
    <n v="14000"/>
    <n v="8000"/>
    <m/>
    <m/>
    <m/>
    <s v="CANCELADO"/>
    <n v="0"/>
  </r>
  <r>
    <x v="153"/>
    <m/>
    <m/>
    <m/>
    <m/>
    <x v="10"/>
    <s v="REVISAR TRASERAS"/>
    <n v="30000"/>
    <n v="18000"/>
    <n v="12000"/>
    <m/>
    <m/>
    <m/>
    <m/>
    <n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8">
  <r>
    <x v="0"/>
    <m/>
    <s v="JUSTO ROCHA"/>
    <s v="CAPTIVA"/>
    <s v="GNO-136"/>
    <x v="0"/>
    <s v="REVISAR REPARTICION/ AJUSTE DE VALVULAS/BAJAR CARTER"/>
    <n v="800000"/>
    <n v="480000"/>
    <n v="320000"/>
    <m/>
    <n v="38000"/>
    <n v="31932.773109243699"/>
    <n v="6067.226890756303"/>
    <n v="50000"/>
    <n v="42016.806722689078"/>
    <n v="7983.1932773109247"/>
    <n v="1915.9663865546217"/>
    <n v="13915.966386554624"/>
    <m/>
  </r>
  <r>
    <x v="0"/>
    <s v="FE:22"/>
    <s v="INVERSIONES RED"/>
    <s v="KENWORTH"/>
    <s v="SKK-778"/>
    <x v="1"/>
    <s v="CAMBIO DE CAMARA TRASERA"/>
    <n v="40000"/>
    <n v="24000"/>
    <n v="16000"/>
    <m/>
    <m/>
    <n v="0"/>
    <n v="0"/>
    <m/>
    <n v="0"/>
    <n v="0"/>
    <n v="0"/>
    <n v="0"/>
    <m/>
  </r>
  <r>
    <x v="0"/>
    <s v="FE:22"/>
    <s v="INVERSIONES RED"/>
    <s v="KENWORTH"/>
    <s v="SKK-778"/>
    <x v="2"/>
    <s v="/ AJUSTE SOPORTE DE MOTOR"/>
    <n v="30000"/>
    <n v="21000"/>
    <n v="9000"/>
    <m/>
    <m/>
    <n v="0"/>
    <n v="0"/>
    <m/>
    <n v="0"/>
    <n v="0"/>
    <n v="0"/>
    <n v="0"/>
    <m/>
  </r>
  <r>
    <x v="0"/>
    <s v="RM:38"/>
    <s v="ORLANDO MORENO"/>
    <s v="RENAULT SYMBOL"/>
    <s v="BVC-887"/>
    <x v="2"/>
    <s v="CAMBIO DE AMORTIGUADOR Y GUARDAPOLVO  Y CAMBIO DE PERA"/>
    <n v="110000"/>
    <n v="77000"/>
    <n v="33000"/>
    <m/>
    <m/>
    <n v="0"/>
    <n v="0"/>
    <m/>
    <n v="0"/>
    <n v="0"/>
    <n v="0"/>
    <n v="0"/>
    <m/>
  </r>
  <r>
    <x v="0"/>
    <m/>
    <s v="DISTRIELEC"/>
    <s v="NHR"/>
    <s v="TSW-067"/>
    <x v="2"/>
    <s v="ARREGLO DE FRENO DE AHOGO Y RETENEDOR DE CUPLIN"/>
    <n v="100000"/>
    <n v="70000"/>
    <n v="30000"/>
    <m/>
    <m/>
    <n v="0"/>
    <n v="0"/>
    <m/>
    <n v="0"/>
    <n v="0"/>
    <n v="0"/>
    <n v="0"/>
    <m/>
  </r>
  <r>
    <x v="0"/>
    <s v="RM:37"/>
    <s v="DARIO SOLER"/>
    <s v="MAZDA"/>
    <s v="ZYW-305"/>
    <x v="3"/>
    <s v="CAMBIO DE PASTILLAS DELANTERAS"/>
    <n v="30000"/>
    <n v="21000"/>
    <n v="9000"/>
    <m/>
    <m/>
    <n v="0"/>
    <n v="0"/>
    <m/>
    <n v="0"/>
    <n v="0"/>
    <n v="0"/>
    <n v="0"/>
    <m/>
  </r>
  <r>
    <x v="0"/>
    <m/>
    <s v="GRUAS JB"/>
    <s v="OPTRA"/>
    <s v="RJX-226"/>
    <x v="3"/>
    <s v="GRADUAR FRENOS"/>
    <n v="20000"/>
    <n v="14000"/>
    <n v="6000"/>
    <m/>
    <m/>
    <n v="0"/>
    <n v="0"/>
    <m/>
    <n v="0"/>
    <n v="0"/>
    <n v="0"/>
    <n v="0"/>
    <m/>
  </r>
  <r>
    <x v="0"/>
    <m/>
    <s v="MIGUEL BASTISTA"/>
    <s v="SAPRK"/>
    <s v="DCP-334"/>
    <x v="1"/>
    <s v="GRADUAR FRENOS"/>
    <n v="10000"/>
    <n v="6000"/>
    <n v="4000"/>
    <m/>
    <m/>
    <n v="0"/>
    <n v="0"/>
    <m/>
    <n v="0"/>
    <n v="0"/>
    <n v="0"/>
    <n v="0"/>
    <m/>
  </r>
  <r>
    <x v="0"/>
    <m/>
    <s v="VICENTE PATARROYO"/>
    <m/>
    <m/>
    <x v="3"/>
    <s v="GRADUAR FRENOS"/>
    <n v="8000"/>
    <n v="5600"/>
    <n v="2400"/>
    <m/>
    <m/>
    <n v="0"/>
    <n v="0"/>
    <m/>
    <n v="0"/>
    <n v="0"/>
    <n v="0"/>
    <n v="0"/>
    <m/>
  </r>
  <r>
    <x v="0"/>
    <m/>
    <m/>
    <s v="CHANA"/>
    <m/>
    <x v="3"/>
    <s v="BAJAR CULATA"/>
    <m/>
    <m/>
    <n v="0"/>
    <m/>
    <m/>
    <n v="0"/>
    <n v="0"/>
    <m/>
    <n v="0"/>
    <n v="0"/>
    <n v="0"/>
    <n v="0"/>
    <m/>
  </r>
  <r>
    <x v="0"/>
    <m/>
    <s v="HENRY BENAVIDEZ"/>
    <s v="CHEVROLET"/>
    <s v="BLT-506"/>
    <x v="4"/>
    <s v="REPARAR MOTOR"/>
    <n v="700000"/>
    <n v="500000"/>
    <n v="200000"/>
    <m/>
    <m/>
    <n v="0"/>
    <n v="0"/>
    <m/>
    <n v="0"/>
    <n v="0"/>
    <n v="0"/>
    <n v="0"/>
    <m/>
  </r>
  <r>
    <x v="0"/>
    <m/>
    <m/>
    <m/>
    <m/>
    <x v="4"/>
    <s v="DESVARE"/>
    <n v="80000"/>
    <n v="56000"/>
    <n v="24000"/>
    <m/>
    <m/>
    <n v="0"/>
    <n v="0"/>
    <m/>
    <n v="0"/>
    <n v="0"/>
    <n v="0"/>
    <n v="0"/>
    <m/>
  </r>
  <r>
    <x v="1"/>
    <m/>
    <s v="JULIO DUARTE"/>
    <s v="TOYOTA"/>
    <s v="BVW-614"/>
    <x v="4"/>
    <s v="CAMBIO DE BUJIAS"/>
    <n v="35000"/>
    <n v="24500"/>
    <n v="10500"/>
    <m/>
    <m/>
    <n v="0"/>
    <n v="0"/>
    <m/>
    <n v="0"/>
    <n v="0"/>
    <n v="0"/>
    <n v="0"/>
    <m/>
  </r>
  <r>
    <x v="1"/>
    <s v="RM:43"/>
    <s v="VICTOR ESCOBAR"/>
    <s v="NISSAN SENTRA"/>
    <s v="CIC-079"/>
    <x v="3"/>
    <s v="CAMBIO DE KIT DE EMBRAGUE Y PUNTA DE JE "/>
    <n v="190000"/>
    <n v="133000"/>
    <n v="57000"/>
    <m/>
    <m/>
    <n v="0"/>
    <n v="0"/>
    <m/>
    <n v="0"/>
    <n v="0"/>
    <n v="0"/>
    <n v="0"/>
    <m/>
  </r>
  <r>
    <x v="1"/>
    <s v="RM-44"/>
    <s v="MANUEL BARRIGA"/>
    <s v="VOLQUETA"/>
    <s v="SAC-324"/>
    <x v="1"/>
    <s v="CAMBIO DE ESPARRAGOS TRASERO DER."/>
    <n v="150000"/>
    <n v="105000"/>
    <n v="45000"/>
    <m/>
    <m/>
    <n v="0"/>
    <n v="0"/>
    <m/>
    <n v="0"/>
    <n v="0"/>
    <n v="0"/>
    <n v="0"/>
    <m/>
  </r>
  <r>
    <x v="2"/>
    <s v="RM:45"/>
    <s v="EDELMIRA BRIJALDO"/>
    <s v="GRAN VITARA"/>
    <s v="UGT-472"/>
    <x v="2"/>
    <s v="CAMBIO DE LIQUIDO"/>
    <n v="40000"/>
    <n v="28000"/>
    <n v="12000"/>
    <m/>
    <m/>
    <n v="0"/>
    <n v="0"/>
    <m/>
    <n v="0"/>
    <n v="0"/>
    <n v="0"/>
    <n v="0"/>
    <m/>
  </r>
  <r>
    <x v="2"/>
    <m/>
    <s v="YOVANNY AYALA"/>
    <s v="FORD EDGE"/>
    <s v="RAT-770"/>
    <x v="2"/>
    <s v="MANTENIMIENTO DE RUEDAS TRASERAS"/>
    <n v="30000"/>
    <n v="21000"/>
    <n v="9000"/>
    <m/>
    <m/>
    <n v="0"/>
    <n v="0"/>
    <m/>
    <n v="0"/>
    <n v="0"/>
    <n v="0"/>
    <n v="0"/>
    <m/>
  </r>
  <r>
    <x v="2"/>
    <s v="RM:48"/>
    <s v="PEDRO GARCIA"/>
    <s v="LUV84"/>
    <s v="AQB-093"/>
    <x v="2"/>
    <s v="CAMBIO DE BUJES DE TIJERA, ROTULAS Y CALIPER"/>
    <n v="120000"/>
    <n v="84000"/>
    <n v="36000"/>
    <m/>
    <m/>
    <n v="0"/>
    <n v="0"/>
    <m/>
    <n v="0"/>
    <n v="0"/>
    <n v="0"/>
    <n v="0"/>
    <m/>
  </r>
  <r>
    <x v="3"/>
    <m/>
    <m/>
    <s v="AVEO"/>
    <s v="KIQ-477"/>
    <x v="2"/>
    <s v="MANTENIMIENTO DE FRENOS COMPLETO"/>
    <n v="60000"/>
    <n v="42000"/>
    <n v="18000"/>
    <m/>
    <m/>
    <n v="0"/>
    <n v="0"/>
    <m/>
    <n v="0"/>
    <n v="0"/>
    <n v="0"/>
    <n v="0"/>
    <m/>
  </r>
  <r>
    <x v="3"/>
    <s v="FE:28"/>
    <s v="PLEXIMUNDO"/>
    <s v="NPR"/>
    <s v="BRP-560"/>
    <x v="1"/>
    <s v="BAJAR DELANTERAS, GRADUAR FRENOS"/>
    <n v="60000"/>
    <n v="36000"/>
    <n v="24000"/>
    <m/>
    <m/>
    <n v="0"/>
    <n v="0"/>
    <m/>
    <n v="0"/>
    <n v="0"/>
    <n v="0"/>
    <n v="0"/>
    <m/>
  </r>
  <r>
    <x v="3"/>
    <s v="RM:51"/>
    <s v="JAIME CASALLAS"/>
    <s v="RENAULT SYMBOL"/>
    <s v="FAR-619"/>
    <x v="2"/>
    <s v="MANTENIMIENTO DE FRENOS, CAMBIO DE LIQUIDO"/>
    <n v="100000"/>
    <n v="70000"/>
    <n v="30000"/>
    <m/>
    <m/>
    <n v="0"/>
    <n v="0"/>
    <m/>
    <n v="0"/>
    <n v="0"/>
    <n v="0"/>
    <n v="0"/>
    <m/>
  </r>
  <r>
    <x v="3"/>
    <s v="RM:50"/>
    <s v="VICTOR NIÑO"/>
    <s v="CHEVROLET STEEM"/>
    <s v="BLQ-578"/>
    <x v="0"/>
    <s v="CAMBIO DE PASTILLAS DELANTERAS"/>
    <n v="40000"/>
    <n v="24000"/>
    <n v="16000"/>
    <m/>
    <m/>
    <n v="0"/>
    <n v="0"/>
    <m/>
    <n v="0"/>
    <n v="0"/>
    <n v="0"/>
    <n v="0"/>
    <m/>
  </r>
  <r>
    <x v="3"/>
    <m/>
    <s v="ALEJANDRO ALONSO"/>
    <s v="SPARK CRONOS"/>
    <s v="BWK-081"/>
    <x v="3"/>
    <s v="BAJAR CAJA -REPARACION CAJA- CAMBIO DE KIT DE EMBRAGUE"/>
    <n v="150000"/>
    <n v="105000"/>
    <n v="45000"/>
    <m/>
    <m/>
    <n v="0"/>
    <n v="0"/>
    <m/>
    <n v="0"/>
    <n v="0"/>
    <n v="0"/>
    <n v="0"/>
    <m/>
  </r>
  <r>
    <x v="3"/>
    <s v="RM:49"/>
    <s v="MANUEL BARRIGA"/>
    <s v="NISSAN"/>
    <s v="CID-675"/>
    <x v="2"/>
    <s v="CAMBIO DE KIT DE CLOSH, BASE SOPORTE MOTOR Y CAJA/ BRAZOS AXIALES"/>
    <n v="250000"/>
    <n v="175000"/>
    <n v="75000"/>
    <m/>
    <m/>
    <n v="0"/>
    <n v="0"/>
    <m/>
    <n v="0"/>
    <n v="0"/>
    <n v="0"/>
    <n v="0"/>
    <m/>
  </r>
  <r>
    <x v="4"/>
    <m/>
    <s v="NELSON ROBAYO"/>
    <s v="RENAULT"/>
    <s v="RHV-707"/>
    <x v="2"/>
    <s v="REVISION DE RUEDAS TRASERAS"/>
    <n v="30000"/>
    <n v="21000"/>
    <n v="9000"/>
    <m/>
    <m/>
    <n v="0"/>
    <n v="0"/>
    <m/>
    <n v="0"/>
    <n v="0"/>
    <n v="0"/>
    <n v="0"/>
    <m/>
  </r>
  <r>
    <x v="4"/>
    <m/>
    <s v="CRISTIAN DIAZ"/>
    <s v="NISSAN"/>
    <s v="HST-590"/>
    <x v="3"/>
    <s v="CAMBIO DE BUJES DE AMORTIGUADORES Y PASADORES DE MORDAZA"/>
    <n v="60000"/>
    <n v="42000"/>
    <n v="18000"/>
    <m/>
    <m/>
    <n v="0"/>
    <n v="0"/>
    <m/>
    <n v="0"/>
    <n v="0"/>
    <n v="0"/>
    <n v="0"/>
    <m/>
  </r>
  <r>
    <x v="4"/>
    <m/>
    <m/>
    <s v="CHEVROLET"/>
    <s v="GRD-869"/>
    <x v="2"/>
    <s v="CORREGIR FUGA DE LIQUIDO"/>
    <n v="30000"/>
    <n v="21000"/>
    <n v="9000"/>
    <m/>
    <m/>
    <n v="0"/>
    <n v="0"/>
    <m/>
    <n v="0"/>
    <n v="0"/>
    <n v="0"/>
    <n v="0"/>
    <m/>
  </r>
  <r>
    <x v="4"/>
    <m/>
    <s v="JUAN CARLOS GORDO"/>
    <s v="KIA PICANTO"/>
    <s v="CIF-839"/>
    <x v="1"/>
    <s v="RECALZAR BANDAS"/>
    <n v="40000"/>
    <n v="24000"/>
    <n v="16000"/>
    <m/>
    <m/>
    <n v="0"/>
    <n v="0"/>
    <m/>
    <n v="0"/>
    <n v="0"/>
    <n v="0"/>
    <n v="0"/>
    <m/>
  </r>
  <r>
    <x v="4"/>
    <m/>
    <s v="JUAN SANTANA"/>
    <s v="RENAULT KANGOO"/>
    <s v="WPQ-752"/>
    <x v="2"/>
    <s v="CAMBIO DE BUJES DE MUÑECO"/>
    <n v="30000"/>
    <n v="21000"/>
    <n v="9000"/>
    <m/>
    <m/>
    <n v="0"/>
    <n v="0"/>
    <m/>
    <n v="0"/>
    <n v="0"/>
    <n v="0"/>
    <n v="0"/>
    <m/>
  </r>
  <r>
    <x v="4"/>
    <s v="RM: 55"/>
    <s v="LICETH TRIANA "/>
    <s v="VITARA"/>
    <s v="RDR-398"/>
    <x v="4"/>
    <s v="REPARACION DE MOTOR"/>
    <n v="1000000"/>
    <n v="700000"/>
    <n v="300000"/>
    <m/>
    <m/>
    <n v="0"/>
    <n v="0"/>
    <m/>
    <n v="0"/>
    <n v="0"/>
    <n v="0"/>
    <n v="0"/>
    <m/>
  </r>
  <r>
    <x v="5"/>
    <m/>
    <s v="JAIRO GALVIS"/>
    <s v="MB"/>
    <s v="ARJ-539"/>
    <x v="2"/>
    <s v="REVISION DE RUEDAS TRASERAS Y CAMBIO DE BANDAS FRENO DE MANO"/>
    <n v="80000"/>
    <n v="56000"/>
    <n v="24000"/>
    <m/>
    <m/>
    <n v="0"/>
    <n v="0"/>
    <m/>
    <n v="0"/>
    <n v="0"/>
    <n v="0"/>
    <n v="0"/>
    <m/>
  </r>
  <r>
    <x v="5"/>
    <m/>
    <m/>
    <s v="MAZDA"/>
    <s v="CHE-148"/>
    <x v="3"/>
    <s v="ROTACION D RUEDA"/>
    <n v="14000"/>
    <n v="9800"/>
    <n v="4200"/>
    <m/>
    <m/>
    <n v="0"/>
    <n v="0"/>
    <m/>
    <n v="0"/>
    <n v="0"/>
    <n v="0"/>
    <n v="0"/>
    <m/>
  </r>
  <r>
    <x v="5"/>
    <m/>
    <s v="HENRY BENAVIDEZ"/>
    <s v="CHEVROLET"/>
    <s v="BLT-506"/>
    <x v="4"/>
    <s v="REPARAR MOTOR"/>
    <n v="700000"/>
    <n v="200000"/>
    <n v="500000"/>
    <m/>
    <m/>
    <n v="0"/>
    <n v="0"/>
    <m/>
    <n v="0"/>
    <n v="0"/>
    <n v="0"/>
    <n v="0"/>
    <m/>
  </r>
  <r>
    <x v="1"/>
    <m/>
    <m/>
    <s v="OPTRA"/>
    <m/>
    <x v="4"/>
    <s v="CAMBIO DE MANGUERA"/>
    <n v="20000"/>
    <n v="14000"/>
    <n v="6000"/>
    <m/>
    <m/>
    <n v="0"/>
    <n v="0"/>
    <m/>
    <n v="0"/>
    <n v="0"/>
    <n v="0"/>
    <n v="0"/>
    <m/>
  </r>
  <r>
    <x v="1"/>
    <m/>
    <m/>
    <m/>
    <m/>
    <x v="1"/>
    <s v="REVISAR TRASERAS"/>
    <n v="30000"/>
    <n v="18000"/>
    <n v="12000"/>
    <m/>
    <m/>
    <n v="0"/>
    <n v="0"/>
    <m/>
    <n v="0"/>
    <n v="0"/>
    <n v="0"/>
    <n v="0"/>
    <m/>
  </r>
  <r>
    <x v="6"/>
    <m/>
    <s v="LUIS RAMOS"/>
    <s v="MITSUBISHI"/>
    <s v="QFW-226"/>
    <x v="3"/>
    <s v="GARDUAR FRENOS/ PULGAR"/>
    <n v="15000"/>
    <n v="10500"/>
    <n v="4500"/>
    <m/>
    <m/>
    <n v="0"/>
    <n v="0"/>
    <m/>
    <n v="0"/>
    <n v="0"/>
    <n v="0"/>
    <n v="0"/>
    <m/>
  </r>
  <r>
    <x v="6"/>
    <m/>
    <m/>
    <s v="RENAULT SYMBOL"/>
    <s v="BVC-887"/>
    <x v="4"/>
    <s v="CAMBIO DE SOPORTE DE LA CAJA Y CAMBIO DE TIJERA"/>
    <n v="100000"/>
    <n v="70000"/>
    <n v="30000"/>
    <m/>
    <m/>
    <n v="0"/>
    <n v="0"/>
    <m/>
    <n v="0"/>
    <n v="0"/>
    <n v="0"/>
    <n v="0"/>
    <m/>
  </r>
  <r>
    <x v="6"/>
    <s v="FE: 37"/>
    <s v="MONGIBELLO"/>
    <s v="DUSTER"/>
    <s v="HGT-339"/>
    <x v="3"/>
    <s v="CAMBIO DE LIMITADOR DE FRENOS"/>
    <n v="100000"/>
    <n v="70000"/>
    <n v="30000"/>
    <m/>
    <m/>
    <n v="0"/>
    <n v="0"/>
    <m/>
    <n v="0"/>
    <n v="0"/>
    <n v="0"/>
    <n v="0"/>
    <m/>
  </r>
  <r>
    <x v="6"/>
    <m/>
    <s v="OCATI"/>
    <s v="VOLKSWAGEN"/>
    <s v="JKV-447"/>
    <x v="1"/>
    <s v="REVISION RUEDA DELANTERA IZQ/ CAMBIO DE BUJES MARTILLO"/>
    <n v="80000"/>
    <n v="48000"/>
    <n v="32000"/>
    <m/>
    <m/>
    <n v="0"/>
    <n v="0"/>
    <m/>
    <n v="0"/>
    <n v="0"/>
    <n v="0"/>
    <n v="0"/>
    <m/>
  </r>
  <r>
    <x v="6"/>
    <m/>
    <s v="EDWIN SABALA"/>
    <s v="CHEVROLET BLAZER"/>
    <s v="BKM-861"/>
    <x v="4"/>
    <s v="CAMBIO DE GUAYA DE ACELERACION"/>
    <n v="10000"/>
    <n v="7000"/>
    <n v="3000"/>
    <m/>
    <m/>
    <n v="0"/>
    <n v="0"/>
    <m/>
    <n v="0"/>
    <n v="0"/>
    <n v="0"/>
    <n v="0"/>
    <m/>
  </r>
  <r>
    <x v="6"/>
    <m/>
    <s v="RODRIGO MANTILLA"/>
    <s v="KIA RIO"/>
    <s v="HSO-369"/>
    <x v="4"/>
    <s v="CAMBIO DE BOBINA"/>
    <n v="30000"/>
    <n v="21000"/>
    <n v="9000"/>
    <m/>
    <m/>
    <n v="0"/>
    <n v="0"/>
    <m/>
    <n v="0"/>
    <n v="0"/>
    <n v="0"/>
    <n v="0"/>
    <m/>
  </r>
  <r>
    <x v="6"/>
    <s v="FE: 36"/>
    <s v="GRUPO RED"/>
    <s v="VOLQUETA"/>
    <s v="FBF-843"/>
    <x v="1"/>
    <s v="BAJAR RUEDA TRASERA DERECHA Y REMACHAR BANDAS"/>
    <n v="100000"/>
    <n v="60000"/>
    <n v="40000"/>
    <m/>
    <m/>
    <n v="0"/>
    <n v="0"/>
    <m/>
    <n v="0"/>
    <n v="0"/>
    <n v="0"/>
    <n v="0"/>
    <m/>
  </r>
  <r>
    <x v="6"/>
    <s v="FE:34"/>
    <s v="COMERCIALIZADORA AKESAN"/>
    <s v="JAC"/>
    <s v="JKV-527"/>
    <x v="3"/>
    <s v="CAMBIO DE BANDAS DELANTERAS Y TRASERAS /GRADUAR FRENOS/ELECTRICIDAD"/>
    <n v="160000"/>
    <n v="112000"/>
    <n v="48000"/>
    <m/>
    <m/>
    <n v="0"/>
    <n v="0"/>
    <m/>
    <n v="0"/>
    <n v="0"/>
    <n v="0"/>
    <n v="0"/>
    <m/>
  </r>
  <r>
    <x v="6"/>
    <m/>
    <s v="EDWIN SABALA"/>
    <s v="CHEVROLET"/>
    <s v="BKM-861"/>
    <x v="5"/>
    <s v="ENCENDIDO DE ARRANQUE, CAMBIO DE FUSIBLE DE ALTA (SR JOSE LUIS)"/>
    <n v="30000"/>
    <n v="18000"/>
    <n v="12000"/>
    <m/>
    <m/>
    <n v="0"/>
    <n v="0"/>
    <m/>
    <n v="0"/>
    <n v="0"/>
    <n v="0"/>
    <n v="0"/>
    <m/>
  </r>
  <r>
    <x v="7"/>
    <m/>
    <s v="GRUAS CHIA"/>
    <s v="GRUAS"/>
    <s v="SPM-361"/>
    <x v="6"/>
    <s v="MANTENIMIENTO CONVERTIDOR DE FRENO"/>
    <n v="50000"/>
    <n v="30000"/>
    <n v="20000"/>
    <m/>
    <m/>
    <n v="0"/>
    <n v="0"/>
    <m/>
    <n v="0"/>
    <n v="0"/>
    <n v="0"/>
    <n v="0"/>
    <m/>
  </r>
  <r>
    <x v="7"/>
    <m/>
    <s v="JOSE GUTIERREZ"/>
    <s v="CHANA"/>
    <s v="USB-874"/>
    <x v="3"/>
    <s v="BAJAR CAJA DE DIRECCION/ SINCRONIZACION/ CAMBIO DE MUÑECOS/ BUJES DE MUELLES/ CAMBIO DE TIJERA DELANTERA IZQ/ CAMBIO DE GUARADA POLVO DE AMORTIGUADORES/ CAMBIO DE CORREA DE ACCESORIO"/>
    <n v="450000"/>
    <n v="315000"/>
    <n v="135000"/>
    <m/>
    <m/>
    <n v="0"/>
    <n v="0"/>
    <m/>
    <n v="0"/>
    <n v="0"/>
    <n v="0"/>
    <n v="0"/>
    <m/>
  </r>
  <r>
    <x v="7"/>
    <m/>
    <s v="ALFONSO IRREA"/>
    <s v="NISSAN "/>
    <s v="APA-345"/>
    <x v="2"/>
    <s v="CAMBIO DE CILINDRO TRASERO IZQ Y RODAMIENTO "/>
    <n v="80000"/>
    <n v="56000"/>
    <n v="24000"/>
    <m/>
    <m/>
    <n v="0"/>
    <n v="0"/>
    <m/>
    <n v="0"/>
    <n v="0"/>
    <n v="0"/>
    <n v="0"/>
    <m/>
  </r>
  <r>
    <x v="7"/>
    <s v="RM: 67"/>
    <s v="LUIS MORA"/>
    <s v="LOGAN"/>
    <s v="FXU-768"/>
    <x v="3"/>
    <s v="MANTENIMEINTO DE FRENOS COMPLETO / CAMBIO DE BUJES PUENTE TRASERO"/>
    <n v="310000"/>
    <n v="217000"/>
    <n v="93000"/>
    <m/>
    <m/>
    <n v="0"/>
    <n v="0"/>
    <m/>
    <n v="0"/>
    <n v="0"/>
    <n v="0"/>
    <n v="0"/>
    <m/>
  </r>
  <r>
    <x v="7"/>
    <s v="RM: 68"/>
    <s v="VICENTE PATARROYO"/>
    <s v="CHEVROLET"/>
    <s v="FDJ-497"/>
    <x v="1"/>
    <s v="REVISION DE FRENOS /ARREGLO FRENO DE MANO"/>
    <n v="150000"/>
    <n v="90000"/>
    <n v="60000"/>
    <m/>
    <m/>
    <n v="0"/>
    <n v="0"/>
    <m/>
    <n v="0"/>
    <n v="0"/>
    <n v="0"/>
    <n v="0"/>
    <m/>
  </r>
  <r>
    <x v="8"/>
    <m/>
    <s v="DANIEL AGUDELO"/>
    <s v="NHR"/>
    <s v="SKN-801"/>
    <x v="2"/>
    <s v="MANTENIMIENTO DELANTERO IZQ Y TRASERO"/>
    <n v="80000"/>
    <n v="56000"/>
    <n v="24000"/>
    <m/>
    <m/>
    <n v="0"/>
    <n v="0"/>
    <m/>
    <n v="0"/>
    <n v="0"/>
    <n v="0"/>
    <n v="0"/>
    <m/>
  </r>
  <r>
    <x v="8"/>
    <m/>
    <s v="JUAN MANUEL RODRIGUEZ"/>
    <s v="SAIL"/>
    <s v="IJP-664"/>
    <x v="1"/>
    <s v="CAMBIO DE ESPARRAGO DELANTERO"/>
    <n v="50000"/>
    <n v="30000"/>
    <n v="20000"/>
    <m/>
    <m/>
    <n v="0"/>
    <n v="0"/>
    <m/>
    <n v="0"/>
    <n v="0"/>
    <n v="0"/>
    <n v="0"/>
    <m/>
  </r>
  <r>
    <x v="8"/>
    <m/>
    <s v="CES RED"/>
    <s v="NNR"/>
    <s v="WOT-313"/>
    <x v="2"/>
    <s v="GRADUAR FRENOS"/>
    <n v="12000"/>
    <n v="8400"/>
    <n v="3600"/>
    <m/>
    <m/>
    <n v="0"/>
    <n v="0"/>
    <m/>
    <n v="0"/>
    <n v="0"/>
    <n v="0"/>
    <n v="0"/>
    <m/>
  </r>
  <r>
    <x v="8"/>
    <m/>
    <s v="NICOLA SUAREZ"/>
    <s v="RENAULT SANDERO"/>
    <s v="KEW-765"/>
    <x v="2"/>
    <s v="REVISION DE FRENOS/ CAMBIO DE GRADUACION DE FRENOS"/>
    <n v="50000"/>
    <n v="35000"/>
    <n v="15000"/>
    <m/>
    <m/>
    <n v="0"/>
    <n v="0"/>
    <m/>
    <n v="0"/>
    <n v="0"/>
    <n v="0"/>
    <n v="0"/>
    <m/>
  </r>
  <r>
    <x v="8"/>
    <m/>
    <m/>
    <m/>
    <m/>
    <x v="7"/>
    <s v="CAMBIO DE BOMBILLO"/>
    <n v="20000"/>
    <n v="12000"/>
    <n v="8000"/>
    <m/>
    <m/>
    <n v="0"/>
    <n v="0"/>
    <m/>
    <n v="0"/>
    <n v="0"/>
    <n v="0"/>
    <n v="0"/>
    <m/>
  </r>
  <r>
    <x v="9"/>
    <m/>
    <m/>
    <m/>
    <s v="BJW-299"/>
    <x v="1"/>
    <s v="REVISION DE PASTILLAS"/>
    <n v="20000"/>
    <n v="20000"/>
    <n v="0"/>
    <m/>
    <m/>
    <n v="0"/>
    <n v="0"/>
    <m/>
    <n v="0"/>
    <n v="0"/>
    <n v="0"/>
    <n v="0"/>
    <m/>
  </r>
  <r>
    <x v="9"/>
    <m/>
    <s v="OMAR PÈREZ"/>
    <s v="HYUNDAI"/>
    <s v="CEM-910"/>
    <x v="2"/>
    <s v="CAMBIO DE RODAMIENTOS DELANTEROS"/>
    <n v="120000"/>
    <n v="84000"/>
    <n v="36000"/>
    <m/>
    <m/>
    <n v="0"/>
    <n v="0"/>
    <m/>
    <n v="0"/>
    <n v="0"/>
    <n v="0"/>
    <n v="0"/>
    <m/>
  </r>
  <r>
    <x v="9"/>
    <m/>
    <s v="CESAR IZASA"/>
    <s v="JAC"/>
    <s v="WDC-287"/>
    <x v="1"/>
    <s v="REVISION DE RUEDAS DELANTERAS/ BAJAR RUEDAS"/>
    <n v="90000"/>
    <n v="54000"/>
    <n v="36000"/>
    <m/>
    <m/>
    <n v="0"/>
    <n v="0"/>
    <m/>
    <n v="0"/>
    <n v="0"/>
    <n v="0"/>
    <n v="0"/>
    <m/>
  </r>
  <r>
    <x v="9"/>
    <m/>
    <s v="JOSE GUTIERREZ"/>
    <s v="CHANA"/>
    <s v="USB-874"/>
    <x v="3"/>
    <s v="CAMBIO DE BUJES DE TEMPLETES/ AJUSTE BARRA DE CAMBIOS"/>
    <n v="40000"/>
    <n v="28000"/>
    <n v="12000"/>
    <m/>
    <m/>
    <n v="0"/>
    <n v="0"/>
    <m/>
    <n v="0"/>
    <n v="0"/>
    <n v="0"/>
    <n v="0"/>
    <m/>
  </r>
  <r>
    <x v="9"/>
    <m/>
    <s v="JOSE GUTIERREZ"/>
    <s v="CHANA"/>
    <s v="USB-874"/>
    <x v="0"/>
    <s v="CAMBIO DE BUJES DE TEMPLETES/ AJUSTE BARRA DE CAMBIOS"/>
    <n v="40000"/>
    <n v="24000"/>
    <n v="16000"/>
    <m/>
    <m/>
    <n v="0"/>
    <n v="0"/>
    <m/>
    <n v="0"/>
    <n v="0"/>
    <n v="0"/>
    <n v="0"/>
    <m/>
  </r>
  <r>
    <x v="9"/>
    <s v="FE:39 / RM:71"/>
    <s v="MIGUEL ARANGO"/>
    <s v="JETTA"/>
    <s v="ZZT-645"/>
    <x v="3"/>
    <s v="CAMBIO DE DISCOS DELANTEROS"/>
    <n v="80000"/>
    <n v="56000"/>
    <n v="24000"/>
    <m/>
    <m/>
    <n v="0"/>
    <n v="0"/>
    <m/>
    <n v="0"/>
    <n v="0"/>
    <n v="0"/>
    <n v="0"/>
    <m/>
  </r>
  <r>
    <x v="9"/>
    <m/>
    <s v="ROCIO VELOSA"/>
    <s v="DAEWOO"/>
    <s v="CIV-349"/>
    <x v="3"/>
    <s v="MANTENIMIENTO COMPLETO / CAMBIO DE LIQUIDO "/>
    <n v="100000"/>
    <n v="70000"/>
    <n v="30000"/>
    <m/>
    <m/>
    <n v="0"/>
    <n v="0"/>
    <m/>
    <n v="0"/>
    <n v="0"/>
    <n v="0"/>
    <n v="0"/>
    <m/>
  </r>
  <r>
    <x v="9"/>
    <m/>
    <s v="HENRRY BENVIDEZ"/>
    <s v="CH ALTO"/>
    <s v="BLT-506"/>
    <x v="4"/>
    <s v="REPARACION DE COMPACTO"/>
    <n v="750000"/>
    <n v="525000"/>
    <n v="225000"/>
    <m/>
    <m/>
    <n v="0"/>
    <n v="0"/>
    <m/>
    <n v="0"/>
    <n v="0"/>
    <n v="0"/>
    <n v="0"/>
    <m/>
  </r>
  <r>
    <x v="9"/>
    <s v="RM:72"/>
    <s v="EDWIN BALLESTEROS"/>
    <s v="FORD 350"/>
    <s v="ZIH-549"/>
    <x v="1"/>
    <s v="ENGRASE DE RODAMIENTOS DELANTEROS  Y TRASEROS"/>
    <n v="120000"/>
    <n v="72000"/>
    <n v="48000"/>
    <m/>
    <m/>
    <n v="0"/>
    <n v="0"/>
    <m/>
    <n v="0"/>
    <n v="0"/>
    <n v="0"/>
    <n v="0"/>
    <m/>
  </r>
  <r>
    <x v="9"/>
    <m/>
    <s v="LUIS FORERO"/>
    <s v="JAC"/>
    <s v="JSL-848"/>
    <x v="7"/>
    <s v="APAGAR BOMBILLO ABS"/>
    <n v="30000"/>
    <n v="18000"/>
    <n v="12000"/>
    <m/>
    <m/>
    <n v="0"/>
    <n v="0"/>
    <m/>
    <n v="0"/>
    <n v="0"/>
    <n v="0"/>
    <n v="0"/>
    <m/>
  </r>
  <r>
    <x v="9"/>
    <m/>
    <s v="JOSE BENITEZ"/>
    <s v="JAC"/>
    <s v="TDK-899"/>
    <x v="2"/>
    <s v="CAMBIO DE CAMARA DE FRENOS"/>
    <n v="120000"/>
    <n v="84000"/>
    <n v="36000"/>
    <m/>
    <m/>
    <n v="0"/>
    <n v="0"/>
    <m/>
    <n v="0"/>
    <n v="0"/>
    <n v="0"/>
    <n v="0"/>
    <m/>
  </r>
  <r>
    <x v="9"/>
    <m/>
    <m/>
    <s v="JAC"/>
    <s v="WGA-523"/>
    <x v="0"/>
    <s v="INSTALACION DE CORNETA DE AIRE"/>
    <n v="100000"/>
    <n v="60000"/>
    <n v="40000"/>
    <m/>
    <m/>
    <n v="0"/>
    <n v="0"/>
    <m/>
    <n v="0"/>
    <n v="0"/>
    <n v="0"/>
    <n v="0"/>
    <m/>
  </r>
  <r>
    <x v="9"/>
    <m/>
    <m/>
    <s v="CHEVROLET"/>
    <s v="CVZ-365"/>
    <x v="7"/>
    <s v="ARREGLO CABLE DE BATERIA"/>
    <n v="50000"/>
    <n v="30000"/>
    <n v="20000"/>
    <m/>
    <m/>
    <n v="0"/>
    <n v="0"/>
    <m/>
    <n v="0"/>
    <n v="0"/>
    <n v="0"/>
    <n v="0"/>
    <m/>
  </r>
  <r>
    <x v="10"/>
    <m/>
    <s v="JOSE IGNACIO OSPINA"/>
    <s v="MAZDA626"/>
    <s v="BBA-677"/>
    <x v="4"/>
    <s v="REPARACION DE MOTOR, CEPILLAR CULATA"/>
    <n v="1000000"/>
    <n v="700000"/>
    <n v="300000"/>
    <m/>
    <m/>
    <n v="0"/>
    <n v="0"/>
    <m/>
    <n v="0"/>
    <n v="0"/>
    <n v="0"/>
    <n v="0"/>
    <m/>
  </r>
  <r>
    <x v="10"/>
    <m/>
    <s v="JUAN SANTANA"/>
    <s v="RENAULT"/>
    <s v="WPQ-752"/>
    <x v="7"/>
    <s v="CAMBIO DE SOPORTE "/>
    <n v="20000"/>
    <n v="12000"/>
    <n v="8000"/>
    <m/>
    <m/>
    <n v="0"/>
    <n v="0"/>
    <m/>
    <n v="0"/>
    <n v="0"/>
    <n v="0"/>
    <n v="0"/>
    <m/>
  </r>
  <r>
    <x v="10"/>
    <s v="RM:85"/>
    <s v="JORGE CAMERO"/>
    <s v="RENAULT"/>
    <s v="QAJ-383"/>
    <x v="8"/>
    <s v="MATTO TRASERO-CAMBIO DE CHUPAS"/>
    <n v="30000"/>
    <n v="18000"/>
    <n v="12000"/>
    <m/>
    <m/>
    <n v="0"/>
    <n v="0"/>
    <m/>
    <n v="0"/>
    <n v="0"/>
    <n v="0"/>
    <n v="0"/>
    <m/>
  </r>
  <r>
    <x v="10"/>
    <s v="RM:85"/>
    <s v="JORGE CAMERO"/>
    <s v="RENAULT"/>
    <s v="QAJ-383"/>
    <x v="7"/>
    <s v="CAMBIO DE SWICHERA"/>
    <n v="30000"/>
    <n v="18000"/>
    <n v="12000"/>
    <m/>
    <m/>
    <n v="0"/>
    <n v="0"/>
    <m/>
    <n v="0"/>
    <n v="0"/>
    <n v="0"/>
    <n v="0"/>
    <m/>
  </r>
  <r>
    <x v="10"/>
    <s v="RM:85"/>
    <s v="JORGE CAMERO"/>
    <s v="RENAULT"/>
    <s v="QAJ-383"/>
    <x v="8"/>
    <s v="CAMBIO DE CHUPAS BOMBA"/>
    <n v="20000"/>
    <n v="12000"/>
    <n v="8000"/>
    <s v="CHUPAS /CHUPAS BOMBA"/>
    <n v="16000"/>
    <n v="13445.378151260506"/>
    <n v="2554.6218487394963"/>
    <n v="45000"/>
    <n v="37815.126050420171"/>
    <n v="7184.8739495798327"/>
    <n v="4630.2521008403364"/>
    <n v="24369.747899159665"/>
    <m/>
  </r>
  <r>
    <x v="10"/>
    <m/>
    <s v="JULIO MARTINEZ"/>
    <s v="RENAULT SANDERO"/>
    <s v="KFW-978"/>
    <x v="9"/>
    <s v="CAMBIO DE BUJES DE TIJERA Y MUÑECO"/>
    <n v="110000"/>
    <n v="77000"/>
    <n v="33000"/>
    <s v="MUÑECO"/>
    <n v="16000"/>
    <n v="13445.378151260506"/>
    <n v="2554.6218487394963"/>
    <n v="25000"/>
    <n v="21008.403361344539"/>
    <n v="3991.5966386554624"/>
    <n v="1436.9747899159661"/>
    <n v="7563.0252100840335"/>
    <m/>
  </r>
  <r>
    <x v="10"/>
    <m/>
    <s v="OSCAR RANGEL"/>
    <s v="RENAULT"/>
    <s v="CYV-936"/>
    <x v="10"/>
    <s v="CAMBIO DE CARTER"/>
    <n v="120000"/>
    <n v="84000"/>
    <n v="36000"/>
    <m/>
    <m/>
    <n v="0"/>
    <n v="0"/>
    <m/>
    <n v="0"/>
    <n v="0"/>
    <n v="0"/>
    <n v="0"/>
    <m/>
  </r>
  <r>
    <x v="11"/>
    <s v="RM-87"/>
    <s v="YOLMAN RAMIREZ"/>
    <s v="SAIL"/>
    <s v="IHK-998"/>
    <x v="11"/>
    <s v="CAMBIO DE LIQUIDO / MATTO DE FRENOS COMPLETO"/>
    <n v="100000"/>
    <n v="70000"/>
    <n v="30000"/>
    <s v="REFRIGERANTE, LIQUIDO DOT4, TPA TANQUE DE AGUA"/>
    <n v="153000"/>
    <n v="128571.42857142858"/>
    <n v="24428.571428571431"/>
    <n v="202000"/>
    <n v="169747.89915966388"/>
    <n v="32252.100840336137"/>
    <n v="7823.5294117647063"/>
    <n v="41176.470588235301"/>
    <m/>
  </r>
  <r>
    <x v="11"/>
    <m/>
    <s v="ALFONSO SUAREZ"/>
    <s v="HONDA"/>
    <s v="IVR-442"/>
    <x v="8"/>
    <s v="AJUSTE FRENO DE MANO"/>
    <n v="20000"/>
    <n v="12000"/>
    <n v="8000"/>
    <m/>
    <m/>
    <n v="0"/>
    <n v="0"/>
    <m/>
    <n v="0"/>
    <n v="0"/>
    <n v="0"/>
    <n v="0"/>
    <m/>
  </r>
  <r>
    <x v="11"/>
    <m/>
    <s v="JAIME MONCADA"/>
    <s v="CHEVROLET"/>
    <s v="OHK-3580"/>
    <x v="8"/>
    <s v="GRADUAR FRENOS"/>
    <n v="10000"/>
    <n v="6000"/>
    <n v="4000"/>
    <m/>
    <m/>
    <n v="0"/>
    <n v="0"/>
    <m/>
    <n v="0"/>
    <n v="0"/>
    <n v="0"/>
    <n v="0"/>
    <m/>
  </r>
  <r>
    <x v="11"/>
    <m/>
    <s v="OLIVIOLETA ALIERDO"/>
    <s v="MAZDA3"/>
    <s v="NER-493"/>
    <x v="4"/>
    <s v="CAMBIO DE BOMBA DE AGUA "/>
    <n v="100000"/>
    <n v="70000"/>
    <n v="30000"/>
    <m/>
    <m/>
    <n v="0"/>
    <n v="0"/>
    <m/>
    <n v="0"/>
    <n v="0"/>
    <n v="0"/>
    <n v="0"/>
    <m/>
  </r>
  <r>
    <x v="11"/>
    <m/>
    <m/>
    <s v="RENAULT"/>
    <s v="ARR-520"/>
    <x v="8"/>
    <s v="BAJAR TANQUE DE GASOLINA/* CAMBIAR PILA"/>
    <n v="80000"/>
    <n v="48000"/>
    <n v="32000"/>
    <m/>
    <m/>
    <n v="0"/>
    <n v="0"/>
    <m/>
    <n v="0"/>
    <n v="0"/>
    <n v="0"/>
    <n v="0"/>
    <m/>
  </r>
  <r>
    <x v="12"/>
    <s v="FE:45"/>
    <s v="BR MULTIGROUP"/>
    <s v="NISSAN"/>
    <s v="TGK-884"/>
    <x v="12"/>
    <s v="CAMBIO DE PASTILLAS / BANDAS Y MUÑECOS/ MTTO DE RODAMIENTOS/ CAMBIO DE LIQUIDO"/>
    <n v="180000"/>
    <n v="125999.99999999999"/>
    <n v="54000.000000000015"/>
    <s v="BANDAS, JUEGO DE BANDAS, MUÑECOS, LIQUIDO "/>
    <n v="275000"/>
    <n v="231092.43697478992"/>
    <n v="43907.563025210082"/>
    <n v="553000"/>
    <n v="464705.8823529412"/>
    <n v="88294.117647058825"/>
    <n v="44386.554621848743"/>
    <n v="233613.44537815126"/>
    <m/>
  </r>
  <r>
    <x v="12"/>
    <s v="FE:44 / RM: 89"/>
    <s v="PAULA CALDERON"/>
    <s v="VITARA"/>
    <s v="CVR-058"/>
    <x v="12"/>
    <s v="BUJES DE TIJERA , GP, MUÑECOS, ROTULAS, BARRA , TERMINALES, GRASA , GSAOLINA"/>
    <n v="410000"/>
    <n v="287000"/>
    <n v="123000"/>
    <s v="VARIOS "/>
    <n v="530000"/>
    <n v="445378.15126050421"/>
    <n v="84621.848739495807"/>
    <n v="1077001"/>
    <n v="905042.85714285716"/>
    <n v="171958.14285714287"/>
    <n v="87336.294117647063"/>
    <n v="459664.70588235289"/>
    <m/>
  </r>
  <r>
    <x v="12"/>
    <m/>
    <m/>
    <m/>
    <s v="CQU-295"/>
    <x v="8"/>
    <s v="CAMBIO DE BOMBILLOS"/>
    <n v="30000"/>
    <n v="18000"/>
    <n v="12000"/>
    <m/>
    <m/>
    <n v="0"/>
    <n v="0"/>
    <m/>
    <n v="0"/>
    <n v="0"/>
    <n v="0"/>
    <n v="0"/>
    <m/>
  </r>
  <r>
    <x v="12"/>
    <m/>
    <s v="MAURICIO"/>
    <s v="CHEVROLET"/>
    <s v="KLN-923"/>
    <x v="7"/>
    <s v="CAMBIO CAUCHO AMORTIGUADOR"/>
    <n v="30000"/>
    <n v="30000"/>
    <n v="0"/>
    <m/>
    <m/>
    <n v="0"/>
    <n v="0"/>
    <m/>
    <n v="0"/>
    <n v="0"/>
    <n v="0"/>
    <n v="0"/>
    <m/>
  </r>
  <r>
    <x v="12"/>
    <m/>
    <m/>
    <m/>
    <m/>
    <x v="2"/>
    <s v="CAMBIO DE AMORTIGUADOR"/>
    <n v="20000"/>
    <n v="14000"/>
    <n v="6000"/>
    <m/>
    <m/>
    <n v="0"/>
    <n v="0"/>
    <m/>
    <n v="0"/>
    <n v="0"/>
    <n v="0"/>
    <n v="0"/>
    <m/>
  </r>
  <r>
    <x v="12"/>
    <m/>
    <s v="LUIS ALBERTO FORERO"/>
    <s v="NPR"/>
    <s v="KUS-158"/>
    <x v="6"/>
    <s v="GRADUACION DE CLOSH"/>
    <n v="10000"/>
    <n v="6000"/>
    <n v="4000"/>
    <m/>
    <m/>
    <n v="0"/>
    <n v="0"/>
    <m/>
    <n v="0"/>
    <n v="0"/>
    <n v="0"/>
    <n v="0"/>
    <m/>
  </r>
  <r>
    <x v="13"/>
    <m/>
    <s v="DEPOSITOS MADERA"/>
    <s v="ISUZU NPR"/>
    <s v="SQW-799"/>
    <x v="13"/>
    <s v="CAMBIO DE BENDIX"/>
    <n v="100000"/>
    <n v="80000"/>
    <n v="20000"/>
    <m/>
    <m/>
    <n v="0"/>
    <n v="0"/>
    <m/>
    <n v="0"/>
    <n v="0"/>
    <n v="0"/>
    <n v="0"/>
    <m/>
  </r>
  <r>
    <x v="13"/>
    <m/>
    <m/>
    <m/>
    <m/>
    <x v="14"/>
    <s v="CAMBIO DE BOMBILLO"/>
    <n v="10000"/>
    <n v="6000"/>
    <n v="4000"/>
    <m/>
    <m/>
    <n v="0"/>
    <n v="0"/>
    <m/>
    <n v="0"/>
    <n v="0"/>
    <n v="0"/>
    <n v="0"/>
    <m/>
  </r>
  <r>
    <x v="14"/>
    <m/>
    <s v="JAVIER SASTOQUE"/>
    <m/>
    <m/>
    <x v="1"/>
    <s v="BAJAR BOMBA"/>
    <n v="30000"/>
    <n v="18000"/>
    <n v="12000"/>
    <m/>
    <m/>
    <n v="0"/>
    <n v="0"/>
    <m/>
    <n v="0"/>
    <n v="0"/>
    <n v="0"/>
    <n v="0"/>
    <m/>
  </r>
  <r>
    <x v="14"/>
    <m/>
    <s v="GRUPO RED"/>
    <s v="KENWORTH"/>
    <s v="SKK-778"/>
    <x v="10"/>
    <s v="CAMBIO DE VALVULA RELAY DE FRENOS"/>
    <n v="150000"/>
    <n v="105000"/>
    <n v="45000"/>
    <s v="EMPAQUETADURA RELAY"/>
    <n v="80000"/>
    <n v="67226.890756302528"/>
    <n v="12773.10924369748"/>
    <n v="160000"/>
    <n v="134453.78151260506"/>
    <n v="25546.218487394959"/>
    <n v="12773.10924369748"/>
    <n v="67226.890756302513"/>
    <m/>
  </r>
  <r>
    <x v="14"/>
    <m/>
    <m/>
    <s v="HUMMER"/>
    <s v="HBN-909"/>
    <x v="15"/>
    <s v="MTTO DE RUEDAS"/>
    <n v="50000"/>
    <n v="50000"/>
    <n v="0"/>
    <m/>
    <m/>
    <n v="0"/>
    <n v="0"/>
    <m/>
    <n v="0"/>
    <n v="0"/>
    <n v="0"/>
    <n v="0"/>
    <m/>
  </r>
  <r>
    <x v="14"/>
    <m/>
    <m/>
    <m/>
    <m/>
    <x v="7"/>
    <s v="DESVARE"/>
    <n v="80000"/>
    <n v="48000"/>
    <n v="32000"/>
    <m/>
    <m/>
    <n v="0"/>
    <n v="0"/>
    <m/>
    <n v="0"/>
    <n v="0"/>
    <n v="0"/>
    <n v="0"/>
    <m/>
  </r>
  <r>
    <x v="14"/>
    <m/>
    <s v="FRANCISCO SASTOQUE"/>
    <s v="LAND ROVER"/>
    <s v="JKJ-296"/>
    <x v="14"/>
    <s v="CAMBIO BUJES MUELLES Y REVISAR CARDANES"/>
    <n v="240000"/>
    <n v="144000"/>
    <n v="96000"/>
    <m/>
    <m/>
    <n v="0"/>
    <n v="0"/>
    <m/>
    <n v="0"/>
    <n v="0"/>
    <n v="0"/>
    <n v="0"/>
    <m/>
  </r>
  <r>
    <x v="14"/>
    <m/>
    <s v="ANA MARIA ARIAS"/>
    <s v="SWITCH"/>
    <s v="BJE-733"/>
    <x v="4"/>
    <s v="PILA DE GASOLINA/FILTRO DE GASOLINA"/>
    <n v="120000"/>
    <n v="84000"/>
    <n v="36000"/>
    <s v="PILA DE GASOLINA, FILTRO"/>
    <n v="94000"/>
    <n v="78991.596638655465"/>
    <n v="15008.403361344539"/>
    <n v="140000"/>
    <n v="117647.05882352941"/>
    <n v="22352.941176470587"/>
    <n v="7344.5378151260484"/>
    <n v="38655.462184873948"/>
    <m/>
  </r>
  <r>
    <x v="14"/>
    <m/>
    <s v="DAVID SARMIENTO"/>
    <s v="FORD"/>
    <s v="BKD-264"/>
    <x v="2"/>
    <s v="CAMBIO DE PASADOR DE MORDAZA"/>
    <n v="20000"/>
    <n v="14000"/>
    <n v="6000"/>
    <m/>
    <m/>
    <n v="0"/>
    <n v="0"/>
    <m/>
    <n v="0"/>
    <n v="0"/>
    <n v="0"/>
    <n v="0"/>
    <m/>
  </r>
  <r>
    <x v="14"/>
    <m/>
    <s v="CLAUDIA ANDERSON"/>
    <s v="DUSTER"/>
    <s v="RLT-994"/>
    <x v="14"/>
    <s v="CAMBIO DE ALTERNADOR"/>
    <n v="180000"/>
    <n v="108000"/>
    <n v="72000"/>
    <s v="ALTERNADOR"/>
    <n v="850000"/>
    <m/>
    <n v="0"/>
    <n v="910000"/>
    <m/>
    <n v="0"/>
    <n v="0"/>
    <n v="60000"/>
    <m/>
  </r>
  <r>
    <x v="15"/>
    <m/>
    <s v="ASESORES EN SEGUROS"/>
    <s v="FORD"/>
    <s v="BJV-293"/>
    <x v="4"/>
    <s v="SOPORTE DE MUELLES"/>
    <n v="60000"/>
    <n v="42000"/>
    <n v="18000"/>
    <m/>
    <m/>
    <n v="0"/>
    <n v="0"/>
    <m/>
    <n v="0"/>
    <n v="0"/>
    <n v="0"/>
    <n v="0"/>
    <m/>
  </r>
  <r>
    <x v="15"/>
    <m/>
    <s v="LICETH TRIANA "/>
    <s v="VITARA"/>
    <s v="RDR-398"/>
    <x v="14"/>
    <s v="REVISION DE FRENOS "/>
    <n v="60000"/>
    <n v="36000"/>
    <n v="24000"/>
    <m/>
    <m/>
    <n v="0"/>
    <n v="0"/>
    <m/>
    <n v="0"/>
    <n v="0"/>
    <n v="0"/>
    <n v="0"/>
    <m/>
  </r>
  <r>
    <x v="16"/>
    <m/>
    <s v="FRANCISCO MENDOZA"/>
    <s v="FORD 97"/>
    <s v="CEN-995"/>
    <x v="9"/>
    <s v="CAMBIO DE TAPON"/>
    <n v="50000"/>
    <n v="35000"/>
    <n v="15000"/>
    <m/>
    <m/>
    <n v="0"/>
    <n v="0"/>
    <m/>
    <n v="0"/>
    <n v="0"/>
    <n v="0"/>
    <n v="0"/>
    <m/>
  </r>
  <r>
    <x v="16"/>
    <m/>
    <s v="VICENTE PATARROYO"/>
    <m/>
    <s v="FDJ-497"/>
    <x v="6"/>
    <s v="GARANTIA"/>
    <m/>
    <n v="0"/>
    <n v="0"/>
    <m/>
    <m/>
    <n v="0"/>
    <n v="0"/>
    <m/>
    <n v="0"/>
    <n v="0"/>
    <n v="0"/>
    <n v="0"/>
    <m/>
  </r>
  <r>
    <x v="16"/>
    <s v="RM-95"/>
    <s v="ANTONIO VACA"/>
    <s v="FOTON"/>
    <s v="JOW-000"/>
    <x v="9"/>
    <s v="SINCRONIZACION"/>
    <n v="130000"/>
    <n v="91000"/>
    <n v="39000"/>
    <s v="4 BUJIAS"/>
    <n v="32000"/>
    <n v="26890.756302521011"/>
    <n v="5109.2436974789925"/>
    <n v="48000"/>
    <n v="40336.134453781517"/>
    <n v="7663.8655462184879"/>
    <n v="2554.6218487394954"/>
    <n v="18554.621848739494"/>
    <m/>
  </r>
  <r>
    <x v="16"/>
    <s v="RM-98"/>
    <s v="JOSE AREVALO"/>
    <s v="PEGEOUT"/>
    <s v="BHB-245"/>
    <x v="9"/>
    <s v="CAMBIO DE CILINDRO TRASERO DER"/>
    <n v="24000"/>
    <n v="16800"/>
    <n v="7200"/>
    <s v="CILINDRO"/>
    <n v="63000"/>
    <n v="52941.176470588238"/>
    <n v="10058.823529411766"/>
    <n v="86000"/>
    <m/>
    <n v="0"/>
    <m/>
    <n v="23000"/>
    <m/>
  </r>
  <r>
    <x v="17"/>
    <m/>
    <s v="EDWIN FINO"/>
    <s v="FURGON"/>
    <s v="WPR-693"/>
    <x v="4"/>
    <s v="COLOCAR UNION"/>
    <n v="10000"/>
    <n v="10000"/>
    <n v="0"/>
    <s v="UNION"/>
    <n v="18000"/>
    <n v="15126.050420168069"/>
    <n v="2873.9495798319331"/>
    <n v="25000"/>
    <n v="21008.403361344539"/>
    <n v="3991.5966386554624"/>
    <n v="1117.6470588235293"/>
    <n v="8117.6470588235279"/>
    <m/>
  </r>
  <r>
    <x v="16"/>
    <s v="FE:47"/>
    <s v="JUAN ANDRES CAMERO"/>
    <s v="LOGAN"/>
    <s v="MPQ-345"/>
    <x v="14"/>
    <s v="CAMBIO DE AMORTIGUADORES/ BUJES DE TIJERA/ TERMINAL DE DIRECCION, SOPORTE DE AMORTIGUADOR"/>
    <n v="360000"/>
    <n v="216000"/>
    <n v="144000"/>
    <s v="TERMINALES DE DIRECCION, AMORTIGUADORES, RODAMIENTO DE SOPORTE, BUJES DE TIJERA, GRASA, TEXAMATI"/>
    <n v="520579.14"/>
    <n v="437461.46218487399"/>
    <n v="83117.677815126066"/>
    <n v="800000"/>
    <n v="672268.90756302525"/>
    <n v="127731.0924369748"/>
    <n v="44613.414621848729"/>
    <n v="324034.27462184872"/>
    <m/>
  </r>
  <r>
    <x v="17"/>
    <m/>
    <s v="GRUAS JB"/>
    <s v="NHR"/>
    <s v="WOW-425"/>
    <x v="9"/>
    <s v="GRADUACION DE FRENOS/GRADUACION FRENO DE MANO"/>
    <n v="15000"/>
    <n v="10500"/>
    <n v="4500"/>
    <m/>
    <m/>
    <n v="0"/>
    <n v="0"/>
    <m/>
    <n v="0"/>
    <n v="0"/>
    <n v="0"/>
    <n v="0"/>
    <m/>
  </r>
  <r>
    <x v="17"/>
    <s v="RM_100"/>
    <s v="WILLIAM VCASTAÑEDA"/>
    <s v="AVEO"/>
    <s v="BZX-814"/>
    <x v="9"/>
    <s v="SINCRONIZACION/ MTTO FRENOS/ CAMBIO DE DISCOS"/>
    <n v="220000"/>
    <n v="154000"/>
    <n v="66000"/>
    <m/>
    <m/>
    <n v="0"/>
    <n v="0"/>
    <m/>
    <n v="0"/>
    <n v="0"/>
    <n v="0"/>
    <n v="0"/>
    <m/>
  </r>
  <r>
    <x v="18"/>
    <m/>
    <m/>
    <s v="VOLSWGEN"/>
    <s v="KNC-593"/>
    <x v="14"/>
    <s v="CAMBIO DE PASTILLAS"/>
    <n v="30000"/>
    <n v="18000"/>
    <n v="12000"/>
    <m/>
    <m/>
    <n v="0"/>
    <n v="0"/>
    <m/>
    <n v="0"/>
    <n v="0"/>
    <n v="0"/>
    <n v="0"/>
    <m/>
  </r>
  <r>
    <x v="18"/>
    <s v="FE:48"/>
    <s v="CORRECICABLE LTDA"/>
    <s v="JAC"/>
    <s v="TSM-562"/>
    <x v="9"/>
    <s v="REVISION DE FRENOS, MTTO DE FRENOS"/>
    <n v="150000"/>
    <n v="105000"/>
    <n v="45000"/>
    <s v="BANDAS, CHUPAS, LIQUIDO"/>
    <n v="182000"/>
    <n v="152941.17647058825"/>
    <n v="29058.823529411769"/>
    <n v="204994.64"/>
    <n v="172264.40336134456"/>
    <n v="32730.236638655468"/>
    <n v="3671.4131092436983"/>
    <n v="26666.053109243716"/>
    <m/>
  </r>
  <r>
    <x v="18"/>
    <m/>
    <s v="EDISON ROBAYO"/>
    <s v="FOTON"/>
    <s v="GNU-483"/>
    <x v="14"/>
    <s v="BAJAR RUEDA/GRADUACION DE FRENO"/>
    <n v="30000"/>
    <n v="18000"/>
    <n v="12000"/>
    <m/>
    <m/>
    <n v="0"/>
    <n v="0"/>
    <m/>
    <n v="0"/>
    <n v="0"/>
    <n v="0"/>
    <n v="0"/>
    <m/>
  </r>
  <r>
    <x v="18"/>
    <m/>
    <m/>
    <s v="KIA"/>
    <s v="CZN-000"/>
    <x v="14"/>
    <s v="CAMBIO DE PASTILLAS DELANTERAS Y TRASERAS"/>
    <n v="60000"/>
    <n v="36000"/>
    <n v="24000"/>
    <m/>
    <m/>
    <n v="0"/>
    <n v="0"/>
    <m/>
    <n v="0"/>
    <n v="0"/>
    <n v="0"/>
    <n v="0"/>
    <m/>
  </r>
  <r>
    <x v="19"/>
    <m/>
    <s v="JHON CUADRADO"/>
    <s v="ECOSPORT"/>
    <s v="FSX-102"/>
    <x v="7"/>
    <s v="MATTO DE FRENOS COMPLETO-CAMBIO DE PASTILLAS DEL/ CAMBIO DE LIQUIDO"/>
    <n v="140000"/>
    <n v="84000"/>
    <n v="56000"/>
    <s v="PASTILLAS DEL, LIQUIDO"/>
    <n v="165000"/>
    <n v="138655.46218487396"/>
    <n v="26344.537815126052"/>
    <n v="260000"/>
    <n v="218487.3949579832"/>
    <n v="41512.60504201681"/>
    <n v="15168.067226890758"/>
    <n v="110168.06722689077"/>
    <m/>
  </r>
  <r>
    <x v="19"/>
    <m/>
    <m/>
    <s v="FOTON"/>
    <m/>
    <x v="7"/>
    <s v="GRADUACION DE FRENOS"/>
    <n v="20000"/>
    <n v="12000"/>
    <n v="8000"/>
    <m/>
    <m/>
    <n v="0"/>
    <n v="0"/>
    <m/>
    <n v="0"/>
    <n v="0"/>
    <n v="0"/>
    <n v="0"/>
    <m/>
  </r>
  <r>
    <x v="19"/>
    <m/>
    <s v="DISNEY AMIN"/>
    <s v="SUBARU"/>
    <s v="CXK-558"/>
    <x v="4"/>
    <s v="CAMBIO DE SOPORTE DE CAJA"/>
    <n v="40000"/>
    <n v="28000"/>
    <n v="12000"/>
    <m/>
    <m/>
    <n v="0"/>
    <n v="0"/>
    <m/>
    <n v="0"/>
    <n v="0"/>
    <n v="0"/>
    <n v="0"/>
    <m/>
  </r>
  <r>
    <x v="19"/>
    <m/>
    <s v="FAVER NOVOA"/>
    <s v="NHR"/>
    <s v="JOW-086"/>
    <x v="9"/>
    <s v="GRADUAR FRENOS/FRENO DE MANO"/>
    <n v="15000"/>
    <n v="10500"/>
    <n v="4500"/>
    <m/>
    <m/>
    <n v="0"/>
    <n v="0"/>
    <m/>
    <n v="0"/>
    <n v="0"/>
    <n v="0"/>
    <n v="0"/>
    <m/>
  </r>
  <r>
    <x v="20"/>
    <m/>
    <s v="CAMILO SOTELDO"/>
    <s v="CAPTIVA"/>
    <s v="HBO-673"/>
    <x v="9"/>
    <s v="MATTO DE FRENOS / CAMBIO DE PASTILLAS DEL/ CAMBIO DE AMORTIGUADORES"/>
    <n v="160000"/>
    <n v="112000"/>
    <n v="48000"/>
    <s v="PASTILLAS"/>
    <n v="140000"/>
    <n v="117647.05882352941"/>
    <n v="22352.941176470587"/>
    <n v="195000"/>
    <n v="163865.5462184874"/>
    <n v="31134.453781512606"/>
    <n v="8781.5126050420185"/>
    <n v="63781.512605042022"/>
    <m/>
  </r>
  <r>
    <x v="20"/>
    <m/>
    <s v="JAVIER SASTOQUE"/>
    <m/>
    <s v="TRE-439"/>
    <x v="7"/>
    <m/>
    <n v="40000"/>
    <n v="40000"/>
    <n v="0"/>
    <m/>
    <m/>
    <n v="0"/>
    <n v="0"/>
    <m/>
    <n v="0"/>
    <n v="0"/>
    <n v="0"/>
    <n v="0"/>
    <m/>
  </r>
  <r>
    <x v="20"/>
    <m/>
    <s v="SEBASTIAN GUTIERREZ"/>
    <s v="LOGAN"/>
    <s v="MPM-200"/>
    <x v="9"/>
    <s v="GRADUACION FRENOS"/>
    <n v="10000"/>
    <n v="7000"/>
    <n v="3000"/>
    <m/>
    <m/>
    <n v="0"/>
    <n v="0"/>
    <m/>
    <n v="0"/>
    <n v="0"/>
    <n v="0"/>
    <n v="0"/>
    <m/>
  </r>
  <r>
    <x v="20"/>
    <m/>
    <s v="URIEL HERRERA"/>
    <s v="JAC"/>
    <s v="SZN-245"/>
    <x v="9"/>
    <s v="GRADUACION FRENOS"/>
    <n v="10000"/>
    <n v="7000"/>
    <n v="3000"/>
    <m/>
    <m/>
    <n v="0"/>
    <n v="0"/>
    <m/>
    <n v="0"/>
    <n v="0"/>
    <n v="0"/>
    <n v="0"/>
    <m/>
  </r>
  <r>
    <x v="20"/>
    <s v="FE: 53"/>
    <s v="JAIME RUEDA"/>
    <s v="TOYOTA TX"/>
    <s v="UCU-083"/>
    <x v="9"/>
    <s v="CAMBIO DE PASTILLAS Y DISCOS DEL Y TRASEROS"/>
    <n v="150000"/>
    <n v="105000"/>
    <n v="45000"/>
    <s v="PASTILLAS Y DISCOS"/>
    <n v="1136000"/>
    <n v="954621.84873949585"/>
    <n v="181378.15126050421"/>
    <n v="1610000"/>
    <n v="1352941.1764705882"/>
    <n v="257058.82352941175"/>
    <n v="75680.67226890754"/>
    <n v="549680.67226890754"/>
    <m/>
  </r>
  <r>
    <x v="20"/>
    <m/>
    <m/>
    <m/>
    <m/>
    <x v="16"/>
    <m/>
    <m/>
    <m/>
    <n v="0"/>
    <m/>
    <m/>
    <n v="0"/>
    <n v="0"/>
    <m/>
    <n v="0"/>
    <n v="0"/>
    <n v="0"/>
    <n v="0"/>
    <m/>
  </r>
  <r>
    <x v="21"/>
    <m/>
    <s v="SAUL BETANCOURT"/>
    <s v="BEU-479"/>
    <s v="CHEVROLET "/>
    <x v="9"/>
    <s v="REVISION DE FRENOS COMPLETO"/>
    <n v="50000"/>
    <n v="35000"/>
    <n v="15000"/>
    <m/>
    <m/>
    <n v="0"/>
    <n v="0"/>
    <m/>
    <n v="0"/>
    <n v="0"/>
    <n v="0"/>
    <n v="0"/>
    <s v="CANCELADO"/>
  </r>
  <r>
    <x v="21"/>
    <m/>
    <s v="VIOLETA ALIERDO"/>
    <s v="NER-493"/>
    <s v="MAZDA 3"/>
    <x v="4"/>
    <s v="CAMBIO DE CORREA"/>
    <n v="50000"/>
    <n v="35000"/>
    <n v="15000"/>
    <s v="CORREA DE AIRE ACOND"/>
    <n v="63000"/>
    <n v="52941.176470588238"/>
    <n v="10058.823529411766"/>
    <n v="50000"/>
    <n v="42016.806722689078"/>
    <n v="7983.1932773109247"/>
    <n v="-2075.6302521008411"/>
    <n v="-10924.36974789916"/>
    <s v="CANCELADO"/>
  </r>
  <r>
    <x v="21"/>
    <s v="RM-109"/>
    <s v="FRANCISCO AZCARATE"/>
    <s v="RZN-555"/>
    <s v="SPARK"/>
    <x v="7"/>
    <s v="ARREGLO DE SUBE VIDRIO"/>
    <n v="150000"/>
    <n v="90000"/>
    <n v="60000"/>
    <s v="TERMINALES, FUSIBLES, CABLE"/>
    <n v="23000"/>
    <n v="19327.731092436974"/>
    <m/>
    <n v="12000"/>
    <m/>
    <n v="0"/>
    <n v="0"/>
    <n v="-11000"/>
    <s v="CANCELADO"/>
  </r>
  <r>
    <x v="21"/>
    <m/>
    <s v="MIGUEL BAUTISTA"/>
    <s v="TSX-986"/>
    <s v="VOLKSWAGEN"/>
    <x v="9"/>
    <s v="GRADUACION DE FRENOS"/>
    <n v="10000"/>
    <n v="7000"/>
    <n v="3000"/>
    <m/>
    <m/>
    <n v="0"/>
    <n v="0"/>
    <m/>
    <n v="0"/>
    <n v="0"/>
    <n v="0"/>
    <n v="0"/>
    <s v="CANCELADO"/>
  </r>
  <r>
    <x v="21"/>
    <m/>
    <s v="EMILIO PAEZ"/>
    <s v="AKG-853"/>
    <s v="DAITHASU"/>
    <x v="7"/>
    <s v="DESVARE/ CHEQUEO DE ARRANQUE"/>
    <n v="30000"/>
    <n v="18000"/>
    <n v="12000"/>
    <m/>
    <m/>
    <n v="0"/>
    <n v="0"/>
    <m/>
    <n v="0"/>
    <n v="0"/>
    <n v="0"/>
    <n v="0"/>
    <s v="CANCELADO"/>
  </r>
  <r>
    <x v="21"/>
    <m/>
    <s v="METALCARGOS"/>
    <s v="GZZ-341"/>
    <s v="NQR"/>
    <x v="7"/>
    <s v="APAGAR BOMBILLO ABS"/>
    <m/>
    <n v="30000"/>
    <n v="-30000"/>
    <m/>
    <m/>
    <n v="0"/>
    <n v="0"/>
    <m/>
    <n v="0"/>
    <n v="0"/>
    <n v="0"/>
    <n v="0"/>
    <s v="CANCELADO"/>
  </r>
  <r>
    <x v="22"/>
    <m/>
    <s v="HUGO MARIÑO"/>
    <s v="WCW-648"/>
    <s v="DFSK"/>
    <x v="4"/>
    <s v="CAMBIO DE MANGUERA Y SENSOR DE OXIGENO"/>
    <n v="50000"/>
    <n v="35000"/>
    <n v="15000"/>
    <m/>
    <m/>
    <n v="0"/>
    <n v="0"/>
    <m/>
    <n v="0"/>
    <n v="0"/>
    <n v="0"/>
    <n v="0"/>
    <s v="CANCELADO"/>
  </r>
  <r>
    <x v="22"/>
    <m/>
    <s v="HUGO MARIÑO"/>
    <s v="WCW-648"/>
    <s v="DFSK"/>
    <x v="7"/>
    <s v="CAMBIO DE PASTILLAS"/>
    <n v="30000"/>
    <n v="18000"/>
    <n v="12000"/>
    <m/>
    <m/>
    <n v="0"/>
    <n v="0"/>
    <m/>
    <n v="0"/>
    <n v="0"/>
    <n v="0"/>
    <n v="0"/>
    <s v="CANCELADO"/>
  </r>
  <r>
    <x v="22"/>
    <s v="RM-112"/>
    <s v="JUAN CAMERO"/>
    <s v="MPQ-345"/>
    <s v="LOGAN"/>
    <x v="9"/>
    <s v="CAMBIO DE GUARDAPOLVO LADO CAJA"/>
    <n v="50000"/>
    <n v="35000"/>
    <n v="15000"/>
    <s v="GUARDAPOLVO"/>
    <n v="10000"/>
    <n v="8403.361344537816"/>
    <n v="1596.6386554621849"/>
    <n v="50000"/>
    <n v="42016.806722689078"/>
    <n v="7983.1932773109247"/>
    <n v="6386.5546218487398"/>
    <n v="33613.445378151257"/>
    <s v="CANCELADO"/>
  </r>
  <r>
    <x v="22"/>
    <s v="RM:110 / FE: 58"/>
    <s v="WILMER HERNANDEZ"/>
    <s v="FNK-342"/>
    <s v="SPARK"/>
    <x v="4"/>
    <s v="CAMBIO DE GUAYA"/>
    <n v="50000"/>
    <n v="35000"/>
    <n v="15000"/>
    <s v="GUAYA "/>
    <m/>
    <n v="0"/>
    <n v="0"/>
    <m/>
    <n v="0"/>
    <n v="0"/>
    <n v="0"/>
    <n v="0"/>
    <s v="CANCELADO"/>
  </r>
  <r>
    <x v="22"/>
    <m/>
    <s v="ALEJANDRO ROJAS"/>
    <s v="FNK-342"/>
    <s v="SPARK"/>
    <x v="9"/>
    <s v="CAMBIO DE PASTILLAS TRASERAS"/>
    <n v="30000"/>
    <n v="21000"/>
    <n v="9000"/>
    <m/>
    <m/>
    <n v="0"/>
    <n v="0"/>
    <m/>
    <n v="0"/>
    <n v="0"/>
    <n v="0"/>
    <n v="0"/>
    <s v="CANCELADO"/>
  </r>
  <r>
    <x v="22"/>
    <m/>
    <s v="JYR CENTRO DE ENSEÑANZA "/>
    <s v="JEQ-870"/>
    <s v="CHEVROLET "/>
    <x v="7"/>
    <s v="ARREGLO DE LUCES"/>
    <n v="30000"/>
    <n v="18000"/>
    <n v="12000"/>
    <m/>
    <m/>
    <n v="0"/>
    <n v="0"/>
    <m/>
    <n v="0"/>
    <n v="0"/>
    <n v="0"/>
    <n v="0"/>
    <s v="CANCELADO"/>
  </r>
  <r>
    <x v="22"/>
    <m/>
    <s v="CESAR IZASA"/>
    <s v="GZZ-2280"/>
    <s v="VOLQUETA"/>
    <x v="7"/>
    <s v="CAMBIO DE FUSIBLE"/>
    <n v="10000"/>
    <n v="6000"/>
    <n v="4000"/>
    <m/>
    <m/>
    <n v="0"/>
    <n v="0"/>
    <m/>
    <n v="0"/>
    <n v="0"/>
    <n v="0"/>
    <n v="0"/>
    <s v="CANCELADO"/>
  </r>
  <r>
    <x v="22"/>
    <m/>
    <s v="RIGOBERTO ALVARADO"/>
    <s v="BKN-911"/>
    <s v="VOLSWAGEN"/>
    <x v="14"/>
    <s v="CAMBIO DE PASTILLAS Y DISCO"/>
    <n v="50000"/>
    <n v="30000"/>
    <n v="20000"/>
    <m/>
    <m/>
    <n v="0"/>
    <n v="0"/>
    <m/>
    <n v="0"/>
    <n v="0"/>
    <n v="0"/>
    <n v="0"/>
    <s v="CANCELADO"/>
  </r>
  <r>
    <x v="22"/>
    <m/>
    <s v="JUAN ACEVEDO"/>
    <s v="EFX-747"/>
    <s v="CHEVROLET "/>
    <x v="9"/>
    <s v="REVISION DE FRENOS DELANTEROS"/>
    <n v="30000"/>
    <n v="21000"/>
    <n v="9000"/>
    <m/>
    <m/>
    <n v="0"/>
    <n v="0"/>
    <m/>
    <n v="0"/>
    <n v="0"/>
    <n v="0"/>
    <n v="0"/>
    <s v="CANCELADO"/>
  </r>
  <r>
    <x v="22"/>
    <m/>
    <s v="VICENTE OPATARROYO"/>
    <m/>
    <s v="CHEVROLET "/>
    <x v="9"/>
    <s v="GRADAUCION DE FRENOS"/>
    <n v="10000"/>
    <n v="7000"/>
    <n v="3000"/>
    <m/>
    <m/>
    <n v="0"/>
    <n v="0"/>
    <m/>
    <n v="0"/>
    <n v="0"/>
    <n v="0"/>
    <n v="0"/>
    <s v="CANCELADO"/>
  </r>
  <r>
    <x v="23"/>
    <m/>
    <s v="PATRICIA CONTRERAS"/>
    <s v="RJS-738"/>
    <s v="AVEO"/>
    <x v="9"/>
    <s v="CAMBIO DE SDISCOS, PASTILLAS, BUJES, AMORTIGUADORES, BRAZOS AXIALES, MUÑECOS, TERMINALES DE DIRECCION"/>
    <n v="300000"/>
    <n v="210000"/>
    <n v="90000"/>
    <s v="DISCOS, PASTILLAS, TIJERAS, BUJES, AMORTIGUADORES, BRAZOS AXIALES, MUÑECOS, TERMINALES DE DIRECCION"/>
    <n v="827555.3"/>
    <n v="695424.62184873957"/>
    <n v="132130.67815126051"/>
    <n v="1330000"/>
    <n v="1117647.0588235294"/>
    <n v="212352.9411764706"/>
    <n v="80222.263025210093"/>
    <n v="422222.43697478983"/>
    <s v="CANCELADO"/>
  </r>
  <r>
    <x v="23"/>
    <m/>
    <s v="JHON CERVANTES"/>
    <s v="HCN-571"/>
    <s v="CH-SONIC"/>
    <x v="9"/>
    <s v="REVISION DE FRENOS COMPLETO- CAMBIO DE CAMPANAS-CAMBIO DE ESPARRAGOS"/>
    <n v="80000"/>
    <n v="56000"/>
    <n v="24000"/>
    <s v="ESPARRAGOS Y TUERCA"/>
    <n v="14900"/>
    <n v="12521.008403361346"/>
    <n v="2378.9915966386557"/>
    <n v="10000"/>
    <n v="8403.361344537816"/>
    <n v="1596.6386554621849"/>
    <n v="-782.35294117647072"/>
    <n v="-4117.6470588235297"/>
    <s v="CANCELADO"/>
  </r>
  <r>
    <x v="23"/>
    <m/>
    <s v="JUAN MANUEL RESTREPO"/>
    <s v="IBX-943"/>
    <s v="CHEVY"/>
    <x v="14"/>
    <s v="CAMBIO DE DISCOS DEL"/>
    <n v="40000"/>
    <n v="24000"/>
    <n v="16000"/>
    <m/>
    <m/>
    <n v="0"/>
    <n v="0"/>
    <m/>
    <n v="0"/>
    <n v="0"/>
    <n v="0"/>
    <n v="0"/>
    <s v="CANCELADO"/>
  </r>
  <r>
    <x v="23"/>
    <m/>
    <s v="JAIME MONCADA"/>
    <s v="SKK-862"/>
    <s v="MITSUBISHI"/>
    <x v="9"/>
    <s v="GRADUAR FRENOS"/>
    <n v="10000"/>
    <n v="7000"/>
    <n v="3000"/>
    <m/>
    <m/>
    <n v="0"/>
    <n v="0"/>
    <m/>
    <n v="0"/>
    <n v="0"/>
    <n v="0"/>
    <n v="0"/>
    <s v="CANCELADO"/>
  </r>
  <r>
    <x v="23"/>
    <m/>
    <m/>
    <m/>
    <m/>
    <x v="7"/>
    <s v="GRADUAR FRENOS"/>
    <n v="10000"/>
    <n v="6000"/>
    <n v="4000"/>
    <s v="LIQUIDO"/>
    <n v="5000"/>
    <n v="4201.680672268908"/>
    <n v="798.31932773109247"/>
    <n v="10000"/>
    <n v="8403.361344537816"/>
    <n v="1596.6386554621849"/>
    <n v="798.31932773109247"/>
    <n v="4201.6806722689071"/>
    <s v="CANCELADO"/>
  </r>
  <r>
    <x v="24"/>
    <m/>
    <s v="RICARDO SALGADO"/>
    <s v="KDR-175"/>
    <s v="MAZDA5"/>
    <x v="14"/>
    <s v="MONTAR ALTERNADOR"/>
    <n v="80000"/>
    <n v="48000"/>
    <n v="32000"/>
    <m/>
    <m/>
    <n v="0"/>
    <n v="0"/>
    <m/>
    <n v="0"/>
    <n v="0"/>
    <n v="0"/>
    <n v="0"/>
    <s v="CANCELADO"/>
  </r>
  <r>
    <x v="24"/>
    <m/>
    <s v="ANDRES SOCHA"/>
    <s v="EXX-566"/>
    <s v="FOTON"/>
    <x v="9"/>
    <s v="GRADUAR FRENOS "/>
    <n v="10000"/>
    <n v="7000"/>
    <n v="3000"/>
    <m/>
    <m/>
    <n v="0"/>
    <n v="0"/>
    <m/>
    <n v="0"/>
    <n v="0"/>
    <n v="0"/>
    <n v="0"/>
    <s v="CANCELADO"/>
  </r>
  <r>
    <x v="24"/>
    <m/>
    <s v="YEISON MARTINEZ"/>
    <s v="GSQ-417"/>
    <s v="RENAULT KWIO"/>
    <x v="14"/>
    <s v="MATTO COMPLETO/ CAMBIO DE DISCOS, PASTILLAS, TIJERAS SOPORTE DE CAJA"/>
    <n v="190000"/>
    <n v="114000"/>
    <n v="76000"/>
    <s v="PASTILLAS, DISCOS, SOPORTE DE CAJA, TIJERAS"/>
    <n v="900000"/>
    <n v="756302.52100840339"/>
    <n v="143697.47899159664"/>
    <n v="1130000"/>
    <n v="949579.83193277312"/>
    <n v="180420.16806722688"/>
    <n v="36722.689075630245"/>
    <n v="693277.31092436973"/>
    <s v="CANCELADO"/>
  </r>
  <r>
    <x v="24"/>
    <m/>
    <s v="JOSE TRIANA "/>
    <s v="ERK-645"/>
    <s v="JAC"/>
    <x v="9"/>
    <s v="GRADUAR FRENOS"/>
    <n v="10000"/>
    <n v="7000"/>
    <n v="3000"/>
    <m/>
    <m/>
    <n v="0"/>
    <n v="0"/>
    <m/>
    <n v="0"/>
    <n v="0"/>
    <n v="0"/>
    <n v="0"/>
    <s v="CANCELADO"/>
  </r>
  <r>
    <x v="25"/>
    <m/>
    <s v="AGUSTIN ESPINOZA"/>
    <s v="SMD-478"/>
    <s v="BANZ"/>
    <x v="4"/>
    <s v="CAMBIO DE RETENEDOR DE CUPLIN"/>
    <n v="30000"/>
    <n v="21000"/>
    <n v="9000"/>
    <m/>
    <m/>
    <n v="0"/>
    <n v="0"/>
    <m/>
    <n v="0"/>
    <n v="0"/>
    <n v="0"/>
    <n v="0"/>
    <s v="CANCELADO"/>
  </r>
  <r>
    <x v="25"/>
    <m/>
    <s v="VICENTE COJO"/>
    <s v="DODGE"/>
    <s v="DXD-905"/>
    <x v="9"/>
    <s v="RECALZAR BNADAS TRASERAS"/>
    <n v="40000"/>
    <n v="40000"/>
    <n v="0"/>
    <s v="JUEGO DE BLOQUES"/>
    <n v="115000"/>
    <n v="96638.655462184877"/>
    <n v="18361.344537815126"/>
    <n v="140000"/>
    <n v="117647.05882352941"/>
    <n v="22352.941176470587"/>
    <n v="3991.596638655461"/>
    <n v="21008.403361344535"/>
    <s v="CANCELADO"/>
  </r>
  <r>
    <x v="25"/>
    <s v="RM:119"/>
    <s v="IVAN LOPEZ"/>
    <s v="AVEO"/>
    <s v="RCR-206"/>
    <x v="9"/>
    <s v="CAMBIO DE ESPARRAGOS"/>
    <n v="50000"/>
    <n v="35000"/>
    <n v="15000"/>
    <m/>
    <m/>
    <n v="0"/>
    <n v="0"/>
    <m/>
    <n v="0"/>
    <n v="0"/>
    <n v="0"/>
    <n v="0"/>
    <s v="CANCELADO"/>
  </r>
  <r>
    <x v="25"/>
    <m/>
    <s v="DISNY AMIN"/>
    <s v="SUBARU"/>
    <s v="CXK-558"/>
    <x v="14"/>
    <s v="CAMBIO DE BUJES DE TIJERAS DEL/ CAMBIO BUJES BARRA ESTABILIZADORA"/>
    <n v="140000"/>
    <n v="84000"/>
    <n v="56000"/>
    <m/>
    <m/>
    <n v="0"/>
    <n v="0"/>
    <m/>
    <n v="0"/>
    <n v="0"/>
    <n v="0"/>
    <n v="0"/>
    <s v="CANCELADO"/>
  </r>
  <r>
    <x v="26"/>
    <m/>
    <s v="ANDRES NIVIAYO"/>
    <s v="VOLKWAGEN"/>
    <s v="XGD-673"/>
    <x v="9"/>
    <s v="CAMBIO DE PASTILLAS DEL"/>
    <n v="40000"/>
    <n v="24000"/>
    <n v="16000"/>
    <m/>
    <m/>
    <n v="0"/>
    <n v="0"/>
    <m/>
    <n v="0"/>
    <n v="0"/>
    <n v="0"/>
    <n v="0"/>
    <s v="CANCELADO"/>
  </r>
  <r>
    <x v="26"/>
    <m/>
    <m/>
    <m/>
    <m/>
    <x v="7"/>
    <s v="DESVARE"/>
    <n v="50000"/>
    <n v="30000"/>
    <n v="20000"/>
    <m/>
    <m/>
    <n v="0"/>
    <n v="0"/>
    <m/>
    <n v="0"/>
    <n v="0"/>
    <n v="0"/>
    <n v="0"/>
    <s v="CANCELADO"/>
  </r>
  <r>
    <x v="26"/>
    <m/>
    <s v="CARLOS PEDROZA"/>
    <s v="KAT-796"/>
    <s v="MAZDA 2"/>
    <x v="9"/>
    <s v="CAMBIO DE BUJES DE TIJERA/ CAMBIO DE BRAZOS A AXIALES/ TERMINALES/ CAMBIO DE COPA CAJA "/>
    <n v="220000"/>
    <n v="154000"/>
    <n v="66000"/>
    <m/>
    <m/>
    <n v="0"/>
    <n v="0"/>
    <m/>
    <n v="0"/>
    <n v="0"/>
    <n v="0"/>
    <n v="0"/>
    <s v="CANCELADO"/>
  </r>
  <r>
    <x v="26"/>
    <s v="RM:125"/>
    <s v="CARLOS PEDROZA"/>
    <s v="KAT-796"/>
    <s v="MAZDA 2"/>
    <x v="4"/>
    <s v="REPARACION PARCIAL MOTOR"/>
    <n v="900000"/>
    <n v="630000"/>
    <n v="270000"/>
    <m/>
    <m/>
    <n v="0"/>
    <n v="0"/>
    <m/>
    <n v="0"/>
    <n v="0"/>
    <n v="0"/>
    <n v="0"/>
    <s v="CANCELADO"/>
  </r>
  <r>
    <x v="26"/>
    <m/>
    <s v="ALEJANDRO ROMERO"/>
    <s v="UDL-913"/>
    <s v="MAZDA 5"/>
    <x v="9"/>
    <s v="CAMBIO DE PASTILLAS DELANTERAS Y TRASERAS"/>
    <n v="80000"/>
    <n v="56000"/>
    <n v="24000"/>
    <s v="PASTILLAS DELANTERAS Y TRASERAS"/>
    <n v="312000"/>
    <n v="262184.87394957984"/>
    <n v="49815.126050420171"/>
    <n v="371000"/>
    <n v="311764.70588235295"/>
    <n v="59235.294117647063"/>
    <n v="9420.1680672268922"/>
    <n v="49579.831932773115"/>
    <s v="CANCELADO"/>
  </r>
  <r>
    <x v="26"/>
    <m/>
    <s v="JULIO DUARTE"/>
    <s v="BUW-614"/>
    <s v="HILUX"/>
    <x v="4"/>
    <s v="REPARACION DE MOTOR"/>
    <n v="1000000"/>
    <n v="700000"/>
    <n v="300000"/>
    <m/>
    <n v="1604000"/>
    <m/>
    <n v="0"/>
    <n v="2772000"/>
    <n v="2329411.7647058824"/>
    <n v="442588.23529411765"/>
    <n v="442588.23529411765"/>
    <n v="725411.76470588241"/>
    <m/>
  </r>
  <r>
    <x v="26"/>
    <m/>
    <s v="JULIO DUARTE"/>
    <s v="BUW-614"/>
    <s v="HILUX"/>
    <x v="7"/>
    <s v="MATTO DE ALTERNADOR Y ARRANQUE"/>
    <n v="100000"/>
    <n v="60000"/>
    <n v="40000"/>
    <m/>
    <m/>
    <n v="0"/>
    <n v="0"/>
    <m/>
    <n v="0"/>
    <n v="0"/>
    <n v="0"/>
    <n v="0"/>
    <m/>
  </r>
  <r>
    <x v="27"/>
    <m/>
    <m/>
    <s v="DBT-851"/>
    <m/>
    <x v="7"/>
    <s v="CAMBIO DE ESPARRAGOS"/>
    <n v="30000"/>
    <n v="18000"/>
    <n v="12000"/>
    <m/>
    <m/>
    <n v="0"/>
    <n v="0"/>
    <m/>
    <n v="0"/>
    <n v="0"/>
    <n v="0"/>
    <n v="0"/>
    <m/>
  </r>
  <r>
    <x v="27"/>
    <s v="RM:124"/>
    <s v="ALVARO VARGAS"/>
    <s v="WNN-834"/>
    <s v="NHR"/>
    <x v="3"/>
    <s v="MATTO FRENO DE AHOGO"/>
    <n v="60000"/>
    <n v="42000"/>
    <n v="18000"/>
    <m/>
    <m/>
    <n v="0"/>
    <n v="0"/>
    <m/>
    <n v="0"/>
    <n v="0"/>
    <n v="0"/>
    <n v="0"/>
    <m/>
  </r>
  <r>
    <x v="27"/>
    <m/>
    <s v="JAIME RODRIGUEZ"/>
    <s v="HIUNDAY"/>
    <s v="NDQ-997"/>
    <x v="3"/>
    <s v="CAMBIO DE PASTILLAS FRENOS DE MANO Y PASTILLAS "/>
    <n v="60000"/>
    <n v="60000"/>
    <n v="0"/>
    <m/>
    <m/>
    <n v="0"/>
    <n v="0"/>
    <m/>
    <n v="0"/>
    <n v="0"/>
    <n v="0"/>
    <n v="0"/>
    <s v="CANCELADO"/>
  </r>
  <r>
    <x v="28"/>
    <s v="RM:128"/>
    <s v="JUAN CAMERO"/>
    <s v="RENAULT"/>
    <s v="MPQ-345"/>
    <x v="7"/>
    <s v="CAMBIO DE PASTILLAS DELANTERAS"/>
    <n v="20000"/>
    <n v="18000"/>
    <n v="2000"/>
    <m/>
    <m/>
    <n v="0"/>
    <n v="0"/>
    <m/>
    <n v="0"/>
    <n v="0"/>
    <n v="0"/>
    <n v="0"/>
    <m/>
  </r>
  <r>
    <x v="28"/>
    <s v="FE:  63"/>
    <s v="OLIMPIA HERNANDEZ"/>
    <s v="HINO"/>
    <s v="TGK-439"/>
    <x v="3"/>
    <s v="BAJAR MUELLES DEL IZQ, CAMBIO DE BUJES DE AMORTIGUADOR Y TIJERAS"/>
    <n v="150000"/>
    <n v="105000"/>
    <n v="45000"/>
    <m/>
    <m/>
    <n v="0"/>
    <n v="0"/>
    <m/>
    <n v="0"/>
    <n v="0"/>
    <n v="0"/>
    <n v="0"/>
    <m/>
  </r>
  <r>
    <x v="28"/>
    <m/>
    <s v="EDUARDO GAMBOA"/>
    <s v="MITSUBISHI"/>
    <s v="BLU-451"/>
    <x v="4"/>
    <s v="CAMBIO DE CORREA DE ACCESORIO"/>
    <n v="20000"/>
    <n v="14000"/>
    <n v="6000"/>
    <m/>
    <m/>
    <n v="0"/>
    <n v="0"/>
    <m/>
    <n v="0"/>
    <n v="0"/>
    <n v="0"/>
    <n v="0"/>
    <m/>
  </r>
  <r>
    <x v="28"/>
    <m/>
    <s v="SAUL BETANCOURT"/>
    <s v="LUV2300"/>
    <s v="BEU-479"/>
    <x v="2"/>
    <s v="CAMBIO DE PASADORES DE MORDAZA"/>
    <n v="40000"/>
    <n v="28000"/>
    <n v="12000"/>
    <s v="PASADORES"/>
    <n v="70000"/>
    <n v="58823.529411764706"/>
    <n v="11176.470588235294"/>
    <n v="100000"/>
    <n v="84033.613445378156"/>
    <n v="15966.386554621849"/>
    <n v="4789.9159663865557"/>
    <n v="25210.084033613442"/>
    <m/>
  </r>
  <r>
    <x v="28"/>
    <m/>
    <s v="LORENZO FRANCO"/>
    <s v="HILUX"/>
    <s v="FJW-543"/>
    <x v="14"/>
    <s v="CAMBIO DE PASTILLAS Y RECTIFICACION DE DISCOS"/>
    <n v="60000"/>
    <n v="36000"/>
    <n v="24000"/>
    <s v="PASTILLAS"/>
    <n v="170000"/>
    <n v="142857.14285714287"/>
    <n v="27142.857142857145"/>
    <n v="240000"/>
    <n v="201680.67226890757"/>
    <n v="38319.327731092439"/>
    <n v="11176.470588235294"/>
    <n v="58823.529411764699"/>
    <m/>
  </r>
  <r>
    <x v="28"/>
    <s v="FE: 634"/>
    <s v="RYD JARDINEROS "/>
    <s v="JAC"/>
    <s v="TSM-325"/>
    <x v="3"/>
    <s v="REVISION DE FRENOS COMPLETO"/>
    <n v="100000"/>
    <n v="70000"/>
    <n v="30000"/>
    <m/>
    <m/>
    <n v="0"/>
    <n v="0"/>
    <m/>
    <n v="0"/>
    <n v="0"/>
    <n v="0"/>
    <n v="0"/>
    <m/>
  </r>
  <r>
    <x v="28"/>
    <s v="RM: 129"/>
    <s v="INDUSTRIAL DE ACEROS JV SAS"/>
    <s v="BUSETA "/>
    <s v="TLO-471"/>
    <x v="2"/>
    <s v="CAMBIO DE TIJERAS-CAMBIO DE BUJES BARRA ESTABILIZADORA-BUJES DE TEMPLETES-MUÑECOS-CAMBIO DE CILINDRO DE FRENOS-LIQUIDO DE FRENO- MTTO DE FRENOS"/>
    <n v="350000"/>
    <n v="244999.99999999997"/>
    <n v="105000.00000000003"/>
    <m/>
    <m/>
    <n v="0"/>
    <n v="0"/>
    <m/>
    <n v="0"/>
    <n v="0"/>
    <n v="0"/>
    <n v="0"/>
    <m/>
  </r>
  <r>
    <x v="28"/>
    <s v="RM: 129"/>
    <s v="INDUSTRIAL DE ACEROS JV SAS"/>
    <s v="BUSETA "/>
    <s v="TLO-471"/>
    <x v="7"/>
    <s v="MANTENIMIENTO DE ARRANQUE-- MATTO DE LUCES"/>
    <n v="130000"/>
    <n v="78000"/>
    <n v="52000"/>
    <m/>
    <m/>
    <n v="0"/>
    <n v="0"/>
    <m/>
    <n v="0"/>
    <n v="0"/>
    <n v="0"/>
    <n v="0"/>
    <m/>
  </r>
  <r>
    <x v="28"/>
    <m/>
    <s v="CAMILO JARAMILLO"/>
    <s v="MEGAN"/>
    <s v="DBT-851"/>
    <x v="4"/>
    <s v="CAMBIO DE KIT DE REPARTICION / EMPAQUE DE ADMISION /MANGUERA PURIFICADOR DE AIRE/ TAPONES DE LEVA"/>
    <n v="420000"/>
    <n v="294000"/>
    <n v="126000"/>
    <s v="KIT DE REPARTICION-EMPAQUE DE ADMISION-MANGUERA PURIFICADOR DE AIRE-TAPONES DE LEVA-GASOLINA"/>
    <n v="343000"/>
    <n v="288235.29411764705"/>
    <n v="54764.705882352937"/>
    <n v="425000"/>
    <m/>
    <n v="0"/>
    <m/>
    <n v="82000"/>
    <m/>
  </r>
  <r>
    <x v="29"/>
    <m/>
    <s v="JIMMY GALINDO"/>
    <s v="KIA"/>
    <s v="DBI-490"/>
    <x v="2"/>
    <s v="MANTENIMEINTO COMPLETO DE FRENOS /CAMBIO DE LIQUIDO"/>
    <n v="120000"/>
    <n v="84000"/>
    <n v="36000"/>
    <s v="LIQUIDO"/>
    <n v="12000"/>
    <n v="10084.033613445379"/>
    <n v="1915.966386554622"/>
    <n v="24000"/>
    <n v="20168.067226890758"/>
    <n v="3831.932773109244"/>
    <n v="1915.966386554622"/>
    <n v="10084.033613445377"/>
    <m/>
  </r>
  <r>
    <x v="29"/>
    <m/>
    <s v="JIMMY GALINDO"/>
    <s v="KIA"/>
    <s v="DBI-490"/>
    <x v="7"/>
    <s v="CAMBIO DE BOMBILLO"/>
    <n v="10000"/>
    <n v="6000"/>
    <n v="4000"/>
    <m/>
    <m/>
    <n v="0"/>
    <n v="0"/>
    <m/>
    <n v="0"/>
    <n v="0"/>
    <n v="0"/>
    <n v="0"/>
    <m/>
  </r>
  <r>
    <x v="29"/>
    <m/>
    <m/>
    <s v="SKI-838"/>
    <s v="NPR"/>
    <x v="7"/>
    <s v="CAMBIO KIT  BOMBA EMBRAGUE"/>
    <n v="45000"/>
    <n v="27000"/>
    <n v="18000"/>
    <s v="KIT BOMBA EMBRAGUE"/>
    <n v="15000"/>
    <n v="12605.042016806723"/>
    <n v="2394.9579831932774"/>
    <n v="35000"/>
    <n v="29411.764705882353"/>
    <n v="5588.2352941176468"/>
    <n v="3193.2773109243694"/>
    <n v="16806.722689075632"/>
    <m/>
  </r>
  <r>
    <x v="30"/>
    <m/>
    <m/>
    <s v="HINO"/>
    <s v="SZP-145"/>
    <x v="14"/>
    <s v="CAMBIO DE MANGUERA"/>
    <n v="30000"/>
    <n v="18000"/>
    <n v="12000"/>
    <m/>
    <m/>
    <n v="0"/>
    <n v="0"/>
    <m/>
    <n v="0"/>
    <n v="0"/>
    <n v="0"/>
    <n v="0"/>
    <m/>
  </r>
  <r>
    <x v="30"/>
    <s v="RM:135"/>
    <s v="VICENTE PATARROYO"/>
    <s v="CHEVROLET"/>
    <s v="MAO-470"/>
    <x v="14"/>
    <s v="REVISION DE LUCES"/>
    <n v="50000"/>
    <n v="30000"/>
    <n v="20000"/>
    <m/>
    <m/>
    <n v="0"/>
    <n v="0"/>
    <m/>
    <n v="0"/>
    <n v="0"/>
    <n v="0"/>
    <n v="0"/>
    <m/>
  </r>
  <r>
    <x v="30"/>
    <s v="RM:135"/>
    <s v="VICENTE PATARROYO"/>
    <s v="CHEVROLET"/>
    <s v="MAO-470"/>
    <x v="3"/>
    <s v="REVISION GENERAL DE FRENOS/ CAMBIO DE CILINDRO TRASERO IZQ/ REVISAR MANGUERA PRESION ACEITE"/>
    <n v="120000"/>
    <n v="84000"/>
    <n v="36000"/>
    <m/>
    <m/>
    <n v="0"/>
    <n v="0"/>
    <m/>
    <n v="0"/>
    <n v="0"/>
    <n v="0"/>
    <n v="0"/>
    <m/>
  </r>
  <r>
    <x v="30"/>
    <s v="RM:136"/>
    <s v="JULIO DUARTE"/>
    <s v="BUW-614"/>
    <s v="HILUX"/>
    <x v="4"/>
    <s v="CAMBIO SOPORTE CARDAN"/>
    <n v="50000"/>
    <n v="35000"/>
    <n v="15000"/>
    <m/>
    <m/>
    <n v="0"/>
    <n v="0"/>
    <m/>
    <n v="0"/>
    <n v="0"/>
    <n v="0"/>
    <n v="0"/>
    <m/>
  </r>
  <r>
    <x v="31"/>
    <m/>
    <s v="ALEJANDRO MARTIN"/>
    <s v="RNN-506"/>
    <s v="SPARK"/>
    <x v="14"/>
    <s v="CAMBIO DE TIJERAS- Y BUJES DE LA BARRA ESTABILIZADORA"/>
    <n v="100000"/>
    <n v="60000"/>
    <n v="40000"/>
    <m/>
    <m/>
    <m/>
    <m/>
    <m/>
    <m/>
    <m/>
    <m/>
    <m/>
    <m/>
  </r>
  <r>
    <x v="31"/>
    <m/>
    <m/>
    <s v="CFG-298"/>
    <m/>
    <x v="4"/>
    <s v="CAMBIO DE BOMBA DE AGUA / CORREGIR FUGA DE ACEITE"/>
    <n v="420000"/>
    <n v="294000"/>
    <n v="126000"/>
    <m/>
    <m/>
    <m/>
    <m/>
    <m/>
    <m/>
    <m/>
    <m/>
    <m/>
    <m/>
  </r>
  <r>
    <x v="32"/>
    <m/>
    <s v="CARLOS PEDROZA"/>
    <s v="KAT-796"/>
    <s v="MAZDA2"/>
    <x v="9"/>
    <s v="CAMBIO DE TOPES DE AMORTIGUADOR"/>
    <n v="80000"/>
    <n v="56000"/>
    <n v="24000"/>
    <m/>
    <m/>
    <n v="0"/>
    <n v="0"/>
    <m/>
    <n v="0"/>
    <n v="0"/>
    <n v="0"/>
    <n v="0"/>
    <m/>
  </r>
  <r>
    <x v="31"/>
    <m/>
    <m/>
    <m/>
    <s v="BUSETA"/>
    <x v="3"/>
    <s v="GRADUACION DE FRENOS"/>
    <n v="15000"/>
    <n v="10500"/>
    <n v="4500"/>
    <m/>
    <m/>
    <n v="0"/>
    <n v="0"/>
    <m/>
    <n v="0"/>
    <n v="0"/>
    <n v="0"/>
    <n v="0"/>
    <m/>
  </r>
  <r>
    <x v="31"/>
    <m/>
    <s v="MIGUEL BAUTISTA"/>
    <s v="XJA-514"/>
    <s v="HINO"/>
    <x v="3"/>
    <s v="GRADUACION DE FRENOS"/>
    <n v="10000"/>
    <n v="7000"/>
    <n v="3000"/>
    <s v="PINTA DE LIQUIDO"/>
    <n v="5000"/>
    <n v="4201.680672268908"/>
    <n v="798.31932773109247"/>
    <n v="12000"/>
    <n v="10084.033613445379"/>
    <n v="1915.966386554622"/>
    <n v="1117.6470588235295"/>
    <n v="5882.3529411764703"/>
    <m/>
  </r>
  <r>
    <x v="31"/>
    <m/>
    <s v="RODRRIGO CALA "/>
    <s v="HJX-938"/>
    <s v="CHEVROLET TRAVERSE"/>
    <x v="14"/>
    <s v="CAMBIO DE LIQUIDO/ REVISION DE FRENOS/ FRENO DE MANO/ CAMBIO DE AMORTIGUADORE/PASTILLAS"/>
    <n v="150000"/>
    <n v="90000"/>
    <n v="60000"/>
    <s v="PASTILLAS / AMORTIGUADORES"/>
    <n v="538000"/>
    <n v="452100.84033613448"/>
    <n v="85899.159663865546"/>
    <n v="800000"/>
    <n v="672268.90756302525"/>
    <n v="127731.0924369748"/>
    <n v="41831.932773109249"/>
    <n v="220168.06722689071"/>
    <m/>
  </r>
  <r>
    <x v="31"/>
    <m/>
    <s v="RODRRIGO CALA "/>
    <s v="HJX-938"/>
    <s v="CHEVROLET TRAVERSE"/>
    <x v="3"/>
    <s v="SERVICIO DE ESCANER"/>
    <n v="50000"/>
    <n v="35000"/>
    <n v="15000"/>
    <m/>
    <m/>
    <n v="0"/>
    <n v="0"/>
    <m/>
    <n v="0"/>
    <n v="0"/>
    <n v="0"/>
    <n v="0"/>
    <m/>
  </r>
  <r>
    <x v="31"/>
    <m/>
    <s v="IVAN LOPEZ"/>
    <s v="RCR-206"/>
    <s v="AVEO"/>
    <x v="14"/>
    <s v="CAMBIO DE AMORTIGUADORES"/>
    <n v="60000"/>
    <n v="36000"/>
    <n v="24000"/>
    <m/>
    <m/>
    <n v="0"/>
    <n v="0"/>
    <m/>
    <n v="0"/>
    <n v="0"/>
    <n v="0"/>
    <n v="0"/>
    <m/>
  </r>
  <r>
    <x v="31"/>
    <s v="RM: 139"/>
    <s v="SERGIO CASTANO"/>
    <s v="DRR-627"/>
    <s v="SAIL"/>
    <x v="2"/>
    <s v="REVISION DE FRENOS COMPLETO"/>
    <n v="60000"/>
    <n v="42000"/>
    <n v="18000"/>
    <m/>
    <m/>
    <n v="0"/>
    <n v="0"/>
    <m/>
    <n v="0"/>
    <n v="0"/>
    <n v="0"/>
    <n v="0"/>
    <m/>
  </r>
  <r>
    <x v="31"/>
    <s v="RM: 141"/>
    <m/>
    <s v="NER-493"/>
    <s v="MAZDA"/>
    <x v="7"/>
    <s v="REVISION DE LUCES"/>
    <n v="30000"/>
    <n v="18000"/>
    <n v="12000"/>
    <s v="BOMBILLO"/>
    <n v="37000"/>
    <n v="31092.436974789918"/>
    <n v="5907.5630252100846"/>
    <n v="50000"/>
    <n v="42016.806722689078"/>
    <n v="7983.1932773109247"/>
    <n v="2075.6302521008402"/>
    <n v="10924.36974789916"/>
    <m/>
  </r>
  <r>
    <x v="31"/>
    <s v="RM: 141"/>
    <m/>
    <s v="NER-493"/>
    <s v="MAZDA"/>
    <x v="3"/>
    <s v="SERVICIO DE ESCANER"/>
    <n v="50000"/>
    <n v="35000"/>
    <n v="15000"/>
    <m/>
    <m/>
    <n v="0"/>
    <n v="0"/>
    <m/>
    <n v="0"/>
    <n v="0"/>
    <n v="0"/>
    <n v="0"/>
    <m/>
  </r>
  <r>
    <x v="33"/>
    <s v="RM: 143"/>
    <s v="PEDRO HERNANDEZ"/>
    <s v="VEM-246"/>
    <s v="HIUNDAY"/>
    <x v="2"/>
    <s v="CAMBIO DE PASTILLAS DEL Y BANDAS"/>
    <n v="50000"/>
    <n v="35000"/>
    <n v="15000"/>
    <m/>
    <m/>
    <n v="0"/>
    <n v="0"/>
    <m/>
    <n v="0"/>
    <n v="0"/>
    <n v="0"/>
    <n v="0"/>
    <m/>
  </r>
  <r>
    <x v="33"/>
    <s v="RM: 142"/>
    <s v="VICENTE PATARROYO"/>
    <s v="MAO-470"/>
    <s v="CHEVROLET"/>
    <x v="3"/>
    <s v="BAJAR PLATO TRASERO IZQ"/>
    <n v="50000"/>
    <n v="35000"/>
    <n v="15000"/>
    <m/>
    <m/>
    <n v="0"/>
    <n v="0"/>
    <m/>
    <n v="0"/>
    <n v="0"/>
    <n v="0"/>
    <n v="0"/>
    <m/>
  </r>
  <r>
    <x v="33"/>
    <s v="RM:144"/>
    <s v="SAUL BETANCOURT"/>
    <s v="BEU-479"/>
    <s v="LUV"/>
    <x v="2"/>
    <s v="COLOCAR MUELLE CENTRAL"/>
    <n v="100000"/>
    <n v="70000"/>
    <n v="30000"/>
    <m/>
    <m/>
    <n v="0"/>
    <n v="0"/>
    <m/>
    <n v="0"/>
    <n v="0"/>
    <n v="0"/>
    <n v="0"/>
    <m/>
  </r>
  <r>
    <x v="33"/>
    <m/>
    <s v="METALCARGOS"/>
    <s v="TFT-701"/>
    <m/>
    <x v="4"/>
    <s v="COLOCAR TABLA CHASSIS"/>
    <n v="50000"/>
    <n v="50000"/>
    <n v="0"/>
    <m/>
    <m/>
    <n v="0"/>
    <n v="0"/>
    <m/>
    <n v="0"/>
    <n v="0"/>
    <n v="0"/>
    <n v="0"/>
    <m/>
  </r>
  <r>
    <x v="34"/>
    <s v="FE:66"/>
    <s v="GERMAN NARANJO"/>
    <s v="DAJ-905"/>
    <s v="NISSAN"/>
    <x v="9"/>
    <s v="CAMBIO DE PASTILLAS DEL"/>
    <n v="30000"/>
    <n v="21000"/>
    <n v="9000"/>
    <s v="PASTILLAS DEL"/>
    <n v="95000"/>
    <n v="79831.932773109249"/>
    <n v="15168.067226890758"/>
    <m/>
    <n v="0"/>
    <n v="0"/>
    <n v="-15168.067226890758"/>
    <n v="-79831.932773109234"/>
    <m/>
  </r>
  <r>
    <x v="34"/>
    <m/>
    <m/>
    <s v="EWJ-306"/>
    <s v="RENAULT 12"/>
    <x v="14"/>
    <s v="AJUSTE TRASERO"/>
    <n v="20000"/>
    <n v="12000"/>
    <n v="8000"/>
    <m/>
    <m/>
    <n v="0"/>
    <n v="0"/>
    <m/>
    <n v="0"/>
    <n v="0"/>
    <n v="0"/>
    <n v="0"/>
    <m/>
  </r>
  <r>
    <x v="34"/>
    <m/>
    <s v="SANTIAGO CUBILLOS"/>
    <s v="JIQ-443"/>
    <s v="NISSAN "/>
    <x v="9"/>
    <s v="CAMBIO DE BOMBA PRINCIPAL"/>
    <n v="50000"/>
    <n v="60000"/>
    <n v="-10000"/>
    <s v="BOMBA PRINCIPAL"/>
    <n v="420000"/>
    <m/>
    <m/>
    <n v="450000"/>
    <m/>
    <n v="0"/>
    <n v="0"/>
    <n v="30000"/>
    <m/>
  </r>
  <r>
    <x v="34"/>
    <m/>
    <s v="GILBERTO ZAPATA"/>
    <s v="HKK-865"/>
    <s v="SPARK"/>
    <x v="14"/>
    <s v="REVISION DE TRASERAS-CAMBIO DE BANDAS Y CILINDRO"/>
    <n v="70000"/>
    <n v="42000"/>
    <n v="28000"/>
    <m/>
    <m/>
    <n v="0"/>
    <n v="0"/>
    <m/>
    <n v="0"/>
    <n v="0"/>
    <n v="0"/>
    <n v="0"/>
    <m/>
  </r>
  <r>
    <x v="35"/>
    <m/>
    <s v="IDUSTRIAS JEC"/>
    <s v="IXY-239"/>
    <s v="FORD 150"/>
    <x v="14"/>
    <s v="CAMBIO DE PASTILLAS TRASERAS"/>
    <n v="40000"/>
    <n v="24000"/>
    <n v="16000"/>
    <m/>
    <m/>
    <n v="0"/>
    <n v="0"/>
    <m/>
    <n v="0"/>
    <n v="0"/>
    <n v="0"/>
    <n v="0"/>
    <m/>
  </r>
  <r>
    <x v="35"/>
    <m/>
    <m/>
    <m/>
    <s v="JEEP"/>
    <x v="14"/>
    <s v="CAMBIO DE CRUCETAS"/>
    <n v="60000"/>
    <n v="36000"/>
    <n v="24000"/>
    <m/>
    <m/>
    <n v="0"/>
    <n v="0"/>
    <m/>
    <n v="0"/>
    <n v="0"/>
    <n v="0"/>
    <n v="0"/>
    <m/>
  </r>
  <r>
    <x v="36"/>
    <m/>
    <s v="JAME RODRIGUEZ"/>
    <s v="NDQ-997"/>
    <s v="HYUNDAI TUCSON"/>
    <x v="9"/>
    <s v="CAMBIO DE LIQUIDO"/>
    <n v="30000"/>
    <n v="30000"/>
    <n v="0"/>
    <s v="LIQUIDO "/>
    <n v="42000"/>
    <n v="35294.117647058825"/>
    <n v="6705.8823529411766"/>
    <n v="60000"/>
    <n v="50420.168067226892"/>
    <n v="9579.8319327731097"/>
    <n v="2873.9495798319331"/>
    <n v="15126.050420168067"/>
    <m/>
  </r>
  <r>
    <x v="36"/>
    <m/>
    <s v="JUAN CAMERO"/>
    <s v="MPQ-345"/>
    <s v="LOGAN"/>
    <x v="9"/>
    <s v="CAMBIO DE ASPIRALES"/>
    <n v="80000"/>
    <n v="70000"/>
    <n v="10000"/>
    <m/>
    <m/>
    <n v="0"/>
    <n v="0"/>
    <m/>
    <n v="0"/>
    <n v="0"/>
    <n v="0"/>
    <n v="0"/>
    <m/>
  </r>
  <r>
    <x v="36"/>
    <s v="FE: 68"/>
    <s v="TRANSPORTE METROPLUS"/>
    <s v="SVB-673"/>
    <s v="INTER"/>
    <x v="14"/>
    <s v="CAMBIO DE ESPARRAGOS/ RETENEDOR TRASERO/ RODAJA DE FRENOS"/>
    <n v="180000"/>
    <n v="108000"/>
    <n v="72000"/>
    <s v="ESPARRAGOS/ RETENEDOR TRASERO/ RODAJA DE FRENOS/GRASAS/GASOLINA"/>
    <n v="239000"/>
    <n v="200840.3361344538"/>
    <n v="38159.663865546223"/>
    <n v="363000"/>
    <n v="305042.01680672268"/>
    <n v="57957.983193277309"/>
    <n v="19798.319327731086"/>
    <n v="104201.68067226891"/>
    <m/>
  </r>
  <r>
    <x v="36"/>
    <s v="FE: 69"/>
    <s v="VIRTUAL WARE LTDA"/>
    <s v="CZF-259"/>
    <s v="RENAULT SCENIC"/>
    <x v="14"/>
    <s v="CAMBIO DE AMORTIGUADORES DELANTEROS/ MUÑECOS/ TERMINAL DE DIRECCION IZQ"/>
    <n v="150000"/>
    <n v="90000"/>
    <n v="60000"/>
    <s v="AMORTIGUADORES DELANTEROS/ MUÑECOS/ TERMINAL DE DIRECCION IZQ"/>
    <n v="590000"/>
    <n v="495798.31932773109"/>
    <n v="94201.680672268907"/>
    <n v="814000"/>
    <n v="684033.61344537814"/>
    <n v="129966.38655462184"/>
    <n v="35764.705882352937"/>
    <n v="188235.29411764711"/>
    <m/>
  </r>
  <r>
    <x v="37"/>
    <m/>
    <s v="JOSE DAVID BERRNAL"/>
    <s v="BSZ-571"/>
    <s v="TWINGO"/>
    <x v="14"/>
    <s v="CAMBIO DE BANDAS TRASERAS"/>
    <n v="30000"/>
    <n v="18000"/>
    <n v="12000"/>
    <m/>
    <m/>
    <n v="0"/>
    <n v="0"/>
    <m/>
    <n v="0"/>
    <n v="0"/>
    <n v="0"/>
    <n v="0"/>
    <m/>
  </r>
  <r>
    <x v="37"/>
    <m/>
    <m/>
    <s v="ZIH-549"/>
    <s v="FORD -350"/>
    <x v="14"/>
    <s v="CAMBIO DE LIQUIDO"/>
    <s v="-"/>
    <n v="30000"/>
    <s v="-"/>
    <s v="SE COMPLETO LIQUIDO Y CAMBIO DE TABACO"/>
    <n v="20000"/>
    <n v="16806.722689075632"/>
    <n v="3193.2773109243699"/>
    <n v="10000"/>
    <n v="8403.361344537816"/>
    <n v="1596.6386554621849"/>
    <n v="-1596.6386554621849"/>
    <n v="-8403.3613445378141"/>
    <m/>
  </r>
  <r>
    <x v="37"/>
    <m/>
    <s v="GUSTAVO MARTINEZ"/>
    <s v="CVO-961"/>
    <s v="SUBARU"/>
    <x v="9"/>
    <s v="CAMBIO DE AMORTIGUADORES TRASEROS"/>
    <n v="115000"/>
    <n v="80500"/>
    <n v="34500"/>
    <m/>
    <m/>
    <n v="0"/>
    <n v="0"/>
    <m/>
    <n v="0"/>
    <n v="0"/>
    <n v="0"/>
    <n v="0"/>
    <m/>
  </r>
  <r>
    <x v="38"/>
    <s v="FE: 75"/>
    <s v="SERVICIOS AGRICOLAS"/>
    <s v="WNM-202"/>
    <s v="FOTON"/>
    <x v="9"/>
    <s v="REVISION DE FRENOS COMPLETO-CAMBIO DE BANDAS TRASERAS Y DEL. RELIJAR CILINDROS TRASEROS"/>
    <n v="200000"/>
    <n v="140000"/>
    <n v="60000"/>
    <s v="BANDAS"/>
    <m/>
    <n v="300000"/>
    <n v="57000"/>
    <n v="464800"/>
    <n v="390588.23529411765"/>
    <n v="74211.76470588235"/>
    <n v="17211.76470588235"/>
    <n v="447588.23529411765"/>
    <m/>
  </r>
  <r>
    <x v="38"/>
    <m/>
    <s v="CARLOS ACERO"/>
    <s v="OZD-087"/>
    <s v="VOLQUETA"/>
    <x v="6"/>
    <s v="CAMBIO DE BENDIX Y DIAFRAGMA"/>
    <n v="55000"/>
    <n v="33000"/>
    <n v="22000"/>
    <m/>
    <m/>
    <n v="0"/>
    <n v="0"/>
    <m/>
    <n v="0"/>
    <n v="0"/>
    <n v="0"/>
    <n v="0"/>
    <m/>
  </r>
  <r>
    <x v="38"/>
    <m/>
    <s v="JORGE MORELO"/>
    <s v="ETM-858"/>
    <s v="JAC"/>
    <x v="14"/>
    <s v="GRADUAR FRENOS"/>
    <n v="15000"/>
    <n v="9000"/>
    <n v="6000"/>
    <m/>
    <m/>
    <n v="0"/>
    <n v="0"/>
    <m/>
    <n v="0"/>
    <n v="0"/>
    <n v="0"/>
    <n v="0"/>
    <m/>
  </r>
  <r>
    <x v="38"/>
    <m/>
    <s v="PERVIVIR"/>
    <s v="TBZ-979"/>
    <s v="NNR"/>
    <x v="14"/>
    <s v="REVISION DE FRENOS"/>
    <n v="100000"/>
    <n v="100000"/>
    <n v="0"/>
    <m/>
    <m/>
    <n v="0"/>
    <n v="0"/>
    <m/>
    <n v="0"/>
    <n v="0"/>
    <n v="0"/>
    <n v="0"/>
    <m/>
  </r>
  <r>
    <x v="38"/>
    <m/>
    <s v="PERVIVIR"/>
    <s v="TBZ-979"/>
    <s v="NNR"/>
    <x v="4"/>
    <s v="CAMBIO DE SPEED Y CORONA"/>
    <n v="300000"/>
    <n v="210000"/>
    <n v="90000"/>
    <s v="SPEED CORONA Y RODAMIENTOS"/>
    <n v="2175000"/>
    <m/>
    <m/>
    <n v="3255900"/>
    <n v="2736050.4201680673"/>
    <n v="519849.57983193279"/>
    <n v="519849.57983193279"/>
    <n v="561050.42016806733"/>
    <m/>
  </r>
  <r>
    <x v="32"/>
    <s v="RM: 157"/>
    <s v="ANDREA CORREDOR"/>
    <s v="BIO-488"/>
    <s v="JEEP"/>
    <x v="17"/>
    <s v="SUSPENSION TRASERA"/>
    <n v="300000"/>
    <n v="210000"/>
    <n v="90000"/>
    <s v="BOMBA DE ACEITE/ TEMPLETES SUPERIOR E INFERIOR/ BUJES DE LA BARRA ESTABILIZADORA"/>
    <n v="2130000"/>
    <m/>
    <m/>
    <n v="2716000"/>
    <m/>
    <m/>
    <n v="0"/>
    <n v="586000"/>
    <m/>
  </r>
  <r>
    <x v="32"/>
    <s v="RM: 157"/>
    <s v="ANDREA CORREDOR"/>
    <s v="BIO-488"/>
    <s v="JEEP"/>
    <x v="4"/>
    <s v="CAMBIO DE BOMBA DE ACEITE"/>
    <n v="300000"/>
    <n v="210000"/>
    <n v="90000"/>
    <m/>
    <m/>
    <n v="0"/>
    <n v="0"/>
    <m/>
    <n v="0"/>
    <n v="0"/>
    <n v="0"/>
    <n v="0"/>
    <m/>
  </r>
  <r>
    <x v="32"/>
    <m/>
    <s v="SERVICIOS AGRICOLAS"/>
    <s v="ETT-299"/>
    <s v="JAC"/>
    <x v="9"/>
    <s v="BAJAR FRENO DE AHOGO Y CORREGIR FUGA DE AIRE"/>
    <n v="50000"/>
    <n v="35000"/>
    <n v="15000"/>
    <m/>
    <m/>
    <n v="0"/>
    <n v="0"/>
    <m/>
    <n v="0"/>
    <n v="0"/>
    <n v="0"/>
    <n v="0"/>
    <m/>
  </r>
  <r>
    <x v="32"/>
    <m/>
    <s v="MATEO PINTO"/>
    <s v="RCW-547"/>
    <s v="AVEO"/>
    <x v="14"/>
    <s v="CAMBIO DE PASTILLAS DELANTERAS"/>
    <n v="30000"/>
    <n v="18000"/>
    <n v="12000"/>
    <s v="PASTILLAS DELANTERAS"/>
    <n v="138000"/>
    <n v="115966.38655462186"/>
    <n v="22033.613445378152"/>
    <n v="190000"/>
    <n v="159663.8655462185"/>
    <n v="30336.134453781517"/>
    <n v="8302.5210084033642"/>
    <n v="43697.478991596639"/>
    <m/>
  </r>
  <r>
    <x v="32"/>
    <m/>
    <s v="CAROLINA OCHOA"/>
    <s v="HBN-909"/>
    <s v="HUMMER"/>
    <x v="9"/>
    <s v="BAJAR RADEADOR"/>
    <n v="150000"/>
    <n v="105000"/>
    <n v="45000"/>
    <m/>
    <m/>
    <n v="0"/>
    <n v="0"/>
    <m/>
    <n v="0"/>
    <n v="0"/>
    <n v="0"/>
    <n v="0"/>
    <m/>
  </r>
  <r>
    <x v="32"/>
    <s v="RM: 162"/>
    <s v="CARLOS ARTURO NARIÑO"/>
    <s v="FTO-372"/>
    <s v="DODGE"/>
    <x v="4"/>
    <s v="CAMBIO EMPAQUE DE CARTER Y RADIADOR"/>
    <n v="200000"/>
    <n v="140000"/>
    <n v="60000"/>
    <s v="SILICONA"/>
    <n v="15000"/>
    <n v="12605.042016806723"/>
    <n v="2394.9579831932774"/>
    <n v="25000"/>
    <n v="21008.403361344539"/>
    <n v="3991.5966386554624"/>
    <n v="1596.6386554621849"/>
    <n v="8403.3613445378141"/>
    <m/>
  </r>
  <r>
    <x v="39"/>
    <s v="RM:158"/>
    <s v="FRANKLIN QUINTERO"/>
    <s v="CLA-281"/>
    <s v="SPRINT"/>
    <x v="7"/>
    <s v="CAMBIO DE TOPES DE AMORTIGUADORES"/>
    <n v="100000"/>
    <n v="60000"/>
    <n v="40000"/>
    <s v="CAUCHOS DE AMORTIGUADORES"/>
    <n v="40000"/>
    <n v="33613.445378151264"/>
    <n v="6386.5546218487398"/>
    <n v="70000"/>
    <n v="58823.529411764706"/>
    <n v="11176.470588235294"/>
    <n v="4789.9159663865539"/>
    <n v="25210.084033613442"/>
    <m/>
  </r>
  <r>
    <x v="39"/>
    <s v="FE: 78 /RM:159"/>
    <s v="ALEJANDRO CASTILLO"/>
    <s v="BTQ-287"/>
    <s v="SPARK"/>
    <x v="9"/>
    <s v="MANTENIMIENTO COMPLETO-CAMBIO DE PASTILLAS DEL"/>
    <n v="90000"/>
    <n v="62999.999999999993"/>
    <n v="27000.000000000007"/>
    <s v="PASTILLAS DEL-CILINDROS -BANDAS"/>
    <n v="235000"/>
    <n v="197478.99159663866"/>
    <n v="37521.008403361346"/>
    <n v="310000"/>
    <n v="260504.20168067227"/>
    <n v="49495.798319327732"/>
    <n v="11974.789915966387"/>
    <n v="63025.210084033606"/>
    <m/>
  </r>
  <r>
    <x v="39"/>
    <m/>
    <s v="HENRY BENAVIDEZ"/>
    <s v="BLT-506"/>
    <s v="CHEVROLET ALTO"/>
    <x v="9"/>
    <s v="CAMBIO DE GUAYA DE ACELERACION"/>
    <n v="25000"/>
    <n v="17500"/>
    <n v="7500"/>
    <s v="GUAYA DE ACELERACION"/>
    <n v="40000"/>
    <n v="33613.445378151264"/>
    <n v="6386.5546218487398"/>
    <n v="65000"/>
    <n v="54621.848739495799"/>
    <n v="10378.151260504203"/>
    <n v="3991.5966386554628"/>
    <n v="21008.403361344535"/>
    <m/>
  </r>
  <r>
    <x v="39"/>
    <s v="FE:79"/>
    <s v="JUAN PABLO CASTELLANOS"/>
    <s v="RZJ-555"/>
    <s v="JEEP"/>
    <x v="9"/>
    <s v="REVISION DE FRENOS/ CAMBIO DE PASTILLAS DEL Y LIQUIDO"/>
    <n v="110000"/>
    <n v="77000"/>
    <n v="33000"/>
    <s v="LIQUIDO/ PASTILLAS DEL Y TRASERAS"/>
    <n v="260000"/>
    <n v="218487.3949579832"/>
    <n v="41512.60504201681"/>
    <n v="355000"/>
    <n v="298319.32773109246"/>
    <n v="56680.672268907569"/>
    <n v="15168.067226890758"/>
    <n v="79831.932773109234"/>
    <m/>
  </r>
  <r>
    <x v="39"/>
    <s v="FE: 80/ RM: 161"/>
    <s v="OSCAR ALEXANDER RODRIGUEZ"/>
    <s v="MNY-524"/>
    <s v="SPARK"/>
    <x v="7"/>
    <s v="CAMBIO DE KIT DE CLOSH Y SOPORTE CENTRAL Y SOPORTE IZQ "/>
    <n v="150000"/>
    <n v="150000"/>
    <m/>
    <s v="SOPORTE CAJA CENTRAL / SOPORTE CAJA IZQ/ KIT DE CLOSH "/>
    <n v="526000"/>
    <n v="442016.80672268907"/>
    <n v="83983.193277310929"/>
    <n v="649000"/>
    <n v="545378.15126050427"/>
    <n v="103621.84873949581"/>
    <n v="19638.655462184877"/>
    <n v="103361.34453781508"/>
    <m/>
  </r>
  <r>
    <x v="40"/>
    <s v="FE:81/ RM:163"/>
    <s v="CESAR QUECAN"/>
    <s v="CKF-173"/>
    <s v="TWINGO"/>
    <x v="9"/>
    <s v="CAMBIO DE PASTILLAS DELANTERAS/ ARREGLO DE BABEROS"/>
    <n v="120000"/>
    <n v="84000"/>
    <n v="36000"/>
    <s v="JUEGO DE PASTILLAS DEL. Y ANTIRUIDOS"/>
    <n v="144000"/>
    <n v="121008.40336134455"/>
    <n v="22991.596638655465"/>
    <n v="199000"/>
    <n v="167226.89075630254"/>
    <n v="31773.109243697483"/>
    <n v="8781.5126050420185"/>
    <n v="46218.487394957978"/>
    <m/>
  </r>
  <r>
    <x v="40"/>
    <s v="RM:164"/>
    <s v="LINA GUZMAN"/>
    <s v="DQL-105"/>
    <s v="VOLSWAGEN"/>
    <x v="7"/>
    <s v="ARREGLO BABERO"/>
    <n v="80000"/>
    <n v="48000"/>
    <n v="32000"/>
    <m/>
    <m/>
    <n v="0"/>
    <n v="0"/>
    <m/>
    <n v="0"/>
    <n v="0"/>
    <n v="0"/>
    <n v="0"/>
    <m/>
  </r>
  <r>
    <x v="40"/>
    <m/>
    <s v="CAMELO PARRA"/>
    <s v="BWN-203"/>
    <s v="CORSA"/>
    <x v="9"/>
    <s v="CAMBIO DE PASTILLAS DELANTERAS"/>
    <n v="30000"/>
    <n v="21000"/>
    <n v="9000"/>
    <m/>
    <m/>
    <n v="0"/>
    <n v="0"/>
    <m/>
    <n v="0"/>
    <n v="0"/>
    <n v="0"/>
    <n v="0"/>
    <m/>
  </r>
  <r>
    <x v="40"/>
    <s v="RM:167"/>
    <s v="OLGA SANDOVAL"/>
    <s v="50E-589"/>
    <s v="BUSETA"/>
    <x v="9"/>
    <s v="CAMBIO DE GUAYA DE CAMBIO"/>
    <n v="80000"/>
    <n v="56000"/>
    <n v="24000"/>
    <m/>
    <m/>
    <n v="0"/>
    <n v="0"/>
    <m/>
    <n v="0"/>
    <n v="0"/>
    <n v="0"/>
    <n v="0"/>
    <m/>
  </r>
  <r>
    <x v="40"/>
    <s v="RM:168"/>
    <s v="JUAN RODRIGUEZ"/>
    <s v="SWK-745"/>
    <s v="JAC"/>
    <x v="7"/>
    <s v="CHEQUEO DE LUCES"/>
    <n v="40000"/>
    <n v="24000"/>
    <n v="16000"/>
    <m/>
    <m/>
    <n v="0"/>
    <n v="0"/>
    <m/>
    <n v="0"/>
    <n v="0"/>
    <n v="0"/>
    <n v="0"/>
    <m/>
  </r>
  <r>
    <x v="40"/>
    <s v="RM:166"/>
    <s v="ALEJANDRO RIVERA"/>
    <s v="BRK-566"/>
    <s v="FIAT UNO"/>
    <x v="4"/>
    <s v="CAMBIO KIT DE EMBRAGUE"/>
    <n v="180000"/>
    <n v="125999.99999999999"/>
    <n v="54000.000000000015"/>
    <m/>
    <m/>
    <n v="0"/>
    <n v="0"/>
    <m/>
    <n v="0"/>
    <n v="0"/>
    <n v="0"/>
    <n v="0"/>
    <m/>
  </r>
  <r>
    <x v="41"/>
    <m/>
    <s v="ALEJANDRO ALONZO"/>
    <s v="KNZ-523"/>
    <s v="RENAULT ALASKA"/>
    <x v="9"/>
    <s v="CAMBIO DE BANDAS TRASERAS Y BUJE DE AMORTIGUADOR"/>
    <n v="90000"/>
    <n v="62999.999999999993"/>
    <n v="27000.000000000007"/>
    <s v="BUJE DE AMORTIGUADOR"/>
    <n v="15000"/>
    <n v="12605.042016806723"/>
    <n v="2394.9579831932774"/>
    <n v="35000"/>
    <n v="29411.764705882353"/>
    <n v="5588.2352941176468"/>
    <n v="3193.2773109243694"/>
    <n v="16806.722689075632"/>
    <m/>
  </r>
  <r>
    <x v="41"/>
    <m/>
    <s v="OMAR FIGUEROA"/>
    <s v="MMI-915"/>
    <s v="LAND CRUISER"/>
    <x v="9"/>
    <s v="MATTO DELANTERO DE RUEDA LIBRE"/>
    <n v="50000"/>
    <n v="35000"/>
    <n v="15000"/>
    <m/>
    <m/>
    <n v="0"/>
    <n v="0"/>
    <m/>
    <n v="0"/>
    <n v="0"/>
    <n v="0"/>
    <n v="0"/>
    <m/>
  </r>
  <r>
    <x v="41"/>
    <s v="FE: 170"/>
    <s v="INVERSIONES SANTANDER SABOGAL"/>
    <s v="UFX-367"/>
    <s v="NNR"/>
    <x v="14"/>
    <s v="REVISION DE FRENOS/BAJAR CILINDROS /CAMBIO DE BUJES"/>
    <n v="230000"/>
    <n v="138000"/>
    <n v="92000"/>
    <s v="BANDAS, CHUPAS, GUARDAPOLVO, LIQUIDO, GASOLINA, GRASA, PINES, BUJES DE MUELLE"/>
    <n v="334600"/>
    <n v="281176.4705882353"/>
    <n v="53423.529411764706"/>
    <n v="515000"/>
    <n v="432773.10924369749"/>
    <n v="82226.890756302528"/>
    <n v="28803.361344537821"/>
    <n v="151596.63865546219"/>
    <m/>
  </r>
  <r>
    <x v="41"/>
    <s v="FE:83"/>
    <s v="EMEB TECNOLOGIA"/>
    <s v="UIG-883"/>
    <s v="INTER 470"/>
    <x v="14"/>
    <s v="MANTENIMIENTO DE FRENOS"/>
    <n v="240000"/>
    <n v="144000"/>
    <n v="96000"/>
    <s v="GASOLINA. GRASA, RETEN, RODAJAS, EMPQUE DE EJE, SILICONA, JUEGO DE BLOQUE TRASERA"/>
    <n v="368600"/>
    <n v="309747.89915966388"/>
    <n v="58852.100840336141"/>
    <n v="638000"/>
    <n v="536134.45378151268"/>
    <n v="101865.5462184874"/>
    <n v="43013.445378151264"/>
    <n v="226386.55462184874"/>
    <m/>
  </r>
  <r>
    <x v="41"/>
    <m/>
    <s v="ALEJANDRO DIAZ"/>
    <s v="RNY-683"/>
    <s v="NISSAN TIDA"/>
    <x v="4"/>
    <s v="CAMBIO DE AMORTIGUADORES, GUARDAPOLVO DE AMORTI, SINCRONIZADA"/>
    <s v="-"/>
    <n v="150000"/>
    <m/>
    <s v="AMORTIGUADORES"/>
    <m/>
    <n v="0"/>
    <n v="0"/>
    <m/>
    <n v="0"/>
    <n v="0"/>
    <n v="0"/>
    <n v="0"/>
    <m/>
  </r>
  <r>
    <x v="41"/>
    <m/>
    <s v="ALEJANDRO DIAZ"/>
    <s v="RNY-683"/>
    <s v="NISSAN TIDA"/>
    <x v="9"/>
    <s v="REVISION DE FRENOS"/>
    <s v="-"/>
    <n v="50000"/>
    <m/>
    <m/>
    <m/>
    <n v="0"/>
    <n v="0"/>
    <m/>
    <n v="0"/>
    <n v="0"/>
    <n v="0"/>
    <n v="0"/>
    <m/>
  </r>
  <r>
    <x v="41"/>
    <s v="RM: 165"/>
    <s v="ANGELA CORREDOR"/>
    <s v="BIO-488"/>
    <s v="JEEP"/>
    <x v="9"/>
    <s v="REPARACION SUSPENSION DELANTERA"/>
    <n v="500000"/>
    <n v="350000"/>
    <n v="150000"/>
    <s v="TERMINALES, VARILLA LARGA, AMORTIGUADORES DE DIRECCION, ROTULAS, MUÑECOS"/>
    <n v="1685000"/>
    <n v="1415966.3865546219"/>
    <n v="269033.61344537814"/>
    <n v="2185000"/>
    <n v="1836134.4537815128"/>
    <n v="348865.54621848743"/>
    <n v="79831.932773109293"/>
    <n v="420168.06722689071"/>
    <m/>
  </r>
  <r>
    <x v="42"/>
    <m/>
    <m/>
    <m/>
    <s v="OPTRA"/>
    <x v="9"/>
    <s v="GRADUAR FRENOS"/>
    <n v="10000"/>
    <n v="7000"/>
    <n v="3000"/>
    <m/>
    <m/>
    <n v="0"/>
    <n v="0"/>
    <m/>
    <n v="0"/>
    <n v="0"/>
    <n v="0"/>
    <n v="0"/>
    <m/>
  </r>
  <r>
    <x v="42"/>
    <m/>
    <s v="JUSTO DEL TORO"/>
    <s v="MPV-552"/>
    <s v="CHEVROLET N300"/>
    <x v="9"/>
    <s v="CAMBIO DE DISCOS / PASTILLAS/ BANDAS"/>
    <n v="120000"/>
    <n v="84000"/>
    <n v="36000"/>
    <s v="CHUPAS"/>
    <n v="6000"/>
    <n v="3000"/>
    <n v="570"/>
    <n v="10000"/>
    <n v="8403.361344537816"/>
    <n v="1596.6386554621849"/>
    <n v="1026.6386554621849"/>
    <n v="2973.3613445378151"/>
    <m/>
  </r>
  <r>
    <x v="42"/>
    <m/>
    <s v="PEDRO RAMIREZ"/>
    <s v="INQ-280"/>
    <s v="LAND CROUSER"/>
    <x v="14"/>
    <s v="REVISION DE FRENOS/ CAMBIO DE PASTILLAS TRASERAS"/>
    <n v="60000"/>
    <n v="36000"/>
    <n v="24000"/>
    <s v="PASTILLAS TRASERAS"/>
    <n v="123000"/>
    <n v="103361.34453781514"/>
    <n v="19638.655462184877"/>
    <n v="170000"/>
    <n v="142857.14285714287"/>
    <n v="27142.857142857145"/>
    <n v="7504.2016806722677"/>
    <n v="39495.798319327732"/>
    <m/>
  </r>
  <r>
    <x v="42"/>
    <s v="RM:177"/>
    <s v="DAVID VARON"/>
    <s v="BEZ-276"/>
    <s v="NISSAN SENTRA"/>
    <x v="9"/>
    <s v="SINCRONIZACION"/>
    <n v="100000"/>
    <n v="70000"/>
    <n v="30000"/>
    <m/>
    <m/>
    <n v="0"/>
    <n v="0"/>
    <m/>
    <n v="0"/>
    <n v="0"/>
    <n v="0"/>
    <n v="0"/>
    <m/>
  </r>
  <r>
    <x v="42"/>
    <m/>
    <s v="GRUAS CHIA"/>
    <s v="SQW-062"/>
    <s v="HINO"/>
    <x v="5"/>
    <s v="ARREGLO CONTROL FRENO DE AHOGO"/>
    <n v="152000"/>
    <n v="91200"/>
    <n v="60800"/>
    <m/>
    <m/>
    <n v="0"/>
    <n v="0"/>
    <m/>
    <n v="0"/>
    <n v="0"/>
    <n v="0"/>
    <n v="0"/>
    <m/>
  </r>
  <r>
    <x v="42"/>
    <s v="FE:85 / RM: 178"/>
    <s v="ALEJANDRO MORENO"/>
    <s v="MQK-040"/>
    <s v="MAZDA"/>
    <x v="14"/>
    <s v="CAMBIO DE DISCOS, PASTILLAS, BANDAS"/>
    <n v="110000"/>
    <n v="66000"/>
    <n v="44000"/>
    <s v="DISCOS, PASTILLAS, ANTIRUIDO, BANDAS"/>
    <n v="406000"/>
    <n v="341176.4705882353"/>
    <n v="64823.529411764706"/>
    <n v="590000"/>
    <n v="495798.31932773109"/>
    <n v="94201.680672268907"/>
    <n v="29378.151260504201"/>
    <n v="154621.84873949579"/>
    <m/>
  </r>
  <r>
    <x v="42"/>
    <s v="RM:179"/>
    <s v="JESUS DE LA CRUZ"/>
    <s v="BME-357"/>
    <s v="MEGAN"/>
    <x v="9"/>
    <s v="SINCRONIZACION-CAMBIO SOPORTE DE MOTOR Y CAJA-CAMBIO DE BUJES BARRA ESTABILIZADORA"/>
    <n v="300000"/>
    <n v="210000"/>
    <n v="90000"/>
    <m/>
    <m/>
    <n v="0"/>
    <n v="0"/>
    <m/>
    <n v="0"/>
    <n v="0"/>
    <n v="0"/>
    <n v="0"/>
    <m/>
  </r>
  <r>
    <x v="43"/>
    <m/>
    <s v="YEFERSON GONZALES"/>
    <s v="WOU-006"/>
    <s v="BANZ"/>
    <x v="7"/>
    <s v="REVISION RUEDAS TRASERAS"/>
    <n v="20000"/>
    <n v="12000"/>
    <n v="8000"/>
    <m/>
    <m/>
    <n v="0"/>
    <n v="0"/>
    <m/>
    <n v="0"/>
    <n v="0"/>
    <n v="0"/>
    <n v="0"/>
    <m/>
  </r>
  <r>
    <x v="43"/>
    <m/>
    <s v="ALEJANDRO DIZ"/>
    <s v="RNY-683"/>
    <s v="NISSAN"/>
    <x v="9"/>
    <s v="CAMBIO DE CAJA DE DIRECCION Y BUJES DE TIJERAS"/>
    <m/>
    <n v="150000"/>
    <n v="-150000"/>
    <m/>
    <m/>
    <n v="0"/>
    <n v="0"/>
    <m/>
    <n v="0"/>
    <n v="0"/>
    <n v="0"/>
    <n v="0"/>
    <m/>
  </r>
  <r>
    <x v="43"/>
    <s v="RM:180"/>
    <s v="MARTIN ESPITIA"/>
    <s v="KIZ-064"/>
    <s v=" SANDERO"/>
    <x v="9"/>
    <s v="CAMBIO DE LIQUIDO"/>
    <n v="40000"/>
    <n v="28000"/>
    <n v="12000"/>
    <s v="LIQUIDO DOT 3"/>
    <m/>
    <n v="0"/>
    <n v="0"/>
    <m/>
    <n v="0"/>
    <n v="0"/>
    <n v="0"/>
    <n v="0"/>
    <m/>
  </r>
  <r>
    <x v="43"/>
    <m/>
    <s v="ANDRES BENITEZ"/>
    <s v="ZXS-193"/>
    <s v="NISSAN FRONTIER"/>
    <x v="9"/>
    <s v="REVISION DE FRENOS COMPLETO"/>
    <n v="70000"/>
    <n v="49000"/>
    <n v="21000"/>
    <m/>
    <m/>
    <n v="0"/>
    <n v="0"/>
    <m/>
    <n v="0"/>
    <n v="0"/>
    <n v="0"/>
    <n v="0"/>
    <m/>
  </r>
  <r>
    <x v="43"/>
    <s v="FE: 86"/>
    <s v="OLIMPIA HERNANDEZ"/>
    <s v="TGK-439"/>
    <s v="HINO"/>
    <x v="7"/>
    <s v="REPARACION DE BOMBA PRINCIPAL"/>
    <n v="40000"/>
    <n v="24000"/>
    <n v="16000"/>
    <m/>
    <m/>
    <n v="0"/>
    <n v="0"/>
    <m/>
    <n v="0"/>
    <n v="0"/>
    <n v="0"/>
    <n v="0"/>
    <m/>
  </r>
  <r>
    <x v="43"/>
    <s v="RM:182"/>
    <s v="DISNEY AMIN"/>
    <s v="CXX-558"/>
    <s v="SUBARU"/>
    <x v="4"/>
    <s v="CAMBIO EMPAQUE TAPA VALVULA-SINCRONIZACION-CAMBIO DE BUJES BARRA ESTAB- RETENEDORES DE MOTOR"/>
    <n v="700000"/>
    <n v="489999.99999999994"/>
    <n v="210000.00000000006"/>
    <m/>
    <m/>
    <n v="0"/>
    <n v="0"/>
    <m/>
    <n v="0"/>
    <n v="0"/>
    <n v="0"/>
    <n v="0"/>
    <m/>
  </r>
  <r>
    <x v="44"/>
    <s v="RM:183"/>
    <s v="JORGE RODRIGUEZ"/>
    <s v="MQI-302"/>
    <s v="FORD LASSER"/>
    <x v="9"/>
    <s v="CAMBIO DE PERA PRESION DE AIRE"/>
    <n v="20000"/>
    <n v="14000"/>
    <n v="6000"/>
    <m/>
    <m/>
    <n v="0"/>
    <n v="0"/>
    <m/>
    <n v="0"/>
    <n v="0"/>
    <n v="0"/>
    <n v="0"/>
    <m/>
  </r>
  <r>
    <x v="44"/>
    <s v="RM:184"/>
    <s v="CARLOS MERCHAN"/>
    <s v="ZIV-086"/>
    <s v="AVEO"/>
    <x v="7"/>
    <s v="REVISION DE RUEDAS TRASERAS "/>
    <n v="30000"/>
    <n v="18000"/>
    <n v="12000"/>
    <m/>
    <m/>
    <n v="0"/>
    <n v="0"/>
    <m/>
    <n v="0"/>
    <n v="0"/>
    <n v="0"/>
    <n v="0"/>
    <m/>
  </r>
  <r>
    <x v="44"/>
    <m/>
    <m/>
    <s v="DAJ-627"/>
    <s v="NISSAN SENTRA"/>
    <x v="1"/>
    <s v="REVISION DE RUEDAS TRASERAS "/>
    <n v="30000"/>
    <n v="18000"/>
    <n v="12000"/>
    <m/>
    <m/>
    <n v="0"/>
    <n v="0"/>
    <m/>
    <n v="0"/>
    <n v="0"/>
    <n v="0"/>
    <n v="0"/>
    <m/>
  </r>
  <r>
    <x v="45"/>
    <s v="FE:87/RM:185"/>
    <s v="JHON CETINA"/>
    <s v="BBA-003"/>
    <s v="MAZDA323"/>
    <x v="9"/>
    <s v="CAMBIO DE BOMBA HIDRAULICA PRINCIPAL DE CLOSH"/>
    <n v="50000"/>
    <n v="35000"/>
    <n v="15000"/>
    <s v="BOMBA PRINCIPAL DE CLOSH"/>
    <n v="110000"/>
    <n v="92436.97478991597"/>
    <n v="17563.025210084033"/>
    <n v="135000"/>
    <n v="113445.37815126051"/>
    <n v="21554.621848739498"/>
    <n v="3991.5966386554646"/>
    <n v="21008.403361344535"/>
    <m/>
  </r>
  <r>
    <x v="45"/>
    <s v="RM:187"/>
    <s v="ANGELA CORREDOR"/>
    <s v="BIO-488"/>
    <s v="JEEP"/>
    <x v="7"/>
    <s v="CAMBIO DE ARRANQUE"/>
    <n v="80000"/>
    <n v="48000"/>
    <n v="32000"/>
    <s v="ARRANQUE"/>
    <n v="470000"/>
    <m/>
    <n v="0"/>
    <n v="610000"/>
    <m/>
    <n v="0"/>
    <n v="0"/>
    <n v="140000"/>
    <m/>
  </r>
  <r>
    <x v="45"/>
    <s v="RM:186"/>
    <s v="ERNESTO POVEDO"/>
    <s v="FTN-439"/>
    <s v="SKOFA FELICIA"/>
    <x v="9"/>
    <s v="MATTO TARSERO"/>
    <n v="30000"/>
    <n v="21000"/>
    <n v="9000"/>
    <m/>
    <m/>
    <n v="0"/>
    <n v="0"/>
    <m/>
    <n v="0"/>
    <n v="0"/>
    <n v="0"/>
    <n v="0"/>
    <m/>
  </r>
  <r>
    <x v="45"/>
    <s v="RM:186"/>
    <s v="ERNESTO POVEDO"/>
    <s v="FTN-439"/>
    <s v="SKOFA FELICIA"/>
    <x v="4"/>
    <s v="MANTENIMIENTO CARBURADOR"/>
    <n v="80000"/>
    <n v="56000"/>
    <n v="24000"/>
    <s v="KIT CARBURADOR"/>
    <n v="40000"/>
    <n v="33613.445378151264"/>
    <n v="6386.5546218487398"/>
    <n v="50000"/>
    <n v="42016.806722689078"/>
    <n v="7983.1932773109247"/>
    <n v="1596.6386554621849"/>
    <n v="8403.3613445378141"/>
    <m/>
  </r>
  <r>
    <x v="45"/>
    <m/>
    <m/>
    <m/>
    <m/>
    <x v="7"/>
    <s v="CAMBIO DE BOMBILLO"/>
    <n v="11000"/>
    <n v="6600"/>
    <n v="4400"/>
    <m/>
    <m/>
    <n v="0"/>
    <n v="0"/>
    <m/>
    <n v="0"/>
    <n v="0"/>
    <n v="0"/>
    <n v="0"/>
    <m/>
  </r>
  <r>
    <x v="46"/>
    <s v="RM:188"/>
    <s v="ANGEL CHINCHILLA"/>
    <s v="TRL-693"/>
    <s v="NPR"/>
    <x v="9"/>
    <s v="CAMBIO EMPAQ PRINCIPAL DE CLOSH"/>
    <n v="40000"/>
    <n v="28000"/>
    <n v="12000"/>
    <s v="EMPAQUETADURA PRINCIPAL DE CLOSH, LIQUIDO"/>
    <m/>
    <n v="0"/>
    <n v="0"/>
    <m/>
    <n v="0"/>
    <n v="0"/>
    <n v="0"/>
    <n v="0"/>
    <m/>
  </r>
  <r>
    <x v="46"/>
    <s v="RM:190"/>
    <s v="SILVANA MESA"/>
    <s v="HKN-663"/>
    <s v="JETTA"/>
    <x v="9"/>
    <s v="REVISION DE FRENOS Y CAMBIO DE LIQUIDO"/>
    <n v="100000"/>
    <n v="70000"/>
    <n v="30000"/>
    <s v="LIQUIDO"/>
    <n v="42000"/>
    <n v="35294.117647058825"/>
    <n v="6705.8823529411766"/>
    <n v="50000"/>
    <n v="42016.806722689078"/>
    <n v="7983.1932773109247"/>
    <n v="1277.3109243697481"/>
    <n v="6722.6890756302528"/>
    <m/>
  </r>
  <r>
    <x v="46"/>
    <m/>
    <m/>
    <s v="BKL-537"/>
    <s v="LAND CROUSER"/>
    <x v="7"/>
    <s v="CAMBIO DE RACORD"/>
    <n v="30000"/>
    <n v="18000"/>
    <n v="12000"/>
    <s v="RACORD"/>
    <n v="5000"/>
    <n v="4201.680672268908"/>
    <n v="798.31932773109247"/>
    <n v="10000"/>
    <n v="8403.361344537816"/>
    <n v="1596.6386554621849"/>
    <n v="798.31932773109247"/>
    <n v="4201.6806722689071"/>
    <m/>
  </r>
  <r>
    <x v="46"/>
    <s v="FE: 89"/>
    <s v="MONGIBELLO"/>
    <s v="BHX-773"/>
    <s v="NISAN URBAN"/>
    <x v="9"/>
    <s v="REPARACION DE SUSPENSION"/>
    <n v="300000"/>
    <n v="210000"/>
    <n v="90000"/>
    <s v="BUJES DE TIJERA, MUÑECOS, TERMINALES, BUJES DE AMORTI, BUJES DE TEMPLETES, PASTILLAS, BANDAS, ANTIRUIDO, JUEGO DE CALIPER"/>
    <n v="650000"/>
    <n v="546218.48739495804"/>
    <n v="103781.51260504202"/>
    <n v="1220587"/>
    <n v="1025703.3613445378"/>
    <n v="194883.63865546219"/>
    <n v="91102.126050420164"/>
    <n v="479484.87394957989"/>
    <m/>
  </r>
  <r>
    <x v="47"/>
    <m/>
    <s v="MARTA  CONTRERA"/>
    <s v="JVN-492"/>
    <s v="LOGAN"/>
    <x v="9"/>
    <s v="CAMBIO DE PASTILLAS"/>
    <n v="20000"/>
    <n v="14000"/>
    <n v="6000"/>
    <m/>
    <m/>
    <n v="0"/>
    <n v="0"/>
    <m/>
    <n v="0"/>
    <n v="0"/>
    <n v="0"/>
    <n v="0"/>
    <m/>
  </r>
  <r>
    <x v="48"/>
    <m/>
    <s v="MONGIBELLO"/>
    <s v="JGV-778"/>
    <s v="FORD"/>
    <x v="9"/>
    <s v="SERVICIO DE ESCANER"/>
    <m/>
    <n v="0"/>
    <m/>
    <m/>
    <m/>
    <m/>
    <m/>
    <m/>
    <m/>
    <m/>
    <m/>
    <m/>
    <m/>
  </r>
  <r>
    <x v="47"/>
    <m/>
    <s v="JORGE BARRERA"/>
    <s v="GGO-665"/>
    <s v="AVEO"/>
    <x v="4"/>
    <s v="CAMBIO DE TUBO DE CALEFACCION"/>
    <n v="80000"/>
    <n v="56000"/>
    <n v="24000"/>
    <s v="TUBO DE CALEFACCION"/>
    <n v="40000"/>
    <n v="33613.445378151264"/>
    <n v="6386.5546218487398"/>
    <n v="60000"/>
    <n v="50420.168067226892"/>
    <n v="9579.8319327731097"/>
    <n v="3193.2773109243699"/>
    <n v="16806.722689075628"/>
    <m/>
  </r>
  <r>
    <x v="47"/>
    <m/>
    <m/>
    <s v="SGY-273"/>
    <s v="HIUNDAY ACCENT"/>
    <x v="9"/>
    <s v="SERVICIO DE ESCANER Y REVISION"/>
    <n v="60000"/>
    <n v="42000"/>
    <n v="18000"/>
    <m/>
    <m/>
    <n v="0"/>
    <n v="0"/>
    <m/>
    <n v="0"/>
    <n v="0"/>
    <n v="0"/>
    <n v="0"/>
    <m/>
  </r>
  <r>
    <x v="47"/>
    <s v="FE:91"/>
    <s v="OLIMPIA HERNANDEZ"/>
    <s v="TGK-439"/>
    <s v="HINO"/>
    <x v="4"/>
    <s v="REPARACION CARDAN"/>
    <n v="60000"/>
    <n v="42000"/>
    <n v="18000"/>
    <s v="CRUCETA DE CARDAN"/>
    <n v="90000"/>
    <n v="75630.252100840342"/>
    <n v="14369.747899159665"/>
    <n v="120000"/>
    <n v="100840.33613445378"/>
    <n v="19159.663865546219"/>
    <n v="4789.9159663865539"/>
    <n v="25210.084033613442"/>
    <m/>
  </r>
  <r>
    <x v="47"/>
    <s v="FE:91"/>
    <s v="OLIMPIA HERNANDEZ"/>
    <s v="TGK-439"/>
    <s v="HINO"/>
    <x v="9"/>
    <s v="GRADUACION DE FRENOS"/>
    <n v="10000"/>
    <n v="7000"/>
    <n v="3000"/>
    <m/>
    <m/>
    <n v="0"/>
    <n v="0"/>
    <m/>
    <n v="0"/>
    <n v="0"/>
    <n v="0"/>
    <n v="0"/>
    <m/>
  </r>
  <r>
    <x v="47"/>
    <s v="FE:90"/>
    <s v="PROVALCOR"/>
    <s v="UPP-942"/>
    <s v="INTERNATIONAL"/>
    <x v="7"/>
    <s v="CAMBIO DE RODAMIENTO, RETENEDOR,"/>
    <n v="60000"/>
    <n v="50000"/>
    <n v="10000"/>
    <s v="RODAMIENTO, ETENEDOR, GRASAS"/>
    <n v="272000"/>
    <n v="228571.42857142858"/>
    <n v="43428.571428571428"/>
    <n v="390000"/>
    <n v="327731.09243697481"/>
    <n v="62268.907563025212"/>
    <n v="18840.336134453784"/>
    <n v="99159.66386554623"/>
    <m/>
  </r>
  <r>
    <x v="47"/>
    <m/>
    <s v="RAUL AREVALO"/>
    <s v="WTM-631"/>
    <s v="F-815"/>
    <x v="7"/>
    <s v="MANTENIMIENTO DE LUCES"/>
    <n v="100000"/>
    <n v="60000"/>
    <n v="40000"/>
    <s v="CABLE, FUSIBLES, BOMBILLOS MULE, TERMINALES DE OJO"/>
    <n v="5400"/>
    <n v="4537.8151260504201"/>
    <n v="862.18487394957981"/>
    <n v="13000"/>
    <n v="10924.36974789916"/>
    <n v="2075.6302521008406"/>
    <n v="1213.4453781512607"/>
    <n v="6386.5546218487398"/>
    <m/>
  </r>
  <r>
    <x v="47"/>
    <s v="RM: 192"/>
    <s v="JHON SALAMANGA"/>
    <s v="JSL-820"/>
    <s v="JAC"/>
    <x v="9"/>
    <s v="CAMBIO DE BANDAS DEL"/>
    <n v="60000"/>
    <n v="42000"/>
    <n v="18000"/>
    <s v="BANDAS, PIN CACHO, GASOLINA, GUARADAPOLVOS"/>
    <n v="247000"/>
    <n v="207563.02521008404"/>
    <n v="39436.97478991597"/>
    <n v="352000"/>
    <n v="295798.31932773109"/>
    <n v="56201.680672268907"/>
    <n v="16764.705882352937"/>
    <n v="88235.294117647049"/>
    <m/>
  </r>
  <r>
    <x v="49"/>
    <s v="RM:194"/>
    <s v="NELSON CALDERON"/>
    <s v="BTK-619"/>
    <s v="TWINGO"/>
    <x v="9"/>
    <s v="BAJAR AMORTIGUADORES"/>
    <n v="90000"/>
    <n v="62999.999999999993"/>
    <n v="27000.000000000007"/>
    <m/>
    <m/>
    <m/>
    <n v="0"/>
    <m/>
    <m/>
    <n v="0"/>
    <n v="0"/>
    <n v="0"/>
    <m/>
  </r>
  <r>
    <x v="49"/>
    <s v="RM:194"/>
    <s v="NELSON CALDERON"/>
    <s v="BTK-619"/>
    <s v="TWINGO"/>
    <x v="4"/>
    <s v="CAMBIO DE CAUCHOS SOPORTE AMORTI TRASERO/ CAMBIO EMAPQUE TAPA VALVUL/ CAMBIO DE RETENEDORES DE REPARTICION COPA CAJA/ KIT DE REP"/>
    <n v="360000"/>
    <n v="251999.99999999997"/>
    <n v="108000.00000000003"/>
    <s v="EMPAQUE TAPA VALVULA/ RETENEDORES DE LEVA Y POLEA/ TOPES DE AMORTI/ GURDA POLVO COPA CAJA/ KIT DE REPARTICION/ SILICONA"/>
    <n v="430000"/>
    <m/>
    <n v="0"/>
    <n v="562500"/>
    <m/>
    <n v="0"/>
    <n v="0"/>
    <n v="132500"/>
    <m/>
  </r>
  <r>
    <x v="50"/>
    <s v="FE:93"/>
    <s v="VERDECERES MS SAS"/>
    <s v="SPL-963"/>
    <s v="NNR"/>
    <x v="9"/>
    <s v="_x000a_BAJAR CAMPANA DELANTERAs, GRADUAR FRENOS / RECTIFICAR GRAMPA"/>
    <n v="90000"/>
    <n v="62999.999999999993"/>
    <n v="27000.000000000007"/>
    <s v="CHUPA, GP, LIQUIDO PIN CACHO"/>
    <n v="18000"/>
    <n v="15126.050420168069"/>
    <n v="2873.9495798319331"/>
    <n v="41600"/>
    <n v="34957.983193277316"/>
    <n v="6642.0168067226905"/>
    <n v="3768.0672268907574"/>
    <n v="19831.932773109242"/>
    <m/>
  </r>
  <r>
    <x v="51"/>
    <s v="RM:196"/>
    <s v="JUAN DANIEL HERNANDEZ"/>
    <s v="TTX-503"/>
    <s v="BANZ"/>
    <x v="7"/>
    <s v="CAMBIO DE PASTILLAS TRASERAS"/>
    <n v="40000"/>
    <n v="24000"/>
    <n v="16000"/>
    <m/>
    <m/>
    <n v="0"/>
    <n v="0"/>
    <m/>
    <n v="0"/>
    <n v="0"/>
    <n v="0"/>
    <n v="0"/>
    <m/>
  </r>
  <r>
    <x v="51"/>
    <s v="RM:195"/>
    <s v="MANUEL RODRIGUEZ"/>
    <s v="UFT-931"/>
    <s v="HINO"/>
    <x v="9"/>
    <s v="CAMBIO DE DIAFRAGMA"/>
    <n v="30000"/>
    <n v="21000"/>
    <n v="9000"/>
    <s v="DIAFRAGMA"/>
    <n v="10000"/>
    <m/>
    <n v="0"/>
    <n v="30000"/>
    <m/>
    <n v="0"/>
    <n v="0"/>
    <n v="20000"/>
    <m/>
  </r>
  <r>
    <x v="51"/>
    <s v="RM:197"/>
    <s v="CLIENT PLANET"/>
    <s v="WPS-181"/>
    <s v="JAC"/>
    <x v="9"/>
    <s v="CAMBIO DE BANDAS DELANTERAS Y TRASERAS, CAMBIO DE CHUPAS, CAMBIO DE LIQUIDOS"/>
    <n v="160000"/>
    <n v="112000"/>
    <n v="48000"/>
    <s v="JUEGO DE BANDAS/ CHUPAS"/>
    <n v="224000"/>
    <n v="188235.29411764708"/>
    <n v="35764.705882352944"/>
    <n v="340000"/>
    <n v="285714.28571428574"/>
    <n v="54285.71428571429"/>
    <n v="18521.008403361346"/>
    <n v="97478.991596638662"/>
    <m/>
  </r>
  <r>
    <x v="51"/>
    <s v="RM:198"/>
    <s v="JUAN CARLOS QUIJANO"/>
    <s v="BLK-537"/>
    <s v="LAND CROUSER"/>
    <x v="9"/>
    <s v="CAMBIO DE PASTILLAS DELANTERAS Y TRASERAS, BAJAR SUAVIZADOR"/>
    <n v="170000"/>
    <n v="118999.99999999999"/>
    <n v="51000.000000000015"/>
    <s v="PASTILLAS DEL Y TRASERAS, LIQUIDO, GASOLINA"/>
    <n v="190000"/>
    <m/>
    <m/>
    <n v="330000"/>
    <m/>
    <m/>
    <m/>
    <n v="140000"/>
    <m/>
  </r>
  <r>
    <x v="51"/>
    <m/>
    <m/>
    <m/>
    <s v="MB"/>
    <x v="16"/>
    <s v="ADELANTO"/>
    <m/>
    <n v="200000"/>
    <n v="-200000"/>
    <m/>
    <m/>
    <n v="0"/>
    <n v="0"/>
    <m/>
    <n v="0"/>
    <n v="0"/>
    <n v="0"/>
    <n v="0"/>
    <m/>
  </r>
  <r>
    <x v="51"/>
    <s v="RM:198"/>
    <s v="JUAN CARLOS QUIJANO"/>
    <s v="BLK-537"/>
    <s v="LAND CROUSER"/>
    <x v="4"/>
    <s v="SINCRONIZACION Y CAMBIO EMP TAPA VALVULA"/>
    <n v="310000"/>
    <n v="217000"/>
    <n v="93000"/>
    <s v="BUJIAS, EMPAQUE TAPA VALVULA Y RETENEDORES"/>
    <n v="246000"/>
    <m/>
    <m/>
    <n v="470000"/>
    <m/>
    <m/>
    <m/>
    <n v="224000"/>
    <m/>
  </r>
  <r>
    <x v="52"/>
    <s v="RM:201"/>
    <s v="JUAN CARLOS ROJA"/>
    <s v="USD-206"/>
    <s v="HYUNDAI"/>
    <x v="9"/>
    <s v="MANTENIMIENTO COMPLETO DE FRENOS "/>
    <n v="50000"/>
    <n v="35000"/>
    <n v="15000"/>
    <s v="AUTOMATICO Y RESORTE"/>
    <n v="10000"/>
    <n v="8403.361344537816"/>
    <n v="1596.6386554621849"/>
    <n v="20000"/>
    <n v="16806.722689075632"/>
    <n v="3193.2773109243699"/>
    <n v="1596.6386554621849"/>
    <n v="8403.3613445378141"/>
    <m/>
  </r>
  <r>
    <x v="52"/>
    <m/>
    <m/>
    <s v="TSM-562"/>
    <m/>
    <x v="7"/>
    <s v="CAMBIO DE CHUPAS TRASERAS"/>
    <m/>
    <n v="20000"/>
    <n v="-20000"/>
    <m/>
    <m/>
    <n v="0"/>
    <n v="0"/>
    <m/>
    <n v="0"/>
    <n v="0"/>
    <n v="0"/>
    <n v="0"/>
    <m/>
  </r>
  <r>
    <x v="52"/>
    <s v="RM:199"/>
    <s v="JHON UREA"/>
    <s v="BYE-036"/>
    <s v="CHV OPTRA"/>
    <x v="9"/>
    <s v="SERVICIO DE SCANER-CAMBIO DE SENSOR"/>
    <n v="80000"/>
    <n v="56000"/>
    <n v="24000"/>
    <s v="ABRAZADERA"/>
    <n v="500"/>
    <n v="420.1680672268908"/>
    <n v="79.831932773109259"/>
    <n v="1000"/>
    <n v="840.3361344537816"/>
    <n v="159.66386554621852"/>
    <n v="79.831932773109259"/>
    <n v="420.1680672268908"/>
    <m/>
  </r>
  <r>
    <x v="48"/>
    <m/>
    <m/>
    <m/>
    <s v="JAC"/>
    <x v="9"/>
    <s v="GRADUAR FRENOS"/>
    <n v="10000"/>
    <n v="7000"/>
    <n v="3000"/>
    <m/>
    <m/>
    <n v="0"/>
    <n v="0"/>
    <m/>
    <n v="0"/>
    <n v="0"/>
    <n v="0"/>
    <n v="0"/>
    <m/>
  </r>
  <r>
    <x v="52"/>
    <s v="RM:200"/>
    <s v="FERNANDO SANCHEZ"/>
    <s v="BIT-835"/>
    <s v="MAZDA ALEGRO"/>
    <x v="9"/>
    <s v="MATTO COMPELTO-CAMBIO DE PASTILLAS DEL"/>
    <n v="60000"/>
    <n v="42000"/>
    <n v="18000"/>
    <s v="JUEGO DE PASTILLAS DEL."/>
    <n v="123000"/>
    <n v="103361.34453781514"/>
    <n v="19638.655462184877"/>
    <n v="170000"/>
    <n v="142857.14285714287"/>
    <n v="27142.857142857145"/>
    <n v="7504.2016806722677"/>
    <n v="39495.798319327732"/>
    <m/>
  </r>
  <r>
    <x v="52"/>
    <s v="FE:94 / RM:202"/>
    <s v="RAFAEL POLO"/>
    <s v="BDN-052"/>
    <s v="JEEP 93"/>
    <x v="7"/>
    <s v="CAMBIO DE PASTILLAS DELANTERAS"/>
    <n v="40000"/>
    <n v="24000"/>
    <n v="16000"/>
    <s v="JUEGO DE PASTILLAS"/>
    <n v="126000"/>
    <n v="105882.35294117648"/>
    <n v="20117.647058823532"/>
    <n v="185000"/>
    <n v="155462.18487394959"/>
    <n v="29537.815126050424"/>
    <n v="9420.1680672268922"/>
    <n v="49579.831932773115"/>
    <m/>
  </r>
  <r>
    <x v="53"/>
    <s v="FE: 96/RM:203"/>
    <s v="ARTURO LADINO"/>
    <s v="IOQ-514"/>
    <s v="SANDERO"/>
    <x v="9"/>
    <s v="CAMBIO DE AMORTIGUADORES DEL / SOPORTE AMORTIGUADOR CON RODAMIENTOS"/>
    <n v="100000"/>
    <n v="40000"/>
    <n v="30000"/>
    <s v="AMORTIGUADORES/SOPORTES CON RODAMIENTOS"/>
    <n v="408058"/>
    <n v="342905.8823529412"/>
    <n v="65152.117647058833"/>
    <n v="700000"/>
    <n v="588235.29411764711"/>
    <n v="111764.70588235295"/>
    <n v="46612.588235294119"/>
    <n v="245329.4117647059"/>
    <m/>
  </r>
  <r>
    <x v="54"/>
    <s v="RM:204/FE:97"/>
    <s v="RAFAEL POLO"/>
    <s v="BDN-052"/>
    <s v="JEEP"/>
    <x v="7"/>
    <s v="CAMBIO DE BANDAS Y MUÑECO"/>
    <n v="80000"/>
    <n v="48000"/>
    <n v="32000"/>
    <s v="JUEGO DE BANDAS"/>
    <n v="90000"/>
    <n v="75630.252100840342"/>
    <n v="14369.747899159665"/>
    <n v="180000"/>
    <n v="151260.50420168068"/>
    <n v="28739.495798319331"/>
    <n v="14369.747899159665"/>
    <n v="75630.252100840327"/>
    <m/>
  </r>
  <r>
    <x v="54"/>
    <m/>
    <m/>
    <s v="TSW-976"/>
    <s v="FOTON"/>
    <x v="9"/>
    <s v="GRADUAR FRENOS"/>
    <n v="10000"/>
    <n v="7000"/>
    <n v="3000"/>
    <m/>
    <m/>
    <n v="0"/>
    <n v="0"/>
    <m/>
    <n v="0"/>
    <n v="0"/>
    <n v="0"/>
    <n v="0"/>
    <m/>
  </r>
  <r>
    <x v="54"/>
    <s v="RM:205"/>
    <s v="RAUL AREVALO"/>
    <s v="PEU-686"/>
    <s v="SILVERADO"/>
    <x v="7"/>
    <s v="DESVARE, REPARACION ALTERNADOR"/>
    <n v="110000"/>
    <n v="66000"/>
    <n v="44000"/>
    <m/>
    <m/>
    <n v="0"/>
    <n v="0"/>
    <m/>
    <n v="0"/>
    <n v="0"/>
    <n v="0"/>
    <n v="0"/>
    <m/>
  </r>
  <r>
    <x v="54"/>
    <s v="RM:205"/>
    <s v="RAUL AREVALO"/>
    <s v="HGS-065"/>
    <s v="NISSAN"/>
    <x v="7"/>
    <s v="DESVARE, REPARACION DE ARRANQUE"/>
    <n v="110000"/>
    <n v="66000"/>
    <n v="44000"/>
    <m/>
    <m/>
    <n v="0"/>
    <n v="0"/>
    <m/>
    <n v="0"/>
    <n v="0"/>
    <n v="0"/>
    <n v="0"/>
    <m/>
  </r>
  <r>
    <x v="55"/>
    <s v="FE: 99"/>
    <s v="VARICHEM"/>
    <s v="UVL-706"/>
    <s v="NISSAN"/>
    <x v="7"/>
    <s v="ARREGLO DE LUCES"/>
    <n v="30000"/>
    <n v="18000"/>
    <n v="12000"/>
    <s v="BOMBILLO DOS CONTACTO"/>
    <n v="2000"/>
    <n v="1680.6722689075632"/>
    <n v="319.32773109243703"/>
    <n v="3500"/>
    <n v="2941.1764705882356"/>
    <n v="558.82352941176475"/>
    <n v="239.49579831932772"/>
    <n v="1260.5042016806724"/>
    <m/>
  </r>
  <r>
    <x v="56"/>
    <s v="RM:209"/>
    <s v="PEDRO SANTANA"/>
    <s v="IZM-278"/>
    <s v="LOGAN"/>
    <x v="7"/>
    <s v="MANTENIMIENTO RUEDAS TRASERAS"/>
    <n v="60000"/>
    <n v="36000"/>
    <n v="24000"/>
    <s v="PLUMILLAS"/>
    <n v="36000"/>
    <n v="30252.100840336137"/>
    <n v="5747.8991596638662"/>
    <n v="50000"/>
    <n v="42016.806722689078"/>
    <n v="7983.1932773109247"/>
    <n v="2235.2941176470586"/>
    <n v="11764.705882352944"/>
    <m/>
  </r>
  <r>
    <x v="56"/>
    <s v="RM:212"/>
    <s v="ANGELA CORREDOR"/>
    <s v="BIO-488"/>
    <s v="JEEP"/>
    <x v="7"/>
    <s v="CAMBIO TORNILLO CARDAN"/>
    <n v="50000"/>
    <n v="30000"/>
    <n v="20000"/>
    <m/>
    <m/>
    <n v="0"/>
    <n v="0"/>
    <m/>
    <n v="0"/>
    <n v="0"/>
    <n v="0"/>
    <n v="0"/>
    <m/>
  </r>
  <r>
    <x v="56"/>
    <s v="RM:211"/>
    <s v="CAROLINA OCHOA"/>
    <s v="HBN-909"/>
    <s v="HUMMER"/>
    <x v="9"/>
    <s v="CAMBIO DE BOMBA DE AGUA "/>
    <n v="300000"/>
    <n v="210000"/>
    <n v="90000"/>
    <m/>
    <m/>
    <n v="0"/>
    <n v="0"/>
    <m/>
    <n v="0"/>
    <n v="0"/>
    <n v="0"/>
    <n v="0"/>
    <m/>
  </r>
  <r>
    <x v="56"/>
    <s v="RM:213"/>
    <s v="JORGE LOPEZ"/>
    <s v="KIY-528"/>
    <s v="TIGUAN"/>
    <x v="9"/>
    <s v="CAMBIO DE BUJES DE TIJERA/ BUJES DE TEMPLETES/ ASPIRALES/ MUÑECOS"/>
    <n v="350000"/>
    <n v="244999.99999999997"/>
    <n v="105000.00000000003"/>
    <s v="BUJES DE TIJERA/ BUJES DE TEMPLETES/ ASPIRALES/ MUÑECOS"/>
    <n v="1320000"/>
    <m/>
    <n v="0"/>
    <n v="2016000"/>
    <m/>
    <n v="0"/>
    <n v="0"/>
    <n v="696000"/>
    <m/>
  </r>
  <r>
    <x v="57"/>
    <s v="RM: 216"/>
    <s v="CARLOS PINILLA"/>
    <s v="BRU-640"/>
    <s v="VITARA"/>
    <x v="4"/>
    <s v="CAMBIO KIT DE EMBRAGUE"/>
    <n v="300000"/>
    <n v="210000"/>
    <n v="90000"/>
    <s v="KIT EMBRAGUE"/>
    <n v="428000"/>
    <m/>
    <n v="0"/>
    <n v="580000"/>
    <m/>
    <n v="0"/>
    <n v="0"/>
    <n v="152000"/>
    <m/>
  </r>
  <r>
    <x v="57"/>
    <s v="RM:215"/>
    <s v="RICARDO MENDILVEGO"/>
    <s v="AHD-810"/>
    <s v="VOLKSWAGEN"/>
    <x v="7"/>
    <s v="REPARACION ARRANQUE"/>
    <n v="90000"/>
    <n v="54000"/>
    <n v="36000"/>
    <m/>
    <m/>
    <n v="0"/>
    <n v="0"/>
    <m/>
    <n v="0"/>
    <n v="0"/>
    <n v="0"/>
    <n v="0"/>
    <m/>
  </r>
  <r>
    <x v="57"/>
    <m/>
    <m/>
    <m/>
    <s v="GRUA"/>
    <x v="6"/>
    <s v="CAMBIO DE ACOPLE, INSERTO Y ANILLO"/>
    <n v="20000"/>
    <n v="12000"/>
    <n v="8000"/>
    <m/>
    <m/>
    <n v="0"/>
    <n v="0"/>
    <m/>
    <n v="0"/>
    <n v="0"/>
    <n v="0"/>
    <n v="0"/>
    <m/>
  </r>
  <r>
    <x v="57"/>
    <s v="RM:217/FE: 105"/>
    <s v="GERMAN FONSECA"/>
    <s v="NAF-630"/>
    <s v="HYUNDAI"/>
    <x v="9"/>
    <s v="REVISION DE RUEDAS TRASERAS, CAMBIO DE CHUPAS"/>
    <n v="60000"/>
    <n v="42000"/>
    <n v="18000"/>
    <s v="JUEGO DE BANDAS, CHUPAS"/>
    <n v="96000"/>
    <n v="80672.268907563033"/>
    <n v="15327.731092436976"/>
    <n v="170000"/>
    <n v="142857.14285714287"/>
    <n v="27142.857142857145"/>
    <n v="11815.126050420169"/>
    <n v="62184.873949579836"/>
    <m/>
  </r>
  <r>
    <x v="57"/>
    <s v="RM:214"/>
    <s v="LUIS FERNANDO OLEARTE"/>
    <s v="AGD-224"/>
    <s v="MB"/>
    <x v="4"/>
    <s v="REPARACION PARCIAL DE MOTOR"/>
    <n v="1000000"/>
    <n v="500000"/>
    <n v="300000"/>
    <s v="EMPAQUE DE CULTA, EMPAQUES DE CARTER, CAUCHOS, ANILLOS, CASQUETE DE BIELA, "/>
    <n v="2010000"/>
    <m/>
    <n v="0"/>
    <n v="2638000"/>
    <m/>
    <n v="0"/>
    <n v="0"/>
    <n v="628000"/>
    <m/>
  </r>
  <r>
    <x v="55"/>
    <s v="RM:208"/>
    <s v="WILSON RODRIGUEZ"/>
    <s v="CCP-487"/>
    <s v="FORD ECOSPORT"/>
    <x v="9"/>
    <s v="CAMBIO TERMINAL DE DIRECCION Y CRUCETA/ CAMBIO SOPORTE DE MOTOR"/>
    <n v="280000"/>
    <n v="196000"/>
    <n v="84000"/>
    <s v="TERMINALES, CRUCETA CARDAN, SOPORTE DE MOTOR"/>
    <n v="460000"/>
    <m/>
    <n v="0"/>
    <n v="580000"/>
    <m/>
    <n v="0"/>
    <n v="0"/>
    <n v="120000"/>
    <m/>
  </r>
  <r>
    <x v="58"/>
    <s v="rm:218"/>
    <s v="JOSE AREVALO"/>
    <s v="BHB-245"/>
    <s v="PEGEOUT"/>
    <x v="9"/>
    <s v="CAMBIO TUBO DE LIQUIDO"/>
    <n v="20000"/>
    <n v="14000"/>
    <n v="6000"/>
    <m/>
    <m/>
    <n v="0"/>
    <n v="0"/>
    <m/>
    <n v="0"/>
    <n v="0"/>
    <n v="0"/>
    <n v="0"/>
    <m/>
  </r>
  <r>
    <x v="58"/>
    <s v="RM:220"/>
    <s v="ALEJANDRO ROMERO"/>
    <s v="CZG-381"/>
    <s v="CITROEN"/>
    <x v="9"/>
    <s v="CAMBIO DE BANDAS TRASERAS/ CAMBIO DE CILINDROS DE FRENOS"/>
    <n v="50000"/>
    <n v="35000"/>
    <n v="15000"/>
    <s v="BANDAS, CILINDRO DE FRENOS TRAS"/>
    <n v="315000"/>
    <m/>
    <n v="0"/>
    <n v="415000"/>
    <m/>
    <n v="0"/>
    <n v="0"/>
    <n v="100000"/>
    <m/>
  </r>
  <r>
    <x v="58"/>
    <s v="RM:219"/>
    <s v="VICTOR JULIO LEAL"/>
    <s v="RENAULT 9"/>
    <m/>
    <x v="4"/>
    <s v="CAMBIO DE ROTULA, CAMBIO CAUCHO COPA CAJA"/>
    <n v="60000"/>
    <n v="42000"/>
    <n v="18000"/>
    <s v="ROTULA DEL. IZQ"/>
    <n v="42000"/>
    <n v="35294.117647058825"/>
    <n v="6705.8823529411766"/>
    <n v="50000"/>
    <m/>
    <n v="0"/>
    <m/>
    <n v="8000"/>
    <m/>
  </r>
  <r>
    <x v="58"/>
    <m/>
    <s v="VICENTE PATARROYO"/>
    <m/>
    <s v="MAO-470"/>
    <x v="7"/>
    <s v="GRADUACION DE FRENOS"/>
    <n v="10000"/>
    <n v="6000"/>
    <n v="4000"/>
    <m/>
    <m/>
    <n v="0"/>
    <n v="0"/>
    <m/>
    <n v="0"/>
    <n v="0"/>
    <n v="0"/>
    <n v="0"/>
    <m/>
  </r>
  <r>
    <x v="58"/>
    <m/>
    <s v="SERVICIOS AGRICOLAS"/>
    <s v="FOTON"/>
    <s v="WNM-202"/>
    <x v="9"/>
    <s v="REVISION DE FRENOS/ SUSPENSION DE LIMITADOR"/>
    <n v="40000"/>
    <n v="28000"/>
    <n v="12000"/>
    <m/>
    <m/>
    <n v="0"/>
    <n v="0"/>
    <m/>
    <n v="0"/>
    <n v="0"/>
    <n v="0"/>
    <n v="0"/>
    <m/>
  </r>
  <r>
    <x v="59"/>
    <m/>
    <s v="RAUL MENDOZA"/>
    <s v="EKM-793"/>
    <s v="NISSAN PATROL"/>
    <x v="6"/>
    <s v="CAMBIO DE MANGUERA DE FRENOS"/>
    <n v="20000"/>
    <n v="14000"/>
    <n v="6000"/>
    <s v="MANGUERA DE FRENOS"/>
    <n v="45000"/>
    <m/>
    <n v="0"/>
    <n v="60000"/>
    <m/>
    <n v="0"/>
    <n v="0"/>
    <n v="15000"/>
    <m/>
  </r>
  <r>
    <x v="59"/>
    <s v="FE:107 / RM:223"/>
    <s v="JORGE GUTIERREZ"/>
    <s v="FAK-163"/>
    <s v="FORD-150"/>
    <x v="9"/>
    <s v="CAMBIO DE PASTILLAS/ REVISION DE FRENOS COMPLETO"/>
    <n v="80000"/>
    <n v="56000"/>
    <n v="24000"/>
    <s v="PASTILLAS"/>
    <n v="134000"/>
    <n v="112605.04201680672"/>
    <n v="21394.957983193279"/>
    <n v="190000"/>
    <n v="159663.8655462185"/>
    <n v="30336.134453781517"/>
    <n v="8941.1764705882379"/>
    <n v="47058.823529411748"/>
    <m/>
  </r>
  <r>
    <x v="59"/>
    <m/>
    <m/>
    <s v="UIG-883"/>
    <m/>
    <x v="9"/>
    <s v="GRADUAR FRENOS"/>
    <n v="10000"/>
    <n v="6000"/>
    <n v="4000"/>
    <m/>
    <m/>
    <n v="0"/>
    <n v="0"/>
    <m/>
    <n v="0"/>
    <n v="0"/>
    <n v="0"/>
    <n v="0"/>
    <m/>
  </r>
  <r>
    <x v="59"/>
    <m/>
    <m/>
    <s v="EXX-586"/>
    <s v="FOTON"/>
    <x v="9"/>
    <s v="GRADUAR FRENOS"/>
    <n v="10000"/>
    <n v="7000"/>
    <n v="3000"/>
    <m/>
    <m/>
    <n v="0"/>
    <n v="0"/>
    <m/>
    <n v="0"/>
    <n v="0"/>
    <n v="0"/>
    <n v="0"/>
    <m/>
  </r>
  <r>
    <x v="59"/>
    <m/>
    <m/>
    <s v="FORD"/>
    <m/>
    <x v="9"/>
    <s v="REVISION DE FRENOS DELANTEROS"/>
    <n v="30000"/>
    <n v="30000"/>
    <n v="0"/>
    <m/>
    <m/>
    <n v="0"/>
    <n v="0"/>
    <m/>
    <n v="0"/>
    <n v="0"/>
    <n v="0"/>
    <n v="0"/>
    <m/>
  </r>
  <r>
    <x v="60"/>
    <s v="RM:227"/>
    <s v="HECTOR MAHECHA"/>
    <s v="JEZ-317"/>
    <s v="DODGE RAM"/>
    <x v="9"/>
    <s v="CAMBIO DE CILINDRO"/>
    <n v="30000"/>
    <n v="21000"/>
    <n v="9000"/>
    <s v="PISTON DE MORDAZA"/>
    <n v="57000"/>
    <n v="47899.159663865546"/>
    <n v="9100.8403361344535"/>
    <n v="80000"/>
    <m/>
    <n v="0"/>
    <n v="-9100.8403361344535"/>
    <n v="32100.840336134454"/>
    <m/>
  </r>
  <r>
    <x v="60"/>
    <s v="FE:110 / RM:205"/>
    <s v="ANDRES PEREZ"/>
    <s v="BMY-8440"/>
    <s v="TWINGO"/>
    <x v="9"/>
    <s v="REVISION DE FRENOS COMPLETO/ CAMBIO DE GUAYA DE CLOSH Y ALAMBRES"/>
    <n v="60000"/>
    <n v="42000"/>
    <n v="18000"/>
    <s v="GUAYA DE CLOSH, ALAMBRES"/>
    <n v="53000"/>
    <n v="44537.815126050424"/>
    <n v="8462.1848739495799"/>
    <n v="60000"/>
    <n v="50420.168067226892"/>
    <n v="9579.8319327731097"/>
    <n v="1117.6470588235297"/>
    <n v="5882.3529411764684"/>
    <m/>
  </r>
  <r>
    <x v="60"/>
    <m/>
    <m/>
    <s v="WTM-631"/>
    <s v="F-CARGO 815"/>
    <x v="9"/>
    <s v="GRADUAR FRENOS"/>
    <n v="10000"/>
    <n v="7000"/>
    <n v="3000"/>
    <m/>
    <m/>
    <n v="0"/>
    <n v="0"/>
    <m/>
    <n v="0"/>
    <n v="0"/>
    <n v="0"/>
    <n v="0"/>
    <m/>
  </r>
  <r>
    <x v="60"/>
    <s v="FE:109"/>
    <s v="VERDECERES MS SAS"/>
    <s v="SPL-963"/>
    <s v="NNR"/>
    <x v="9"/>
    <s v="CAMBIO DE VALVULINA/ SERVICIO DE ESCANER"/>
    <n v="30000"/>
    <n v="21000"/>
    <n v="9000"/>
    <s v="VALVULINA"/>
    <n v="200000"/>
    <m/>
    <n v="0"/>
    <n v="230000"/>
    <m/>
    <n v="0"/>
    <n v="0"/>
    <n v="30000"/>
    <m/>
  </r>
  <r>
    <x v="60"/>
    <s v="RM:226"/>
    <s v="PDRO PABLO MARTINEZ"/>
    <s v="MPB-890"/>
    <s v="MAZDA"/>
    <x v="9"/>
    <s v="CAMBIO DE PASTILLAS DE FRENOS DEL / REVISION DE FRENOS"/>
    <n v="80000"/>
    <n v="56000"/>
    <n v="24000"/>
    <s v="PASTILLAS DEL"/>
    <n v="85000"/>
    <m/>
    <n v="0"/>
    <n v="130000"/>
    <m/>
    <n v="0"/>
    <n v="0"/>
    <n v="45000"/>
    <m/>
  </r>
  <r>
    <x v="61"/>
    <s v="RM:229"/>
    <s v="CLARA QUINTIN"/>
    <s v="RKV-033"/>
    <s v="LOGAN"/>
    <x v="4"/>
    <s v="CAMBIO CAUCHO COPA CAJA IZQ / CAMBIO DE VALVULINA"/>
    <n v="50000"/>
    <n v="35000"/>
    <n v="15000"/>
    <s v="COPA CAJA IZQ"/>
    <n v="80000"/>
    <n v="67226.890756302528"/>
    <n v="12773.10924369748"/>
    <n v="70000"/>
    <n v="58823.529411764706"/>
    <n v="11176.470588235294"/>
    <n v="-1596.6386554621859"/>
    <n v="-8403.3613445378141"/>
    <m/>
  </r>
  <r>
    <x v="61"/>
    <m/>
    <s v="RAFAEL POLO"/>
    <s v="BDN-052"/>
    <s v="JEEP "/>
    <x v="4"/>
    <s v="CAMBIO REGISTRO DE COMBUSTIBLE"/>
    <n v="20000"/>
    <n v="14000"/>
    <n v="6000"/>
    <m/>
    <m/>
    <n v="0"/>
    <n v="0"/>
    <m/>
    <n v="0"/>
    <n v="0"/>
    <n v="0"/>
    <n v="0"/>
    <m/>
  </r>
  <r>
    <x v="61"/>
    <s v="RM:230"/>
    <s v="ANGEL CHINCHILLA"/>
    <s v="SNR-047"/>
    <s v="NPR"/>
    <x v="9"/>
    <s v="REVISION DE RUEDAS TRASERAS"/>
    <n v="60000"/>
    <n v="42000"/>
    <n v="18000"/>
    <s v="CHUPAS 1 5/16, GASOLINA, GRASA"/>
    <n v="26000"/>
    <n v="21848.73949579832"/>
    <n v="4151.2605042016812"/>
    <n v="47000"/>
    <n v="39495.798319327732"/>
    <n v="7504.2016806722695"/>
    <n v="3352.9411764705883"/>
    <n v="17647.058823529413"/>
    <m/>
  </r>
  <r>
    <x v="61"/>
    <m/>
    <m/>
    <s v="TFQ-813"/>
    <s v="LOGAN"/>
    <x v="9"/>
    <s v="GRADUACION DE FRENOS"/>
    <n v="10000"/>
    <n v="7000"/>
    <n v="3000"/>
    <m/>
    <m/>
    <n v="0"/>
    <n v="0"/>
    <m/>
    <n v="0"/>
    <n v="0"/>
    <n v="0"/>
    <n v="0"/>
    <m/>
  </r>
  <r>
    <x v="61"/>
    <m/>
    <s v="ANDRES PEREZ"/>
    <s v="BMY-844"/>
    <s v="TWINGO"/>
    <x v="4"/>
    <s v="CAMBIO KIT DE CLOSH"/>
    <n v="250000"/>
    <n v="175000"/>
    <n v="75000"/>
    <s v="KIT DE CLOSH"/>
    <n v="260000"/>
    <n v="218487.3949579832"/>
    <n v="41512.60504201681"/>
    <n v="350000"/>
    <n v="294117.64705882355"/>
    <n v="55882.352941176476"/>
    <n v="14369.747899159665"/>
    <n v="75630.252100840327"/>
    <m/>
  </r>
  <r>
    <x v="62"/>
    <s v="RM:232"/>
    <s v="MARTHA MORALES"/>
    <s v="HKM-167"/>
    <s v="SAIL"/>
    <x v="9"/>
    <s v="REVISION DE FRENOS"/>
    <n v="50000"/>
    <n v="35000"/>
    <n v="15000"/>
    <m/>
    <m/>
    <n v="0"/>
    <n v="0"/>
    <m/>
    <n v="0"/>
    <n v="0"/>
    <n v="0"/>
    <n v="0"/>
    <m/>
  </r>
  <r>
    <x v="62"/>
    <s v="RM:235"/>
    <s v="JHON FREDDY"/>
    <s v="IJW-370"/>
    <s v="CHEVROLET"/>
    <x v="4"/>
    <s v="CAMBIO DE TIJERA / SOLDAR TORNILLO"/>
    <n v="60000"/>
    <n v="42000"/>
    <n v="18000"/>
    <m/>
    <m/>
    <n v="0"/>
    <n v="0"/>
    <m/>
    <n v="0"/>
    <n v="0"/>
    <n v="0"/>
    <n v="0"/>
    <m/>
  </r>
  <r>
    <x v="62"/>
    <s v="RM:234"/>
    <s v="ADOLFO DIAZ ROJAS"/>
    <s v="ZYQ-971"/>
    <s v="DUSTER"/>
    <x v="9"/>
    <s v="CAMBIO KIT DE REPARTICION , CORREA DE ACCESORIO, BUJIAS, PUNTA DE EJE LADO RUEDA, RODAMIENTO, SERVICIO DE PRENSA"/>
    <n v="430000"/>
    <n v="301000"/>
    <n v="129000"/>
    <m/>
    <m/>
    <m/>
    <n v="0"/>
    <m/>
    <m/>
    <m/>
    <m/>
    <n v="0"/>
    <m/>
  </r>
  <r>
    <x v="62"/>
    <s v="RM:234"/>
    <s v="ADOLFO DIAZ ROJAS"/>
    <s v="ZYQ-971"/>
    <s v="DUSTER"/>
    <x v="4"/>
    <s v="CAMBIO KIT DE REPARTICION , CORREA DE ACCESORIO, BUJIAS, PUNTA DE EJE LADO RUEDA, RODAMIENTO, SERVICIO DE PRENSA"/>
    <n v="300000"/>
    <n v="210000"/>
    <n v="90000"/>
    <s v="CAMBIO KIT DE REPARTICION , CORREA DE ACCESORIO, BUJIAS, PUNTA DE EJE LADO RUEDA, RODAMIENTO, SERVICIO DE PRENSA"/>
    <n v="815000"/>
    <m/>
    <n v="0"/>
    <n v="1135000"/>
    <m/>
    <m/>
    <m/>
    <n v="320000"/>
    <m/>
  </r>
  <r>
    <x v="62"/>
    <s v="FE: 114/RM:233"/>
    <s v="RODOLFO BARRERA"/>
    <s v="HSV-263"/>
    <s v="CAPTIVA"/>
    <x v="9"/>
    <s v="CAMBIO DE PASTILLAS TRASERAS/ DELANTERAS Y AMORTIGUADORES "/>
    <n v="160000"/>
    <n v="112000"/>
    <n v="48000"/>
    <s v="PASTILLAS TRASERAS/ DELANTERAS Y AMORTIGUADORES "/>
    <n v="1010000"/>
    <n v="848739.49579831935"/>
    <n v="161260.50420168068"/>
    <n v="1270000"/>
    <n v="1067226.8907563025"/>
    <n v="202773.10924369749"/>
    <n v="41512.605042016803"/>
    <n v="218487.39495798317"/>
    <m/>
  </r>
  <r>
    <x v="63"/>
    <s v="RM:237"/>
    <s v="FABIO CHACON"/>
    <s v="KBM-615"/>
    <s v="NISSAN"/>
    <x v="9"/>
    <s v="REVISION DE FRENOS Y FRENO DE MANO"/>
    <n v="90000"/>
    <n v="62999.999999999993"/>
    <n v="27000.000000000007"/>
    <s v="PASTILLAS FRENO TRASERA"/>
    <n v="100000"/>
    <m/>
    <n v="0"/>
    <n v="140000"/>
    <m/>
    <n v="0"/>
    <n v="0"/>
    <n v="40000"/>
    <m/>
  </r>
  <r>
    <x v="63"/>
    <m/>
    <m/>
    <s v="MBO-301"/>
    <m/>
    <x v="6"/>
    <s v="SERVICIO DE ESCANER"/>
    <n v="50000"/>
    <n v="35000"/>
    <n v="15000"/>
    <m/>
    <m/>
    <n v="0"/>
    <n v="0"/>
    <m/>
    <n v="0"/>
    <n v="0"/>
    <n v="0"/>
    <n v="0"/>
    <m/>
  </r>
  <r>
    <x v="63"/>
    <s v="RM:240"/>
    <s v="FAVER NOVOA"/>
    <s v="JOW-086"/>
    <s v="NHR"/>
    <x v="9"/>
    <s v="CAMBIO DE ESPARRAGOS/ GRADUACION DE FRENOS"/>
    <n v="40000"/>
    <n v="28000"/>
    <n v="12000"/>
    <m/>
    <m/>
    <n v="0"/>
    <n v="0"/>
    <m/>
    <n v="0"/>
    <n v="0"/>
    <n v="0"/>
    <n v="0"/>
    <m/>
  </r>
  <r>
    <x v="63"/>
    <s v="RM:239"/>
    <s v="MAGDA VELOZA"/>
    <s v="BWM-262"/>
    <s v="MEGANE I"/>
    <x v="9"/>
    <s v="CAMBIO DE PASTILLA DELANTERAS"/>
    <n v="30000"/>
    <n v="21000"/>
    <n v="9000"/>
    <s v="PASTILLAS DELANTERAS"/>
    <n v="120000"/>
    <n v="100840.33613445378"/>
    <n v="19159.663865546219"/>
    <n v="150000"/>
    <n v="126050.42016806723"/>
    <n v="23949.579831932773"/>
    <n v="4789.9159663865539"/>
    <n v="25210.084033613442"/>
    <m/>
  </r>
  <r>
    <x v="63"/>
    <s v="RM:241"/>
    <s v="TRANSPORTE LOGISTICO CYG"/>
    <s v="SPQ-698"/>
    <s v="HYUNDAI"/>
    <x v="9"/>
    <s v="_x000a_REVISION DE FRENOS / ADPATACION DE TORNILLO MORDAZA DEL DERECHA"/>
    <n v="100000"/>
    <n v="70000"/>
    <n v="30000"/>
    <m/>
    <m/>
    <n v="0"/>
    <n v="0"/>
    <m/>
    <n v="0"/>
    <n v="0"/>
    <n v="0"/>
    <n v="0"/>
    <m/>
  </r>
  <r>
    <x v="64"/>
    <m/>
    <m/>
    <s v="HBN-198"/>
    <m/>
    <x v="6"/>
    <s v="REVISION ELECTRICA /ESCANER"/>
    <n v="60000"/>
    <m/>
    <n v="60000"/>
    <m/>
    <m/>
    <n v="0"/>
    <n v="0"/>
    <m/>
    <n v="0"/>
    <n v="0"/>
    <n v="0"/>
    <n v="0"/>
    <m/>
  </r>
  <r>
    <x v="64"/>
    <s v="RM:242"/>
    <m/>
    <s v="BJO-522"/>
    <m/>
    <x v="6"/>
    <s v="REVISION DE FRENOS"/>
    <n v="40000"/>
    <m/>
    <n v="40000"/>
    <m/>
    <m/>
    <n v="0"/>
    <n v="0"/>
    <m/>
    <n v="0"/>
    <n v="0"/>
    <n v="0"/>
    <n v="0"/>
    <m/>
  </r>
  <r>
    <x v="64"/>
    <s v="RM: 248 / FE: 117"/>
    <s v="JAVIER MARTIN"/>
    <s v="USB-807"/>
    <s v="NPR"/>
    <x v="9"/>
    <s v="CAMBIO DE GUAYA FRENO DE MANO/ GUAYA DE FRENO DE MANO/ RESORTE"/>
    <n v="150000"/>
    <n v="105000"/>
    <n v="45000"/>
    <s v="GUAYA FRENO DE MANO/ GUAYA DE FRENO DE MANO/ RESORTE"/>
    <n v="530000"/>
    <n v="151260.5"/>
    <n v="28739.494999999999"/>
    <n v="780000"/>
    <n v="235294.11"/>
    <n v="44705.880899999996"/>
    <n v="15966.385899999997"/>
    <n v="234033.61410000001"/>
    <m/>
  </r>
  <r>
    <x v="64"/>
    <s v="FE:115/RM:243"/>
    <s v="FABIAN VAJONERO"/>
    <s v="BMK-782"/>
    <s v="CLIO"/>
    <x v="9"/>
    <s v="REVISION DE FRENOS/ CAMBIO SOPORTE AMORTIGUADOR Y MUÑECOS"/>
    <n v="180000"/>
    <n v="125999.99999999999"/>
    <n v="54000.000000000015"/>
    <s v="SOPORTE AMORTIGUADOR Y MUÑECOS"/>
    <n v="150000"/>
    <n v="126050.42016806723"/>
    <n v="23949.579831932773"/>
    <n v="200000"/>
    <n v="168067.22689075631"/>
    <n v="31932.773109243699"/>
    <n v="7983.1932773109256"/>
    <n v="42016.806722689071"/>
    <m/>
  </r>
  <r>
    <x v="64"/>
    <s v="RM:244"/>
    <s v="MARCOS AMAYA"/>
    <s v="BLV-454"/>
    <s v="MITSUBISHI"/>
    <x v="4"/>
    <s v="CAMBIO SOPORTE IZQ/ DELANTERO/ TRASERO"/>
    <n v="160000"/>
    <n v="112000"/>
    <n v="48000"/>
    <s v="SOPORTE IZQ/ DELANTERO/ TRASERO"/>
    <n v="515000"/>
    <m/>
    <n v="0"/>
    <n v="643000"/>
    <m/>
    <n v="0"/>
    <n v="0"/>
    <n v="128000"/>
    <m/>
  </r>
  <r>
    <x v="64"/>
    <s v="FE:116"/>
    <s v="EMEB TECNOLOGIA"/>
    <s v="CUM-340"/>
    <s v="MAZDA"/>
    <x v="4"/>
    <s v="CAMBIO BUJES BARRA ESTABILIZADORA/ CORREAS DE ACCESORIO"/>
    <n v="150000"/>
    <n v="105000"/>
    <n v="45000"/>
    <s v="BUJES BARRA ESTABILIZADORA/ CORREAS DE ACCESORIO"/>
    <n v="235000"/>
    <m/>
    <n v="0"/>
    <n v="340000"/>
    <n v="285714.28571428574"/>
    <n v="54285.71428571429"/>
    <n v="54285.71428571429"/>
    <n v="50714.285714285681"/>
    <m/>
  </r>
  <r>
    <x v="64"/>
    <s v="RM:247"/>
    <s v="ALEJANDRO ALONZO"/>
    <s v="BSB-546"/>
    <s v="TOYOTA PRADO"/>
    <x v="9"/>
    <s v="REPARACION DE SUSPENSION"/>
    <n v="350000"/>
    <n v="244999.99999999997"/>
    <n v="105000.00000000003"/>
    <m/>
    <m/>
    <n v="0"/>
    <n v="0"/>
    <m/>
    <n v="0"/>
    <n v="0"/>
    <n v="0"/>
    <n v="0"/>
    <m/>
  </r>
  <r>
    <x v="64"/>
    <s v="RM: 206"/>
    <s v="FRANCISCO SASTOQUE"/>
    <s v="JKJ-296"/>
    <s v="LAND ROVER"/>
    <x v="4"/>
    <s v="CAMBIO DE BOMBA DE GASOLINA Y BOMBA DE AGUA"/>
    <n v="160000"/>
    <n v="112000"/>
    <n v="48000"/>
    <m/>
    <m/>
    <n v="0"/>
    <n v="0"/>
    <m/>
    <n v="0"/>
    <n v="0"/>
    <n v="0"/>
    <n v="0"/>
    <m/>
  </r>
  <r>
    <x v="65"/>
    <s v="RM:249 / FE: 118"/>
    <s v="JOSE DIAZ"/>
    <s v="BZX-793"/>
    <s v="SPARK"/>
    <x v="9"/>
    <s v="CAMBIO DE SOPORTE DE CAJA, SOPORTE MOTOR IZQ, BRAZO AXILANTE DEL DERECHO"/>
    <n v="150000"/>
    <n v="105000"/>
    <n v="45000"/>
    <s v="SOPORTE DE CAJA, SOPORTE MOTOR IZQ, BRAZO AXILANTE DEL DERECHO"/>
    <n v="208000"/>
    <n v="174789.91596638656"/>
    <n v="33210.08403361345"/>
    <n v="309000"/>
    <n v="259663.8655462185"/>
    <n v="49336.134453781517"/>
    <n v="16126.050420168067"/>
    <n v="84873.94957983194"/>
    <m/>
  </r>
  <r>
    <x v="65"/>
    <s v="RM:246"/>
    <s v="MARCOS AMAYA"/>
    <s v="BLV-454"/>
    <s v="MITSUBISHI"/>
    <x v="4"/>
    <s v="CAMBIO DE PUNTA EJE LADO CAJA"/>
    <n v="50000"/>
    <n v="35000"/>
    <n v="15000"/>
    <s v="PUNTA DE EJE"/>
    <n v="340000"/>
    <m/>
    <n v="0"/>
    <n v="440000"/>
    <n v="369747.89915966388"/>
    <m/>
    <n v="0"/>
    <n v="100000"/>
    <m/>
  </r>
  <r>
    <x v="65"/>
    <m/>
    <s v="MONGIBELLO"/>
    <s v="WNO-408"/>
    <m/>
    <x v="9"/>
    <s v="GRADUACION DE FRENOS"/>
    <n v="10000"/>
    <n v="7000"/>
    <n v="3000"/>
    <m/>
    <m/>
    <n v="0"/>
    <n v="0"/>
    <m/>
    <n v="0"/>
    <n v="0"/>
    <n v="0"/>
    <n v="0"/>
    <m/>
  </r>
  <r>
    <x v="65"/>
    <m/>
    <m/>
    <s v="SND-423"/>
    <s v="VOLQUETA"/>
    <x v="6"/>
    <s v="CAMBIO DE INSERTO, ANILLO Y ACOPLE"/>
    <n v="40000"/>
    <n v="28000"/>
    <n v="12000"/>
    <m/>
    <m/>
    <m/>
    <m/>
    <m/>
    <m/>
    <m/>
    <m/>
    <m/>
    <m/>
  </r>
  <r>
    <x v="64"/>
    <s v="CANCELADO"/>
    <m/>
    <s v="RCT-822"/>
    <s v="SANDERO"/>
    <x v="9"/>
    <s v="CAMBIO SOPORTE DE CAJA CENTRAL"/>
    <n v="50000"/>
    <n v="35000"/>
    <n v="15000"/>
    <s v="SOPORTE CENTRAL LOGAN"/>
    <n v="39532"/>
    <n v="33220.168067226892"/>
    <n v="6311.8319327731097"/>
    <n v="60000"/>
    <m/>
    <n v="0"/>
    <n v="-6311.8319327731097"/>
    <n v="26779.831932773108"/>
    <s v="CANCELADO"/>
  </r>
  <r>
    <x v="66"/>
    <s v="RM:250"/>
    <s v="JOAQUIN VARON"/>
    <s v="TFQ-819"/>
    <s v="LOGAN"/>
    <x v="4"/>
    <s v="MANTENIMIENTO DE BUJIAS/ CAMBIO VARILLA DE ACEITE "/>
    <n v="50000"/>
    <n v="35000"/>
    <n v="15000"/>
    <m/>
    <m/>
    <n v="0"/>
    <n v="0"/>
    <m/>
    <n v="0"/>
    <n v="0"/>
    <n v="0"/>
    <n v="0"/>
    <m/>
  </r>
  <r>
    <x v="66"/>
    <s v="FE:119/RM:251"/>
    <s v="HERNANDO JIMENEZ"/>
    <s v="BAW-200"/>
    <s v="TRUPPER"/>
    <x v="9"/>
    <s v="CAMBIO DE BUJES DE TIJERA"/>
    <n v="50000"/>
    <n v="35000"/>
    <n v="15000"/>
    <s v="BUJES DE TIJERA SUP"/>
    <n v="50000"/>
    <n v="42016.806722689078"/>
    <n v="7983.1932773109247"/>
    <n v="76000"/>
    <n v="63865.546218487398"/>
    <n v="12134.453781512606"/>
    <n v="4151.2605042016812"/>
    <n v="21848.73949579832"/>
    <m/>
  </r>
  <r>
    <x v="66"/>
    <m/>
    <m/>
    <s v="KHR-650"/>
    <s v="LOGAN"/>
    <x v="9"/>
    <s v="GRADUACION DE FRENOS"/>
    <n v="5000"/>
    <n v="3500"/>
    <n v="1500"/>
    <m/>
    <m/>
    <n v="0"/>
    <n v="0"/>
    <m/>
    <n v="0"/>
    <n v="0"/>
    <n v="0"/>
    <n v="0"/>
    <m/>
  </r>
  <r>
    <x v="66"/>
    <s v="RM:254"/>
    <s v="JUAN CARLOS QUIJANO"/>
    <s v="BLK-537"/>
    <s v="LAND CROUSER"/>
    <x v="9"/>
    <s v="REPARACION DE SUPENSION DEL Y TRASERA"/>
    <n v="400000"/>
    <n v="280000"/>
    <n v="120000"/>
    <s v="TERM,INALES DE DIREECCION, MUÑECOS DEL Y TRASEROS, BUJES DE LA BARRA ESTAB, BUJES DE TEMPLETES DEL Y TRASE, BUJES DE AMORTUGUADOR,GASOLINA, SERVICIO DE PRENSA, SILICONA"/>
    <n v="1648000"/>
    <n v="1384873.9495798319"/>
    <n v="263126.05042016809"/>
    <n v="2187000"/>
    <n v="1837815.1260504203"/>
    <n v="349184.87394957989"/>
    <n v="86058.823529411806"/>
    <n v="452941.17647058819"/>
    <m/>
  </r>
  <r>
    <x v="67"/>
    <m/>
    <m/>
    <s v="GPG-415"/>
    <s v="FORD"/>
    <x v="4"/>
    <s v="CAMBIO DE RODAMIENTOS PUNTA DE EJE"/>
    <n v="50000"/>
    <n v="35000"/>
    <n v="15000"/>
    <m/>
    <m/>
    <n v="0"/>
    <n v="0"/>
    <m/>
    <n v="0"/>
    <n v="0"/>
    <n v="0"/>
    <n v="0"/>
    <m/>
  </r>
  <r>
    <x v="67"/>
    <s v="FE:121/RM:256"/>
    <s v="RODRIGO MONCADA"/>
    <s v="WDG-431"/>
    <s v="VOLKSWAGEN"/>
    <x v="9"/>
    <s v="BAJAR BOMBA DE CLOSH"/>
    <n v="50000"/>
    <n v="35000"/>
    <n v="15000"/>
    <s v="KIT BOMBA DE CLOSH"/>
    <n v="60000"/>
    <n v="50420.168067226892"/>
    <n v="9579.8319327731097"/>
    <n v="90000"/>
    <n v="75630.252100840342"/>
    <n v="14369.747899159665"/>
    <n v="4789.9159663865557"/>
    <n v="25210.084033613442"/>
    <m/>
  </r>
  <r>
    <x v="67"/>
    <s v="FE:121/RM:256"/>
    <s v="RODRIGO MONCADA"/>
    <s v="WDG-431"/>
    <s v="VOLKSWAGEN"/>
    <x v="4"/>
    <s v="DESVARE"/>
    <n v="80000"/>
    <n v="56000"/>
    <n v="24000"/>
    <m/>
    <m/>
    <n v="0"/>
    <n v="0"/>
    <m/>
    <n v="0"/>
    <n v="0"/>
    <n v="0"/>
    <n v="0"/>
    <m/>
  </r>
  <r>
    <x v="67"/>
    <s v="FE:121/RM:256"/>
    <s v="RODRIGO MONCADA"/>
    <s v="WDG-431"/>
    <s v="VOLKSWAGEN"/>
    <x v="5"/>
    <s v="REPARACION DE CORTO ELCTRICO"/>
    <n v="150000"/>
    <n v="150000"/>
    <n v="0"/>
    <s v="ABRAZADERAS, CABLE, CORAZA, CINTA, LIQUIDO DE FRENOS, PINES PLAST"/>
    <n v="26500"/>
    <n v="22268.907563025212"/>
    <n v="4231.09243697479"/>
    <n v="141000"/>
    <n v="118487.3949579832"/>
    <n v="22512.605042016807"/>
    <n v="18281.512605042015"/>
    <n v="96218.487394957978"/>
    <m/>
  </r>
  <r>
    <x v="67"/>
    <s v="FE:122/RM:257"/>
    <s v="YENY PULGARIN"/>
    <s v="SNZ-697"/>
    <s v="HINO"/>
    <x v="9"/>
    <s v="MATTO RUEDA DELANTERA / CAMBIO DE CHUPAS"/>
    <n v="40000"/>
    <n v="28000"/>
    <n v="12000"/>
    <s v="CHUPAS  1 7/16"/>
    <n v="10000"/>
    <m/>
    <n v="0"/>
    <n v="17000"/>
    <n v="14285.714285714286"/>
    <n v="2714.2857142857142"/>
    <n v="2714.2857142857142"/>
    <n v="4285.7142857142862"/>
    <m/>
  </r>
  <r>
    <x v="67"/>
    <m/>
    <m/>
    <s v="HBN-909"/>
    <s v="HUMMER"/>
    <x v="9"/>
    <s v="AJUSTE DE SUSPENSION"/>
    <n v="20000"/>
    <n v="12000"/>
    <n v="8000"/>
    <m/>
    <m/>
    <n v="0"/>
    <n v="0"/>
    <m/>
    <n v="0"/>
    <n v="0"/>
    <n v="0"/>
    <n v="0"/>
    <m/>
  </r>
  <r>
    <x v="67"/>
    <s v="FE:120"/>
    <s v="MAURICIO GUIA"/>
    <s v="S59035"/>
    <s v="KENWORTH"/>
    <x v="9"/>
    <s v="BAJAR RUEDAS"/>
    <n v="50000"/>
    <n v="35000"/>
    <n v="15000"/>
    <m/>
    <m/>
    <n v="0"/>
    <n v="0"/>
    <m/>
    <n v="0"/>
    <n v="0"/>
    <n v="0"/>
    <n v="0"/>
    <m/>
  </r>
  <r>
    <x v="68"/>
    <s v="FE:123/ RM:258"/>
    <s v="MARIO CARDOZO"/>
    <s v="BJX-839"/>
    <s v="CLIO"/>
    <x v="9"/>
    <s v="CAMBIO DE RODAMIENTO TRASERO"/>
    <n v="35000"/>
    <n v="32000"/>
    <n v="3000"/>
    <m/>
    <m/>
    <n v="0"/>
    <n v="0"/>
    <m/>
    <n v="0"/>
    <n v="0"/>
    <n v="0"/>
    <n v="0"/>
    <m/>
  </r>
  <r>
    <x v="68"/>
    <s v="FE:124 / RM:259"/>
    <s v="ANDRES SIERRA"/>
    <s v="BPG-413"/>
    <s v="SYMBOL"/>
    <x v="9"/>
    <s v="CAMBIO DE ROTULA IZQ. Y MUÑECOS"/>
    <n v="55000"/>
    <n v="38500"/>
    <n v="16500"/>
    <s v="ROTULA Y MUÑECOS"/>
    <n v="85000"/>
    <n v="71428.571428571435"/>
    <n v="13571.428571428572"/>
    <n v="117000"/>
    <n v="98319.327731092446"/>
    <n v="18680.672268907565"/>
    <n v="5109.2436974789925"/>
    <n v="26890.756302521011"/>
    <m/>
  </r>
  <r>
    <x v="68"/>
    <m/>
    <m/>
    <s v="BHO-428"/>
    <s v="RENAULT 9"/>
    <x v="9"/>
    <s v="CAMBIO DE BUJES Y MUÑECOS"/>
    <n v="40000"/>
    <n v="28000"/>
    <n v="12000"/>
    <m/>
    <m/>
    <n v="0"/>
    <n v="0"/>
    <m/>
    <n v="0"/>
    <n v="0"/>
    <n v="0"/>
    <n v="0"/>
    <m/>
  </r>
  <r>
    <x v="68"/>
    <s v="RM:261"/>
    <s v="JOSE BARRERA"/>
    <s v="XGJ-109"/>
    <s v="VOLQUETA"/>
    <x v="9"/>
    <s v="CAMBIO DE BANDAS RUEDA TRASERA/ MTTO RACHE"/>
    <n v="100000"/>
    <n v="70000"/>
    <n v="30000"/>
    <m/>
    <m/>
    <n v="0"/>
    <n v="0"/>
    <m/>
    <n v="0"/>
    <n v="0"/>
    <n v="0"/>
    <n v="0"/>
    <m/>
  </r>
  <r>
    <x v="68"/>
    <s v="RM:260"/>
    <s v="MARCOS AURELIO DIAZ"/>
    <s v="EIS-544"/>
    <s v="SANDERO"/>
    <x v="9"/>
    <s v="CAMBIO DE PASTILLAS /MTTO DE FRENOS GENERAL"/>
    <n v="60000"/>
    <n v="42000"/>
    <n v="18000"/>
    <s v="PASTILLAS FRENO DEL."/>
    <n v="132000"/>
    <n v="110924.36974789917"/>
    <n v="21075.630252100844"/>
    <n v="175000"/>
    <n v="147058.82352941178"/>
    <n v="27941.176470588238"/>
    <n v="6865.5462184873941"/>
    <n v="36134.453781512595"/>
    <m/>
  </r>
  <r>
    <x v="68"/>
    <m/>
    <m/>
    <s v="UYK-286"/>
    <s v="TOYOTA"/>
    <x v="4"/>
    <s v="REPARACION PARCIAL DE MOTOR"/>
    <n v="500000"/>
    <n v="350000"/>
    <n v="150000"/>
    <m/>
    <m/>
    <n v="0"/>
    <n v="0"/>
    <m/>
    <n v="0"/>
    <n v="0"/>
    <n v="0"/>
    <n v="0"/>
    <m/>
  </r>
  <r>
    <x v="69"/>
    <s v="RM: 262"/>
    <s v="JUAN CARLOS CASTELLANOS"/>
    <s v="HAY-978"/>
    <s v="MAZDA"/>
    <x v="9"/>
    <s v="CAMBIO DE LIQUIDO / REV. DE FRENOS GENERAL"/>
    <n v="100000"/>
    <n v="70000"/>
    <n v="30000"/>
    <s v="LIQUIDO"/>
    <n v="24000"/>
    <n v="20168.067226890758"/>
    <n v="3831.932773109244"/>
    <n v="35000"/>
    <n v="29411.764705882353"/>
    <n v="5588.2352941176468"/>
    <n v="1756.3025210084029"/>
    <n v="9243.6974789915985"/>
    <m/>
  </r>
  <r>
    <x v="69"/>
    <s v="RM: 267"/>
    <s v="MIGUEL MORENO"/>
    <s v="BFV-298 "/>
    <s v="FIAT UNO"/>
    <x v="9"/>
    <s v="REVISION DE FREMOS/ CAMBIO MANGUERA DE FRENOS"/>
    <n v="60000"/>
    <n v="42000"/>
    <n v="18000"/>
    <s v="LIQUIDO /MANGUERA DE FRENOS"/>
    <n v="6400"/>
    <n v="5378.1512605042017"/>
    <n v="1021.8487394957983"/>
    <n v="15000"/>
    <n v="12605.042016806723"/>
    <n v="2394.9579831932774"/>
    <n v="1373.1092436974791"/>
    <n v="7226.8907563025205"/>
    <m/>
  </r>
  <r>
    <x v="69"/>
    <s v="RM: 267"/>
    <s v="MIGUEL MORENO"/>
    <s v="BFV-298 "/>
    <s v="FIAT UNO"/>
    <x v="4"/>
    <s v="CAMBIO KIT DE CLOSH"/>
    <n v="160000"/>
    <n v="112000"/>
    <n v="48000"/>
    <m/>
    <m/>
    <n v="0"/>
    <n v="0"/>
    <m/>
    <n v="0"/>
    <n v="0"/>
    <n v="0"/>
    <n v="0"/>
    <m/>
  </r>
  <r>
    <x v="69"/>
    <s v="RM:264"/>
    <s v="JAIME MONCADA"/>
    <s v="SKK-862"/>
    <s v="MITSUBISHI"/>
    <x v="6"/>
    <s v="CAMBIO EMP BOMBA DE CLOSH/ BAJAR PEDALERA/ GRADUACION DE FRENOS"/>
    <n v="50000"/>
    <n v="35000"/>
    <n v="15000"/>
    <s v="EMPAQUE KIT BOMBA DE CLOSH / LIQUIDO / PIN R"/>
    <n v="36900"/>
    <n v="31008.403361344539"/>
    <n v="5891.5966386554628"/>
    <n v="76000"/>
    <n v="63865.546218487398"/>
    <n v="12134.453781512606"/>
    <n v="6242.8571428571431"/>
    <n v="32857.142857142855"/>
    <m/>
  </r>
  <r>
    <x v="69"/>
    <m/>
    <s v="KATHERIN MORALES"/>
    <s v="BEU-321"/>
    <s v="ESCODA"/>
    <x v="9"/>
    <s v="CAMBIO BUJES DE TIJERAS"/>
    <n v="90000"/>
    <n v="62999.999999999993"/>
    <n v="27000.000000000007"/>
    <m/>
    <m/>
    <n v="0"/>
    <n v="0"/>
    <m/>
    <n v="0"/>
    <n v="0"/>
    <n v="0"/>
    <n v="0"/>
    <m/>
  </r>
  <r>
    <x v="69"/>
    <s v="FE:127/RM:265"/>
    <s v="CLARA QUINTIN"/>
    <s v="RKV-033"/>
    <s v="LOGAN DYNAMIC"/>
    <x v="4"/>
    <s v="CAMBIO KIT DE CLOSH"/>
    <n v="250000"/>
    <n v="175000"/>
    <n v="75000"/>
    <s v=" KIT DE CLOSH"/>
    <n v="310000"/>
    <n v="260504.20168067227"/>
    <n v="49495.798319327732"/>
    <n v="420000"/>
    <n v="352941.17647058825"/>
    <n v="67058.823529411762"/>
    <n v="17563.02521008403"/>
    <n v="92436.974789915956"/>
    <m/>
  </r>
  <r>
    <x v="69"/>
    <m/>
    <s v="CESAR ISAZA"/>
    <s v="TFP-394"/>
    <s v="NISSAN"/>
    <x v="9"/>
    <s v="REVISION RUEDAS TRASERAS"/>
    <n v="30000"/>
    <n v="21000"/>
    <n v="9000"/>
    <m/>
    <m/>
    <n v="0"/>
    <n v="0"/>
    <m/>
    <n v="0"/>
    <n v="0"/>
    <n v="0"/>
    <n v="0"/>
    <m/>
  </r>
  <r>
    <x v="69"/>
    <s v="FE:129/RM:266"/>
    <s v="FABIAN GARCIA"/>
    <s v="MBL-513"/>
    <s v="NISSAN"/>
    <x v="4"/>
    <s v="CAMBIO DE BOMBA DE AGUA, EMP TAPA VALVULAS"/>
    <n v="120000"/>
    <n v="84000"/>
    <n v="36000"/>
    <s v="BOMBA DE AGUA/ EMPAQUE TAPA VALVULA"/>
    <n v="362500"/>
    <n v="16806.72"/>
    <n v="3193.2768000000001"/>
    <n v="480000"/>
    <n v="403361.34453781514"/>
    <n v="76638.655462184877"/>
    <n v="73445.37866218487"/>
    <n v="44054.62133781513"/>
    <m/>
  </r>
  <r>
    <x v="69"/>
    <s v="FE:126/RM:263"/>
    <s v="LIMNYS GACHARNA"/>
    <s v="HKM-167"/>
    <s v="SAIL"/>
    <x v="9"/>
    <s v="CAMBIO DE AMORTIGUADORES DEL/ BUJES DE TIJERA /GP EJE LADO CAJA"/>
    <n v="230000"/>
    <n v="161000"/>
    <n v="69000"/>
    <s v="AMORTIGUADORES DEL/ BUJES DE TIJERA /GP EJE LADO CAJA"/>
    <n v="336490"/>
    <n v="282764.70588235295"/>
    <n v="53725.294117647063"/>
    <n v="557000"/>
    <n v="468067.22689075634"/>
    <n v="88932.773109243702"/>
    <n v="35207.478991596639"/>
    <n v="185302.52100840339"/>
    <m/>
  </r>
  <r>
    <x v="70"/>
    <s v="FE:130 / RM: 271"/>
    <s v="OTERO GERARDO"/>
    <s v="TGN-516"/>
    <s v="RENAULT TRAFIC"/>
    <x v="9"/>
    <s v="CAMBIO DE RODAMIENTO DELANTERO Y ROTULA"/>
    <n v="80000"/>
    <n v="56000"/>
    <n v="24000"/>
    <s v="ROD, DEL/ ROTULA"/>
    <n v="175000"/>
    <n v="147058.82352941178"/>
    <n v="27941.176470588238"/>
    <n v="225000"/>
    <n v="189075.63025210085"/>
    <n v="35924.36974789916"/>
    <n v="7983.193277310922"/>
    <n v="42016.806722689071"/>
    <m/>
  </r>
  <r>
    <x v="70"/>
    <m/>
    <m/>
    <s v="BJO-522"/>
    <s v="FIAT UNO"/>
    <x v="9"/>
    <s v="CAMBIO DE BOMBA DE FRENO"/>
    <n v="40000"/>
    <n v="28000"/>
    <n v="12000"/>
    <m/>
    <m/>
    <n v="0"/>
    <n v="0"/>
    <m/>
    <n v="0"/>
    <n v="0"/>
    <n v="0"/>
    <n v="0"/>
    <m/>
  </r>
  <r>
    <x v="70"/>
    <m/>
    <s v="ANDRES PEREZ"/>
    <s v="BMY-844"/>
    <s v="TWINGO"/>
    <x v="9"/>
    <s v="CAMBIO DE BUJES DE TIJERA"/>
    <n v="50000"/>
    <n v="35000"/>
    <n v="15000"/>
    <m/>
    <n v="44000"/>
    <n v="36974.789915966387"/>
    <n v="7025.2100840336134"/>
    <n v="60000"/>
    <n v="50420.168067226892"/>
    <n v="9579.8319327731097"/>
    <n v="2554.6218487394963"/>
    <n v="13445.378151260506"/>
    <m/>
  </r>
  <r>
    <x v="70"/>
    <s v="FE:132/RM:272"/>
    <s v="ALEJANDRO RIVERA"/>
    <s v="BRK-566"/>
    <s v="FIAT UNO"/>
    <x v="4"/>
    <s v="CAMBIO PILA BOMBA DE GASOLINA"/>
    <n v="40000"/>
    <n v="28000"/>
    <n v="12000"/>
    <s v="PILA GASOLINA/ABRAZADERA METAL"/>
    <n v="86500"/>
    <n v="72689.075630252104"/>
    <n v="13810.9243697479"/>
    <n v="107000"/>
    <n v="89915.966386554632"/>
    <n v="17084.033613445379"/>
    <n v="3273.1092436974795"/>
    <n v="17226.890756302513"/>
    <m/>
  </r>
  <r>
    <x v="71"/>
    <s v="FE:135/RM:276"/>
    <s v="LUIS BELTRAN"/>
    <s v="                                                                                                                   "/>
    <s v="CHEVROLET RODEO"/>
    <x v="4"/>
    <s v="REPARACION PARCIAL DE MOTOR"/>
    <n v="700000"/>
    <n v="489999.99999999994"/>
    <n v="210000.00000000006"/>
    <s v="ANILLOS, CASQUETE DE BIELA, EMPQUE DE CULTA, EMPAQUE MULTIPLE DE ADMISION, SOPORTE DE MOTOR IZQ, BUJIAS"/>
    <n v="750000"/>
    <n v="630252.10084033618"/>
    <n v="119747.89915966388"/>
    <n v="1122500"/>
    <n v="943277.31092436984"/>
    <n v="179222.68907563027"/>
    <n v="59474.789915966394"/>
    <n v="313025.21008403366"/>
    <m/>
  </r>
  <r>
    <x v="71"/>
    <s v="FE:135/RM:276"/>
    <s v="LUIS BELTRAN"/>
    <s v="BJJ-688"/>
    <s v="CHEVROLET RODEO"/>
    <x v="9"/>
    <s v="CAMBIO DE BANDAS Y LIQUIDO"/>
    <n v="60000"/>
    <m/>
    <n v="60000"/>
    <s v="BANDAS, LIQUIDO FRENO  DOT3"/>
    <n v="56282"/>
    <n v="47295.798319327732"/>
    <n v="8986.2016806722695"/>
    <n v="105000"/>
    <n v="88235.294117647063"/>
    <n v="16764.705882352941"/>
    <n v="7778.504201680671"/>
    <n v="40939.495798319331"/>
    <m/>
  </r>
  <r>
    <x v="71"/>
    <s v="RM:277"/>
    <s v="ANGELA CORREDOR"/>
    <s v="BIO-488"/>
    <s v="JEEP"/>
    <x v="9"/>
    <s v="CAMBIO CRUCETA CARDAN"/>
    <n v="30000"/>
    <n v="21000"/>
    <n v="9000"/>
    <s v="CRUCETA DE CARDAN"/>
    <n v="70000"/>
    <n v="58823.529411764706"/>
    <n v="11176.470588235294"/>
    <n v="100000"/>
    <n v="84033.613445378156"/>
    <m/>
    <m/>
    <n v="30000"/>
    <m/>
  </r>
  <r>
    <x v="72"/>
    <s v="RM:274"/>
    <m/>
    <s v="DDX-778"/>
    <s v="HIUNDAY TUCSON"/>
    <x v="9"/>
    <s v="CAMBIO DE LIQUIDO"/>
    <n v="30000"/>
    <n v="21000"/>
    <n v="9000"/>
    <s v="LIQUIDO DOT4"/>
    <n v="44000"/>
    <n v="36974.789915966387"/>
    <n v="7025.2100840336134"/>
    <n v="60000"/>
    <m/>
    <n v="0"/>
    <n v="-7025.2100840336134"/>
    <n v="23025.210084033613"/>
    <m/>
  </r>
  <r>
    <x v="73"/>
    <s v="RM:278"/>
    <s v="RICARDO QUITIAN"/>
    <s v="SAX-195"/>
    <s v="HILUX"/>
    <x v="9"/>
    <s v="CAMBIO DE MANGUERA DE FRENOS/ MANTENIMIENTO MORDAZA"/>
    <n v="30000"/>
    <n v="21000"/>
    <n v="9000"/>
    <s v="MANGUERA DE FRENOS"/>
    <n v="20000"/>
    <m/>
    <n v="0"/>
    <n v="35000"/>
    <m/>
    <n v="0"/>
    <n v="0"/>
    <n v="15000"/>
    <m/>
  </r>
  <r>
    <x v="73"/>
    <m/>
    <s v="JAIME MONCADA"/>
    <s v="ERL-333"/>
    <s v="JAC"/>
    <x v="9"/>
    <s v="MANTENIMIENTO FRENO DE AHOGO"/>
    <n v="25000"/>
    <n v="17500"/>
    <n v="7500"/>
    <m/>
    <m/>
    <n v="0"/>
    <n v="0"/>
    <m/>
    <n v="0"/>
    <n v="0"/>
    <n v="0"/>
    <n v="0"/>
    <m/>
  </r>
  <r>
    <x v="74"/>
    <m/>
    <m/>
    <s v="MXV-040"/>
    <s v="KIA"/>
    <x v="4"/>
    <s v="BJAR TANQUE DE COMBUSTIBLE"/>
    <n v="180000"/>
    <n v="125999.99999999999"/>
    <n v="54000.000000000015"/>
    <m/>
    <m/>
    <n v="0"/>
    <n v="0"/>
    <m/>
    <n v="0"/>
    <n v="0"/>
    <n v="0"/>
    <n v="0"/>
    <m/>
  </r>
  <r>
    <x v="74"/>
    <m/>
    <s v="JOSE ORLANDO LADINO"/>
    <s v="BMZ-260"/>
    <s v="MEGANE I"/>
    <x v="4"/>
    <s v="REPARACION PARCIAL DE MOTOR"/>
    <n v="1000000"/>
    <n v="700000"/>
    <n v="300000"/>
    <s v="EMPAQUE DE CULATA, EMPAQUE MULTIPLE DE ADMISION, TERMOSTATO, BASE DE TERMOSTATO, ANILLOS, CASQUETE DE BIELA, BANCADA, VALVULAS, SELLOS, KIT DE REPARTIOCION, GUIAS VALVULAS, BOBINAS"/>
    <n v="1715000"/>
    <m/>
    <n v="0"/>
    <n v="2224000"/>
    <m/>
    <n v="0"/>
    <n v="0"/>
    <n v="509000"/>
    <m/>
  </r>
  <r>
    <x v="74"/>
    <s v="FE: 137 /RM: 283"/>
    <s v="WILLIAM A CARDENAS"/>
    <s v="IRW-663"/>
    <s v="GRAN VITARA"/>
    <x v="9"/>
    <s v="SINCRONIZACION / CAMBIO DE INYECTOR/ CAMBIO DE VALVULA RETENCION"/>
    <n v="180000"/>
    <n v="125999.99999999999"/>
    <n v="54000.000000000015"/>
    <s v="INYECTOR, EMPAQUE DE INYECTOR, BUJIAS, VALVULA, PACHA DE INYECTOR"/>
    <n v="618000"/>
    <n v="519327.731092437"/>
    <n v="98672.268907563033"/>
    <n v="835000"/>
    <n v="701680.67226890754"/>
    <n v="133319.32773109243"/>
    <n v="34647.058823529398"/>
    <n v="182352.9411764706"/>
    <m/>
  </r>
  <r>
    <x v="74"/>
    <s v="FE:136"/>
    <s v="JAIME MONCADA"/>
    <s v="QHK-358"/>
    <s v="CORSA"/>
    <x v="9"/>
    <s v="_x000a_SINCRONIZACION / CABIO DE AMORTIGUADORES DEL Y TRASEROS/ GUARDA POLVO LADO RUEDA"/>
    <n v="420000"/>
    <n v="294000"/>
    <n v="126000"/>
    <s v="FILTROS DE INYECTORES, AMORTIGUADORES DEL Y TRASEROS, BUJES DE TIJERA, SOPORTE DE AMORTIGUADORES, ABRAZADERAS, GP LADO RUEDA, KIT DE REPARTICION, RODAMIENTO SOPORTE AMORTIG, CHUPAS 11/16"/>
    <n v="610480.51500000001"/>
    <n v="513008.83613445383"/>
    <n v="97471.67886554623"/>
    <n v="1101500"/>
    <n v="925630.25210084033"/>
    <n v="175869.74789915967"/>
    <n v="78398.069033613443"/>
    <n v="412621.41596638656"/>
    <m/>
  </r>
  <r>
    <x v="75"/>
    <s v="FE:138/CT:35"/>
    <s v="VICTOR VELAZQUEZ"/>
    <s v="WTM-959"/>
    <s v="SPARK"/>
    <x v="9"/>
    <s v=" _x000a_SINCRONIZACION / REPARACION DE SUSPENSION/ MANTENIMIENTO DE FRENOS/ CAMBIO DE LIQUIDO"/>
    <n v="450000"/>
    <n v="315000"/>
    <n v="135000"/>
    <s v="TIJERA, SOPORTE MOTOR Y CAJA, PASTILLAS DELANTERAS, AMORTIGUADORES TRASEROS, LIQUIDO DOT3, GP LADO RUDEA, GP LADO CAJA, KIT CALIPER, BRAZO AXUIAL, INYECTOR, BUJIAS, ABRAZADERAS PLAST , PUNTAS DE EJE"/>
    <n v="1051600"/>
    <n v="883697.47899159673"/>
    <n v="167902.52100840339"/>
    <n v="1426700"/>
    <n v="1198907.5630252101"/>
    <n v="227792.43697478992"/>
    <n v="59889.915966386528"/>
    <n v="315210.08403361356"/>
    <m/>
  </r>
  <r>
    <x v="75"/>
    <s v="FE:140"/>
    <s v="JHON RODRIGUEZ"/>
    <s v="DDR-574"/>
    <s v="VOLSWAGEN"/>
    <x v="9"/>
    <s v="REPARACION DE SUSPENSION DELANTERA / MANTENIMIENTO DE FRENOS/ CAMBIO DE LIQUIDO / CORRECCION FUGA DE MOTOR"/>
    <n v="320000"/>
    <n v="224000"/>
    <n v="96000"/>
    <s v="BUJE DE TIJERAS, BRAZO AXIAL DER, POASTILLAS DEL, MANGUERA ENFRIADOR, DOT4, SILICONA, GASOLINA, MUÑECO, ROTULAS"/>
    <n v="734000"/>
    <n v="616806.72268907563"/>
    <n v="117193.27731092437"/>
    <n v="966000"/>
    <n v="811764.70588235301"/>
    <n v="154235.29411764708"/>
    <n v="37042.016806722706"/>
    <n v="194957.98319327726"/>
    <m/>
  </r>
  <r>
    <x v="75"/>
    <m/>
    <s v="ALIMENTOS LAYLA"/>
    <m/>
    <m/>
    <x v="6"/>
    <s v="GRADUACION DE FRENOS"/>
    <n v="10000"/>
    <m/>
    <n v="10000"/>
    <m/>
    <m/>
    <n v="0"/>
    <n v="0"/>
    <m/>
    <n v="0"/>
    <n v="0"/>
    <n v="0"/>
    <n v="0"/>
    <m/>
  </r>
  <r>
    <x v="75"/>
    <m/>
    <s v="PETROSERVICES"/>
    <s v="SWR-662"/>
    <s v="JAC"/>
    <x v="5"/>
    <s v=" REVISION ELECTRICO "/>
    <n v="30000"/>
    <n v="20000"/>
    <n v="10000"/>
    <m/>
    <m/>
    <n v="0"/>
    <n v="0"/>
    <m/>
    <n v="0"/>
    <n v="0"/>
    <n v="0"/>
    <n v="0"/>
    <m/>
  </r>
  <r>
    <x v="76"/>
    <m/>
    <m/>
    <s v="SNR-047"/>
    <s v="JAC"/>
    <x v="9"/>
    <s v="GRADUACION DE FRENOS"/>
    <n v="10000"/>
    <n v="7000"/>
    <n v="3000"/>
    <m/>
    <m/>
    <n v="0"/>
    <n v="0"/>
    <m/>
    <n v="0"/>
    <n v="0"/>
    <n v="0"/>
    <n v="0"/>
    <m/>
  </r>
  <r>
    <x v="76"/>
    <m/>
    <m/>
    <m/>
    <m/>
    <x v="9"/>
    <s v="SERVICIO DE ESCANER"/>
    <n v="60000"/>
    <n v="42000"/>
    <n v="18000"/>
    <m/>
    <m/>
    <n v="0"/>
    <n v="0"/>
    <m/>
    <n v="0"/>
    <n v="0"/>
    <n v="0"/>
    <n v="0"/>
    <m/>
  </r>
  <r>
    <x v="76"/>
    <s v="FE:143/RM:287"/>
    <s v="YALILA MONCAYA"/>
    <s v="FZR-739"/>
    <s v="FIAT UNO"/>
    <x v="9"/>
    <s v="CAMBIO DE PASTILLAS DELANTERAS"/>
    <n v="30000"/>
    <n v="21000"/>
    <n v="9000"/>
    <s v="PASTILLAS DELANTERAS"/>
    <n v="140000"/>
    <n v="117647.05882352941"/>
    <n v="22352.941176470587"/>
    <n v="195000"/>
    <n v="163865.5462184874"/>
    <n v="31134.453781512606"/>
    <n v="8781.5126050420185"/>
    <n v="46218.487394957978"/>
    <m/>
  </r>
  <r>
    <x v="76"/>
    <s v="FE:144"/>
    <s v="GERMAN PIRANEQUE"/>
    <s v="MUS-526"/>
    <s v="FORD ESPACE"/>
    <x v="9"/>
    <s v="CAMBIO DE PASTILLAS TRASERAS"/>
    <n v="30000"/>
    <n v="21000"/>
    <n v="9000"/>
    <s v="PASTILLAS TRASERAS"/>
    <n v="92000"/>
    <n v="77310.924369747896"/>
    <n v="14689.0756302521"/>
    <n v="125000"/>
    <n v="105042.01680672269"/>
    <n v="19957.983193277312"/>
    <n v="5268.9075630252119"/>
    <n v="27731.092436974781"/>
    <m/>
  </r>
  <r>
    <x v="76"/>
    <s v="FE:140"/>
    <s v="VICTOR VELAZQUEZ"/>
    <s v="WTM-959"/>
    <s v="SPARK"/>
    <x v="9"/>
    <s v="CAMBIO DE PUNTAS DE EJE"/>
    <n v="100000"/>
    <n v="70000"/>
    <n v="30000"/>
    <m/>
    <m/>
    <n v="0"/>
    <n v="0"/>
    <m/>
    <n v="0"/>
    <n v="0"/>
    <n v="0"/>
    <n v="0"/>
    <m/>
  </r>
  <r>
    <x v="77"/>
    <m/>
    <m/>
    <s v="UFX-880"/>
    <s v="GRUA"/>
    <x v="9"/>
    <s v="GRADUACION DE FRENOS"/>
    <n v="10000"/>
    <n v="7000"/>
    <n v="3000"/>
    <m/>
    <m/>
    <n v="0"/>
    <n v="0"/>
    <m/>
    <n v="0"/>
    <n v="0"/>
    <n v="0"/>
    <n v="0"/>
    <m/>
  </r>
  <r>
    <x v="77"/>
    <s v="FE:145"/>
    <s v="PRODUCTOS FAMILIA"/>
    <s v="SNZ-697"/>
    <s v="HINO"/>
    <x v="9"/>
    <s v="BAJAR RUEDA TRASERA DERECHA"/>
    <n v="50000"/>
    <n v="35000"/>
    <n v="15000"/>
    <s v="4 CHUPAS Y GUARDAPOLVOS"/>
    <n v="23600"/>
    <n v="19831.932773109245"/>
    <n v="3768.0672268907565"/>
    <n v="46000"/>
    <n v="38655.462184873948"/>
    <n v="7344.5378151260502"/>
    <n v="3576.4705882352937"/>
    <n v="18823.529411764706"/>
    <m/>
  </r>
  <r>
    <x v="77"/>
    <s v="FE:146"/>
    <s v="FRESKIFRUTA"/>
    <s v="TLO-165"/>
    <s v="DFSK"/>
    <x v="9"/>
    <s v="CAMBIO DE DISCOS DEL"/>
    <n v="50000"/>
    <n v="35000"/>
    <n v="15000"/>
    <s v="DISCOS DELANTEROS"/>
    <n v="330000"/>
    <m/>
    <n v="0"/>
    <n v="430000"/>
    <n v="361344.53781512607"/>
    <n v="68655.462184873948"/>
    <n v="68655.462184873948"/>
    <n v="31344.537815126067"/>
    <m/>
  </r>
  <r>
    <x v="78"/>
    <s v="FE:147"/>
    <s v="MARIANA ROMERO"/>
    <s v="ZIX-975"/>
    <s v="NISSAN"/>
    <x v="9"/>
    <s v="CAMBIO DE RODAMIENTO TRASERO"/>
    <n v="50000"/>
    <n v="35000"/>
    <n v="15000"/>
    <s v="RODAMIENTO TRASERO"/>
    <n v="90000"/>
    <n v="75630.252100840342"/>
    <n v="14369.747899159665"/>
    <n v="115000"/>
    <n v="96638.655462184877"/>
    <n v="18361.344537815126"/>
    <n v="3991.596638655461"/>
    <n v="21008.403361344535"/>
    <m/>
  </r>
  <r>
    <x v="78"/>
    <s v="RM:289"/>
    <s v="OSCASR RANGEL"/>
    <s v="CYV-936"/>
    <s v="CLIO"/>
    <x v="9"/>
    <s v="BAJAR MANGUERA DEL HIDRAULICO"/>
    <n v="200000"/>
    <n v="140000"/>
    <n v="60000"/>
    <m/>
    <m/>
    <n v="0"/>
    <n v="0"/>
    <m/>
    <n v="0"/>
    <n v="0"/>
    <n v="0"/>
    <n v="0"/>
    <m/>
  </r>
  <r>
    <x v="78"/>
    <s v="RM:288"/>
    <s v="JULIAN VICENTE"/>
    <s v="SYM-628"/>
    <s v="MAZDA"/>
    <x v="9"/>
    <s v="GRADUACION DE FRENOS/ REVISION"/>
    <n v="80000"/>
    <n v="56000"/>
    <n v="24000"/>
    <s v="6 CHUPAS"/>
    <n v="18000"/>
    <n v="15126.050420168069"/>
    <n v="2873.9495798319331"/>
    <n v="110000"/>
    <n v="92436.97478991597"/>
    <n v="17563.025210084033"/>
    <n v="14689.0756302521"/>
    <n v="77310.924369747896"/>
    <m/>
  </r>
  <r>
    <x v="78"/>
    <s v="FE: 149"/>
    <s v="VERDECERES"/>
    <s v="SPL-963"/>
    <s v="NNR"/>
    <x v="9"/>
    <s v="CAMBIO DE BANDAS FRENO DE MANO"/>
    <n v="30000"/>
    <n v="21000"/>
    <n v="9000"/>
    <m/>
    <m/>
    <n v="0"/>
    <n v="0"/>
    <m/>
    <n v="0"/>
    <n v="0"/>
    <n v="0"/>
    <n v="0"/>
    <m/>
  </r>
  <r>
    <x v="78"/>
    <s v="FE: 149"/>
    <s v="VERDECERES"/>
    <s v="SPL-963"/>
    <s v="NNR"/>
    <x v="4"/>
    <s v="CAMBIAR CRUCETA DE CARDAN / BALINERA"/>
    <n v="80000"/>
    <n v="56000"/>
    <n v="24000"/>
    <m/>
    <m/>
    <n v="0"/>
    <n v="0"/>
    <m/>
    <n v="0"/>
    <n v="0"/>
    <n v="0"/>
    <n v="0"/>
    <m/>
  </r>
  <r>
    <x v="78"/>
    <s v="FE: 149"/>
    <s v="VERDECERES"/>
    <s v="SPL-963"/>
    <s v="NNR"/>
    <x v="5"/>
    <s v="MANTENIMIENTO ELECTRICO / CAMBIO DE PITOS"/>
    <n v="70000"/>
    <n v="70000"/>
    <s v="-"/>
    <m/>
    <m/>
    <n v="0"/>
    <n v="0"/>
    <m/>
    <n v="0"/>
    <n v="0"/>
    <n v="0"/>
    <n v="0"/>
    <m/>
  </r>
  <r>
    <x v="79"/>
    <s v="RM:290"/>
    <s v="FRESKIFRUTA"/>
    <s v="TLO-165"/>
    <s v="DFSK"/>
    <x v="9"/>
    <s v="SINCRONIZACION, BAJAR RUEDA"/>
    <n v="200000"/>
    <n v="140000"/>
    <n v="60000"/>
    <s v="UNION 3/16"/>
    <n v="5000"/>
    <n v="4201.680672268908"/>
    <n v="798.31932773109247"/>
    <n v="20000"/>
    <n v="16806.722689075632"/>
    <n v="3193.2773109243699"/>
    <n v="2394.9579831932774"/>
    <n v="12605.042016806723"/>
    <m/>
  </r>
  <r>
    <x v="79"/>
    <s v="FE:152/RM:291"/>
    <s v="IVAN BOORGE"/>
    <s v="IRM-601"/>
    <s v="KIA CARENS"/>
    <x v="9"/>
    <s v="CAMBIO DE PASTILLAS DEL, CAMBIO DE ESPARRAGO"/>
    <n v="40000"/>
    <n v="28000"/>
    <n v="12000"/>
    <s v="PASTILLAS DEL, ESPARRAGO"/>
    <n v="157000"/>
    <n v="131932.77310924372"/>
    <n v="25067.226890756305"/>
    <n v="210000"/>
    <n v="176470.58823529413"/>
    <n v="33529.411764705881"/>
    <n v="8462.1848739495763"/>
    <n v="44537.815126050438"/>
    <m/>
  </r>
  <r>
    <x v="79"/>
    <m/>
    <m/>
    <s v="SKZ-264"/>
    <s v="VOLKSWAGEN TRANSPORTE"/>
    <x v="6"/>
    <s v="DESVARE"/>
    <n v="30000"/>
    <m/>
    <n v="30000"/>
    <m/>
    <m/>
    <n v="0"/>
    <n v="0"/>
    <m/>
    <n v="0"/>
    <n v="0"/>
    <n v="0"/>
    <n v="0"/>
    <m/>
  </r>
  <r>
    <x v="80"/>
    <m/>
    <s v="PETROSERVICES"/>
    <s v="ERL-529"/>
    <s v="JAC"/>
    <x v="6"/>
    <s v="GRADUACION DE FRENOS"/>
    <n v="10000"/>
    <m/>
    <n v="10000"/>
    <m/>
    <m/>
    <n v="0"/>
    <n v="0"/>
    <m/>
    <n v="0"/>
    <n v="0"/>
    <n v="0"/>
    <n v="0"/>
    <m/>
  </r>
  <r>
    <x v="80"/>
    <m/>
    <s v="SASTOQUE"/>
    <m/>
    <s v="LAND ROVER"/>
    <x v="9"/>
    <s v="CAMBIO DE TUBO "/>
    <n v="30000"/>
    <n v="30000"/>
    <n v="0"/>
    <m/>
    <m/>
    <n v="0"/>
    <n v="0"/>
    <m/>
    <n v="0"/>
    <n v="0"/>
    <n v="0"/>
    <n v="0"/>
    <m/>
  </r>
  <r>
    <x v="80"/>
    <m/>
    <m/>
    <s v="SCR-"/>
    <s v="F-350"/>
    <x v="4"/>
    <s v="MEDIR PRESION DE COMBUSTIBLE"/>
    <n v="20000"/>
    <n v="14000"/>
    <n v="6000"/>
    <m/>
    <m/>
    <n v="0"/>
    <n v="0"/>
    <m/>
    <n v="0"/>
    <n v="0"/>
    <n v="0"/>
    <n v="0"/>
    <m/>
  </r>
  <r>
    <x v="80"/>
    <s v="FE:154"/>
    <s v="RAFAEL VASQUEZ"/>
    <s v="GMR-143"/>
    <s v="VITARA"/>
    <x v="9"/>
    <s v="MANTENIMIENTO DE FRENOS, CAMBIO DE LIQUIDO"/>
    <n v="120000"/>
    <n v="84000"/>
    <n v="36000"/>
    <m/>
    <m/>
    <n v="0"/>
    <n v="0"/>
    <m/>
    <n v="0"/>
    <n v="0"/>
    <n v="0"/>
    <n v="0"/>
    <m/>
  </r>
  <r>
    <x v="80"/>
    <m/>
    <s v="JOHAN ALVEIRO GUZMAN"/>
    <s v="BLN-256"/>
    <s v="DAIHATSU"/>
    <x v="9"/>
    <s v="REVISION"/>
    <n v="20000"/>
    <n v="14000"/>
    <n v="6000"/>
    <m/>
    <m/>
    <n v="0"/>
    <n v="0"/>
    <m/>
    <n v="0"/>
    <n v="0"/>
    <n v="0"/>
    <n v="0"/>
    <m/>
  </r>
  <r>
    <x v="80"/>
    <s v="FE:158/FE:160"/>
    <s v="OCATI"/>
    <s v="RNS-177"/>
    <s v="VITARA"/>
    <x v="9"/>
    <s v="SINCRONIZACION-REVISION GUAYA VELOCIMETRO-MATTO RUEDAS LIBRES"/>
    <n v="260000"/>
    <n v="182000"/>
    <n v="78000"/>
    <m/>
    <m/>
    <n v="0"/>
    <n v="0"/>
    <m/>
    <n v="0"/>
    <n v="0"/>
    <n v="0"/>
    <n v="0"/>
    <m/>
  </r>
  <r>
    <x v="80"/>
    <s v="FE:40"/>
    <s v="JHON RODRIGUEZ"/>
    <s v="DDR-574"/>
    <s v="VW GOL"/>
    <x v="9"/>
    <s v="CAMBIO DE RODAMIENTOS TRASEROS"/>
    <n v="50000"/>
    <n v="35000"/>
    <n v="15000"/>
    <s v="RODAMIENTOS TRASEROS"/>
    <n v="120000"/>
    <n v="100840.33613445378"/>
    <n v="19159.663865546219"/>
    <n v="156000"/>
    <n v="131092.43697478992"/>
    <n v="24907.563025210085"/>
    <n v="5747.8991596638662"/>
    <n v="30252.100840336134"/>
    <m/>
  </r>
  <r>
    <x v="80"/>
    <s v="RM:292"/>
    <s v="ANGEL MALANGA"/>
    <s v="BRX-793"/>
    <s v="CITROEN"/>
    <x v="4"/>
    <s v="CAMBIO E SOPORTE DE CAJA / CAUCHO / COPA CAJA / CAMBIO DE TRICETA"/>
    <n v="250000"/>
    <n v="175000"/>
    <n v="75000"/>
    <m/>
    <m/>
    <n v="0"/>
    <n v="0"/>
    <m/>
    <n v="0"/>
    <n v="0"/>
    <n v="0"/>
    <n v="0"/>
    <m/>
  </r>
  <r>
    <x v="80"/>
    <s v="FE:155/RM:293"/>
    <s v="KEVIN MONTAÑEZ"/>
    <s v="RNV-662"/>
    <s v="LOGAN"/>
    <x v="4"/>
    <s v="SINCRONIZACION/ BAJAR CAJA DE REPARTICION"/>
    <n v="500000"/>
    <n v="350000"/>
    <n v="150000"/>
    <s v="LIQUIDO/ FUSIBLES-RETENEDOR VOLANTE/ KIT DE CLOSH/ EMPAQUES DEL CARTER/ CORREA DE REPARTICION/ GP LADO CAJA/ MUÑECOS/ BUJE PUENTES TRASERO"/>
    <n v="713500"/>
    <n v="599579.83193277312"/>
    <n v="113920.1680672269"/>
    <n v="1013000"/>
    <n v="851260.50420168065"/>
    <n v="161739.49579831932"/>
    <n v="47819.327731092417"/>
    <n v="251680.67226890754"/>
    <m/>
  </r>
  <r>
    <x v="80"/>
    <s v="FE:155/RM:293"/>
    <s v="KEVIN MONTAÑEZ"/>
    <s v="RNV-662"/>
    <s v="LOGAN"/>
    <x v="9"/>
    <s v="REVISION DE FRENOS /CAMBIO DE LIQUIDO/ CAMBIO DE BUJES PUENTE TRASERO"/>
    <n v="320000"/>
    <n v="224000"/>
    <n v="96000"/>
    <m/>
    <m/>
    <n v="0"/>
    <n v="0"/>
    <m/>
    <n v="0"/>
    <n v="0"/>
    <n v="0"/>
    <n v="0"/>
    <m/>
  </r>
  <r>
    <x v="80"/>
    <s v="FE:155/RM:293"/>
    <s v="KEVIN MONTAÑEZ"/>
    <s v="RNV-662"/>
    <s v="LOGAN"/>
    <x v="16"/>
    <s v="EXOSTO"/>
    <n v="220000"/>
    <n v="135000"/>
    <n v="85000"/>
    <s v="PRESILENCIADOR"/>
    <m/>
    <m/>
    <n v="0"/>
    <m/>
    <n v="0"/>
    <n v="0"/>
    <n v="0"/>
    <n v="0"/>
    <m/>
  </r>
  <r>
    <x v="80"/>
    <s v="RM:295"/>
    <s v="JUAN ANDRES CAMERO"/>
    <s v="RJS-738"/>
    <s v="AVEO"/>
    <x v="9"/>
    <s v="SINCRONIZACION"/>
    <n v="130000"/>
    <n v="91000"/>
    <n v="39000"/>
    <s v="BUJIAS"/>
    <n v="40000"/>
    <n v="33613.445378151264"/>
    <n v="6386.5546218487398"/>
    <n v="52000"/>
    <m/>
    <m/>
    <m/>
    <n v="12000"/>
    <m/>
  </r>
  <r>
    <x v="81"/>
    <m/>
    <s v="CLARA"/>
    <s v="RKV-033"/>
    <s v="LOGAN"/>
    <x v="4"/>
    <s v="BAJAR KIT DE CLOSH"/>
    <n v="100000"/>
    <n v="100000"/>
    <n v="0"/>
    <m/>
    <m/>
    <n v="0"/>
    <n v="0"/>
    <m/>
    <n v="0"/>
    <n v="0"/>
    <n v="0"/>
    <n v="0"/>
    <m/>
  </r>
  <r>
    <x v="81"/>
    <s v="RM:296"/>
    <s v="LICETH TRIANA"/>
    <s v="RDR-398"/>
    <s v="VITARA"/>
    <x v="4"/>
    <s v="CAMBIAR GUAYA DE CLOSH"/>
    <n v="30000"/>
    <n v="21000"/>
    <n v="9000"/>
    <s v="GUAYA DE CLOSH"/>
    <n v="60000"/>
    <m/>
    <n v="0"/>
    <n v="90000"/>
    <m/>
    <n v="0"/>
    <n v="0"/>
    <n v="30000"/>
    <m/>
  </r>
  <r>
    <x v="82"/>
    <s v="RM:301/FE:161"/>
    <s v="CAMILO BUITRIAGO"/>
    <s v="CYP-308"/>
    <s v="AVEO"/>
    <x v="9"/>
    <s v="CAMBIO SOPORTE DE CAJA /MTTO TRASERO"/>
    <n v="60000"/>
    <n v="42000"/>
    <n v="18000"/>
    <s v="SOPORTE DE CAJA "/>
    <n v="90000"/>
    <n v="75630.252100840342"/>
    <n v="14369.747899159665"/>
    <n v="120000"/>
    <n v="100840.33613445378"/>
    <n v="19159.663865546219"/>
    <n v="4789.9159663865539"/>
    <n v="25210.084033613442"/>
    <m/>
  </r>
  <r>
    <x v="82"/>
    <m/>
    <m/>
    <s v="HB-909"/>
    <s v="HUMMER"/>
    <x v="9"/>
    <s v="CAMBIO DE BUJE RUEDA AMORTIGUADOR"/>
    <n v="30000"/>
    <n v="21000"/>
    <n v="9000"/>
    <m/>
    <m/>
    <n v="0"/>
    <n v="0"/>
    <m/>
    <n v="0"/>
    <n v="0"/>
    <n v="0"/>
    <n v="0"/>
    <m/>
  </r>
  <r>
    <x v="82"/>
    <m/>
    <m/>
    <s v="SXZ-171"/>
    <s v="GRUA"/>
    <x v="9"/>
    <s v="GRADUACION DE FRENOS"/>
    <n v="10000"/>
    <n v="7000"/>
    <n v="3000"/>
    <m/>
    <m/>
    <n v="0"/>
    <n v="0"/>
    <m/>
    <n v="0"/>
    <n v="0"/>
    <n v="0"/>
    <n v="0"/>
    <m/>
  </r>
  <r>
    <x v="82"/>
    <s v="RM:297"/>
    <s v="PEDRO GUATAME"/>
    <s v="FVR-612"/>
    <s v="FOTON"/>
    <x v="9"/>
    <s v="CAMBIAR MUÑECOS"/>
    <n v="40000"/>
    <n v="28000"/>
    <n v="12000"/>
    <m/>
    <m/>
    <n v="0"/>
    <n v="0"/>
    <m/>
    <n v="0"/>
    <n v="0"/>
    <n v="0"/>
    <n v="0"/>
    <m/>
  </r>
  <r>
    <x v="82"/>
    <s v="RM:298"/>
    <s v="DANIEL GALEANO"/>
    <s v="LFV-521"/>
    <s v="JMC"/>
    <x v="9"/>
    <s v="CAMBIAR DIAFRAGMA DE FRENOS"/>
    <n v="30000"/>
    <n v="21000"/>
    <n v="9000"/>
    <s v="DIFRAGMA DE FRENO DE AHOHO"/>
    <n v="20000"/>
    <m/>
    <n v="0"/>
    <n v="40000"/>
    <m/>
    <n v="0"/>
    <n v="0"/>
    <n v="20000"/>
    <m/>
  </r>
  <r>
    <x v="82"/>
    <s v="RM:299"/>
    <s v="JHON RUIZ"/>
    <s v="HBK-013"/>
    <s v="FORD"/>
    <x v="9"/>
    <s v="PULGAR FRENOS/ REVISION RUEDA/ CAMBIO DE LIQUIDO"/>
    <n v="100000"/>
    <n v="70000"/>
    <n v="30000"/>
    <s v="LIQUIDODOT3"/>
    <n v="6336"/>
    <n v="5324.3697478991598"/>
    <n v="1011.6302521008404"/>
    <n v="15000"/>
    <m/>
    <n v="0"/>
    <n v="-1011.6302521008404"/>
    <n v="9675.6302521008402"/>
    <m/>
  </r>
  <r>
    <x v="82"/>
    <s v="RM:299"/>
    <s v="JHON RUIZ"/>
    <s v="HBK-013"/>
    <s v="FORD"/>
    <x v="6"/>
    <s v="SERVICIO DE ESCANER"/>
    <n v="50000"/>
    <m/>
    <n v="50000"/>
    <m/>
    <m/>
    <n v="0"/>
    <n v="0"/>
    <m/>
    <n v="0"/>
    <n v="0"/>
    <n v="0"/>
    <n v="0"/>
    <m/>
  </r>
  <r>
    <x v="82"/>
    <s v="FE:260"/>
    <s v="GUSTAVO DIAZ"/>
    <s v="HTS-557"/>
    <s v="TRAILBLAZEER"/>
    <x v="9"/>
    <s v="CAMBIO DE PASTILLAS DEL. Y TRASERAS"/>
    <n v="60000"/>
    <n v="42000"/>
    <n v="18000"/>
    <s v="PASTILLAS DEL /PASTILLAS TRASERAS"/>
    <n v="282000"/>
    <n v="236974.78991596639"/>
    <n v="45025.210084033613"/>
    <m/>
    <n v="0"/>
    <n v="0"/>
    <n v="-45025.210084033613"/>
    <n v="-236974.78991596639"/>
    <m/>
  </r>
  <r>
    <x v="83"/>
    <s v="FE:164/RM:304"/>
    <s v="WILLIAM DIAZ"/>
    <s v="MBZ-195"/>
    <s v="AVEO"/>
    <x v="9"/>
    <s v="CAMBIO DE AMORTIGUADORES DEL./ MUÑECOS/TOPES DE AMORTIGUADORES /RODAMIENTO DE TOPES "/>
    <n v="130000"/>
    <n v="91000"/>
    <n v="39000"/>
    <s v="AMORTIGUADORES DEL./ MUÑECOS/TOPES DE AMORTIGUADORES /RODAMIENTO DE TOPES "/>
    <n v="436642.38"/>
    <n v="366926.36974789918"/>
    <n v="69716.010252100852"/>
    <n v="590000"/>
    <n v="495798.31932773109"/>
    <n v="94201.680672268907"/>
    <n v="24485.670420168055"/>
    <n v="128871.94957983191"/>
    <m/>
  </r>
  <r>
    <x v="83"/>
    <s v="FE:163/RM:302"/>
    <s v="JOSE MADRID"/>
    <s v="BSZ-595"/>
    <s v="TWINGO"/>
    <x v="9"/>
    <s v="CAMBIO DE TIJERA, BRAZO AXIAL, LIQUIDO, CHUPAS"/>
    <n v="155000"/>
    <n v="108500"/>
    <n v="46500"/>
    <s v="CAMBIO DE TIJERA, BRAZO AXIAL, LIQUIDO, CHUPAS, ABRAZADERA PLASTICA"/>
    <n v="217400"/>
    <n v="182689.0756302521"/>
    <n v="34710.924369747903"/>
    <n v="301000"/>
    <n v="252941.17647058825"/>
    <n v="48058.823529411769"/>
    <n v="13347.899159663866"/>
    <n v="70252.100840336119"/>
    <m/>
  </r>
  <r>
    <x v="83"/>
    <s v="RM:303"/>
    <s v="CAMILO BUITRIAGO"/>
    <s v="CYP-308"/>
    <s v="AVEO"/>
    <x v="9"/>
    <s v="SINCRONIZACION/ CAMBIO SOPORTE DE CAJA"/>
    <n v="150000"/>
    <n v="105000"/>
    <n v="45000"/>
    <m/>
    <m/>
    <n v="0"/>
    <n v="0"/>
    <m/>
    <n v="0"/>
    <n v="0"/>
    <n v="0"/>
    <n v="0"/>
    <m/>
  </r>
  <r>
    <x v="83"/>
    <m/>
    <s v="VICENTE PATARROYO"/>
    <s v="MAO-470"/>
    <m/>
    <x v="9"/>
    <s v="CAMBIO DE BRAZO DE DIRECCION/ GRADUACION DE FRENOS"/>
    <n v="37000"/>
    <n v="25900"/>
    <n v="11100"/>
    <m/>
    <m/>
    <n v="0"/>
    <n v="0"/>
    <m/>
    <n v="0"/>
    <n v="0"/>
    <n v="0"/>
    <n v="0"/>
    <m/>
  </r>
  <r>
    <x v="83"/>
    <m/>
    <m/>
    <s v="TGN-516"/>
    <s v="LUV"/>
    <x v="18"/>
    <s v="CAMBIO SOPORTE EXOSTO"/>
    <n v="30000"/>
    <n v="15000"/>
    <n v="15000"/>
    <m/>
    <m/>
    <n v="0"/>
    <n v="0"/>
    <m/>
    <n v="0"/>
    <n v="0"/>
    <n v="0"/>
    <n v="0"/>
    <m/>
  </r>
  <r>
    <x v="84"/>
    <m/>
    <m/>
    <s v="SZQ-332"/>
    <s v="LUV"/>
    <x v="9"/>
    <s v="CAMBIO DE ANTIRUIDOS"/>
    <n v="15000"/>
    <n v="10500"/>
    <n v="4500"/>
    <s v="ANTIRUIDOS"/>
    <n v="20000"/>
    <m/>
    <n v="0"/>
    <n v="40000"/>
    <m/>
    <n v="0"/>
    <n v="0"/>
    <n v="20000"/>
    <m/>
  </r>
  <r>
    <x v="84"/>
    <s v="FE:167/RM:309"/>
    <s v="HERNAN TRIANA"/>
    <s v="SZQ-165"/>
    <s v="NPR"/>
    <x v="9"/>
    <s v="BAJAR RUEDA TRASERA Y CAMBIO DE BANDA"/>
    <n v="35000"/>
    <n v="24500"/>
    <n v="10500"/>
    <s v="BANDA, LIQUIDO"/>
    <n v="83000"/>
    <n v="69747.899159663866"/>
    <n v="13252.100840336134"/>
    <n v="125000"/>
    <n v="105042.01680672269"/>
    <n v="19957.983193277312"/>
    <n v="6705.8823529411784"/>
    <n v="35294.117647058825"/>
    <m/>
  </r>
  <r>
    <x v="84"/>
    <s v="RM:307"/>
    <s v="PILAR GARCIA"/>
    <s v="DNS-557"/>
    <s v="KIA"/>
    <x v="9"/>
    <s v="MATTO DE FRENOS"/>
    <n v="60000"/>
    <n v="42000"/>
    <n v="18000"/>
    <m/>
    <m/>
    <n v="0"/>
    <n v="0"/>
    <m/>
    <n v="0"/>
    <n v="0"/>
    <n v="0"/>
    <n v="0"/>
    <m/>
  </r>
  <r>
    <x v="84"/>
    <m/>
    <m/>
    <s v="DBV-804"/>
    <s v="NISSAN"/>
    <x v="18"/>
    <s v="CAMBIO SOPORTE EXOSTO"/>
    <n v="55000"/>
    <n v="27500"/>
    <n v="27500"/>
    <m/>
    <m/>
    <n v="0"/>
    <n v="0"/>
    <m/>
    <n v="0"/>
    <n v="0"/>
    <n v="0"/>
    <n v="0"/>
    <m/>
  </r>
  <r>
    <x v="84"/>
    <s v="FE:166/RM:306"/>
    <s v="CESAR BERRIOS"/>
    <s v="CXH-338"/>
    <s v="AVEO"/>
    <x v="9"/>
    <s v="CAMBIO PUNTA EJE LADO RUEDA"/>
    <n v="60000"/>
    <n v="42000"/>
    <n v="18000"/>
    <s v="PUNTA DE EJE "/>
    <n v="110000"/>
    <n v="92436.97478991597"/>
    <n v="17563.025210084033"/>
    <n v="140000"/>
    <n v="117647.05882352941"/>
    <n v="22352.941176470587"/>
    <n v="4789.9159663865539"/>
    <n v="25210.084033613442"/>
    <m/>
  </r>
  <r>
    <x v="85"/>
    <s v="RM:310"/>
    <s v="ALIRIO VARGAS"/>
    <s v="DAH-440"/>
    <s v="HONDA"/>
    <x v="9"/>
    <s v="REVISION DE RUEDAS/SERVICIO DE ESCANER"/>
    <n v="110000"/>
    <n v="77000"/>
    <n v="33000"/>
    <m/>
    <m/>
    <n v="0"/>
    <n v="0"/>
    <m/>
    <n v="0"/>
    <n v="0"/>
    <n v="0"/>
    <n v="0"/>
    <m/>
  </r>
  <r>
    <x v="85"/>
    <m/>
    <m/>
    <s v="WHZ-462"/>
    <s v="KIAT"/>
    <x v="18"/>
    <s v="REPARACION DE EXOSTO"/>
    <n v="110000"/>
    <n v="55000"/>
    <n v="55000"/>
    <m/>
    <m/>
    <n v="0"/>
    <n v="0"/>
    <m/>
    <n v="0"/>
    <n v="0"/>
    <n v="0"/>
    <n v="0"/>
    <m/>
  </r>
  <r>
    <x v="85"/>
    <s v="FE:170"/>
    <s v="FRUTOS GRAN FRUVAR LOS CHILACOS"/>
    <s v="WPQ-760"/>
    <s v="HINO"/>
    <x v="5"/>
    <s v="CAMBIO DE SWITCH VIDRIO Y CINTA LED/ REVISION ELECTRICA"/>
    <n v="80000"/>
    <n v="60000"/>
    <n v="20000"/>
    <s v="SWITCH VIDRIO Y CINTA LED"/>
    <n v="21000"/>
    <n v="17647.058823529413"/>
    <n v="3352.9411764705883"/>
    <n v="28000"/>
    <n v="23529.411764705885"/>
    <n v="4470.588235294118"/>
    <n v="1117.6470588235297"/>
    <n v="5882.3529411764684"/>
    <m/>
  </r>
  <r>
    <x v="86"/>
    <m/>
    <m/>
    <s v="CLA-201"/>
    <s v="SPRINT"/>
    <x v="18"/>
    <s v="RPARACION DE RADIADOR/ CAMBIO PUNTA DE LUJO EXOSTO"/>
    <n v="230000"/>
    <n v="115000"/>
    <n v="115000"/>
    <m/>
    <m/>
    <n v="0"/>
    <n v="0"/>
    <m/>
    <n v="0"/>
    <n v="0"/>
    <n v="0"/>
    <n v="0"/>
    <m/>
  </r>
  <r>
    <x v="86"/>
    <m/>
    <m/>
    <s v="WCZ-636"/>
    <s v="NHR"/>
    <x v="9"/>
    <s v="GRADUAR FRENOS"/>
    <n v="10000"/>
    <n v="7000"/>
    <n v="3000"/>
    <m/>
    <m/>
    <n v="0"/>
    <n v="0"/>
    <m/>
    <n v="0"/>
    <n v="0"/>
    <n v="0"/>
    <n v="0"/>
    <m/>
  </r>
  <r>
    <x v="86"/>
    <m/>
    <m/>
    <s v="CWO-124"/>
    <s v="AVEO"/>
    <x v="9"/>
    <s v="CAMBIAR PASTILLAS DEL"/>
    <n v="30000"/>
    <n v="21000"/>
    <n v="9000"/>
    <m/>
    <m/>
    <n v="0"/>
    <n v="0"/>
    <m/>
    <n v="0"/>
    <n v="0"/>
    <n v="0"/>
    <n v="0"/>
    <m/>
  </r>
  <r>
    <x v="86"/>
    <m/>
    <m/>
    <s v="IRW-663"/>
    <s v="VITARA"/>
    <x v="6"/>
    <s v="SERVICIO DE ESCANER"/>
    <n v="50000"/>
    <m/>
    <n v="50000"/>
    <m/>
    <m/>
    <n v="0"/>
    <n v="0"/>
    <m/>
    <n v="0"/>
    <n v="0"/>
    <n v="0"/>
    <n v="0"/>
    <m/>
  </r>
  <r>
    <x v="86"/>
    <m/>
    <m/>
    <s v="HKQ-711"/>
    <s v="FORD ESCAPE"/>
    <x v="9"/>
    <s v="REVISION DE RUEDAS DEL"/>
    <n v="30000"/>
    <n v="21000"/>
    <n v="9000"/>
    <m/>
    <m/>
    <n v="0"/>
    <n v="0"/>
    <m/>
    <n v="0"/>
    <n v="0"/>
    <n v="0"/>
    <n v="0"/>
    <m/>
  </r>
  <r>
    <x v="86"/>
    <s v="FE:173/ RM:211"/>
    <s v="DANILO SANABRIA"/>
    <s v="DXN-712"/>
    <s v="HONDA"/>
    <x v="9"/>
    <s v="CAMBIO DE PASTILLAS DEL"/>
    <n v="30000"/>
    <n v="21000"/>
    <n v="9000"/>
    <s v="PASTILLAS DEL"/>
    <n v="118000"/>
    <n v="99159.663865546216"/>
    <n v="18840.336134453781"/>
    <n v="165000"/>
    <n v="138655.46218487396"/>
    <n v="26344.537815126052"/>
    <n v="7504.2016806722713"/>
    <n v="39495.798319327732"/>
    <m/>
  </r>
  <r>
    <x v="86"/>
    <m/>
    <m/>
    <s v="VAO-191"/>
    <s v="SANDERO"/>
    <x v="18"/>
    <s v="CAMBI EMP EXOSTO"/>
    <n v="30000"/>
    <n v="15000"/>
    <n v="15000"/>
    <m/>
    <m/>
    <n v="0"/>
    <n v="0"/>
    <m/>
    <n v="0"/>
    <n v="0"/>
    <n v="0"/>
    <n v="0"/>
    <m/>
  </r>
  <r>
    <x v="86"/>
    <m/>
    <m/>
    <s v="BKY-608"/>
    <s v="LOGAN"/>
    <x v="18"/>
    <s v="CAMBIO CAUCHOS EXOSTO"/>
    <n v="40000"/>
    <n v="20000"/>
    <n v="20000"/>
    <m/>
    <m/>
    <n v="0"/>
    <n v="0"/>
    <m/>
    <n v="0"/>
    <n v="0"/>
    <n v="0"/>
    <n v="0"/>
    <m/>
  </r>
  <r>
    <x v="86"/>
    <s v="RM:314"/>
    <s v="CONTANZA RODRIGUEZ"/>
    <s v="DCM-196"/>
    <s v="ZOTYE"/>
    <x v="9"/>
    <s v="CAMBIO DE TIJERAS"/>
    <n v="35000"/>
    <n v="24500"/>
    <n v="10500"/>
    <m/>
    <m/>
    <n v="0"/>
    <n v="0"/>
    <m/>
    <n v="0"/>
    <n v="0"/>
    <n v="0"/>
    <n v="0"/>
    <m/>
  </r>
  <r>
    <x v="86"/>
    <s v="FE:176/RM:315"/>
    <s v="FABIO ZAMBRANO"/>
    <s v="BDP-676"/>
    <s v="HYUNDAI"/>
    <x v="9"/>
    <s v="MATTO DE FRENOS/ CAMBIO DE PASTILLAS DEL"/>
    <n v="60000"/>
    <n v="42000"/>
    <n v="18000"/>
    <s v="PASTILLAS DEL"/>
    <n v="85000"/>
    <n v="71428.571428571435"/>
    <n v="13571.428571428572"/>
    <n v="120000"/>
    <n v="100840.33613445378"/>
    <n v="19159.663865546219"/>
    <n v="5588.2352941176468"/>
    <n v="29411.76470588235"/>
    <m/>
  </r>
  <r>
    <x v="86"/>
    <s v="RM:317"/>
    <m/>
    <s v="DBT-358"/>
    <s v="SANDERO"/>
    <x v="9"/>
    <s v="SERVICIO DE ESCANER"/>
    <n v="50000"/>
    <n v="35000"/>
    <n v="15000"/>
    <m/>
    <m/>
    <n v="0"/>
    <n v="0"/>
    <m/>
    <n v="0"/>
    <n v="0"/>
    <n v="0"/>
    <n v="0"/>
    <m/>
  </r>
  <r>
    <x v="86"/>
    <s v="FE:175/RM:315"/>
    <s v="JACKSON DIAZ"/>
    <s v="DZX-793"/>
    <s v="SPARK"/>
    <x v="4"/>
    <s v="CAMBIO ENVASE DE AGUA"/>
    <n v="30000"/>
    <n v="21000"/>
    <n v="9000"/>
    <s v="ENVASE DE AGUA"/>
    <n v="70000"/>
    <n v="58823.529411764706"/>
    <n v="11176.470588235294"/>
    <n v="150000"/>
    <n v="126050.42016806723"/>
    <n v="23949.579831932773"/>
    <n v="12773.10924369748"/>
    <n v="67226.890756302513"/>
    <m/>
  </r>
  <r>
    <x v="87"/>
    <s v="RM:318"/>
    <s v="GRUPO RED"/>
    <s v="CHS-304"/>
    <s v="VOLQUETA"/>
    <x v="9"/>
    <s v="CORREGIR FUGA DE AIRE"/>
    <n v="30000"/>
    <n v="21000"/>
    <n v="9000"/>
    <m/>
    <m/>
    <n v="0"/>
    <n v="0"/>
    <m/>
    <n v="0"/>
    <n v="0"/>
    <n v="0"/>
    <n v="0"/>
    <m/>
  </r>
  <r>
    <x v="87"/>
    <s v="FE:177"/>
    <s v="CECILIA PAYON SA"/>
    <s v="UFS-769"/>
    <s v="NPR"/>
    <x v="9"/>
    <s v="CAMBIAR EMP AXILIAR DE CLOSH"/>
    <n v="30000"/>
    <n v="21000"/>
    <n v="9000"/>
    <s v="LIQUIDO , EMPAQUETADURA"/>
    <n v="27000"/>
    <n v="22689.0756302521"/>
    <n v="4310.9243697478987"/>
    <n v="40000"/>
    <n v="33613.445378151264"/>
    <n v="6386.5546218487398"/>
    <n v="2075.6302521008411"/>
    <n v="10924.36974789916"/>
    <m/>
  </r>
  <r>
    <x v="87"/>
    <m/>
    <m/>
    <s v="CYJ-874"/>
    <s v="FORD"/>
    <x v="9"/>
    <s v="SERVICIO DE ESCANER"/>
    <n v="60000"/>
    <n v="42000"/>
    <n v="18000"/>
    <m/>
    <m/>
    <n v="0"/>
    <n v="0"/>
    <m/>
    <n v="0"/>
    <n v="0"/>
    <n v="0"/>
    <n v="0"/>
    <m/>
  </r>
  <r>
    <x v="87"/>
    <m/>
    <m/>
    <s v="BJN-892"/>
    <s v="TWINGO"/>
    <x v="18"/>
    <s v="REPARACION DE EXOSTO"/>
    <n v="80000"/>
    <n v="40000"/>
    <n v="40000"/>
    <m/>
    <m/>
    <n v="0"/>
    <n v="0"/>
    <m/>
    <n v="0"/>
    <n v="0"/>
    <n v="0"/>
    <n v="0"/>
    <m/>
  </r>
  <r>
    <x v="87"/>
    <m/>
    <m/>
    <s v="IOA-190"/>
    <s v="MOTO"/>
    <x v="18"/>
    <s v="SOLDADURA"/>
    <n v="30000"/>
    <n v="15000"/>
    <n v="15000"/>
    <m/>
    <m/>
    <n v="0"/>
    <n v="0"/>
    <m/>
    <n v="0"/>
    <n v="0"/>
    <n v="0"/>
    <n v="0"/>
    <m/>
  </r>
  <r>
    <x v="87"/>
    <s v="FE:185"/>
    <s v="ALIMENTOS LEYLA"/>
    <s v="SYM-531"/>
    <s v="F-350"/>
    <x v="4"/>
    <s v="SINCRONIZACION"/>
    <n v="300000"/>
    <n v="210000"/>
    <n v="90000"/>
    <s v="INYECTORES, EMP CUERPO ACELERACION, BOMBA DE GASOLINA"/>
    <n v="391000"/>
    <m/>
    <n v="0"/>
    <n v="552000"/>
    <n v="463865.54621848743"/>
    <n v="88134.45378151261"/>
    <n v="88134.45378151261"/>
    <n v="72865.546218487376"/>
    <m/>
  </r>
  <r>
    <x v="87"/>
    <s v="RM:320"/>
    <s v="GUSTAVO MONTAÑO"/>
    <s v="CYJ-874"/>
    <s v="FORD"/>
    <x v="4"/>
    <s v="SINCRONIZACION"/>
    <n v="220000"/>
    <n v="154000"/>
    <n v="66000"/>
    <s v="BUJIAS"/>
    <n v="120000"/>
    <n v="100840.33613445378"/>
    <n v="19159.663865546219"/>
    <n v="150000"/>
    <n v="126050.42016806723"/>
    <n v="23949.579831932773"/>
    <n v="4789.9159663865539"/>
    <n v="25210.084033613442"/>
    <m/>
  </r>
  <r>
    <x v="88"/>
    <m/>
    <m/>
    <m/>
    <s v="LOGAN"/>
    <x v="18"/>
    <s v="REPARACION EXOSTO"/>
    <n v="40000"/>
    <n v="20000"/>
    <n v="20000"/>
    <m/>
    <m/>
    <n v="0"/>
    <n v="0"/>
    <m/>
    <n v="0"/>
    <n v="0"/>
    <n v="0"/>
    <n v="0"/>
    <m/>
  </r>
  <r>
    <x v="88"/>
    <s v="RM:321"/>
    <m/>
    <s v="MKP-814"/>
    <s v="NISSAN TIIDA"/>
    <x v="9"/>
    <s v="MATTO DE FRENOS COMPLETO"/>
    <n v="60000"/>
    <n v="42000"/>
    <n v="18000"/>
    <m/>
    <m/>
    <n v="0"/>
    <n v="0"/>
    <m/>
    <n v="0"/>
    <n v="0"/>
    <n v="0"/>
    <n v="0"/>
    <m/>
  </r>
  <r>
    <x v="88"/>
    <m/>
    <m/>
    <s v="IAP-236"/>
    <s v="SPARK"/>
    <x v="9"/>
    <s v="CAMBIO DE RODAMIENTO DEL"/>
    <n v="60000"/>
    <n v="42000"/>
    <n v="18000"/>
    <s v="RODAMIENTO DEL"/>
    <n v="70000"/>
    <n v="58823.529411764706"/>
    <n v="11176.470588235294"/>
    <n v="90000"/>
    <n v="75630.252100840342"/>
    <n v="14369.747899159665"/>
    <n v="3193.2773109243717"/>
    <n v="16806.722689075628"/>
    <m/>
  </r>
  <r>
    <x v="88"/>
    <m/>
    <m/>
    <m/>
    <m/>
    <x v="18"/>
    <s v="SOLDADURA  DE PIEZA"/>
    <n v="30000"/>
    <n v="15000"/>
    <n v="15000"/>
    <m/>
    <m/>
    <n v="0"/>
    <n v="0"/>
    <m/>
    <n v="0"/>
    <n v="0"/>
    <n v="0"/>
    <n v="0"/>
    <m/>
  </r>
  <r>
    <x v="89"/>
    <m/>
    <m/>
    <s v="VKK-719"/>
    <s v="CAMION"/>
    <x v="9"/>
    <s v="GRADUACION DE FRENOS"/>
    <n v="10000"/>
    <n v="7000"/>
    <n v="3000"/>
    <m/>
    <m/>
    <n v="0"/>
    <n v="0"/>
    <m/>
    <n v="0"/>
    <n v="0"/>
    <n v="0"/>
    <n v="0"/>
    <m/>
  </r>
  <r>
    <x v="89"/>
    <m/>
    <m/>
    <s v="GZZ-228"/>
    <s v="HINO"/>
    <x v="9"/>
    <s v="BAJAR RUEDA TARSERA DERECHA"/>
    <n v="50000"/>
    <n v="35000"/>
    <n v="15000"/>
    <m/>
    <m/>
    <n v="0"/>
    <n v="0"/>
    <m/>
    <n v="0"/>
    <n v="0"/>
    <n v="0"/>
    <n v="0"/>
    <m/>
  </r>
  <r>
    <x v="89"/>
    <m/>
    <m/>
    <s v="CSC-343"/>
    <s v="CHEVROLET 3500"/>
    <x v="9"/>
    <s v="CAMBIO DE ESPARRAGOS"/>
    <n v="50000"/>
    <n v="35000"/>
    <n v="15000"/>
    <s v="TUERCA"/>
    <n v="9800"/>
    <n v="8235.2941176470595"/>
    <n v="1564.7058823529412"/>
    <n v="20000"/>
    <n v="16806.722689075632"/>
    <n v="3193.2773109243699"/>
    <n v="1628.5714285714287"/>
    <n v="8571.4285714285706"/>
    <m/>
  </r>
  <r>
    <x v="89"/>
    <s v="RM:322"/>
    <s v="MARIA VEGA"/>
    <s v="CVL-671"/>
    <s v="KIA RIO"/>
    <x v="4"/>
    <s v="SINCRONIZACION"/>
    <n v="180000"/>
    <n v="125999.99999999999"/>
    <n v="54000.000000000015"/>
    <m/>
    <m/>
    <n v="0"/>
    <n v="0"/>
    <m/>
    <n v="0"/>
    <n v="0"/>
    <n v="0"/>
    <n v="0"/>
    <m/>
  </r>
  <r>
    <x v="89"/>
    <m/>
    <m/>
    <s v="TSM-325"/>
    <s v="JAC"/>
    <x v="9"/>
    <s v="GRADUACION DE FRENOS"/>
    <n v="5000"/>
    <n v="5000"/>
    <n v="0"/>
    <m/>
    <m/>
    <n v="0"/>
    <n v="0"/>
    <m/>
    <n v="0"/>
    <n v="0"/>
    <n v="0"/>
    <n v="0"/>
    <m/>
  </r>
  <r>
    <x v="89"/>
    <s v="RM:323"/>
    <s v="MARCOS AMAYA "/>
    <s v="BLV-454"/>
    <s v="AVEO"/>
    <x v="4"/>
    <s v="CAMBIAR SENSOR TEMPERATURA"/>
    <n v="30000"/>
    <n v="21000"/>
    <n v="9000"/>
    <s v="SENSOR TEMP"/>
    <n v="100000"/>
    <m/>
    <n v="0"/>
    <n v="130000"/>
    <m/>
    <n v="0"/>
    <n v="0"/>
    <n v="30000"/>
    <m/>
  </r>
  <r>
    <x v="89"/>
    <m/>
    <s v="PEDRO LIZARAZO"/>
    <s v="HBK-400"/>
    <s v="SPARK"/>
    <x v="9"/>
    <s v="REVISION TRASERAS"/>
    <n v="30000"/>
    <n v="21000"/>
    <n v="9000"/>
    <m/>
    <m/>
    <n v="0"/>
    <n v="0"/>
    <m/>
    <n v="0"/>
    <n v="0"/>
    <n v="0"/>
    <n v="0"/>
    <m/>
  </r>
  <r>
    <x v="90"/>
    <s v="RM:327"/>
    <s v="CLAUDIA FERRER"/>
    <s v="CTW-920"/>
    <s v="CHERY TIIGO"/>
    <x v="9"/>
    <s v="REPARACION DE SUSPENSION Y ALINEACION"/>
    <n v="300000"/>
    <n v="210000"/>
    <n v="90000"/>
    <s v="ALINEACIO, ABRAZADERA PLAST"/>
    <n v="31000"/>
    <m/>
    <n v="0"/>
    <n v="42000"/>
    <m/>
    <n v="0"/>
    <n v="0"/>
    <n v="11000"/>
    <m/>
  </r>
  <r>
    <x v="90"/>
    <s v="FE:181 "/>
    <s v="GLOBAL CNTAINERS LTDA"/>
    <s v="GEV-111"/>
    <s v="FOTON"/>
    <x v="18"/>
    <s v="SOLDAR EXOSTO"/>
    <n v="70000"/>
    <n v="35000"/>
    <n v="35000"/>
    <m/>
    <m/>
    <n v="0"/>
    <n v="0"/>
    <m/>
    <n v="0"/>
    <n v="0"/>
    <n v="0"/>
    <n v="0"/>
    <m/>
  </r>
  <r>
    <x v="90"/>
    <s v="FE:182/RM:326"/>
    <s v="JOSE TRIANA"/>
    <s v="BCE-482"/>
    <m/>
    <x v="4"/>
    <s v="CAMBIO DE SPLINDER"/>
    <n v="140000"/>
    <n v="98000"/>
    <n v="42000"/>
    <s v="RODILLO 32210"/>
    <n v="70000"/>
    <n v="58823.529411764706"/>
    <n v="11176.470588235294"/>
    <n v="110000"/>
    <n v="92436.97478991597"/>
    <n v="17563.025210084033"/>
    <n v="6386.5546218487398"/>
    <n v="33613.445378151257"/>
    <m/>
  </r>
  <r>
    <x v="90"/>
    <m/>
    <m/>
    <m/>
    <s v="LOGAN"/>
    <x v="18"/>
    <s v="SOLDAR EXOSTO"/>
    <n v="30000"/>
    <n v="15000"/>
    <n v="15000"/>
    <m/>
    <m/>
    <n v="0"/>
    <n v="0"/>
    <m/>
    <n v="0"/>
    <n v="0"/>
    <n v="0"/>
    <n v="0"/>
    <m/>
  </r>
  <r>
    <x v="91"/>
    <m/>
    <m/>
    <m/>
    <s v="AVEO"/>
    <x v="9"/>
    <s v="COLOCAR UNION "/>
    <n v="40000"/>
    <n v="28000"/>
    <n v="12000"/>
    <s v="UNION"/>
    <n v="5000"/>
    <n v="4201.680672268908"/>
    <n v="798.31932773109247"/>
    <n v="10000"/>
    <m/>
    <n v="0"/>
    <n v="-798.31932773109247"/>
    <n v="5798.3193277310929"/>
    <m/>
  </r>
  <r>
    <x v="91"/>
    <m/>
    <m/>
    <s v="BRT-666"/>
    <s v="ACCENT"/>
    <x v="18"/>
    <s v="COLOCAR TARRO EXOSTO"/>
    <n v="90000"/>
    <n v="45000"/>
    <n v="45000"/>
    <m/>
    <m/>
    <n v="0"/>
    <n v="0"/>
    <m/>
    <n v="0"/>
    <n v="0"/>
    <n v="0"/>
    <n v="0"/>
    <m/>
  </r>
  <r>
    <x v="91"/>
    <s v="FE:187"/>
    <s v="PERVIVIR"/>
    <s v="TBZ-979"/>
    <s v="NNR"/>
    <x v="9"/>
    <s v="CAMBIO DE SPLINDER"/>
    <n v="200000"/>
    <n v="140000"/>
    <n v="60000"/>
    <s v="SPLINDER, SERVICIO DE PRENSA"/>
    <n v="115000"/>
    <n v="96638.655462184877"/>
    <n v="18361.344537815126"/>
    <n v="281400"/>
    <n v="236470.58823529413"/>
    <n v="44929.411764705881"/>
    <n v="26568.067226890755"/>
    <n v="139831.93277310923"/>
    <m/>
  </r>
  <r>
    <x v="92"/>
    <s v="FE:188"/>
    <s v="JAIME MONCADA"/>
    <s v="SKK-862"/>
    <s v="MT CANTER"/>
    <x v="9"/>
    <s v="BAJAR RUEDA DELANTERA/ CAMBIO DE RODAMIENTO DELNATERO DER. INTERNO/ ENGRASE DE RODAMIENTOS"/>
    <n v="70000"/>
    <n v="49000"/>
    <n v="21000"/>
    <s v="RODA. DELANTERO , GASOLINA, GRASA, CHUPAS, PINES, SILICONA, JUEGO DE BANDAS"/>
    <n v="225000"/>
    <n v="189075.63025210085"/>
    <n v="35924.36974789916"/>
    <n v="566000"/>
    <n v="475630.25210084039"/>
    <n v="90369.747899159673"/>
    <n v="54445.378151260513"/>
    <n v="286554.62184873951"/>
    <m/>
  </r>
  <r>
    <x v="92"/>
    <s v="FE:188"/>
    <s v="JAIME MONCADA"/>
    <s v="ERL-333"/>
    <s v="JAC"/>
    <x v="9"/>
    <s v="MANTTO BOMBA DE FRENOS CAMBIO DE DIAFRAGMA"/>
    <n v="100000"/>
    <n v="70000"/>
    <n v="30000"/>
    <s v="DIAFRAGMA"/>
    <m/>
    <n v="0"/>
    <n v="0"/>
    <m/>
    <n v="0"/>
    <n v="0"/>
    <n v="0"/>
    <n v="0"/>
    <m/>
  </r>
  <r>
    <x v="92"/>
    <s v="FE:185"/>
    <s v="ALIMENTOS LEYLA"/>
    <s v="SYM-531"/>
    <s v="F-350"/>
    <x v="9"/>
    <s v="MANTENIMEINTO DE FRENOS / CAMBIO DE PASTILLAS Y BANDAS TRASERA IZQ."/>
    <n v="140000"/>
    <n v="98000"/>
    <n v="42000"/>
    <s v="JUEGO DE PASTILLAS, GRASA, CHUPAS, ABRAZADERAS PLAST"/>
    <n v="186000"/>
    <n v="156302.52100840336"/>
    <n v="29697.478991596639"/>
    <n v="308000"/>
    <n v="258823.52941176473"/>
    <n v="49176.470588235301"/>
    <n v="19478.991596638662"/>
    <n v="102521.00840336134"/>
    <m/>
  </r>
  <r>
    <x v="92"/>
    <s v="RM:328"/>
    <s v="JOSE ALVAREZ"/>
    <s v="WWJ-369"/>
    <s v="VOLQUETA"/>
    <x v="9"/>
    <s v="CAMBIO DE ASPIRAL Y DIAFRAGMA"/>
    <n v="50000"/>
    <n v="35000"/>
    <n v="15000"/>
    <s v="ASPIRAL, DIAFRAGMA"/>
    <n v="30000"/>
    <n v="25210.084033613446"/>
    <n v="4789.9159663865548"/>
    <n v="100000"/>
    <n v="84033.613445378156"/>
    <n v="15966.386554621849"/>
    <n v="11176.470588235294"/>
    <n v="58823.529411764706"/>
    <m/>
  </r>
  <r>
    <x v="92"/>
    <m/>
    <m/>
    <s v="ALB-204"/>
    <s v="MB"/>
    <x v="18"/>
    <s v="REPARACION RADIADOR"/>
    <n v="70000"/>
    <n v="35000"/>
    <n v="35000"/>
    <m/>
    <m/>
    <n v="0"/>
    <n v="0"/>
    <m/>
    <n v="0"/>
    <n v="0"/>
    <n v="0"/>
    <n v="0"/>
    <m/>
  </r>
  <r>
    <x v="92"/>
    <s v="FE:185"/>
    <s v="ALIMENTOS LEYLA"/>
    <s v="SYM-531"/>
    <s v="F-350"/>
    <x v="18"/>
    <s v="MANTENIMIENTO RADIADOR / CAMBIAR MANGUERA / ARREGLO FUGA EXOSTO"/>
    <n v="140000"/>
    <n v="70000"/>
    <n v="70000"/>
    <m/>
    <m/>
    <n v="0"/>
    <n v="0"/>
    <m/>
    <n v="0"/>
    <n v="0"/>
    <n v="0"/>
    <n v="0"/>
    <m/>
  </r>
  <r>
    <x v="92"/>
    <s v="FE:190/RM:330"/>
    <s v="ARMANDO CASTAÑEDA"/>
    <s v="CSR-133"/>
    <s v="VW GOL"/>
    <x v="9"/>
    <s v=" CAMBIO DE PASTILLAS DEL/CAMBIO LIQUIDO"/>
    <n v="60000"/>
    <n v="63000"/>
    <m/>
    <s v="PASTILLAS DEL, LIQUIDO"/>
    <m/>
    <n v="0"/>
    <n v="0"/>
    <m/>
    <n v="0"/>
    <n v="0"/>
    <n v="0"/>
    <n v="0"/>
    <m/>
  </r>
  <r>
    <x v="92"/>
    <m/>
    <m/>
    <m/>
    <m/>
    <x v="4"/>
    <s v="CAMBIAR MANGUERA"/>
    <n v="20000"/>
    <n v="14000"/>
    <n v="6000"/>
    <m/>
    <m/>
    <n v="0"/>
    <n v="0"/>
    <m/>
    <n v="0"/>
    <n v="0"/>
    <n v="0"/>
    <n v="0"/>
    <m/>
  </r>
  <r>
    <x v="93"/>
    <m/>
    <m/>
    <s v="BNX-294"/>
    <s v="ACCENT"/>
    <x v="18"/>
    <s v="SOLDAR EXOSTO"/>
    <n v="50000"/>
    <n v="25000"/>
    <n v="25000"/>
    <m/>
    <m/>
    <n v="0"/>
    <n v="0"/>
    <m/>
    <n v="0"/>
    <n v="0"/>
    <n v="0"/>
    <n v="0"/>
    <m/>
  </r>
  <r>
    <x v="93"/>
    <s v="RM:331"/>
    <s v="ANDRES VARGAS"/>
    <s v="HBR-717"/>
    <s v="SUZUKI"/>
    <x v="9"/>
    <s v="CAMBIO DE DISCOS Y PASTILLAS DEL"/>
    <n v="70000"/>
    <n v="49000"/>
    <n v="21000"/>
    <m/>
    <m/>
    <n v="0"/>
    <n v="0"/>
    <m/>
    <n v="0"/>
    <n v="0"/>
    <n v="0"/>
    <n v="0"/>
    <m/>
  </r>
  <r>
    <x v="93"/>
    <s v="RM:331"/>
    <s v="ANDRES VARGAS"/>
    <s v="HBR-717"/>
    <s v="SUZUKI"/>
    <x v="18"/>
    <s v="CAMBIO DE PUNTERA"/>
    <n v="25000"/>
    <n v="12500"/>
    <n v="12500"/>
    <m/>
    <m/>
    <n v="0"/>
    <n v="0"/>
    <m/>
    <n v="0"/>
    <n v="0"/>
    <n v="0"/>
    <n v="0"/>
    <m/>
  </r>
  <r>
    <x v="93"/>
    <s v="FE:191 /RM:332"/>
    <s v="ANDRES MARTINEZ"/>
    <s v="BNY-608"/>
    <s v="JEEP"/>
    <x v="9"/>
    <s v="MANTENIMIENTO DE FRENOS/ CAMBIO DE LIQUIDO"/>
    <n v="130000"/>
    <n v="91000"/>
    <n v="39000"/>
    <m/>
    <m/>
    <n v="0"/>
    <n v="0"/>
    <m/>
    <n v="0"/>
    <n v="0"/>
    <n v="0"/>
    <n v="0"/>
    <m/>
  </r>
  <r>
    <x v="93"/>
    <s v="FE:189/RM:329"/>
    <s v="TATIANA"/>
    <s v="BJC-966"/>
    <s v="PETGOEUT"/>
    <x v="5"/>
    <s v="REVISION DE CORTO / CAMBIO PERA DE REVERSO/ARREGLO INSTALACION"/>
    <n v="200000"/>
    <n v="200000"/>
    <n v="0"/>
    <s v="CINTA, PORTAFUSIBLE, TERMINALES DE ENCHUFE, PERA DE REVERSO"/>
    <n v="49450"/>
    <n v="41554.621848739494"/>
    <n v="7895.3781512605037"/>
    <n v="73500"/>
    <n v="61764.705882352944"/>
    <n v="11735.294117647059"/>
    <n v="3839.9159663865557"/>
    <n v="20210.084033613442"/>
    <m/>
  </r>
  <r>
    <x v="94"/>
    <m/>
    <m/>
    <s v="CIC-388"/>
    <m/>
    <x v="18"/>
    <s v="CAMBIO DE RESILENCIADOR"/>
    <n v="100000"/>
    <n v="50000"/>
    <n v="50000"/>
    <m/>
    <m/>
    <n v="0"/>
    <n v="0"/>
    <m/>
    <n v="0"/>
    <n v="0"/>
    <n v="0"/>
    <n v="0"/>
    <m/>
  </r>
  <r>
    <x v="94"/>
    <m/>
    <m/>
    <m/>
    <m/>
    <x v="9"/>
    <s v="CAMBIO DE RODAMIENTOS"/>
    <n v="40000"/>
    <n v="28000"/>
    <n v="12000"/>
    <m/>
    <m/>
    <n v="0"/>
    <n v="0"/>
    <m/>
    <n v="0"/>
    <n v="0"/>
    <n v="0"/>
    <n v="0"/>
    <m/>
  </r>
  <r>
    <x v="94"/>
    <m/>
    <m/>
    <s v="USB-323"/>
    <s v="JAC"/>
    <x v="9"/>
    <s v="GRADUAR FRENOS, BAJAR RUEDA DEL IZQ"/>
    <n v="40000"/>
    <n v="28000"/>
    <n v="12000"/>
    <m/>
    <m/>
    <n v="0"/>
    <n v="0"/>
    <m/>
    <n v="0"/>
    <n v="0"/>
    <n v="0"/>
    <n v="0"/>
    <m/>
  </r>
  <r>
    <x v="95"/>
    <s v="RM:333/FE:193"/>
    <s v="FERNANDO LONDOÑO"/>
    <s v="BLH-065"/>
    <s v="MEGANE"/>
    <x v="9"/>
    <s v="CAMBIO DE BANDAS, GRADUACION DE FRENOS, RESORTES Y PUNTILLAS /DESVARE"/>
    <n v="100000"/>
    <n v="70000"/>
    <n v="30000"/>
    <s v=" BANDAS, GRADUACION DE FRENOS, RESORTES Y PUNTILLAS"/>
    <n v="187000"/>
    <n v="157142.85714285716"/>
    <n v="29857.142857142862"/>
    <n v="258000"/>
    <n v="216806.72268907563"/>
    <n v="41193.277310924372"/>
    <n v="11336.134453781509"/>
    <n v="59663.865546218498"/>
    <m/>
  </r>
  <r>
    <x v="95"/>
    <s v="RM:336"/>
    <s v="MARIA A GUAVA"/>
    <s v="NAD-805"/>
    <s v="MEGANE"/>
    <x v="4"/>
    <s v="REPARACION CAJA DE DIRECCION"/>
    <n v="500000"/>
    <n v="350000"/>
    <n v="150000"/>
    <m/>
    <m/>
    <n v="0"/>
    <n v="0"/>
    <m/>
    <n v="0"/>
    <n v="0"/>
    <n v="0"/>
    <n v="0"/>
    <m/>
  </r>
  <r>
    <x v="95"/>
    <s v="FE:195/RM:335"/>
    <s v="CARLOS LOZADA "/>
    <s v="FCL-920"/>
    <s v="TOYOTA PRADO"/>
    <x v="9"/>
    <s v="CAMBIO DE PASTILLAS DEL Y BANDAS"/>
    <n v="80000"/>
    <n v="56000"/>
    <n v="24000"/>
    <s v="PASTILLAS Y BANDAS"/>
    <n v="280000"/>
    <n v="235294.11764705883"/>
    <n v="44705.882352941175"/>
    <n v="400000"/>
    <n v="336134.45378151262"/>
    <n v="63865.546218487398"/>
    <n v="19159.663865546223"/>
    <n v="100840.33613445377"/>
    <m/>
  </r>
  <r>
    <x v="95"/>
    <m/>
    <m/>
    <s v="SPM-575"/>
    <m/>
    <x v="9"/>
    <s v="GRADUACION DE FRENOS"/>
    <n v="10000"/>
    <n v="7000"/>
    <n v="3000"/>
    <m/>
    <m/>
    <n v="0"/>
    <n v="0"/>
    <m/>
    <n v="0"/>
    <n v="0"/>
    <n v="0"/>
    <n v="0"/>
    <m/>
  </r>
  <r>
    <x v="95"/>
    <m/>
    <m/>
    <s v="BOE-215"/>
    <s v="MEGANE"/>
    <x v="18"/>
    <s v="SOLDAR EXOSTO"/>
    <n v="50000"/>
    <n v="25000"/>
    <n v="25000"/>
    <m/>
    <m/>
    <n v="0"/>
    <n v="0"/>
    <m/>
    <n v="0"/>
    <n v="0"/>
    <n v="0"/>
    <n v="0"/>
    <m/>
  </r>
  <r>
    <x v="95"/>
    <m/>
    <m/>
    <s v="ZYN--152"/>
    <s v="CH SAIL"/>
    <x v="18"/>
    <s v="SOLDAR EXOSTO Y BABERO"/>
    <n v="50000"/>
    <n v="25000"/>
    <n v="25000"/>
    <m/>
    <m/>
    <n v="0"/>
    <n v="0"/>
    <m/>
    <n v="0"/>
    <n v="0"/>
    <n v="0"/>
    <n v="0"/>
    <m/>
  </r>
  <r>
    <x v="96"/>
    <s v="RM:338"/>
    <s v="CONSTRUCCIONES RICARDO CARO SAS"/>
    <s v="TLM-879"/>
    <s v="VOLQUETA"/>
    <x v="18"/>
    <s v="SOLDAR EXOSTO"/>
    <n v="70000"/>
    <n v="35000"/>
    <n v="35000"/>
    <m/>
    <m/>
    <n v="0"/>
    <n v="0"/>
    <m/>
    <n v="0"/>
    <n v="0"/>
    <n v="0"/>
    <n v="0"/>
    <m/>
  </r>
  <r>
    <x v="96"/>
    <s v="RM:340"/>
    <s v="NANCY RODRIGUEZ"/>
    <s v="MQK-979"/>
    <s v="CLIO"/>
    <x v="9"/>
    <s v="CAMBIO DE RODAMIENTO TRASERO"/>
    <n v="40000"/>
    <n v="28000"/>
    <n v="12000"/>
    <s v="RODAMIENTO TRASERO"/>
    <n v="60000"/>
    <n v="50420.168067226892"/>
    <n v="9579.8319327731097"/>
    <n v="75000"/>
    <n v="63025.210084033613"/>
    <n v="11974.789915966387"/>
    <n v="2394.957983193277"/>
    <n v="12605.042016806721"/>
    <m/>
  </r>
  <r>
    <x v="96"/>
    <s v="RM:339"/>
    <s v="CAMILO GUZMAN"/>
    <s v="MQM-115"/>
    <s v="MEGANE"/>
    <x v="18"/>
    <s v="CAMBIO DE PRESILENCIADOR"/>
    <n v="70000"/>
    <n v="35000"/>
    <n v="35000"/>
    <m/>
    <m/>
    <n v="0"/>
    <n v="0"/>
    <m/>
    <n v="0"/>
    <n v="0"/>
    <n v="0"/>
    <n v="0"/>
    <m/>
  </r>
  <r>
    <x v="96"/>
    <s v="RM:341"/>
    <s v="LUCIANO CASTELLANOS"/>
    <s v="WOW-586"/>
    <s v="FOTON"/>
    <x v="16"/>
    <s v="CAMBIO DE BALINERA DE FANCLOSH Y CORREA"/>
    <n v="80000"/>
    <n v="56000"/>
    <n v="24000"/>
    <m/>
    <m/>
    <n v="0"/>
    <n v="0"/>
    <m/>
    <n v="0"/>
    <n v="0"/>
    <n v="0"/>
    <n v="0"/>
    <m/>
  </r>
  <r>
    <x v="96"/>
    <s v="FE:197"/>
    <s v="UNIGAS"/>
    <s v="WRL-952"/>
    <s v="FOTON"/>
    <x v="9"/>
    <s v="GRADUACION DE FRENO/GF DE MANO"/>
    <n v="15000"/>
    <n v="10500"/>
    <n v="4500"/>
    <m/>
    <m/>
    <n v="0"/>
    <n v="0"/>
    <m/>
    <n v="0"/>
    <n v="0"/>
    <n v="0"/>
    <n v="0"/>
    <m/>
  </r>
  <r>
    <x v="96"/>
    <m/>
    <m/>
    <s v="SVB-533"/>
    <m/>
    <x v="9"/>
    <s v="CAMBIO DE DIAFRAGMA Y RESORTE DE SEGURIDAD"/>
    <n v="60000"/>
    <n v="42000"/>
    <n v="18000"/>
    <s v="DIAFRAGMA Y RESORTE DE SEGURIDAD"/>
    <m/>
    <n v="0"/>
    <n v="0"/>
    <m/>
    <n v="0"/>
    <n v="0"/>
    <n v="0"/>
    <n v="0"/>
    <m/>
  </r>
  <r>
    <x v="97"/>
    <m/>
    <s v="VICENTE PATARROYO"/>
    <s v="MAO-470"/>
    <s v="F-350"/>
    <x v="9"/>
    <s v="GRADUACION DE FRENOS"/>
    <n v="8000"/>
    <n v="5600"/>
    <n v="2400"/>
    <m/>
    <m/>
    <n v="0"/>
    <n v="0"/>
    <m/>
    <n v="0"/>
    <n v="0"/>
    <n v="0"/>
    <n v="0"/>
    <m/>
  </r>
  <r>
    <x v="97"/>
    <m/>
    <s v="OSCAR MELO"/>
    <s v="BRX-793"/>
    <s v="CITROEN"/>
    <x v="18"/>
    <s v="CAMBIO DE PRESILENCIADOR"/>
    <n v="90000"/>
    <n v="45000"/>
    <n v="45000"/>
    <m/>
    <m/>
    <n v="0"/>
    <n v="0"/>
    <m/>
    <n v="0"/>
    <n v="0"/>
    <n v="0"/>
    <n v="0"/>
    <m/>
  </r>
  <r>
    <x v="97"/>
    <m/>
    <m/>
    <s v="CVD-959"/>
    <s v="KIA SORENTO"/>
    <x v="9"/>
    <s v="MANTENIMEITNO DE FRENOS"/>
    <n v="80000"/>
    <n v="56000"/>
    <n v="24000"/>
    <m/>
    <m/>
    <n v="0"/>
    <n v="0"/>
    <m/>
    <n v="0"/>
    <n v="0"/>
    <n v="0"/>
    <n v="0"/>
    <m/>
  </r>
  <r>
    <x v="97"/>
    <m/>
    <s v="JAVIER GALLO"/>
    <s v="TAT-815"/>
    <s v="CHERY"/>
    <x v="9"/>
    <s v="REPARACION DE SUSPENSION"/>
    <n v="200000"/>
    <n v="140000"/>
    <n v="60000"/>
    <m/>
    <m/>
    <n v="0"/>
    <n v="0"/>
    <m/>
    <n v="0"/>
    <n v="0"/>
    <n v="0"/>
    <n v="0"/>
    <m/>
  </r>
  <r>
    <x v="97"/>
    <m/>
    <s v="TRANSURENCO"/>
    <s v="TGK-845"/>
    <s v="NNR"/>
    <x v="9"/>
    <s v="GRADUACION DE FRENOS"/>
    <n v="10000"/>
    <n v="7000"/>
    <n v="3000"/>
    <m/>
    <m/>
    <n v="0"/>
    <n v="0"/>
    <m/>
    <n v="0"/>
    <n v="0"/>
    <n v="0"/>
    <n v="0"/>
    <m/>
  </r>
  <r>
    <x v="98"/>
    <s v="FE:199"/>
    <s v="GTSS"/>
    <s v="JOX-221"/>
    <s v="JAC"/>
    <x v="9"/>
    <s v="GRADUACION DE FRENO Y FRENO DE MANO"/>
    <n v="15000"/>
    <n v="10500"/>
    <n v="4500"/>
    <m/>
    <m/>
    <n v="0"/>
    <n v="0"/>
    <m/>
    <n v="0"/>
    <n v="0"/>
    <n v="0"/>
    <n v="0"/>
    <m/>
  </r>
  <r>
    <x v="98"/>
    <s v="RM:343"/>
    <s v="HECTOR CISNEROS"/>
    <s v="ROK-650"/>
    <s v="OPTRA"/>
    <x v="9"/>
    <s v="CAMBIO DE LIQUIDO MANTENIMIENTO DE FRENOS"/>
    <n v="100000"/>
    <n v="70000"/>
    <n v="30000"/>
    <m/>
    <m/>
    <n v="0"/>
    <n v="0"/>
    <m/>
    <n v="0"/>
    <n v="0"/>
    <n v="0"/>
    <n v="0"/>
    <m/>
  </r>
  <r>
    <x v="98"/>
    <s v="RM:342"/>
    <s v="VICTOR DELGADO"/>
    <s v="JGC-800"/>
    <s v="MITSUBISHI"/>
    <x v="9"/>
    <s v="HACER FRENOS, CONECTAR GUAYA FRENO DE MANO"/>
    <n v="100000"/>
    <n v="70000"/>
    <n v="30000"/>
    <s v="LIQUIDO DOT3"/>
    <n v="7540"/>
    <n v="6336.134453781513"/>
    <n v="1203.8655462184875"/>
    <n v="17000"/>
    <n v="14285.714285714286"/>
    <n v="2714.2857142857142"/>
    <n v="1510.4201680672268"/>
    <n v="7949.5798319327732"/>
    <m/>
  </r>
  <r>
    <x v="98"/>
    <s v="RM:344"/>
    <s v="AQUILES VILLANUEVA"/>
    <s v="NEN-691"/>
    <s v="CH TRAVERSE"/>
    <x v="9"/>
    <s v="CAMBIO DE TIJERAS DELANTERAS"/>
    <n v="250000"/>
    <n v="175000"/>
    <n v="75000"/>
    <s v="TIJERAS"/>
    <n v="1160000"/>
    <m/>
    <n v="0"/>
    <n v="1280000"/>
    <m/>
    <n v="0"/>
    <n v="0"/>
    <n v="120000"/>
    <m/>
  </r>
  <r>
    <x v="98"/>
    <m/>
    <m/>
    <s v="OVE-038"/>
    <s v="NISSAN"/>
    <x v="6"/>
    <s v="REVISAR TRASERAS/ GRADUAR LIMITADOR"/>
    <n v="30000"/>
    <n v="21000"/>
    <n v="9000"/>
    <m/>
    <m/>
    <n v="0"/>
    <n v="0"/>
    <m/>
    <n v="0"/>
    <n v="0"/>
    <n v="0"/>
    <n v="0"/>
    <m/>
  </r>
  <r>
    <x v="99"/>
    <m/>
    <m/>
    <s v="RDT-290"/>
    <s v="KIA SORENTO"/>
    <x v="9"/>
    <s v="REVISION DE TIJERAS/ RELLENO DE PORTA MANGUETA"/>
    <n v="80000"/>
    <n v="56000"/>
    <n v="24000"/>
    <m/>
    <m/>
    <n v="0"/>
    <n v="0"/>
    <m/>
    <n v="0"/>
    <n v="0"/>
    <n v="0"/>
    <n v="0"/>
    <m/>
  </r>
  <r>
    <x v="99"/>
    <m/>
    <s v="JAIME MONCADA"/>
    <s v="ERL-333"/>
    <s v="JAC"/>
    <x v="9"/>
    <s v="CAMBIO DE MANGUERA"/>
    <n v="20000"/>
    <n v="14000"/>
    <n v="6000"/>
    <m/>
    <m/>
    <n v="0"/>
    <n v="0"/>
    <m/>
    <n v="0"/>
    <n v="0"/>
    <n v="0"/>
    <n v="0"/>
    <m/>
  </r>
  <r>
    <x v="99"/>
    <m/>
    <s v="ALEJANDRO MARTIN"/>
    <s v="RMN-506"/>
    <s v="SPARK"/>
    <x v="9"/>
    <s v="CAMBIO DE RODAMIENTO DELANTERO /MATTO TRASERO IZQ"/>
    <n v="80000"/>
    <n v="56000"/>
    <n v="24000"/>
    <m/>
    <m/>
    <n v="0"/>
    <n v="0"/>
    <m/>
    <n v="0"/>
    <n v="0"/>
    <n v="0"/>
    <n v="0"/>
    <m/>
  </r>
  <r>
    <x v="99"/>
    <m/>
    <m/>
    <s v="RSA-061"/>
    <m/>
    <x v="18"/>
    <s v="             "/>
    <n v="35000"/>
    <n v="17500"/>
    <n v="17500"/>
    <m/>
    <m/>
    <n v="0"/>
    <n v="0"/>
    <m/>
    <n v="0"/>
    <n v="0"/>
    <n v="0"/>
    <n v="0"/>
    <m/>
  </r>
  <r>
    <x v="99"/>
    <m/>
    <m/>
    <s v="BJH-461"/>
    <s v="MAZDA"/>
    <x v="18"/>
    <s v="SUSPENSION DE PRESILENCIADOR"/>
    <n v="60000"/>
    <n v="30000"/>
    <n v="30000"/>
    <m/>
    <m/>
    <n v="0"/>
    <n v="0"/>
    <m/>
    <n v="0"/>
    <n v="0"/>
    <n v="0"/>
    <n v="0"/>
    <m/>
  </r>
  <r>
    <x v="99"/>
    <m/>
    <s v="DILMER CHAVARRO"/>
    <s v="BAE-623"/>
    <s v="MT"/>
    <x v="9"/>
    <s v="CAMBIO DE EMPAQUE DE CLOSH "/>
    <n v="40000"/>
    <n v="28000"/>
    <n v="12000"/>
    <s v="EMPAQUE /LIQUIDO"/>
    <n v="22600"/>
    <n v="6386.55"/>
    <n v="1213.4445000000001"/>
    <n v="50000"/>
    <m/>
    <n v="0"/>
    <n v="-1213.4445000000001"/>
    <n v="28613.444500000001"/>
    <m/>
  </r>
  <r>
    <x v="100"/>
    <s v="RM:349/FE:349"/>
    <s v="JAIME CRUZ"/>
    <s v="UTQ-864 "/>
    <s v="SPARK GT"/>
    <x v="9"/>
    <s v="CAMBIO DE SOPORTE DE AMORTIGUADOR/ BUJES DE TIJERA"/>
    <n v="170000"/>
    <n v="118999.99999999999"/>
    <n v="51000.000000000015"/>
    <s v="BUJES DE TIJERA, SOPORTE DE AMORTIGUDOR"/>
    <m/>
    <n v="0"/>
    <n v="0"/>
    <n v="329000"/>
    <n v="276470.58823529416"/>
    <n v="52529.411764705888"/>
    <n v="52529.411764705888"/>
    <n v="276470.5882352941"/>
    <m/>
  </r>
  <r>
    <x v="101"/>
    <s v="RM:351"/>
    <s v="WILSON SUAREZ"/>
    <s v="EWJ-306"/>
    <s v="R-12"/>
    <x v="9"/>
    <s v="CAMBIO DE TERMINALES BUJES DE TIJERA/ BUJES BARRA ESTABILIZADORA"/>
    <n v="180000"/>
    <n v="125999.99999999999"/>
    <n v="54000.000000000015"/>
    <m/>
    <m/>
    <n v="0"/>
    <n v="0"/>
    <m/>
    <n v="0"/>
    <n v="0"/>
    <n v="0"/>
    <n v="0"/>
    <m/>
  </r>
  <r>
    <x v="101"/>
    <m/>
    <s v="WILSON SUAREZ"/>
    <s v="EWJ-306"/>
    <s v="R-12"/>
    <x v="18"/>
    <s v="CAMBIO DE PRESILENCIADOR"/>
    <n v="70000"/>
    <n v="35000"/>
    <n v="35000"/>
    <m/>
    <n v="2635000"/>
    <m/>
    <n v="0"/>
    <n v="3040000"/>
    <n v="2554621.848739496"/>
    <n v="485378.15126050427"/>
    <n v="485378.15126050427"/>
    <n v="-80378.151260504499"/>
    <m/>
  </r>
  <r>
    <x v="101"/>
    <m/>
    <m/>
    <m/>
    <m/>
    <x v="6"/>
    <s v="GRADUACION DE FRENO "/>
    <n v="20000"/>
    <n v="14000"/>
    <n v="6000"/>
    <m/>
    <m/>
    <n v="0"/>
    <n v="0"/>
    <m/>
    <n v="0"/>
    <n v="0"/>
    <n v="0"/>
    <n v="0"/>
    <m/>
  </r>
  <r>
    <x v="101"/>
    <s v="FE:204"/>
    <s v="SERVICIOS AGRICOLA JB SAS "/>
    <s v="ETT-299"/>
    <s v="JAC"/>
    <x v="9"/>
    <s v="REVISAR RUEDAS DEL"/>
    <n v="60000"/>
    <n v="42000"/>
    <n v="18000"/>
    <m/>
    <m/>
    <n v="0"/>
    <n v="0"/>
    <m/>
    <n v="0"/>
    <n v="0"/>
    <n v="0"/>
    <n v="0"/>
    <m/>
  </r>
  <r>
    <x v="101"/>
    <m/>
    <m/>
    <s v="WFR-439"/>
    <s v="FURGON"/>
    <x v="6"/>
    <s v="GRADUACION DE FRENOS "/>
    <n v="9000"/>
    <n v="6300"/>
    <n v="2700"/>
    <m/>
    <m/>
    <n v="0"/>
    <n v="0"/>
    <m/>
    <n v="0"/>
    <n v="0"/>
    <n v="0"/>
    <n v="0"/>
    <m/>
  </r>
  <r>
    <x v="101"/>
    <s v="RM:355"/>
    <s v="LUIS DUARTE"/>
    <s v="BUW-614"/>
    <s v="TOYOTA"/>
    <x v="19"/>
    <s v="REPARACION DE EXOSTO"/>
    <n v="300000"/>
    <n v="150000"/>
    <n v="150000"/>
    <m/>
    <m/>
    <n v="0"/>
    <n v="0"/>
    <m/>
    <n v="0"/>
    <n v="0"/>
    <n v="0"/>
    <n v="0"/>
    <m/>
  </r>
  <r>
    <x v="101"/>
    <s v="RM:354"/>
    <s v="LUIS PINTO"/>
    <s v="BVA-572"/>
    <s v="RENAULT LAGUNA"/>
    <x v="9"/>
    <s v="CAMBIO DE GUAYA DE REVERSO"/>
    <n v="100000"/>
    <n v="70000"/>
    <n v="30000"/>
    <m/>
    <n v="20000"/>
    <n v="16806.722689075632"/>
    <n v="3193.2773109243699"/>
    <n v="50000"/>
    <n v="42016.806722689078"/>
    <n v="7983.1932773109247"/>
    <n v="4789.9159663865548"/>
    <n v="25210.084033613446"/>
    <m/>
  </r>
  <r>
    <x v="102"/>
    <s v="FE:209"/>
    <s v="JARDINEROS SAS"/>
    <s v="TSM-325"/>
    <s v="JAC"/>
    <x v="6"/>
    <s v="SERVICIO DE TORNO Y ESPARRAGOS"/>
    <n v="150000"/>
    <n v="105000"/>
    <n v="45000"/>
    <m/>
    <m/>
    <n v="0"/>
    <n v="0"/>
    <m/>
    <n v="0"/>
    <n v="0"/>
    <n v="0"/>
    <n v="0"/>
    <m/>
  </r>
  <r>
    <x v="102"/>
    <s v="RM:353"/>
    <s v="MIGUEL MESTIZO PULIDO "/>
    <s v="OVE-038"/>
    <s v="NISSAN"/>
    <x v="9"/>
    <s v="PULGAR SISTEMA DE FRENOS"/>
    <n v="25000"/>
    <n v="17500"/>
    <n v="7500"/>
    <s v="LIQUIDO DOT3"/>
    <n v="7600"/>
    <n v="6386.5546218487398"/>
    <n v="1213.4453781512607"/>
    <n v="15000"/>
    <n v="12605.042016806723"/>
    <n v="2394.9579831932774"/>
    <n v="1181.5126050420167"/>
    <n v="6218.4873949579833"/>
    <m/>
  </r>
  <r>
    <x v="102"/>
    <m/>
    <m/>
    <s v="MTT-421"/>
    <s v="FORD "/>
    <x v="9"/>
    <s v="REVISION "/>
    <n v="10000"/>
    <n v="7000"/>
    <n v="3000"/>
    <m/>
    <m/>
    <n v="0"/>
    <n v="0"/>
    <m/>
    <n v="0"/>
    <n v="0"/>
    <n v="0"/>
    <n v="0"/>
    <m/>
  </r>
  <r>
    <x v="102"/>
    <s v="RM:356"/>
    <s v="OSCAR BONILLA"/>
    <s v="KHC-191"/>
    <s v="CHANA"/>
    <x v="9"/>
    <s v="LIMPIAR BUJIAS"/>
    <n v="20000"/>
    <n v="14000"/>
    <n v="6000"/>
    <m/>
    <m/>
    <n v="0"/>
    <n v="0"/>
    <m/>
    <n v="0"/>
    <n v="0"/>
    <n v="0"/>
    <n v="0"/>
    <m/>
  </r>
  <r>
    <x v="103"/>
    <m/>
    <m/>
    <s v="CZD-944"/>
    <s v="VW "/>
    <x v="9"/>
    <s v="GRADUACION DE FRENOS"/>
    <n v="10000"/>
    <n v="7000"/>
    <n v="3000"/>
    <m/>
    <m/>
    <n v="0"/>
    <n v="0"/>
    <m/>
    <n v="0"/>
    <n v="0"/>
    <n v="0"/>
    <n v="0"/>
    <m/>
  </r>
  <r>
    <x v="103"/>
    <s v="FE:210 /RM: 358"/>
    <s v="DIEGO JAMAICA"/>
    <s v="GUQ-699"/>
    <s v="DUSTER"/>
    <x v="9"/>
    <s v="REVISION/CAMBIO DE BANDAS"/>
    <n v="40000"/>
    <n v="28000"/>
    <n v="12000"/>
    <s v="BANDAS"/>
    <n v="122000"/>
    <n v="102521.00840336135"/>
    <n v="19478.991596638658"/>
    <n v="170000"/>
    <n v="142857.14285714287"/>
    <n v="27142.857142857145"/>
    <n v="7663.865546218487"/>
    <n v="40336.134453781517"/>
    <m/>
  </r>
  <r>
    <x v="103"/>
    <m/>
    <s v="OSCAR BONILLA"/>
    <s v="KHC-191"/>
    <s v="CHANA"/>
    <x v="9"/>
    <s v="REVISION INYECTORES"/>
    <n v="30000"/>
    <n v="21000"/>
    <n v="9000"/>
    <m/>
    <m/>
    <n v="0"/>
    <n v="0"/>
    <m/>
    <n v="0"/>
    <n v="0"/>
    <n v="0"/>
    <n v="0"/>
    <m/>
  </r>
  <r>
    <x v="103"/>
    <s v="RM:362"/>
    <s v="HENRY BENAVIDEZ"/>
    <s v="BLT-506"/>
    <s v="CH ALTO"/>
    <x v="9"/>
    <s v="REVISION DE RUEDAS CAMBIO DE TERMOSTATO"/>
    <n v="20000"/>
    <n v="14000"/>
    <n v="6000"/>
    <m/>
    <m/>
    <n v="0"/>
    <n v="0"/>
    <m/>
    <n v="0"/>
    <n v="0"/>
    <n v="0"/>
    <n v="0"/>
    <m/>
  </r>
  <r>
    <x v="103"/>
    <s v="RM:362"/>
    <s v="HENRY BENAVIDEZ"/>
    <s v="BLT-506"/>
    <s v="CH ALTO"/>
    <x v="19"/>
    <s v="CAMBIO DE MANGUERA"/>
    <n v="20000"/>
    <n v="10000"/>
    <n v="10000"/>
    <s v="TERMOSTATO, MANGUERA"/>
    <n v="75000"/>
    <n v="50420.160000000003"/>
    <n v="9579.8304000000007"/>
    <n v="90000"/>
    <m/>
    <n v="0"/>
    <n v="-9579.8304000000007"/>
    <n v="24579.830399999999"/>
    <m/>
  </r>
  <r>
    <x v="103"/>
    <s v="FE:211/RM:357"/>
    <s v="LEONARDO SANTISTEBAN"/>
    <s v="CYY-416"/>
    <s v="VOLSKWAGEN"/>
    <x v="9"/>
    <s v="CAMBIO DE LIQUIDO"/>
    <n v="30000"/>
    <n v="21000"/>
    <n v="9000"/>
    <s v="LIQUIDO"/>
    <n v="44000"/>
    <n v="36974.789915966387"/>
    <n v="7025.2100840336134"/>
    <n v="60000"/>
    <n v="50420.168067226892"/>
    <n v="9579.8319327731097"/>
    <n v="2554.6218487394963"/>
    <n v="13445.378151260506"/>
    <m/>
  </r>
  <r>
    <x v="103"/>
    <s v="FE:213/RM:360"/>
    <s v="SARA VARGAS"/>
    <s v="INN-088"/>
    <s v="HIUNDAY"/>
    <x v="9"/>
    <s v="SINCRONIZACION"/>
    <n v="130000"/>
    <n v="91000"/>
    <n v="39000"/>
    <s v="3 BUJIAS"/>
    <n v="60000"/>
    <n v="50420.168067226892"/>
    <n v="9579.8319327731097"/>
    <n v="90000"/>
    <n v="75630.252100840342"/>
    <n v="14369.747899159665"/>
    <n v="4789.9159663865557"/>
    <n v="25210.084033613442"/>
    <m/>
  </r>
  <r>
    <x v="103"/>
    <s v="FE:212/RM:359"/>
    <s v="JUAN M DUQUE"/>
    <s v="NAU-998"/>
    <s v="TWINGO"/>
    <x v="9"/>
    <s v="CAMBIO DE DISCO Y PASTILLAS"/>
    <n v="70000"/>
    <n v="49000"/>
    <n v="21000"/>
    <s v="DISCOS/PASTILLAS"/>
    <n v="295000"/>
    <n v="247899.15966386555"/>
    <n v="47100.840336134454"/>
    <n v="409000"/>
    <n v="343697.47899159667"/>
    <n v="65302.521008403368"/>
    <n v="18201.680672268914"/>
    <n v="95798.319327731093"/>
    <m/>
  </r>
  <r>
    <x v="103"/>
    <n v="361"/>
    <s v="ALEJANDRO PEÑA"/>
    <s v="WPQ-630"/>
    <s v="BUSETA"/>
    <x v="6"/>
    <m/>
    <n v="35000"/>
    <n v="24500"/>
    <n v="10500"/>
    <s v="LIQUIDO"/>
    <n v="7600"/>
    <n v="6386.5546218487398"/>
    <n v="1213.4453781512607"/>
    <n v="15000"/>
    <n v="12605.042016806723"/>
    <n v="2394.9579831932774"/>
    <n v="1181.5126050420167"/>
    <n v="6218.4873949579833"/>
    <m/>
  </r>
  <r>
    <x v="104"/>
    <s v="RM:363"/>
    <m/>
    <s v="SQL-898"/>
    <s v="BUSETA"/>
    <x v="9"/>
    <s v="CAMBIO DE MANGUERA DE FRENO DE SEGURIDAD"/>
    <n v="20000"/>
    <n v="8000"/>
    <n v="12000"/>
    <s v="MANGUERA"/>
    <n v="310000"/>
    <n v="260504.20168067227"/>
    <n v="49495.798319327732"/>
    <n v="60000"/>
    <n v="50420.168067226892"/>
    <n v="9579.8319327731097"/>
    <n v="-39915.966386554624"/>
    <n v="-210084.03361344535"/>
    <m/>
  </r>
  <r>
    <x v="104"/>
    <s v="RM:364"/>
    <s v="SERGIO JIMENEZ"/>
    <s v="HOD-108"/>
    <s v="MB"/>
    <x v="9"/>
    <s v="CAMBIO KIT DE EMBRAGUE"/>
    <n v="350000"/>
    <n v="244999.99999999997"/>
    <n v="105000.00000000003"/>
    <m/>
    <m/>
    <n v="0"/>
    <n v="0"/>
    <m/>
    <n v="0"/>
    <n v="0"/>
    <n v="0"/>
    <n v="0"/>
    <m/>
  </r>
  <r>
    <x v="104"/>
    <m/>
    <s v="SASTOQUE"/>
    <s v="JKJ-296"/>
    <s v="LAND ROVER"/>
    <x v="19"/>
    <s v="CAMBIO DE MANGUERA"/>
    <n v="10000"/>
    <n v="10000"/>
    <n v="0"/>
    <s v="MANGUERA"/>
    <n v="10000"/>
    <m/>
    <n v="0"/>
    <n v="15000"/>
    <m/>
    <n v="0"/>
    <n v="0"/>
    <n v="5000"/>
    <m/>
  </r>
  <r>
    <x v="104"/>
    <m/>
    <s v="SASTOQUE"/>
    <s v="JKJ-296"/>
    <s v="LAND ROVER"/>
    <x v="9"/>
    <s v="REVISIO DE RUEDA"/>
    <n v="20000"/>
    <n v="14000"/>
    <n v="6000"/>
    <m/>
    <m/>
    <n v="0"/>
    <n v="0"/>
    <m/>
    <n v="0"/>
    <n v="0"/>
    <n v="0"/>
    <n v="0"/>
    <m/>
  </r>
  <r>
    <x v="104"/>
    <s v="FE:124/RM:365"/>
    <s v="YEBRAIN MORA"/>
    <s v="UPS-855"/>
    <s v="NHR"/>
    <x v="9"/>
    <s v="CAMBIO DE BANDAS Y CHUPAS"/>
    <n v="70000"/>
    <n v="49000"/>
    <n v="21000"/>
    <s v="CHUPAS, LIQUIDO"/>
    <n v="30939"/>
    <n v="25999.159663865546"/>
    <n v="4939.8403361344535"/>
    <n v="45000"/>
    <n v="37815.126050420171"/>
    <n v="7184.8739495798327"/>
    <n v="2245.0336134453792"/>
    <n v="11815.966386554617"/>
    <m/>
  </r>
  <r>
    <x v="104"/>
    <s v="FE:215/RM:366"/>
    <s v="CESAR QUECAN"/>
    <s v="CKF-173"/>
    <s v="TWINGO"/>
    <x v="9"/>
    <s v="CAMBIO DE SOPORTE AMORTIGUADOR LADO IZQ DEL/ CAMBIO ARO BOMBA DE FRENO"/>
    <n v="80000"/>
    <n v="56000"/>
    <n v="24000"/>
    <s v="ARO BOMBA DE FRENO/ RODAMIENTO DEL IZQ"/>
    <n v="85000"/>
    <n v="71428.571428571435"/>
    <n v="13571.428571428572"/>
    <n v="110000"/>
    <n v="92436.97478991597"/>
    <n v="17563.025210084033"/>
    <n v="3991.596638655461"/>
    <n v="21008.403361344535"/>
    <m/>
  </r>
  <r>
    <x v="105"/>
    <s v="RM:367"/>
    <s v="RUBEN VARGAS"/>
    <s v="UDM-639"/>
    <s v="SANDERO"/>
    <x v="9"/>
    <s v="CAMBIO DE LIQUIDO/ MANTENIMIENTO DE FRENOS"/>
    <n v="100000"/>
    <n v="70000"/>
    <n v="30000"/>
    <s v="LIQUIDO DOT3"/>
    <n v="26000"/>
    <n v="21848.73949579832"/>
    <n v="4151.2605042016812"/>
    <n v="35000"/>
    <n v="29411.764705882353"/>
    <n v="5588.2352941176468"/>
    <n v="1436.9747899159656"/>
    <n v="7563.0252100840335"/>
    <m/>
  </r>
  <r>
    <x v="105"/>
    <s v="RM:369"/>
    <s v="JOSE TRIANA"/>
    <s v="ERK-45"/>
    <m/>
    <x v="9"/>
    <s v=" _x000a_BAJAR RUEDA DELANTERA DERECHA/ TRASERA DERECHA/ GRADUAR FRENOS"/>
    <n v="70000"/>
    <n v="49000"/>
    <n v="21000"/>
    <m/>
    <m/>
    <n v="0"/>
    <n v="0"/>
    <m/>
    <n v="0"/>
    <n v="0"/>
    <n v="0"/>
    <n v="0"/>
    <m/>
  </r>
  <r>
    <x v="105"/>
    <m/>
    <s v="CAROLINA OCHOA"/>
    <s v="HBN-909"/>
    <s v="HUMMER"/>
    <x v="9"/>
    <s v="CAMBIO DE TIJERAS SUPERIORES DELANTERAS"/>
    <n v="100000"/>
    <n v="70000"/>
    <n v="30000"/>
    <m/>
    <m/>
    <n v="0"/>
    <n v="0"/>
    <m/>
    <n v="0"/>
    <n v="0"/>
    <n v="0"/>
    <n v="0"/>
    <m/>
  </r>
  <r>
    <x v="106"/>
    <s v="RM:370"/>
    <s v="ANDRES SOCHA"/>
    <s v="EXX-566"/>
    <s v="FOTON"/>
    <x v="19"/>
    <s v="MANTENIMIENTO RADIADOR"/>
    <n v="100000"/>
    <n v="50000"/>
    <n v="50000"/>
    <m/>
    <m/>
    <n v="0"/>
    <n v="0"/>
    <m/>
    <n v="0"/>
    <n v="0"/>
    <n v="0"/>
    <n v="0"/>
    <m/>
  </r>
  <r>
    <x v="106"/>
    <m/>
    <s v="JORGE MORALES"/>
    <s v="CJH-276"/>
    <s v="SKODA FELICIA"/>
    <x v="9"/>
    <s v="REVISION DE RUEDA"/>
    <n v="10000"/>
    <n v="7000"/>
    <n v="3000"/>
    <m/>
    <m/>
    <n v="0"/>
    <n v="0"/>
    <m/>
    <n v="0"/>
    <n v="0"/>
    <n v="0"/>
    <n v="0"/>
    <m/>
  </r>
  <r>
    <x v="106"/>
    <s v="RM:371"/>
    <s v="ALEXIS MOLINA"/>
    <s v="TRG-701"/>
    <s v="NKR"/>
    <x v="9"/>
    <s v="MANTENIMIENTO DE RUEDAS DELANTERAS/GRADUACION DE FRENOS"/>
    <n v="70000"/>
    <n v="49000"/>
    <n v="21000"/>
    <s v="CHUPAS, LIQUIDO, PIN CACHO"/>
    <n v="21800"/>
    <n v="18319.327731092439"/>
    <n v="3480.6722689075632"/>
    <n v="39000"/>
    <n v="32773.10924369748"/>
    <n v="6226.8907563025214"/>
    <n v="2746.2184873949582"/>
    <n v="14453.781512605041"/>
    <m/>
  </r>
  <r>
    <x v="106"/>
    <s v="RM:372/FE:217"/>
    <s v="VERONICA GIL"/>
    <s v="KAL-109"/>
    <s v="FIAT ADVENTURI"/>
    <x v="9"/>
    <s v="MATTO COMPLETO, CAMBIO DE PASTILLAS/CAMBIO DE LIQUIDO"/>
    <n v="110000"/>
    <n v="77000"/>
    <n v="33000"/>
    <s v="PASTILLAS, LIQUIDO"/>
    <n v="148823"/>
    <n v="125061.34453781514"/>
    <n v="23761.655462184877"/>
    <n v="220000"/>
    <n v="184873.94957983194"/>
    <n v="35126.050420168067"/>
    <n v="11364.39495798319"/>
    <n v="59812.605042016803"/>
    <m/>
  </r>
  <r>
    <x v="106"/>
    <m/>
    <m/>
    <s v="BKR-808"/>
    <s v="VW"/>
    <x v="19"/>
    <s v="SOLDAR TUBO EXOSTO"/>
    <n v="60000"/>
    <n v="30000"/>
    <n v="30000"/>
    <m/>
    <m/>
    <n v="0"/>
    <n v="0"/>
    <m/>
    <n v="0"/>
    <n v="0"/>
    <n v="0"/>
    <n v="0"/>
    <m/>
  </r>
  <r>
    <x v="107"/>
    <s v="FE:222"/>
    <s v="CARLOS BENITEZ"/>
    <s v="WLS-061"/>
    <s v="NKR"/>
    <x v="9"/>
    <s v="REVISION RUEDAS DEL Y TRASERAS"/>
    <n v="120000"/>
    <n v="84000"/>
    <n v="36000"/>
    <s v="BANDAS, GRASA, GASOLINA"/>
    <n v="160000"/>
    <n v="134453.78151260506"/>
    <n v="25546.218487394959"/>
    <n v="367000"/>
    <n v="308403.36134453781"/>
    <n v="58596.638655462186"/>
    <n v="33050.420168067227"/>
    <n v="173949.57983193279"/>
    <m/>
  </r>
  <r>
    <x v="107"/>
    <m/>
    <m/>
    <s v="DEP-444"/>
    <s v="NISSAN"/>
    <x v="9"/>
    <s v="SERVICIO DE ESCANER"/>
    <n v="60000"/>
    <n v="42000"/>
    <n v="18000"/>
    <m/>
    <m/>
    <n v="0"/>
    <n v="0"/>
    <m/>
    <n v="0"/>
    <n v="0"/>
    <n v="0"/>
    <n v="0"/>
    <m/>
  </r>
  <r>
    <x v="107"/>
    <s v="RM:373"/>
    <s v="GRUPO RED"/>
    <s v="CHS-304"/>
    <s v="VOLQUETA"/>
    <x v="9"/>
    <s v="CAMBIO DE DIAFRGMA TRASERO IZQ"/>
    <n v="20000"/>
    <n v="14000"/>
    <n v="6000"/>
    <s v="DIAFRAGMA TIPO 30"/>
    <n v="8000"/>
    <n v="6722.6890756302528"/>
    <n v="1277.3109243697481"/>
    <n v="15000"/>
    <n v="12605.042016806723"/>
    <n v="2394.9579831932774"/>
    <n v="1117.6470588235293"/>
    <n v="5882.3529411764703"/>
    <m/>
  </r>
  <r>
    <x v="108"/>
    <s v="FE:26/RM_"/>
    <s v="GABRIEL LUQUE LEANDRO"/>
    <s v="ARR-520 "/>
    <s v="RENAULT 19"/>
    <x v="20"/>
    <s v="CAMBIO KT DE REPARTICION Y RETENEDORE DE REP"/>
    <n v="180000"/>
    <n v="125999.99999999999"/>
    <n v="54000.000000000015"/>
    <s v=" KT DE REPARTICION Y RETENEDORE DE REP"/>
    <n v="170000"/>
    <n v="142857.14285714287"/>
    <n v="27142.857142857145"/>
    <n v="200000"/>
    <n v="168067.22689075631"/>
    <n v="31932.773109243699"/>
    <n v="4789.9159663865539"/>
    <n v="25210.084033613442"/>
    <m/>
  </r>
  <r>
    <x v="108"/>
    <m/>
    <m/>
    <m/>
    <s v="MOTO"/>
    <x v="19"/>
    <s v="SOLDADURA"/>
    <n v="25000"/>
    <n v="12500"/>
    <n v="12500"/>
    <m/>
    <m/>
    <n v="0"/>
    <n v="0"/>
    <m/>
    <n v="0"/>
    <n v="0"/>
    <n v="0"/>
    <n v="0"/>
    <m/>
  </r>
  <r>
    <x v="108"/>
    <m/>
    <m/>
    <s v="CRX-348"/>
    <s v="DODGE"/>
    <x v="9"/>
    <s v="CAMBIO DE MUÑECO"/>
    <n v="20000"/>
    <n v="14000"/>
    <n v="6000"/>
    <m/>
    <m/>
    <n v="0"/>
    <n v="0"/>
    <m/>
    <n v="0"/>
    <n v="0"/>
    <n v="0"/>
    <n v="0"/>
    <m/>
  </r>
  <r>
    <x v="108"/>
    <m/>
    <m/>
    <s v="EIS-544"/>
    <s v="RENAULT"/>
    <x v="19"/>
    <s v="SOLDAR EXOSTO"/>
    <n v="35000"/>
    <n v="17500"/>
    <n v="17500"/>
    <m/>
    <m/>
    <n v="0"/>
    <n v="0"/>
    <m/>
    <n v="0"/>
    <n v="0"/>
    <n v="0"/>
    <n v="0"/>
    <m/>
  </r>
  <r>
    <x v="108"/>
    <s v="FE:225/RM:374"/>
    <s v="JAIRO ALONZO GONZALES"/>
    <s v="UFU-588"/>
    <s v="SUPER KARRY"/>
    <x v="9"/>
    <s v="CAMBIO GUAYA DE FRENO DE MANO/PASTILLAS DELANTERAS"/>
    <n v="110000"/>
    <n v="77000"/>
    <n v="33000"/>
    <s v="GUAYA/ PASTILLAS DEL."/>
    <n v="85000"/>
    <n v="71428.571428571435"/>
    <n v="13571.428571428572"/>
    <n v="110000"/>
    <n v="92436.97478991597"/>
    <n v="17563.025210084033"/>
    <n v="3991.596638655461"/>
    <n v="21008.403361344535"/>
    <m/>
  </r>
  <r>
    <x v="108"/>
    <s v="FE:225/RM:374"/>
    <s v="JAIRO ALONZO GONZALES"/>
    <s v="UFU-588"/>
    <s v="SUPER KARRY"/>
    <x v="19"/>
    <s v="REPARACION EXOSTO"/>
    <n v="60000"/>
    <n v="30000"/>
    <n v="30000"/>
    <m/>
    <m/>
    <n v="0"/>
    <n v="0"/>
    <m/>
    <n v="0"/>
    <n v="0"/>
    <n v="0"/>
    <n v="0"/>
    <m/>
  </r>
  <r>
    <x v="109"/>
    <s v="RM:377"/>
    <s v="ALFREDO SUAREZ"/>
    <s v="KEW-765"/>
    <s v="SANDERO"/>
    <x v="9"/>
    <s v="CAMBIO DE AMORTIGUADORES DEL."/>
    <n v="100000"/>
    <n v="70000"/>
    <n v="30000"/>
    <m/>
    <m/>
    <n v="0"/>
    <n v="0"/>
    <m/>
    <n v="0"/>
    <n v="0"/>
    <n v="0"/>
    <n v="0"/>
    <m/>
  </r>
  <r>
    <x v="109"/>
    <m/>
    <s v="JAIME MONCADA"/>
    <m/>
    <m/>
    <x v="6"/>
    <s v="GRADUACION DE FRENOS"/>
    <n v="10000"/>
    <n v="7000"/>
    <n v="3000"/>
    <m/>
    <m/>
    <n v="0"/>
    <n v="0"/>
    <m/>
    <n v="0"/>
    <n v="0"/>
    <n v="0"/>
    <n v="0"/>
    <m/>
  </r>
  <r>
    <x v="109"/>
    <m/>
    <m/>
    <s v="FLI-814"/>
    <s v="CHEVROLET"/>
    <x v="19"/>
    <s v="CAMBIO TUBO SILENCIADOR"/>
    <n v="221500"/>
    <n v="110750"/>
    <n v="110750"/>
    <m/>
    <m/>
    <n v="0"/>
    <n v="0"/>
    <m/>
    <n v="0"/>
    <n v="0"/>
    <n v="0"/>
    <n v="0"/>
    <m/>
  </r>
  <r>
    <x v="109"/>
    <m/>
    <m/>
    <s v="BVG-394"/>
    <s v="VITARA "/>
    <x v="9"/>
    <s v="REVISION DE RUEDAS TRASERAS"/>
    <n v="30000"/>
    <n v="21000"/>
    <n v="9000"/>
    <m/>
    <m/>
    <n v="0"/>
    <n v="0"/>
    <m/>
    <n v="0"/>
    <n v="0"/>
    <n v="0"/>
    <n v="0"/>
    <m/>
  </r>
  <r>
    <x v="109"/>
    <s v="RM:381"/>
    <s v="RIKO POLLO"/>
    <s v="UPP-145"/>
    <s v="LUV"/>
    <x v="9"/>
    <s v="MANTENIMIENTO DE FRENOS"/>
    <n v="80000"/>
    <n v="56000"/>
    <n v="24000"/>
    <s v="RESORTE"/>
    <m/>
    <n v="0"/>
    <n v="0"/>
    <n v="70000"/>
    <m/>
    <n v="0"/>
    <n v="0"/>
    <n v="70000"/>
    <m/>
  </r>
  <r>
    <x v="109"/>
    <s v="FE:228/RM:379"/>
    <s v="HUMBERTO BETANCOURT"/>
    <s v="RGY-054"/>
    <s v="KIA JOUL"/>
    <x v="9"/>
    <s v="CAMBIO DE PASTILLAS DEL. /DISCO Y LIQUIDO"/>
    <n v="150000"/>
    <n v="105000"/>
    <n v="45000"/>
    <s v="CAMBIO DE PASTILLAS DEL. /DISCO Y LIQUIDO"/>
    <n v="545000"/>
    <n v="457983.19327731093"/>
    <n v="87016.806722689071"/>
    <n v="745000"/>
    <n v="626050.42016806721"/>
    <n v="118949.57983193277"/>
    <n v="31932.773109243702"/>
    <n v="168067.22689075628"/>
    <m/>
  </r>
  <r>
    <x v="110"/>
    <m/>
    <m/>
    <s v="KZY-882"/>
    <s v="TUCSON"/>
    <x v="19"/>
    <s v="SOLDADURA"/>
    <n v="20000"/>
    <n v="10000"/>
    <n v="10000"/>
    <m/>
    <m/>
    <n v="0"/>
    <n v="0"/>
    <m/>
    <n v="0"/>
    <n v="0"/>
    <n v="0"/>
    <n v="0"/>
    <m/>
  </r>
  <r>
    <x v="110"/>
    <s v="RM:382"/>
    <s v="VERONICA GIL"/>
    <s v="KAL-109"/>
    <s v="KIA"/>
    <x v="19"/>
    <s v="CAMBIO DE EXOSTO"/>
    <n v="100000"/>
    <n v="50000"/>
    <n v="50000"/>
    <s v="EXOSTO"/>
    <n v="40000"/>
    <m/>
    <m/>
    <n v="80000"/>
    <m/>
    <m/>
    <n v="0"/>
    <n v="40000"/>
    <m/>
  </r>
  <r>
    <x v="110"/>
    <m/>
    <m/>
    <s v="IIR-925"/>
    <s v="SAIL"/>
    <x v="19"/>
    <s v="CAMBIO DE CURVA"/>
    <n v="65000"/>
    <n v="32500"/>
    <n v="32500"/>
    <m/>
    <m/>
    <n v="0"/>
    <n v="0"/>
    <m/>
    <n v="0"/>
    <n v="0"/>
    <n v="0"/>
    <n v="0"/>
    <m/>
  </r>
  <r>
    <x v="110"/>
    <m/>
    <m/>
    <s v="BGW-834"/>
    <s v="NISSAN"/>
    <x v="19"/>
    <s v="REPARACION EXOSTO"/>
    <n v="40000"/>
    <n v="20000"/>
    <n v="20000"/>
    <m/>
    <m/>
    <n v="0"/>
    <n v="0"/>
    <m/>
    <n v="0"/>
    <n v="0"/>
    <n v="0"/>
    <n v="0"/>
    <m/>
  </r>
  <r>
    <x v="110"/>
    <m/>
    <m/>
    <s v="BGW-834"/>
    <s v="NISSAN"/>
    <x v="9"/>
    <s v="CAMBIO DE BUJE"/>
    <n v="30000"/>
    <n v="21000"/>
    <n v="9000"/>
    <m/>
    <m/>
    <n v="0"/>
    <n v="0"/>
    <m/>
    <n v="0"/>
    <n v="0"/>
    <n v="0"/>
    <n v="0"/>
    <m/>
  </r>
  <r>
    <x v="110"/>
    <m/>
    <s v="YEBRAIN MORA"/>
    <s v="UPS-855"/>
    <s v="NHR"/>
    <x v="9"/>
    <s v="CAMBIO DE CHUPAS"/>
    <n v="30000"/>
    <n v="21000"/>
    <n v="9000"/>
    <s v="CHUPAS"/>
    <n v="3600"/>
    <n v="3025.2100840336134"/>
    <n v="574.7899159663865"/>
    <n v="10000"/>
    <n v="8403.361344537816"/>
    <n v="1596.6386554621849"/>
    <n v="1021.8487394957984"/>
    <n v="5378.1512605042017"/>
    <m/>
  </r>
  <r>
    <x v="110"/>
    <m/>
    <s v="METALCARGOS"/>
    <s v="TFT-701"/>
    <s v="NKR"/>
    <x v="19"/>
    <s v="LAVAR RADIADOR"/>
    <n v="10000"/>
    <n v="10000"/>
    <n v="0"/>
    <m/>
    <m/>
    <n v="0"/>
    <n v="0"/>
    <m/>
    <n v="0"/>
    <n v="0"/>
    <n v="0"/>
    <n v="0"/>
    <m/>
  </r>
  <r>
    <x v="110"/>
    <s v="RM:384"/>
    <s v="LILIANA PATARROYO"/>
    <s v="BWE-859"/>
    <m/>
    <x v="9"/>
    <s v="CAMBIO DE LIQUIDO /MATTO COMPLETO"/>
    <n v="100000"/>
    <n v="70000"/>
    <n v="30000"/>
    <s v="LIQUIDO"/>
    <n v="25000"/>
    <n v="21008.403361344539"/>
    <n v="3991.5966386554624"/>
    <n v="35000"/>
    <n v="29411.764705882353"/>
    <n v="5588.2352941176468"/>
    <n v="1596.6386554621845"/>
    <n v="8403.3613445378141"/>
    <m/>
  </r>
  <r>
    <x v="110"/>
    <m/>
    <s v="HUMMER"/>
    <s v="HBN-909"/>
    <m/>
    <x v="9"/>
    <s v="MATTO RUEDA TRASERA /GRADUACION"/>
    <n v="50000"/>
    <n v="35000"/>
    <n v="15000"/>
    <m/>
    <m/>
    <n v="0"/>
    <n v="0"/>
    <m/>
    <n v="0"/>
    <n v="0"/>
    <n v="0"/>
    <n v="0"/>
    <m/>
  </r>
  <r>
    <x v="111"/>
    <s v="RM:387/FE:232"/>
    <s v="EDUARDO ARGUILA"/>
    <s v="MKQ-047"/>
    <s v="SANDERO"/>
    <x v="9"/>
    <s v="SINCRONIZACION"/>
    <n v="130000"/>
    <n v="78000"/>
    <n v="52000"/>
    <s v="BUJIAS/EMPAQUE CUERO ACELERACION"/>
    <n v="90000"/>
    <n v="75630.252100840342"/>
    <n v="14369.747899159665"/>
    <n v="130000"/>
    <n v="109243.6974789916"/>
    <n v="20756.302521008405"/>
    <n v="6386.5546218487398"/>
    <n v="33613.445378151257"/>
    <m/>
  </r>
  <r>
    <x v="111"/>
    <s v="FE:233"/>
    <s v="PERVIVIR"/>
    <s v="BTZ-979 "/>
    <s v="NHR"/>
    <x v="9"/>
    <s v="CAMBIO DE HOJA DE MUELLE Y BUJES /GRADUACION DE FRENOS"/>
    <n v="160000"/>
    <n v="96000"/>
    <n v="64000"/>
    <s v=" HOJA DE MUELLE2 Y TERCERA/CENTRAL Y BUJE DE MUELLE"/>
    <n v="470000"/>
    <n v="394957.98319327732"/>
    <n v="75042.016806722691"/>
    <n v="625000"/>
    <n v="525210.08403361344"/>
    <n v="99789.915966386558"/>
    <n v="24747.899159663866"/>
    <n v="130252.10084033612"/>
    <m/>
  </r>
  <r>
    <x v="111"/>
    <s v="FE:231/RM:385"/>
    <s v="DAVID ORDOÑEZ"/>
    <s v="IXS-786"/>
    <s v="NISSAN"/>
    <x v="9"/>
    <s v="CAMBIO DE RODAMIENTO TRASERO"/>
    <n v="30000"/>
    <n v="25500"/>
    <n v="4500"/>
    <s v="RODAMIENTO TRASERO"/>
    <n v="90000"/>
    <n v="75630.252100840342"/>
    <n v="14369.747899159665"/>
    <n v="110000"/>
    <n v="92436.97478991597"/>
    <n v="17563.025210084033"/>
    <n v="3193.2773109243681"/>
    <n v="16806.722689075628"/>
    <m/>
  </r>
  <r>
    <x v="111"/>
    <s v="RM:386"/>
    <s v="ALBERTO BOJACA"/>
    <s v="DCE-692 "/>
    <s v="SANDERO"/>
    <x v="19"/>
    <s v="CAMBIO DE PRESILENCIADOR"/>
    <n v="105000"/>
    <n v="52500"/>
    <n v="52500"/>
    <s v="PRESILENCIADOR"/>
    <n v="33000"/>
    <m/>
    <n v="0"/>
    <n v="70000"/>
    <m/>
    <n v="0"/>
    <n v="0"/>
    <n v="37000"/>
    <m/>
  </r>
  <r>
    <x v="112"/>
    <m/>
    <m/>
    <s v="DCS-868"/>
    <s v="CH"/>
    <x v="9"/>
    <s v="SERVICIO DE ESCANER"/>
    <n v="60000"/>
    <n v="36000"/>
    <n v="24000"/>
    <m/>
    <m/>
    <n v="0"/>
    <n v="0"/>
    <m/>
    <n v="0"/>
    <n v="0"/>
    <n v="0"/>
    <n v="0"/>
    <m/>
  </r>
  <r>
    <x v="112"/>
    <s v="RM:388 / FE:234"/>
    <s v="GERMAN BULLA"/>
    <s v="RGN-134"/>
    <s v="NISSAN TIIDA"/>
    <x v="9"/>
    <s v="CAMBIO DE MUÑECOS, TERMINALES, AXIALES, BUJES DE TIJERA, SOPORTE DE CAJA "/>
    <n v="290000"/>
    <n v="174000"/>
    <n v="116000"/>
    <s v=" MUÑECOS, TERMINALES, AXIALES, BUJES DE TIJERA, SOPORTE DE CAJA "/>
    <n v="640000"/>
    <n v="537815.12605042022"/>
    <n v="102184.87394957984"/>
    <n v="805000"/>
    <n v="676470.5882352941"/>
    <n v="128529.41176470587"/>
    <n v="26344.537815126037"/>
    <n v="138655.46218487399"/>
    <m/>
  </r>
  <r>
    <x v="112"/>
    <s v="RM:393"/>
    <s v="MANUEL BARBOSA"/>
    <s v="BVA-767"/>
    <s v="MAZDA"/>
    <x v="20"/>
    <s v="SINCRONIZACION"/>
    <n v="110000"/>
    <n v="77000"/>
    <n v="33000"/>
    <m/>
    <m/>
    <n v="0"/>
    <n v="0"/>
    <m/>
    <n v="0"/>
    <n v="0"/>
    <n v="0"/>
    <n v="0"/>
    <m/>
  </r>
  <r>
    <x v="112"/>
    <s v="RM:389"/>
    <s v="HECTOR COLMENAREZ"/>
    <s v="BYH-660"/>
    <s v="NISSAN SENTRA"/>
    <x v="9"/>
    <s v="REVISION / CAMBIO BRAZO AXIAL"/>
    <n v="24000"/>
    <n v="14400"/>
    <n v="9600"/>
    <m/>
    <m/>
    <n v="0"/>
    <n v="0"/>
    <m/>
    <n v="0"/>
    <n v="0"/>
    <n v="0"/>
    <n v="0"/>
    <m/>
  </r>
  <r>
    <x v="112"/>
    <s v="RM:392"/>
    <m/>
    <s v="RZG-156"/>
    <s v="KIA PICANTO"/>
    <x v="9"/>
    <s v="REVISION DELANTERA/ CAMBIO DE ESPARRAGO DELANTERO IZQ"/>
    <n v="50000"/>
    <n v="30000"/>
    <n v="20000"/>
    <s v="PERNO Y TUERCA"/>
    <n v="10000"/>
    <n v="8403.361344537816"/>
    <n v="1596.6386554621849"/>
    <n v="7700"/>
    <n v="6470.588235294118"/>
    <n v="1229.4117647058824"/>
    <n v="-367.22689075630251"/>
    <n v="-1932.773109243697"/>
    <m/>
  </r>
  <r>
    <x v="112"/>
    <s v="RM:391/FE:235"/>
    <s v="ALEJANDRO MEDINA"/>
    <s v="BWD-321"/>
    <s v="HILUX"/>
    <x v="9"/>
    <s v="CAMBIO DE PASTILLAS DELANTERAS"/>
    <n v="30000"/>
    <n v="18000"/>
    <n v="12000"/>
    <s v="PASTILLAS DELANTERAS"/>
    <n v="165000"/>
    <n v="138655.46218487396"/>
    <n v="26344.537815126052"/>
    <n v="230000"/>
    <n v="193277.31092436975"/>
    <n v="36722.689075630253"/>
    <n v="10378.151260504201"/>
    <n v="54621.848739495792"/>
    <m/>
  </r>
  <r>
    <x v="112"/>
    <m/>
    <s v="WILSON MORENO"/>
    <s v="RGT-916"/>
    <s v="AVEO"/>
    <x v="9"/>
    <s v="CAMBIO SOPORTE CAJA "/>
    <n v="30000"/>
    <n v="18000"/>
    <n v="12000"/>
    <m/>
    <m/>
    <n v="0"/>
    <n v="0"/>
    <m/>
    <n v="0"/>
    <n v="0"/>
    <n v="0"/>
    <n v="0"/>
    <m/>
  </r>
  <r>
    <x v="113"/>
    <m/>
    <m/>
    <s v="BLK-537"/>
    <s v="LAND CROUSER"/>
    <x v="9"/>
    <s v="CAMBIO DE GUAYA"/>
    <n v="40000"/>
    <n v="24000"/>
    <n v="16000"/>
    <m/>
    <m/>
    <n v="0"/>
    <n v="0"/>
    <m/>
    <n v="0"/>
    <n v="0"/>
    <n v="0"/>
    <n v="0"/>
    <m/>
  </r>
  <r>
    <x v="112"/>
    <m/>
    <m/>
    <s v="BLK-537"/>
    <s v="LAND CROUSER"/>
    <x v="20"/>
    <s v="CAMBIO DE MANGUERA "/>
    <n v="20000"/>
    <n v="14000"/>
    <n v="6000"/>
    <m/>
    <m/>
    <n v="0"/>
    <n v="0"/>
    <m/>
    <n v="0"/>
    <n v="0"/>
    <n v="0"/>
    <n v="0"/>
    <m/>
  </r>
  <r>
    <x v="114"/>
    <s v="RM:398/FE:239"/>
    <s v="VANESA CASTRO"/>
    <s v="NCZ-865"/>
    <s v="FORD FIESTA"/>
    <x v="9"/>
    <s v="CAMBIO DE AMORTIGUADORES DELANTEROS Y TRASEROS, RODAMIENTO DE AMORTIGUADOR"/>
    <n v="180000"/>
    <n v="108000"/>
    <n v="72000"/>
    <s v="AMORTIGUADORES DELANTEROS Y TRASEROS, RODAMIENTO DE AMORTIGUADOR"/>
    <n v="865933"/>
    <n v="727674.78991596645"/>
    <n v="138258.21008403364"/>
    <n v="1270000"/>
    <n v="1067226.8907563025"/>
    <n v="202773.10924369749"/>
    <n v="64514.899159663852"/>
    <n v="339552.10084033618"/>
    <m/>
  </r>
  <r>
    <x v="114"/>
    <s v="RM:397"/>
    <s v="PAULA CALDERON"/>
    <s v="CVR-058"/>
    <s v="VITARA "/>
    <x v="9"/>
    <s v=" _x000a_MANTENIMIENTO VALVULA DEL MINIMO/CAMBIO DE CHUPAS"/>
    <n v="80000"/>
    <n v="48000"/>
    <n v="32000"/>
    <s v="CHUPAS"/>
    <n v="7000"/>
    <n v="5882.3529411764712"/>
    <n v="1117.6470588235295"/>
    <n v="20000"/>
    <n v="16806.722689075632"/>
    <n v="3193.2773109243699"/>
    <n v="2075.6302521008402"/>
    <n v="10924.36974789916"/>
    <m/>
  </r>
  <r>
    <x v="115"/>
    <m/>
    <s v="ANGEL LADINO"/>
    <s v="BMX-260"/>
    <s v="MEGANE"/>
    <x v="9"/>
    <s v="CAMBIO VALVULA IAC"/>
    <n v="20000"/>
    <n v="12000"/>
    <n v="8000"/>
    <s v="SENSOR IAC"/>
    <n v="105000"/>
    <n v="88235.294117647063"/>
    <n v="16764.705882352941"/>
    <n v="130000"/>
    <n v="109243.6974789916"/>
    <n v="20756.302521008405"/>
    <n v="3991.5966386554646"/>
    <n v="21008.403361344535"/>
    <m/>
  </r>
  <r>
    <x v="115"/>
    <m/>
    <s v="NELSON PARRA"/>
    <s v="OJF-038"/>
    <s v="VITARA"/>
    <x v="9"/>
    <s v="MANTENIMIENTO COMPLETO/CAMBIO DE MANGUERA"/>
    <n v="150000"/>
    <n v="90000"/>
    <n v="60000"/>
    <s v="MANGUERAS DE FRENOS"/>
    <m/>
    <n v="0"/>
    <n v="0"/>
    <m/>
    <n v="0"/>
    <n v="0"/>
    <n v="0"/>
    <n v="0"/>
    <m/>
  </r>
  <r>
    <x v="115"/>
    <m/>
    <m/>
    <s v="CXY-873"/>
    <s v="LOGAN"/>
    <x v="19"/>
    <s v="CAMBIO DE PRESILENCIADOR Y PUNTERA"/>
    <n v="80000"/>
    <n v="150000"/>
    <n v="-70000"/>
    <m/>
    <m/>
    <n v="0"/>
    <n v="0"/>
    <m/>
    <n v="0"/>
    <n v="0"/>
    <n v="0"/>
    <n v="0"/>
    <m/>
  </r>
  <r>
    <x v="116"/>
    <m/>
    <m/>
    <s v="WLR-952"/>
    <s v="ISUZU"/>
    <x v="9"/>
    <s v="GRADUACION DE FRENOS"/>
    <n v="15000"/>
    <n v="9000"/>
    <n v="6000"/>
    <m/>
    <m/>
    <n v="0"/>
    <n v="0"/>
    <m/>
    <n v="0"/>
    <n v="0"/>
    <n v="0"/>
    <n v="0"/>
    <m/>
  </r>
  <r>
    <x v="116"/>
    <m/>
    <s v="FRESKIFRUTA"/>
    <s v="TLO-165"/>
    <s v="DFSK"/>
    <x v="9"/>
    <s v="CAMBIO DE BOBINA"/>
    <n v="20000"/>
    <n v="12000"/>
    <n v="8000"/>
    <s v="BOBINA"/>
    <n v="80000"/>
    <n v="67226.890756302528"/>
    <n v="12773.10924369748"/>
    <n v="95000"/>
    <n v="79831.932773109249"/>
    <n v="15168.067226890758"/>
    <n v="2394.9579831932788"/>
    <n v="12605.042016806721"/>
    <m/>
  </r>
  <r>
    <x v="116"/>
    <s v="RM:404"/>
    <s v="CARLOS SUPELANO"/>
    <s v="BSB-780"/>
    <s v="HYUNDAI TERRACAN"/>
    <x v="9"/>
    <s v="MANTENIMIENTO DE FRENOS/CAMBIO D AMORTIGUADORES/BUJES Y MUÑECOS/CAMBIO DE MANGUERA HIDRAULICA"/>
    <n v="430000"/>
    <n v="258000"/>
    <n v="172000"/>
    <s v="PASTILLAS DE FRENOS, BUJES DE TEMPLETES, MUÑECOS, LIQUIDO "/>
    <n v="798000"/>
    <m/>
    <n v="0"/>
    <n v="1231600"/>
    <m/>
    <n v="0"/>
    <n v="0"/>
    <n v="433600"/>
    <m/>
  </r>
  <r>
    <x v="113"/>
    <m/>
    <s v="VICENTE PATARROYO"/>
    <m/>
    <m/>
    <x v="9"/>
    <s v="GRADUACION DE FRENOS"/>
    <n v="10000"/>
    <n v="6000"/>
    <n v="4000"/>
    <m/>
    <m/>
    <n v="0"/>
    <n v="0"/>
    <m/>
    <n v="0"/>
    <n v="0"/>
    <n v="0"/>
    <n v="0"/>
    <m/>
  </r>
  <r>
    <x v="116"/>
    <s v="RM:401"/>
    <s v="RODOLFO SERRANO"/>
    <s v="CQG-462"/>
    <s v="SUZUKI"/>
    <x v="9"/>
    <s v="LIMPIEZA DE SENSORES/ESCANER"/>
    <n v="60000"/>
    <n v="36000"/>
    <n v="24000"/>
    <m/>
    <m/>
    <n v="0"/>
    <n v="0"/>
    <m/>
    <n v="0"/>
    <n v="0"/>
    <n v="0"/>
    <n v="0"/>
    <m/>
  </r>
  <r>
    <x v="116"/>
    <s v="RM:401"/>
    <s v="RODOLFO SERRANO"/>
    <s v="CQG-462"/>
    <s v="SUZUKI"/>
    <x v="20"/>
    <s v="ESCANER"/>
    <n v="60000"/>
    <n v="42000"/>
    <n v="18000"/>
    <m/>
    <m/>
    <n v="0"/>
    <n v="0"/>
    <m/>
    <n v="0"/>
    <n v="0"/>
    <n v="0"/>
    <n v="0"/>
    <m/>
  </r>
  <r>
    <x v="116"/>
    <m/>
    <m/>
    <m/>
    <s v="VAROCK"/>
    <x v="9"/>
    <s v="GRADUACION DE FRENOS"/>
    <n v="10000"/>
    <n v="6000"/>
    <n v="4000"/>
    <m/>
    <m/>
    <n v="0"/>
    <n v="0"/>
    <m/>
    <n v="0"/>
    <n v="0"/>
    <n v="0"/>
    <n v="0"/>
    <m/>
  </r>
  <r>
    <x v="116"/>
    <m/>
    <m/>
    <s v="DBT-851"/>
    <s v="MEGAN"/>
    <x v="20"/>
    <s v="REPARACION MOTOR"/>
    <n v="1200000"/>
    <n v="840000"/>
    <n v="360000"/>
    <m/>
    <m/>
    <n v="0"/>
    <n v="0"/>
    <m/>
    <n v="0"/>
    <n v="0"/>
    <n v="0"/>
    <n v="0"/>
    <m/>
  </r>
  <r>
    <x v="116"/>
    <s v="METALCARGOS"/>
    <m/>
    <s v="TFT-701"/>
    <s v="NKR"/>
    <x v="20"/>
    <s v="REPARACION MOTOR"/>
    <n v="1400000"/>
    <n v="505999.99999999988"/>
    <n v="894000.00000000012"/>
    <s v="PISTONES, ANILLOS, CAMISAS, CASQUETE DE BIELA, BANCADA, MEDIAS LUNAS, EMP. DE MOTOR, SERVICIO DE RECTIFICADORA, CAMBIO DE ACEITE, GASOLINA, SILICONA, REFRIGERANTE, GUAYA FRENO DE MANO, BANDA, Y PALANCA, TUBO RETORNO DE ACEITE"/>
    <n v="3010000"/>
    <m/>
    <n v="0"/>
    <n v="10026001"/>
    <n v="8425210.9243697487"/>
    <n v="1600790.0756302522"/>
    <n v="1600790.0756302522"/>
    <n v="5415210.9243697478"/>
    <m/>
  </r>
  <r>
    <x v="117"/>
    <s v="RM:403"/>
    <s v="JUAN CARLOS QUIJANO"/>
    <s v="BLK-537"/>
    <s v="LAND CROUSER"/>
    <x v="9"/>
    <s v="CAMBIO DE BOMBA HIDRAULICA"/>
    <n v="250000"/>
    <n v="175000"/>
    <n v="75000"/>
    <s v="BOMBA HIDRAULICA"/>
    <n v="1400000"/>
    <m/>
    <n v="0"/>
    <n v="1680000"/>
    <m/>
    <n v="0"/>
    <n v="0"/>
    <n v="280000"/>
    <m/>
  </r>
  <r>
    <x v="117"/>
    <s v="RM:402"/>
    <s v="YOBANY PINEDA"/>
    <s v="USD-121"/>
    <s v="NHR"/>
    <x v="6"/>
    <s v="CAMBIO DE BUJES /BARRA DE CAMBIO Y EMPAQUETADURA DE CLOSH"/>
    <n v="30000"/>
    <n v="18000"/>
    <n v="12000"/>
    <s v="BUJES BARRA DE CAMBIO Y EMPAQUETADURA DE CLOSH/ LIQUIDO"/>
    <n v="85000"/>
    <m/>
    <n v="0"/>
    <n v="45000"/>
    <m/>
    <n v="0"/>
    <n v="0"/>
    <n v="-40000"/>
    <m/>
  </r>
  <r>
    <x v="117"/>
    <m/>
    <m/>
    <s v="RGT-916"/>
    <s v="AVEO"/>
    <x v="9"/>
    <s v="CAMBIO DE SOPORTE DE MOTOR DEL. DER/ SOPORTE DE AMORTIGUAODR TRASERO DERE"/>
    <n v="85000"/>
    <n v="59499.999999999993"/>
    <n v="25500.000000000007"/>
    <m/>
    <m/>
    <n v="0"/>
    <n v="0"/>
    <m/>
    <n v="0"/>
    <n v="0"/>
    <n v="0"/>
    <n v="0"/>
    <m/>
  </r>
  <r>
    <x v="117"/>
    <m/>
    <m/>
    <m/>
    <s v="CJH-949"/>
    <x v="9"/>
    <s v="CALIBRAR FRENOS"/>
    <n v="10000"/>
    <n v="7000"/>
    <n v="3000"/>
    <m/>
    <m/>
    <n v="0"/>
    <n v="0"/>
    <m/>
    <n v="0"/>
    <n v="0"/>
    <n v="0"/>
    <n v="0"/>
    <m/>
  </r>
  <r>
    <x v="118"/>
    <m/>
    <s v="ORLANDO LADINO"/>
    <s v="LOGAN"/>
    <s v="BMZ-260"/>
    <x v="9"/>
    <s v="CHEQUEO DE SENSOR"/>
    <n v="25000"/>
    <n v="17500"/>
    <n v="7500"/>
    <m/>
    <m/>
    <n v="0"/>
    <n v="0"/>
    <m/>
    <n v="0"/>
    <n v="0"/>
    <n v="0"/>
    <n v="0"/>
    <m/>
  </r>
  <r>
    <x v="118"/>
    <m/>
    <m/>
    <m/>
    <m/>
    <x v="19"/>
    <s v="SOLDADURA"/>
    <n v="10000"/>
    <n v="5000"/>
    <n v="5000"/>
    <m/>
    <m/>
    <n v="0"/>
    <n v="0"/>
    <m/>
    <n v="0"/>
    <n v="0"/>
    <n v="0"/>
    <n v="0"/>
    <m/>
  </r>
  <r>
    <x v="118"/>
    <m/>
    <m/>
    <m/>
    <m/>
    <x v="19"/>
    <s v="TRABAJO RADIADOR"/>
    <n v="200000"/>
    <n v="100000"/>
    <n v="100000"/>
    <m/>
    <m/>
    <n v="0"/>
    <n v="0"/>
    <m/>
    <n v="0"/>
    <n v="0"/>
    <n v="0"/>
    <n v="0"/>
    <m/>
  </r>
  <r>
    <x v="118"/>
    <s v="RM:407"/>
    <s v="ALICIA BALLESTEROS"/>
    <s v="SANDERO"/>
    <s v="UUS-174"/>
    <x v="9"/>
    <s v="CAMBIO DE DISCOS/PASTILLAS Y LIQUIDO"/>
    <n v="120000"/>
    <n v="84000"/>
    <n v="36000"/>
    <s v="DISCOS/PASTILLAS/LIQUIDO"/>
    <n v="294000"/>
    <n v="247058.82352941178"/>
    <n v="46941.176470588238"/>
    <n v="630000"/>
    <n v="529411.76470588241"/>
    <n v="100588.23529411767"/>
    <n v="53647.058823529427"/>
    <n v="282352.9411764706"/>
    <m/>
  </r>
  <r>
    <x v="119"/>
    <s v="RM:406"/>
    <s v="OSCAR GARCIA"/>
    <s v="LUV"/>
    <s v="KJQ-294"/>
    <x v="9"/>
    <s v="_x000a_REPARACION DE SUSPENSION DELANTERA/ CAMBIO DE SOPORTES DE LA CAJA/ _x000a_MANTENIMIENTO DE FRENOS/ CAMBIO DE DISCOS/ PASTILLAS/ BANDAS /CAMBIO DE LIQUIDO/ ENGRASE DE RODAMIENTOS"/>
    <n v="500000"/>
    <n v="350000"/>
    <n v="150000"/>
    <s v="GRASA, LIQUIDO, GASOLINA"/>
    <n v="47800"/>
    <n v="40168.067226890758"/>
    <n v="7631.9327731092444"/>
    <n v="80000"/>
    <n v="67226.890756302528"/>
    <n v="12773.10924369748"/>
    <n v="5141.1764705882351"/>
    <n v="27058.823529411762"/>
    <m/>
  </r>
  <r>
    <x v="119"/>
    <m/>
    <s v="SMART CHOICE"/>
    <s v="WPS-097"/>
    <s v="DFSK"/>
    <x v="9"/>
    <s v="CAMBIO DE TIJERA"/>
    <n v="35000"/>
    <n v="24500"/>
    <n v="10500"/>
    <m/>
    <m/>
    <n v="0"/>
    <n v="0"/>
    <m/>
    <n v="0"/>
    <n v="0"/>
    <n v="0"/>
    <n v="0"/>
    <m/>
  </r>
  <r>
    <x v="119"/>
    <s v="RM:408/FE:246"/>
    <s v="WILMER INFANTE"/>
    <s v="EJN-204"/>
    <s v="SPARK"/>
    <x v="9"/>
    <s v="CAMBIO DE PASTILLAS DEL, MANTENIMIENTO RUEDAS TRASERAS"/>
    <n v="60000"/>
    <n v="42000"/>
    <n v="18000"/>
    <s v="CHUPAS. PASTILLAS"/>
    <n v="122000"/>
    <n v="102521.00840336135"/>
    <n v="19478.991596638658"/>
    <n v="170000"/>
    <n v="142857.14285714287"/>
    <n v="27142.857142857145"/>
    <n v="7663.865546218487"/>
    <n v="40336.134453781517"/>
    <m/>
  </r>
  <r>
    <x v="119"/>
    <s v="RM:409"/>
    <s v="JOSE TRIANA"/>
    <s v="BCE-482"/>
    <s v="FORD"/>
    <x v="19"/>
    <s v="ARREGLO EXOSTO/BAJADA Y SUBIR RADEADOR"/>
    <n v="180000"/>
    <n v="90000"/>
    <n v="90000"/>
    <m/>
    <m/>
    <n v="0"/>
    <n v="0"/>
    <m/>
    <n v="0"/>
    <n v="0"/>
    <n v="0"/>
    <n v="0"/>
    <m/>
  </r>
  <r>
    <x v="120"/>
    <s v="RM:410"/>
    <s v="MARIELA SOSA"/>
    <s v="USE-902"/>
    <s v="NHR"/>
    <x v="6"/>
    <s v="GRADUAR CLOSH"/>
    <n v="20000"/>
    <n v="12000"/>
    <n v="8000"/>
    <m/>
    <m/>
    <n v="0"/>
    <n v="0"/>
    <m/>
    <n v="0"/>
    <n v="0"/>
    <n v="0"/>
    <n v="0"/>
    <m/>
  </r>
  <r>
    <x v="120"/>
    <s v="RM:411"/>
    <s v="FELIPE SIERRA"/>
    <s v="WPS-181"/>
    <s v="JAC"/>
    <x v="9"/>
    <s v="GRADUAR FRENOS"/>
    <n v="15000"/>
    <n v="10500"/>
    <n v="4500"/>
    <m/>
    <m/>
    <n v="0"/>
    <n v="0"/>
    <m/>
    <n v="0"/>
    <n v="0"/>
    <n v="0"/>
    <n v="0"/>
    <m/>
  </r>
  <r>
    <x v="120"/>
    <m/>
    <m/>
    <s v="KEX-032"/>
    <s v="RENAULT"/>
    <x v="19"/>
    <s v="CAMBIO DE EXOSTO"/>
    <n v="100000"/>
    <n v="50000"/>
    <n v="50000"/>
    <s v="EXOSTO "/>
    <m/>
    <n v="0"/>
    <n v="0"/>
    <m/>
    <n v="0"/>
    <n v="0"/>
    <n v="0"/>
    <n v="0"/>
    <m/>
  </r>
  <r>
    <x v="120"/>
    <m/>
    <s v="VANESA CASTRO"/>
    <s v="NCZ-865"/>
    <s v="FORD"/>
    <x v="9"/>
    <s v="SERVICIO DE ESCANER"/>
    <n v="60000"/>
    <n v="42000"/>
    <n v="18000"/>
    <m/>
    <m/>
    <n v="0"/>
    <n v="0"/>
    <m/>
    <n v="0"/>
    <n v="0"/>
    <n v="0"/>
    <n v="0"/>
    <m/>
  </r>
  <r>
    <x v="121"/>
    <s v="FE:248/RM:412"/>
    <s v="ROBERTO MELLIZO"/>
    <s v="ARG-843"/>
    <s v="RENAULT 9"/>
    <x v="9"/>
    <s v="CAMBIO DE ROTULAS"/>
    <n v="60000"/>
    <n v="42000"/>
    <n v="18000"/>
    <s v="ROTULAS"/>
    <n v="100000"/>
    <n v="84033.613445378156"/>
    <n v="15966.386554621849"/>
    <n v="140000"/>
    <n v="117647.05882352941"/>
    <n v="22352.941176470587"/>
    <n v="6386.554621848738"/>
    <n v="33613.445378151257"/>
    <m/>
  </r>
  <r>
    <x v="121"/>
    <m/>
    <m/>
    <s v="BGA-902"/>
    <s v="MAZDA 323"/>
    <x v="21"/>
    <s v="CAMBIO KIT DE CLOSH"/>
    <n v="180000"/>
    <n v="125999.99999999999"/>
    <n v="54000.000000000015"/>
    <m/>
    <m/>
    <n v="0"/>
    <n v="0"/>
    <m/>
    <n v="0"/>
    <n v="0"/>
    <n v="0"/>
    <n v="0"/>
    <m/>
  </r>
  <r>
    <x v="121"/>
    <m/>
    <m/>
    <s v="UFZ-594"/>
    <s v="HIUNDAY"/>
    <x v="19"/>
    <s v="REPARACION EXOSTO"/>
    <n v="60000"/>
    <n v="30000"/>
    <n v="30000"/>
    <m/>
    <m/>
    <n v="0"/>
    <n v="0"/>
    <m/>
    <n v="0"/>
    <n v="0"/>
    <n v="0"/>
    <n v="0"/>
    <m/>
  </r>
  <r>
    <x v="121"/>
    <s v="FE:250/RM:413"/>
    <s v="JUAN CAMERO"/>
    <s v="MPQ-345"/>
    <s v="LOGAN"/>
    <x v="9"/>
    <s v="CAMBIO TERMINAL Y ROTULA"/>
    <n v="70000"/>
    <n v="49000"/>
    <n v="21000"/>
    <s v="ROTULA (TERMINAL DERECHO POR GARANTIA)"/>
    <n v="55000"/>
    <n v="46218.487394957985"/>
    <n v="8781.5126050420167"/>
    <n v="65000"/>
    <n v="54621.848739495799"/>
    <n v="10378.151260504203"/>
    <n v="1596.6386554621859"/>
    <n v="8403.3613445378141"/>
    <m/>
  </r>
  <r>
    <x v="121"/>
    <s v="FE:249"/>
    <s v="IVAN PARRA"/>
    <s v="BCP-640"/>
    <s v="HONDA"/>
    <x v="9"/>
    <s v="CAMBIO DE PILA DE GASOLINA"/>
    <n v="100000"/>
    <n v="70000"/>
    <n v="30000"/>
    <s v=" PILA DE GASOLINA"/>
    <n v="110000"/>
    <n v="92436.97478991597"/>
    <n v="17563.025210084033"/>
    <n v="143000"/>
    <n v="120168.06722689077"/>
    <n v="22831.932773109245"/>
    <n v="5268.9075630252119"/>
    <n v="27731.092436974781"/>
    <m/>
  </r>
  <r>
    <x v="113"/>
    <s v="FE:250/RM:413"/>
    <s v="ALEJANDRO ALFONSO"/>
    <s v="GUR-972"/>
    <s v="LANGUI"/>
    <x v="9"/>
    <s v="SUAVIZAR MORDAZAS DEL/CAMBIO DE LIQUIDO"/>
    <n v="70000"/>
    <n v="49000"/>
    <n v="21000"/>
    <s v="LIGAS CALIPER/DOT4"/>
    <n v="77000"/>
    <n v="64705.882352941182"/>
    <n v="12294.117647058825"/>
    <n v="120000"/>
    <n v="100840.33613445378"/>
    <n v="19159.663865546219"/>
    <n v="6865.5462184873941"/>
    <n v="36134.45378151261"/>
    <m/>
  </r>
  <r>
    <x v="113"/>
    <s v="RM:416/FE:251"/>
    <s v="DVA COLOMBIA"/>
    <s v="JLO-763"/>
    <s v="DUSTER"/>
    <x v="9"/>
    <s v="CAMBIO DE BRAZO AXIAL IZQ"/>
    <n v="40000"/>
    <n v="28000"/>
    <n v="12000"/>
    <s v="BRAZO AXIAL IZQ"/>
    <n v="65000"/>
    <n v="54621.848739495799"/>
    <n v="10378.151260504203"/>
    <n v="80000"/>
    <n v="67226.890756302528"/>
    <n v="12773.10924369748"/>
    <n v="2394.957983193277"/>
    <n v="12605.042016806721"/>
    <m/>
  </r>
  <r>
    <x v="113"/>
    <m/>
    <s v="JONATHAN ERAZO"/>
    <s v="MSN-188"/>
    <s v="SAIL"/>
    <x v="21"/>
    <s v="CAMBIO DE BOMBA DE AGUA/CORREA ACCESORIO Y PATIN"/>
    <n v="100000"/>
    <n v="70000"/>
    <n v="30000"/>
    <s v="CORREA ACCESORIO/PATIN/BOMBA DE AGUA"/>
    <n v="178000"/>
    <n v="149579.83193277312"/>
    <n v="28420.168067226892"/>
    <n v="255000"/>
    <n v="214285.71428571429"/>
    <n v="40714.285714285717"/>
    <n v="12294.117647058825"/>
    <n v="64705.882352941175"/>
    <m/>
  </r>
  <r>
    <x v="113"/>
    <m/>
    <m/>
    <s v="BEV-391"/>
    <s v="CHEVROLET"/>
    <x v="19"/>
    <s v="REPARACION EXOSTO"/>
    <n v="46000"/>
    <n v="23000"/>
    <n v="23000"/>
    <m/>
    <m/>
    <n v="0"/>
    <n v="0"/>
    <m/>
    <n v="0"/>
    <n v="0"/>
    <n v="0"/>
    <n v="0"/>
    <m/>
  </r>
  <r>
    <x v="122"/>
    <s v="FE_256/RM:418"/>
    <s v="JULIAN RODRIGUEZ"/>
    <s v="CMC-631"/>
    <s v="CLIO"/>
    <x v="9"/>
    <s v="CAMBIO DE PUNTA DELANTERA IZQ."/>
    <n v="60000"/>
    <n v="42000"/>
    <n v="18000"/>
    <s v="PUNTA DE EJE "/>
    <n v="130000"/>
    <n v="109243.6974789916"/>
    <n v="20756.302521008405"/>
    <n v="140000"/>
    <n v="117647.05882352941"/>
    <n v="22352.941176470587"/>
    <n v="1596.6386554621822"/>
    <n v="8403.3613445378141"/>
    <m/>
  </r>
  <r>
    <x v="122"/>
    <m/>
    <m/>
    <s v="BSN-920"/>
    <m/>
    <x v="19"/>
    <s v="CAMBIO DE EXOSTO"/>
    <n v="130000"/>
    <n v="65000"/>
    <n v="65000"/>
    <s v="EXOSTO"/>
    <n v="40000"/>
    <n v="33613.445378151264"/>
    <n v="6386.5546218487398"/>
    <n v="80000"/>
    <n v="67226.890756302528"/>
    <n v="12773.10924369748"/>
    <n v="6386.5546218487398"/>
    <n v="33613.445378151257"/>
    <m/>
  </r>
  <r>
    <x v="122"/>
    <m/>
    <m/>
    <s v="WCK-908"/>
    <s v="JAC"/>
    <x v="6"/>
    <s v="GRADUAR FRENOS / REVISAR CLOSH"/>
    <n v="70000"/>
    <n v="49000"/>
    <n v="21000"/>
    <m/>
    <m/>
    <n v="0"/>
    <n v="0"/>
    <m/>
    <n v="0"/>
    <n v="0"/>
    <n v="0"/>
    <n v="0"/>
    <m/>
  </r>
  <r>
    <x v="122"/>
    <s v="RM:420"/>
    <s v="KEVIN ESTIVEN"/>
    <s v="FHL-270"/>
    <s v="SPARK"/>
    <x v="9"/>
    <s v="CAMBIO DE RODAMIENTO DELANTEROS DERECHO"/>
    <n v="50000"/>
    <n v="35000"/>
    <n v="15000"/>
    <m/>
    <m/>
    <n v="0"/>
    <n v="0"/>
    <m/>
    <n v="0"/>
    <n v="0"/>
    <n v="0"/>
    <n v="0"/>
    <m/>
  </r>
  <r>
    <x v="122"/>
    <m/>
    <s v="MUNAR INGENIERIA"/>
    <s v="TZS-365"/>
    <s v="INTERNACIONAL"/>
    <x v="9"/>
    <s v="BAJAR CAMARA DEL IZQ"/>
    <n v="20000"/>
    <n v="14000"/>
    <n v="6000"/>
    <m/>
    <m/>
    <n v="0"/>
    <n v="0"/>
    <m/>
    <n v="0"/>
    <n v="0"/>
    <n v="0"/>
    <n v="0"/>
    <m/>
  </r>
  <r>
    <x v="122"/>
    <m/>
    <m/>
    <s v="RZU-740"/>
    <s v="CAPTIVA"/>
    <x v="9"/>
    <s v="CAMBIO TARRO DE REFRIGERANTE"/>
    <n v="30000"/>
    <n v="21000"/>
    <n v="9000"/>
    <s v="TARRO REFRIGERANTE"/>
    <n v="200000"/>
    <n v="168067.22689075631"/>
    <n v="31932.773109243699"/>
    <n v="250000"/>
    <n v="210084.03361344538"/>
    <n v="39915.966386554624"/>
    <n v="7983.1932773109256"/>
    <n v="42016.806722689071"/>
    <m/>
  </r>
  <r>
    <x v="123"/>
    <m/>
    <s v="LIBARDO JIMENEZ"/>
    <s v="SZU-472"/>
    <s v="CHINA"/>
    <x v="9"/>
    <s v="CAMBIO DE PASTILLAS DEL"/>
    <n v="30000"/>
    <n v="21000"/>
    <n v="9000"/>
    <m/>
    <m/>
    <n v="0"/>
    <n v="0"/>
    <m/>
    <n v="0"/>
    <n v="0"/>
    <n v="0"/>
    <n v="0"/>
    <m/>
  </r>
  <r>
    <x v="123"/>
    <s v="RM:421/FE:259"/>
    <s v="FABIO CAMERO"/>
    <s v="EIW-657"/>
    <s v="LOGAN"/>
    <x v="9"/>
    <s v="CAMBIO DE TOPES DE AMORTIGUADOR, PUNTA DE EJE, MONTAJE Y DESMONTAJE DE MANGUERA DE AIRE ACONDICIONADO, CAMBIO DE DISCOS Y PASTILLAS "/>
    <n v="225000"/>
    <n v="157500"/>
    <n v="67500"/>
    <s v="TOPES DE AMORTIGUADOR, PUNTA DE EJE,  CAMBIO DE DISCOS Y PASTILLAS "/>
    <n v="628300"/>
    <n v="527983.19327731093"/>
    <n v="100316.80672268907"/>
    <n v="797000"/>
    <n v="669747.89915966394"/>
    <n v="127252.10084033615"/>
    <n v="26935.294117647078"/>
    <n v="141764.70588235289"/>
    <m/>
  </r>
  <r>
    <x v="124"/>
    <s v="RM:422"/>
    <s v="JENNIFER BAGURTO"/>
    <s v="GET-132"/>
    <s v="FOTON"/>
    <x v="9"/>
    <s v=" _x000a_AJUSTE DE CARDAN/ CAMBIO DE PUNTILLAS FRENO DE MANO/ GRADUACION"/>
    <n v="60000"/>
    <n v="42000"/>
    <n v="18000"/>
    <s v="PUNTILLAS"/>
    <n v="20000"/>
    <n v="16806.722689075632"/>
    <n v="3193.2773109243699"/>
    <n v="30000"/>
    <n v="25210.084033613446"/>
    <n v="4789.9159663865548"/>
    <n v="1596.6386554621849"/>
    <n v="8403.3613445378141"/>
    <m/>
  </r>
  <r>
    <x v="124"/>
    <s v="RM:426"/>
    <s v="MIGUEL ARANGO"/>
    <s v="ZZT-645"/>
    <s v="JETTA"/>
    <x v="9"/>
    <s v="MANTENIMIENTO DE FRENOS"/>
    <n v="60000"/>
    <n v="42000"/>
    <n v="18000"/>
    <m/>
    <m/>
    <n v="0"/>
    <n v="0"/>
    <m/>
    <n v="0"/>
    <n v="0"/>
    <n v="0"/>
    <n v="0"/>
    <m/>
  </r>
  <r>
    <x v="124"/>
    <s v="FE:261/RM:425"/>
    <s v="FERNANDO SERRATO"/>
    <s v="BOY-122"/>
    <s v="CLIO"/>
    <x v="9"/>
    <s v="_x000a_CAMBIO SOPORTES DE AMORTIGUADOR Y RODAMIENTO TRASERO IZQ"/>
    <n v="135000"/>
    <n v="94500"/>
    <n v="40500"/>
    <s v="CAMBIO DE SOPORTE AMORTIGUADOR Y RODAMIENTO TRASERO IZQ"/>
    <n v="85300"/>
    <n v="71680.672268907569"/>
    <n v="13619.327731092439"/>
    <n v="140000"/>
    <n v="117647.05882352941"/>
    <n v="22352.941176470587"/>
    <n v="8733.6134453781488"/>
    <n v="45966.386554621859"/>
    <m/>
  </r>
  <r>
    <x v="124"/>
    <s v="FE:262/RM:"/>
    <s v="SEBASTIAN BRICEÑO"/>
    <s v="CCP-650"/>
    <s v="SPARK"/>
    <x v="21"/>
    <s v="CAMBIO DE KIT DE CLOSH/ KIT DE REPARTICION"/>
    <n v="320000"/>
    <n v="224000"/>
    <n v="96000"/>
    <s v="KIT DE REPARTICION/ KIT DE EMBRAGUE"/>
    <n v="370000"/>
    <n v="310924.36974789918"/>
    <n v="59075.630252100847"/>
    <n v="486000"/>
    <n v="408403.36134453781"/>
    <n v="77596.638655462186"/>
    <n v="18521.008403361338"/>
    <n v="97478.991596638691"/>
    <m/>
  </r>
  <r>
    <x v="124"/>
    <m/>
    <m/>
    <s v="BMS-312"/>
    <s v="PETGOEUT"/>
    <x v="19"/>
    <s v="SOLDADURA EXOSTO"/>
    <n v="40000"/>
    <n v="20000"/>
    <n v="20000"/>
    <m/>
    <m/>
    <n v="0"/>
    <n v="0"/>
    <m/>
    <n v="0"/>
    <n v="0"/>
    <n v="0"/>
    <n v="0"/>
    <m/>
  </r>
  <r>
    <x v="125"/>
    <m/>
    <s v="ALEJANDRO ALONZO"/>
    <s v="KNZ-523"/>
    <s v="ALASKA"/>
    <x v="9"/>
    <s v="GRADUACION DE FRENOS"/>
    <n v="10000"/>
    <n v="7000"/>
    <n v="3000"/>
    <m/>
    <m/>
    <n v="0"/>
    <n v="0"/>
    <m/>
    <n v="0"/>
    <n v="0"/>
    <n v="0"/>
    <n v="0"/>
    <m/>
  </r>
  <r>
    <x v="125"/>
    <s v="FE:264/RM:428"/>
    <s v="JUAN PABLO PINILLA"/>
    <s v="FHB-930"/>
    <s v="VOLSKWAGEN"/>
    <x v="9"/>
    <s v="CAMBIO DE PASTILLAS DELANTERAS"/>
    <n v="30000"/>
    <n v="21000"/>
    <n v="9000"/>
    <s v="PASTILLAS DELANTERAS"/>
    <n v="95000"/>
    <n v="79831.932773109249"/>
    <n v="15168.067226890758"/>
    <n v="120000"/>
    <n v="100840.33613445378"/>
    <n v="19159.663865546219"/>
    <n v="3991.596638655461"/>
    <n v="21008.403361344535"/>
    <m/>
  </r>
  <r>
    <x v="125"/>
    <s v="RM:415"/>
    <m/>
    <s v="DBT-851"/>
    <s v="MEGAN"/>
    <x v="20"/>
    <s v="REPARACION DE MOTOR"/>
    <m/>
    <n v="0"/>
    <n v="0"/>
    <s v="PISTONES, ANILLOS, CASQUETE DE BIELA, BANCADA, MEDIAS LUNAS, GUIAS VALVULAS, VALVULAS, CAUCHOS, EMPAQUES DE MOTOR, KIT DE REPARTICION, GASOLINA, CAMBIO DE ACEITE, REFIRGERANTE, SILICONA, BIELA, BOMBA DE ACEITE, SOPORTE MOTOR, VALVULA PSU"/>
    <n v="3280000"/>
    <m/>
    <n v="0"/>
    <n v="4825000"/>
    <m/>
    <n v="0"/>
    <n v="0"/>
    <n v="1545000"/>
    <m/>
  </r>
  <r>
    <x v="125"/>
    <m/>
    <s v="AVICOLA SAMIRA"/>
    <s v="BNW-819"/>
    <s v="LUV"/>
    <x v="9"/>
    <s v="GRADUACION DE FRENO/GRADUACION FRENO DE MANO"/>
    <n v="20000"/>
    <n v="14000"/>
    <n v="6000"/>
    <m/>
    <m/>
    <n v="0"/>
    <n v="0"/>
    <m/>
    <n v="0"/>
    <n v="0"/>
    <n v="0"/>
    <n v="0"/>
    <m/>
  </r>
  <r>
    <x v="125"/>
    <s v="FE:265/RM:429"/>
    <s v="VANESA CASTRO"/>
    <s v="HTX-135"/>
    <s v="LAND CROUSER"/>
    <x v="9"/>
    <s v=" _x000a_REPARACION DE SUSPENSION DELANTERA /MANTENIMIENTO DE FRENOS/CAMBIO DE PASTILLAS DELANTERAS Y TRASERAS/ SERVICIO DE PRENSA"/>
    <n v="420000"/>
    <n v="294000"/>
    <n v="126000"/>
    <s v="PUNTA DE EJE LADO RUEDA/ MULÑECOS DELANTEROS/PASTILLAS DELANTERAS Y TRASERAS/BUJES DE TIJERA INFERIOR Y SUPERIOR"/>
    <n v="1304000"/>
    <m/>
    <n v="46491"/>
    <n v="1802000"/>
    <n v="1514285.7142857143"/>
    <n v="287714.28571428574"/>
    <n v="241223.28571428574"/>
    <n v="256776.71428571432"/>
    <m/>
  </r>
  <r>
    <x v="126"/>
    <m/>
    <m/>
    <s v="BGK-799"/>
    <s v="CITROEN"/>
    <x v="9"/>
    <s v="CAMBIO BUJE DE UN SOPORTE/ CAMBIO ROTULA DERECHA/TERMINAL DERECHO"/>
    <n v="80000"/>
    <n v="48000"/>
    <n v="32000"/>
    <s v="TORNO"/>
    <m/>
    <n v="0"/>
    <n v="0"/>
    <n v="35000"/>
    <n v="29411.764705882353"/>
    <n v="5588.2352941176468"/>
    <n v="5588.2352941176468"/>
    <n v="29411.764705882353"/>
    <m/>
  </r>
  <r>
    <x v="126"/>
    <m/>
    <s v="VICENTE PATARROYO"/>
    <s v="MAO-470"/>
    <s v="CH"/>
    <x v="6"/>
    <s v="GRAFAR TUBO ABS/GRADUACION"/>
    <n v="40000"/>
    <n v="24000"/>
    <n v="16000"/>
    <m/>
    <m/>
    <n v="0"/>
    <n v="0"/>
    <m/>
    <n v="0"/>
    <n v="0"/>
    <n v="0"/>
    <n v="0"/>
    <m/>
  </r>
  <r>
    <x v="126"/>
    <m/>
    <s v="HECTOR GERMAN NAVARRO"/>
    <m/>
    <m/>
    <x v="19"/>
    <s v="CAMBIO DE FLEXIBLE"/>
    <n v="90000"/>
    <n v="125000"/>
    <n v="-35000"/>
    <m/>
    <m/>
    <n v="0"/>
    <n v="0"/>
    <m/>
    <n v="0"/>
    <n v="0"/>
    <n v="0"/>
    <n v="0"/>
    <m/>
  </r>
  <r>
    <x v="126"/>
    <s v="RM:433"/>
    <s v="ORLANDO MORENO"/>
    <s v="BVC-887"/>
    <s v="SIMBOL"/>
    <x v="9"/>
    <s v="CAMBIO DE PUNTAS-TERMOSTATO"/>
    <n v="90000"/>
    <n v="54000"/>
    <n v="36000"/>
    <m/>
    <m/>
    <n v="0"/>
    <n v="0"/>
    <m/>
    <n v="0"/>
    <n v="0"/>
    <n v="0"/>
    <n v="0"/>
    <m/>
  </r>
  <r>
    <x v="126"/>
    <m/>
    <s v="KEVIN SANTANA"/>
    <s v="FNK-342"/>
    <s v="SPARK"/>
    <x v="21"/>
    <s v="CAMBIO EMPAQUE DEL CARTER"/>
    <n v="60000"/>
    <n v="36000"/>
    <n v="24000"/>
    <s v="EMPAQUE CARTER"/>
    <n v="18000"/>
    <n v="15126.050420168069"/>
    <n v="2873.9495798319331"/>
    <n v="30000"/>
    <n v="25210.084033613446"/>
    <n v="4789.9159663865548"/>
    <n v="1915.9663865546217"/>
    <n v="10084.033613445379"/>
    <m/>
  </r>
  <r>
    <x v="126"/>
    <m/>
    <s v="FAVER JIMENEZ"/>
    <s v="RJO-317"/>
    <s v="TIIDA"/>
    <x v="9"/>
    <s v="CAMBIO DE TIJERA DEL IZQ."/>
    <n v="50000"/>
    <n v="30000"/>
    <n v="20000"/>
    <m/>
    <m/>
    <n v="0"/>
    <n v="0"/>
    <m/>
    <n v="0"/>
    <n v="0"/>
    <n v="0"/>
    <n v="0"/>
    <m/>
  </r>
  <r>
    <x v="126"/>
    <m/>
    <s v="JAIRO VILLAMIL"/>
    <s v="SBF-041"/>
    <s v="MULA"/>
    <x v="6"/>
    <s v="CAMBIO DE DIAFRAGMA "/>
    <n v="30000"/>
    <n v="18000"/>
    <n v="12000"/>
    <s v="DIFRAGMA TIPO 30"/>
    <n v="10000"/>
    <m/>
    <n v="0"/>
    <n v="20000"/>
    <m/>
    <n v="0"/>
    <n v="0"/>
    <n v="10000"/>
    <m/>
  </r>
  <r>
    <x v="126"/>
    <s v="RM:435"/>
    <s v="HECTOR GERMAN NAVARRO"/>
    <s v="SQI-915"/>
    <s v="BUSETA"/>
    <x v="19"/>
    <s v="ARREGLO EXOSTO"/>
    <n v="120000"/>
    <n v="60000"/>
    <n v="60000"/>
    <m/>
    <m/>
    <n v="0"/>
    <n v="0"/>
    <m/>
    <n v="0"/>
    <n v="0"/>
    <n v="0"/>
    <n v="0"/>
    <m/>
  </r>
  <r>
    <x v="126"/>
    <m/>
    <m/>
    <m/>
    <s v="FOTON"/>
    <x v="6"/>
    <s v="GRADUACION DE FRENOS"/>
    <n v="10000"/>
    <n v="7000"/>
    <n v="3000"/>
    <s v="LIQUIDO"/>
    <n v="7600"/>
    <n v="6386.5546218487398"/>
    <n v="1213.4453781512607"/>
    <n v="15000"/>
    <n v="12605.042016806723"/>
    <n v="2394.9579831932774"/>
    <n v="1181.5126050420167"/>
    <n v="6218.4873949579833"/>
    <m/>
  </r>
  <r>
    <x v="126"/>
    <m/>
    <s v="REINADLO ANGULO"/>
    <s v="DFK-156"/>
    <s v="FORD"/>
    <x v="21"/>
    <s v="CAMBIO EMPAQUE TAPA VALVULA"/>
    <n v="70000"/>
    <n v="42000"/>
    <n v="28000"/>
    <s v="EMPAQUE TAPA VALVULA, SILICONA"/>
    <n v="52800"/>
    <n v="44369.747899159665"/>
    <n v="8430.2521008403364"/>
    <n v="73000"/>
    <n v="61344.537815126052"/>
    <n v="11655.46218487395"/>
    <n v="3225.2100840336134"/>
    <n v="16974.789915966387"/>
    <m/>
  </r>
  <r>
    <x v="126"/>
    <m/>
    <m/>
    <s v="FDJ-497"/>
    <s v="CH"/>
    <x v="6"/>
    <s v="GRADUAR FRENOS"/>
    <n v="10000"/>
    <n v="7000"/>
    <n v="3000"/>
    <m/>
    <m/>
    <n v="0"/>
    <n v="0"/>
    <m/>
    <n v="0"/>
    <n v="0"/>
    <n v="0"/>
    <n v="0"/>
    <m/>
  </r>
  <r>
    <x v="127"/>
    <s v="FE:270/RM:437"/>
    <s v="NASLY RIAÑO"/>
    <s v="HGR-939"/>
    <s v="HYUNDAI"/>
    <x v="9"/>
    <s v="SINCRONIZACION"/>
    <n v="180000"/>
    <n v="108000"/>
    <n v="72000"/>
    <s v="BUJIAS"/>
    <n v="100000"/>
    <n v="84033.613445378156"/>
    <n v="15966.386554621849"/>
    <n v="75000"/>
    <n v="63025.210084033613"/>
    <n v="11974.789915966387"/>
    <n v="-3991.5966386554628"/>
    <n v="-21008.403361344535"/>
    <m/>
  </r>
  <r>
    <x v="127"/>
    <s v="FE:269/RM:436"/>
    <s v="MIGUEL BIGOLLA"/>
    <s v="BON-388"/>
    <s v="HYUNDAI"/>
    <x v="9"/>
    <s v="CAMBIO DE PASTILLAS DELANTERAS"/>
    <n v="30000"/>
    <n v="18000"/>
    <n v="12000"/>
    <s v="PASTILLAS DELANTERAS TITANIUM"/>
    <n v="144000"/>
    <n v="121008.40336134455"/>
    <n v="22991.596638655465"/>
    <n v="200000"/>
    <n v="168067.22689075631"/>
    <n v="31932.773109243699"/>
    <n v="8941.1764705882342"/>
    <n v="47058.823529411777"/>
    <m/>
  </r>
  <r>
    <x v="127"/>
    <s v="FE:263"/>
    <s v="METALCARGOS"/>
    <s v="TFT-701"/>
    <s v="NKR"/>
    <x v="9"/>
    <s v="_x000a_CAMBIO DE EMPAQUETADURAS BOMBA DE CLOSH/ GRADUACION DE FRENOS"/>
    <n v="80000"/>
    <n v="56000"/>
    <n v="24000"/>
    <m/>
    <m/>
    <n v="0"/>
    <n v="0"/>
    <m/>
    <n v="0"/>
    <n v="0"/>
    <n v="0"/>
    <n v="0"/>
    <m/>
  </r>
  <r>
    <x v="127"/>
    <s v="FE:219"/>
    <s v="METALCARGOS"/>
    <s v="TFT-701"/>
    <s v="NKR"/>
    <x v="9"/>
    <s v="CAMBIO GUAYA DE FRENO DE MANO/BANDA/PALANCA/MONTAR RADIADOR"/>
    <n v="180000"/>
    <n v="125999.99999999999"/>
    <n v="54000.000000000015"/>
    <m/>
    <m/>
    <n v="0"/>
    <n v="0"/>
    <m/>
    <n v="0"/>
    <n v="0"/>
    <n v="0"/>
    <n v="0"/>
    <m/>
  </r>
  <r>
    <x v="127"/>
    <s v="FE: 271"/>
    <s v="SERVICIOS AGRICOLAS"/>
    <s v="ETT-299"/>
    <s v="JAC"/>
    <x v="9"/>
    <s v="CAMBIO DE TERMINALES DE DIRECCION"/>
    <n v="80000"/>
    <n v="48000"/>
    <n v="32000"/>
    <m/>
    <m/>
    <n v="0"/>
    <n v="0"/>
    <m/>
    <n v="0"/>
    <n v="0"/>
    <n v="0"/>
    <n v="0"/>
    <m/>
  </r>
  <r>
    <x v="127"/>
    <m/>
    <m/>
    <m/>
    <m/>
    <x v="16"/>
    <s v="GRADUAR CLOSH, COLOCAR CABLE SENSOR"/>
    <n v="20000"/>
    <n v="14000"/>
    <n v="6000"/>
    <m/>
    <m/>
    <n v="0"/>
    <n v="0"/>
    <m/>
    <n v="0"/>
    <n v="0"/>
    <n v="0"/>
    <n v="0"/>
    <m/>
  </r>
  <r>
    <x v="127"/>
    <s v="RM:438"/>
    <s v="LUIS F GONZALES"/>
    <s v="SSW-412"/>
    <s v="CHEVROLET"/>
    <x v="9"/>
    <s v="REVISION /CAMBIO DE RODAMIENTO"/>
    <n v="50000"/>
    <n v="30000"/>
    <n v="20000"/>
    <s v="KIT DE RODAMIENTOS"/>
    <n v="100000"/>
    <n v="84033.613445378156"/>
    <n v="15966.386554621849"/>
    <n v="130000"/>
    <n v="109243.6974789916"/>
    <n v="20756.302521008405"/>
    <n v="4789.9159663865557"/>
    <n v="25210.084033613442"/>
    <m/>
  </r>
  <r>
    <x v="127"/>
    <s v="FE:272"/>
    <s v="JAIME MONCADA"/>
    <s v="SKK-862"/>
    <s v="MT"/>
    <x v="9"/>
    <s v="MANTENIMIENTO FRENO DE AHOGO/GF"/>
    <n v="70000"/>
    <n v="42000"/>
    <n v="28000"/>
    <s v="TARRO FRENO DE AHOGO"/>
    <n v="40000"/>
    <m/>
    <n v="0"/>
    <n v="90000"/>
    <n v="75630.252100840342"/>
    <n v="14369.747899159665"/>
    <n v="14369.747899159665"/>
    <n v="35630.252100840335"/>
    <m/>
  </r>
  <r>
    <x v="127"/>
    <m/>
    <s v="ALEJANDRO SEPULVEDA"/>
    <s v="GQQ-125"/>
    <s v="MAZDA"/>
    <x v="9"/>
    <s v="MEDIR COMPRESION "/>
    <n v="50000"/>
    <n v="30000"/>
    <n v="20000"/>
    <m/>
    <m/>
    <n v="0"/>
    <n v="0"/>
    <m/>
    <n v="0"/>
    <n v="0"/>
    <n v="0"/>
    <n v="0"/>
    <m/>
  </r>
  <r>
    <x v="127"/>
    <m/>
    <m/>
    <s v="LAF-512"/>
    <s v="ACCENT"/>
    <x v="9"/>
    <s v="CAMBIO DE LIGAS CALIPER"/>
    <n v="20000"/>
    <n v="12000"/>
    <n v="8000"/>
    <s v="LIGAS CALIPER/LIQUIDO"/>
    <n v="28000"/>
    <n v="23529.411764705885"/>
    <n v="4470.588235294118"/>
    <n v="41000"/>
    <n v="34453.781512605041"/>
    <n v="6546.2184873949582"/>
    <n v="2075.6302521008402"/>
    <n v="10924.36974789916"/>
    <m/>
  </r>
  <r>
    <x v="127"/>
    <m/>
    <s v="BERTA AREVALO"/>
    <s v="LQH-809"/>
    <s v="JMC"/>
    <x v="19"/>
    <s v="ELABORACION CAJON DE BATERIAS"/>
    <n v="148000"/>
    <n v="74000"/>
    <n v="74000"/>
    <m/>
    <m/>
    <n v="0"/>
    <n v="0"/>
    <m/>
    <n v="0"/>
    <n v="0"/>
    <n v="0"/>
    <n v="0"/>
    <m/>
  </r>
  <r>
    <x v="127"/>
    <m/>
    <s v="PUERTAS ELECTRONICAS OSORIO"/>
    <s v="HSY-447"/>
    <s v="CAPTIVA"/>
    <x v="9"/>
    <s v="MANTENIMIENTO COMPLETO/CAMBIO DE LIQUIDO/ CAMBIO DE PASTILLAS DEL Y TRASERAS"/>
    <n v="120000"/>
    <n v="72000"/>
    <n v="48000"/>
    <s v="LIQUIDO/PASTILLAS DEL Y TRASERAS"/>
    <n v="307000"/>
    <n v="257983.19327731093"/>
    <n v="49016.806722689078"/>
    <n v="430000"/>
    <n v="361344.53781512607"/>
    <n v="68655.462184873948"/>
    <n v="19638.65546218487"/>
    <n v="103361.34453781514"/>
    <m/>
  </r>
  <r>
    <x v="128"/>
    <s v="FE:274/RM:443"/>
    <s v="DIEGO SIERRA"/>
    <s v="DCS-412"/>
    <s v="OPTRA"/>
    <x v="9"/>
    <s v="MATTO COMPLETO / CAMBIO DE PASTILLAS DELANTERAS Y BAJAR DISCO/ RECTIFICACION DE DISCOS"/>
    <n v="90000"/>
    <n v="54000"/>
    <n v="36000"/>
    <s v="RECTIFICACION DE DISCOS/PASTILLAS DELANTERAS"/>
    <n v="205000"/>
    <n v="172268.90756302522"/>
    <n v="32731.092436974792"/>
    <n v="250000"/>
    <n v="210084.03361344538"/>
    <n v="39915.966386554624"/>
    <n v="7184.8739495798327"/>
    <n v="37815.126050420164"/>
    <m/>
  </r>
  <r>
    <x v="129"/>
    <m/>
    <s v="JAIME MONCADA"/>
    <s v="ERL-333"/>
    <s v="JAC"/>
    <x v="9"/>
    <s v="GRADUACION DE FRENOS "/>
    <n v="10000"/>
    <n v="6000"/>
    <n v="4000"/>
    <m/>
    <m/>
    <n v="0"/>
    <n v="0"/>
    <m/>
    <n v="0"/>
    <n v="0"/>
    <n v="0"/>
    <n v="0"/>
    <m/>
  </r>
  <r>
    <x v="129"/>
    <m/>
    <m/>
    <m/>
    <s v="MITSUBISHI"/>
    <x v="9"/>
    <s v="AJUSTAR BRAZO COMPENSADOR"/>
    <n v="20000"/>
    <n v="12000"/>
    <n v="8000"/>
    <m/>
    <m/>
    <n v="0"/>
    <n v="0"/>
    <m/>
    <n v="0"/>
    <n v="0"/>
    <n v="0"/>
    <n v="0"/>
    <m/>
  </r>
  <r>
    <x v="129"/>
    <s v="RM:445"/>
    <s v="DAVID OSORIO"/>
    <s v="BAY-545"/>
    <s v="MAZDA"/>
    <x v="9"/>
    <s v="CAMBIO BUJES DE TIJERA DELANTERA DERECHA"/>
    <n v="50000"/>
    <n v="30000"/>
    <n v="20000"/>
    <s v="BUJES DE TIJERA"/>
    <n v="35000"/>
    <n v="29411.764705882353"/>
    <n v="5588.2352941176468"/>
    <n v="45000"/>
    <n v="37815.126050420171"/>
    <n v="7184.8739495798327"/>
    <n v="1596.6386554621859"/>
    <n v="8403.3613445378141"/>
    <m/>
  </r>
  <r>
    <x v="129"/>
    <m/>
    <s v="DANIEL GUERRERO"/>
    <s v="BHW-671"/>
    <m/>
    <x v="19"/>
    <s v="SOLDADURA"/>
    <n v="250000"/>
    <n v="125000"/>
    <n v="125000"/>
    <m/>
    <m/>
    <n v="0"/>
    <n v="0"/>
    <m/>
    <n v="0"/>
    <n v="0"/>
    <n v="0"/>
    <n v="0"/>
    <m/>
  </r>
  <r>
    <x v="129"/>
    <m/>
    <m/>
    <m/>
    <s v="RENAULT9"/>
    <x v="6"/>
    <s v="CAMBIO DE EMPAQUE"/>
    <n v="10000"/>
    <n v="7000"/>
    <n v="3000"/>
    <s v="EMPAQUE"/>
    <n v="15000"/>
    <m/>
    <n v="0"/>
    <n v="30000"/>
    <m/>
    <n v="0"/>
    <n v="0"/>
    <n v="15000"/>
    <m/>
  </r>
  <r>
    <x v="129"/>
    <s v="RM:450"/>
    <s v="FRANCISCO MENDOZA"/>
    <s v="CEN-995"/>
    <s v="FORD"/>
    <x v="9"/>
    <s v="CAMBIO BARRA ESTABILIZADORA"/>
    <n v="80000"/>
    <n v="48000"/>
    <n v="32000"/>
    <m/>
    <m/>
    <n v="0"/>
    <n v="0"/>
    <m/>
    <n v="0"/>
    <n v="0"/>
    <n v="0"/>
    <n v="0"/>
    <m/>
  </r>
  <r>
    <x v="129"/>
    <m/>
    <m/>
    <m/>
    <s v="MAQUINA"/>
    <x v="16"/>
    <s v="SOLDADURA EXOSTO"/>
    <n v="90000"/>
    <n v="45000"/>
    <n v="45000"/>
    <m/>
    <m/>
    <n v="0"/>
    <n v="0"/>
    <m/>
    <n v="0"/>
    <n v="0"/>
    <n v="0"/>
    <n v="0"/>
    <m/>
  </r>
  <r>
    <x v="129"/>
    <m/>
    <m/>
    <s v="DCO-998"/>
    <s v="AVEO"/>
    <x v="19"/>
    <s v="SOLDAR EXOSTO"/>
    <n v="60000"/>
    <n v="30000"/>
    <n v="30000"/>
    <m/>
    <m/>
    <n v="0"/>
    <n v="0"/>
    <m/>
    <n v="0"/>
    <n v="0"/>
    <n v="0"/>
    <n v="0"/>
    <m/>
  </r>
  <r>
    <x v="129"/>
    <s v="FE:278"/>
    <s v="COMERC. AKESAN"/>
    <s v="HBZ-800"/>
    <s v="FORD EXPLORER"/>
    <x v="9"/>
    <s v="CAMBIO DE PASTILLAS DEL /TRASERAS/BAJAR TIJERAS"/>
    <n v="180000"/>
    <n v="108000"/>
    <m/>
    <s v="PASTILLAS DELANTERAS/TRASERAS"/>
    <n v="420000"/>
    <n v="352941.17647058825"/>
    <n v="67058.823529411762"/>
    <n v="284000"/>
    <n v="238655.46218487396"/>
    <n v="45344.537815126052"/>
    <n v="-21714.28571428571"/>
    <n v="-114285.71428571432"/>
    <m/>
  </r>
  <r>
    <x v="129"/>
    <s v="FE:277/RM:448"/>
    <s v="JUAN CARLOS PEREZ"/>
    <s v="MNR-227"/>
    <s v="CLIO"/>
    <x v="19"/>
    <s v="CAMBIO SOPORTE SILENCIADOR"/>
    <n v="30000"/>
    <n v="15000"/>
    <n v="15000"/>
    <s v="SOPORTE SILENCIADOR"/>
    <n v="60000"/>
    <n v="50420.168067226892"/>
    <n v="9579.8319327731097"/>
    <n v="70000"/>
    <n v="58823.529411764706"/>
    <n v="11176.470588235294"/>
    <n v="1596.638655462184"/>
    <n v="8403.3613445378141"/>
    <m/>
  </r>
  <r>
    <x v="129"/>
    <s v="FE:277/RM:448"/>
    <s v="JUAN CARLOS PEREZ"/>
    <s v="MNR-227"/>
    <s v="CLIO"/>
    <x v="9"/>
    <s v="CAMBIO DE LIQUIDO/ BANDAS"/>
    <n v="120000"/>
    <n v="72000"/>
    <n v="48000"/>
    <s v="BANDAS/LIQUIDO DOT4"/>
    <n v="151000"/>
    <n v="126890.75630252101"/>
    <n v="24109.243697478993"/>
    <n v="200000"/>
    <n v="168067.22689075631"/>
    <n v="31932.773109243699"/>
    <n v="7823.5294117647063"/>
    <n v="41176.470588235301"/>
    <m/>
  </r>
  <r>
    <x v="129"/>
    <m/>
    <s v="COMERCIALIZADORA AKESA SAS"/>
    <s v="JKV-527"/>
    <s v="JAC"/>
    <x v="9"/>
    <s v="CAMBIO TARRO DE REFRIGERANTE"/>
    <n v="30000"/>
    <n v="18000"/>
    <n v="12000"/>
    <m/>
    <m/>
    <n v="0"/>
    <n v="0"/>
    <m/>
    <n v="0"/>
    <n v="0"/>
    <n v="0"/>
    <n v="0"/>
    <m/>
  </r>
  <r>
    <x v="130"/>
    <s v="FE:282/RM:452"/>
    <s v="MARCO OVALLE"/>
    <s v="BIL-530"/>
    <s v="RENAULT9"/>
    <x v="9"/>
    <s v="CAMBIO DE BRAZO AXIAL/TERMINAL/GUARDAPOLVO EJE "/>
    <n v="40000"/>
    <n v="24000"/>
    <n v="16000"/>
    <s v="BRAZO AXIAL/TERMINAL/GP"/>
    <n v="90000"/>
    <n v="75630.252100840342"/>
    <n v="14369.747899159665"/>
    <n v="116000"/>
    <n v="97478.991596638662"/>
    <n v="18521.008403361346"/>
    <n v="4151.2605042016803"/>
    <n v="21848.73949579832"/>
    <m/>
  </r>
  <r>
    <x v="130"/>
    <m/>
    <s v="INVERSIONES BERMAN"/>
    <s v="WCZ-636"/>
    <s v="NHR"/>
    <x v="6"/>
    <s v="GRADUACION DE FRENOS"/>
    <n v="10000"/>
    <n v="7000"/>
    <n v="3000"/>
    <m/>
    <m/>
    <n v="0"/>
    <n v="0"/>
    <m/>
    <n v="0"/>
    <n v="0"/>
    <n v="0"/>
    <n v="0"/>
    <m/>
  </r>
  <r>
    <x v="130"/>
    <m/>
    <m/>
    <s v="RNN-147"/>
    <s v="SPART GT"/>
    <x v="9"/>
    <s v="GRADUACION DE FRENOS"/>
    <n v="20000"/>
    <n v="12000"/>
    <n v="8000"/>
    <m/>
    <m/>
    <n v="0"/>
    <n v="0"/>
    <m/>
    <n v="0"/>
    <n v="0"/>
    <n v="0"/>
    <n v="0"/>
    <m/>
  </r>
  <r>
    <x v="130"/>
    <s v="RM:451"/>
    <m/>
    <s v="RAT-770"/>
    <s v="FORD"/>
    <x v="9"/>
    <s v="MANTENIMIENTO DE FRENOS"/>
    <n v="80000"/>
    <n v="48000"/>
    <n v="32000"/>
    <m/>
    <m/>
    <n v="0"/>
    <n v="0"/>
    <m/>
    <n v="0"/>
    <n v="0"/>
    <n v="0"/>
    <n v="0"/>
    <m/>
  </r>
  <r>
    <x v="130"/>
    <s v="FE:284/RM:453"/>
    <s v="JUAN ANDRES CAMERO"/>
    <s v="RJS-738"/>
    <s v="AVEO"/>
    <x v="21"/>
    <s v="CAMBIO EMPAQUETADURA TAPA VALVULA/EMPAQUETADURA CULATA/CUACHOS VALVULA/SILICONA/TREN CALEFACCION/ BOMBA DE AGUA "/>
    <n v="350000"/>
    <n v="210000"/>
    <n v="140000"/>
    <s v="EMPAQUETADURA TAPA VALVULA/EMPAQUETADURA CULATA/CUACHOS VALVULA/SILICONA/TREN CALEFACCION/ BOMBA DE AGUA "/>
    <n v="231000"/>
    <n v="194117.64705882352"/>
    <n v="36882.352941176468"/>
    <n v="323000"/>
    <n v="271428.57142857142"/>
    <n v="51571.428571428572"/>
    <n v="14689.075630252104"/>
    <n v="77310.924369747896"/>
    <m/>
  </r>
  <r>
    <x v="130"/>
    <s v="FE:281"/>
    <s v="ANTIOQUEÑA DE PORCINOS"/>
    <s v="SNQ-743"/>
    <s v="NPR"/>
    <x v="9"/>
    <s v="CAMBIO BANDAS FRENO DE MANO"/>
    <n v="80000"/>
    <n v="48000"/>
    <n v="32000"/>
    <s v="BANDAS, RESORTES, GRADUACION, PUNTILLAS"/>
    <n v="116000"/>
    <n v="97478.991596638662"/>
    <n v="18521.008403361346"/>
    <n v="193000"/>
    <n v="162184.87394957984"/>
    <n v="30815.126050420171"/>
    <n v="12294.117647058825"/>
    <n v="64705.882352941175"/>
    <m/>
  </r>
  <r>
    <x v="131"/>
    <s v="FE:285/RM:454"/>
    <s v="NATALY COBOS"/>
    <s v="VDX-269"/>
    <s v="CHANA "/>
    <x v="9"/>
    <s v="CAMBIO DE PASTILLAS DELANTERAS Y DISCOS"/>
    <n v="130000"/>
    <n v="78000"/>
    <n v="52000"/>
    <s v="PASTILLAS DELANTERAS/DISCOS"/>
    <n v="316000"/>
    <n v="265546.21848739497"/>
    <n v="50453.781512605048"/>
    <n v="430000"/>
    <n v="361344.53781512607"/>
    <n v="68655.462184873948"/>
    <n v="18201.6806722689"/>
    <n v="95798.319327731093"/>
    <m/>
  </r>
  <r>
    <x v="131"/>
    <m/>
    <s v="HECTOR NENPEQUE"/>
    <s v="AEG-273"/>
    <s v="VOLQUETA"/>
    <x v="6"/>
    <s v="REPARACION BOMBA DE FRENO"/>
    <n v="30000"/>
    <n v="21000"/>
    <n v="9000"/>
    <s v="VALVULA RELAY/GASOLINA"/>
    <n v="25000"/>
    <m/>
    <n v="0"/>
    <n v="50000"/>
    <n v="42016.806722689078"/>
    <n v="7983.1932773109247"/>
    <n v="7983.1932773109247"/>
    <n v="17016.806722689078"/>
    <m/>
  </r>
  <r>
    <x v="131"/>
    <s v="FE:88/RM:456"/>
    <s v="JUAN DAVID HERNANDEZ"/>
    <s v="TTX-503"/>
    <s v="VOLSKWAGEN"/>
    <x v="9"/>
    <s v="CALZAR BANDAS DE FRENO"/>
    <n v="80000"/>
    <n v="48000"/>
    <n v="32000"/>
    <s v="BANDAS DE FRENO"/>
    <n v="110000"/>
    <n v="92436.97478991597"/>
    <n v="17563.025210084033"/>
    <n v="170000"/>
    <n v="142857.14285714287"/>
    <n v="27142.857142857145"/>
    <n v="9579.8319327731115"/>
    <n v="50420.168067226885"/>
    <m/>
  </r>
  <r>
    <x v="131"/>
    <s v="FE:286"/>
    <s v="PERVIVIR"/>
    <s v="TBZ-979"/>
    <s v="NPR"/>
    <x v="9"/>
    <s v="CAMBIO DE CRUCETA CARDAN / SERVICIO DE ESCANER"/>
    <n v="140000"/>
    <n v="84000"/>
    <n v="56000"/>
    <s v="CRUCETA DE CARDAN/SERVICIOS DE ESCANER/LIQUIDO DOT4"/>
    <n v="127000"/>
    <n v="106722.68907563026"/>
    <n v="20277.310924369751"/>
    <n v="190000"/>
    <n v="159663.8655462185"/>
    <n v="30336.134453781517"/>
    <n v="10058.823529411766"/>
    <n v="52941.176470588223"/>
    <m/>
  </r>
  <r>
    <x v="131"/>
    <s v="RM:457"/>
    <s v="JOSE SUAREZ"/>
    <s v="BEZ-968"/>
    <s v="LUV"/>
    <x v="19"/>
    <s v="CAMBIO SOPORTE MOTOR IZQUIERDO/ SOLDAR TUBO DE AGUA"/>
    <n v="80000"/>
    <n v="40000"/>
    <n v="40000"/>
    <s v="SOPORTE MOTOR"/>
    <n v="75000"/>
    <n v="63025.210084033613"/>
    <n v="11974.789915966387"/>
    <n v="94000"/>
    <n v="78991.596638655465"/>
    <n v="15008.403361344539"/>
    <n v="3033.6134453781524"/>
    <n v="15966.386554621844"/>
    <m/>
  </r>
  <r>
    <x v="131"/>
    <m/>
    <s v="EDGAR MALDONADO"/>
    <s v="TLM-813"/>
    <s v="JAC"/>
    <x v="9"/>
    <s v="REVISION DE RUEDAS TRASERAS"/>
    <n v="110000"/>
    <n v="66000"/>
    <n v="44000"/>
    <s v="CHUPAS/GRASAS/LIQUIDO"/>
    <n v="49800"/>
    <n v="41848.73949579832"/>
    <n v="7951.2605042016812"/>
    <n v="110000"/>
    <n v="92436.97478991597"/>
    <n v="17563.025210084033"/>
    <n v="9611.7647058823532"/>
    <n v="50588.23529411765"/>
    <m/>
  </r>
  <r>
    <x v="131"/>
    <m/>
    <s v="JORGE SANCHEZ"/>
    <s v="WMH-819"/>
    <s v="MERCEDEZ"/>
    <x v="6"/>
    <s v="CAMBIO DE DIAFRAGMA"/>
    <n v="15000"/>
    <n v="10500"/>
    <n v="4500"/>
    <s v="DIAFRAGMA TIPO 30"/>
    <n v="7000"/>
    <m/>
    <n v="0"/>
    <n v="15000"/>
    <m/>
    <n v="0"/>
    <n v="0"/>
    <n v="8000"/>
    <m/>
  </r>
  <r>
    <x v="131"/>
    <m/>
    <m/>
    <s v="SQI-915"/>
    <s v="BUSETA "/>
    <x v="19"/>
    <s v="REPARACION EXOSTO"/>
    <n v="100000"/>
    <n v="50000"/>
    <n v="50000"/>
    <m/>
    <m/>
    <n v="0"/>
    <n v="0"/>
    <m/>
    <n v="0"/>
    <n v="0"/>
    <n v="0"/>
    <n v="0"/>
    <m/>
  </r>
  <r>
    <x v="131"/>
    <s v="RM:458/FE:290"/>
    <s v="ANDRES TORRES"/>
    <s v="BWG-382"/>
    <s v="NISSAN"/>
    <x v="9"/>
    <s v="CAMBIO DE MANGUERAS"/>
    <n v="100000"/>
    <n v="60000"/>
    <n v="40000"/>
    <s v="MANGUERAS DE FRENOS/BUJES DE AMORTIGUADORES"/>
    <n v="47000"/>
    <n v="39495.798319327732"/>
    <n v="7504.2016806722695"/>
    <n v="72000"/>
    <n v="60504.201680672275"/>
    <n v="11495.798319327732"/>
    <n v="3991.5966386554628"/>
    <n v="21008.403361344535"/>
    <m/>
  </r>
  <r>
    <x v="131"/>
    <s v="RM:455"/>
    <s v="DIEGO CASTELLANOS"/>
    <s v="IAE-137"/>
    <s v="FORD"/>
    <x v="19"/>
    <s v="REPARACION EXOSTO"/>
    <n v="80000"/>
    <n v="40000"/>
    <n v="40000"/>
    <m/>
    <m/>
    <n v="0"/>
    <n v="0"/>
    <m/>
    <n v="0"/>
    <n v="0"/>
    <n v="0"/>
    <n v="0"/>
    <m/>
  </r>
  <r>
    <x v="131"/>
    <s v="RM:455"/>
    <s v="DIEGO CASTELLANOS"/>
    <s v="IAE-137"/>
    <s v="FORD"/>
    <x v="9"/>
    <s v="BAJAR TIJERAS/REVISAR ENTRADA DE COMBUSTIBLE"/>
    <n v="280000"/>
    <n v="200000"/>
    <n v="80000"/>
    <s v="SOPORTE MOTOR/ LIQUIDO"/>
    <n v="190000"/>
    <m/>
    <n v="0"/>
    <n v="270000"/>
    <m/>
    <n v="0"/>
    <n v="0"/>
    <n v="80000"/>
    <m/>
  </r>
  <r>
    <x v="131"/>
    <s v="FE:239"/>
    <s v="JOSE GONZALES"/>
    <s v="JOV-231"/>
    <s v="JMC"/>
    <x v="9"/>
    <s v="GRADUACION DE FRENOS"/>
    <n v="15000"/>
    <n v="9000"/>
    <n v="6000"/>
    <m/>
    <m/>
    <n v="0"/>
    <n v="0"/>
    <m/>
    <n v="0"/>
    <n v="0"/>
    <n v="0"/>
    <n v="0"/>
    <m/>
  </r>
  <r>
    <x v="132"/>
    <m/>
    <s v="CAMILA LOPEZ"/>
    <s v="FAR-179"/>
    <s v="SYMBOL"/>
    <x v="9"/>
    <s v="REVISION DE FRENOS"/>
    <n v="70000"/>
    <n v="42000"/>
    <n v="28000"/>
    <s v="CHUPAS/LIQUIDO"/>
    <n v="14700"/>
    <n v="12352.941176470589"/>
    <n v="2347.0588235294122"/>
    <n v="30000"/>
    <n v="25210.084033613446"/>
    <n v="4789.9159663865548"/>
    <n v="2442.8571428571427"/>
    <n v="12857.142857142859"/>
    <m/>
  </r>
  <r>
    <x v="132"/>
    <m/>
    <s v="EUDOMAR PALENCIA"/>
    <s v="SMD-700"/>
    <s v="FOTON"/>
    <x v="9"/>
    <s v="BAJAR CAJA DE CAMBIOS"/>
    <n v="250000"/>
    <n v="150000"/>
    <n v="100000"/>
    <m/>
    <m/>
    <n v="0"/>
    <n v="0"/>
    <m/>
    <n v="0"/>
    <n v="0"/>
    <n v="0"/>
    <n v="0"/>
    <m/>
  </r>
  <r>
    <x v="132"/>
    <m/>
    <m/>
    <m/>
    <s v="VOLKSWAGEN"/>
    <x v="9"/>
    <s v="CAMBIO PUNTA DE EJE"/>
    <n v="70000"/>
    <n v="42000"/>
    <n v="28000"/>
    <m/>
    <m/>
    <n v="0"/>
    <n v="0"/>
    <m/>
    <n v="0"/>
    <n v="0"/>
    <n v="0"/>
    <n v="0"/>
    <m/>
  </r>
  <r>
    <x v="132"/>
    <m/>
    <s v="INVERSIONES GLP"/>
    <s v="WLR-952"/>
    <s v="NPR"/>
    <x v="9"/>
    <s v="GRADUAR FRENOS"/>
    <n v="15000"/>
    <n v="9000"/>
    <n v="6000"/>
    <m/>
    <m/>
    <n v="0"/>
    <n v="0"/>
    <m/>
    <n v="0"/>
    <n v="0"/>
    <n v="0"/>
    <n v="0"/>
    <m/>
  </r>
  <r>
    <x v="133"/>
    <m/>
    <s v="YOVANNI AUSIQUE"/>
    <s v="MNT-961"/>
    <s v="SYMBOL"/>
    <x v="9"/>
    <s v="SINCRONIZACION, CAMBIO DE SOPORTE "/>
    <n v="170000"/>
    <n v="102000"/>
    <n v="68000"/>
    <s v="BUJIAS, SOPORTE CAJA "/>
    <n v="108000"/>
    <n v="90756.302521008402"/>
    <n v="17243.697478991595"/>
    <n v="138000"/>
    <n v="115966.38655462186"/>
    <n v="22033.613445378152"/>
    <n v="4789.9159663865576"/>
    <n v="25210.084033613442"/>
    <m/>
  </r>
  <r>
    <x v="133"/>
    <m/>
    <s v="YOVANNI AUSIQUE"/>
    <s v="MNT-961"/>
    <s v="SYMBOL"/>
    <x v="21"/>
    <s v="BAJAR CAJA / CAMBIO DE RETENEDOR DE CIGUEÑAL/ CORREGIR FUGA DE AGUA"/>
    <n v="430000"/>
    <n v="258000"/>
    <n v="172000"/>
    <s v="RETENEDOR DE CIGÜEÑA"/>
    <m/>
    <n v="0"/>
    <n v="0"/>
    <n v="90000"/>
    <n v="75630.252100840342"/>
    <n v="14369.747899159665"/>
    <n v="14369.747899159665"/>
    <n v="75630.252100840327"/>
    <m/>
  </r>
  <r>
    <x v="133"/>
    <m/>
    <s v="YOVANNI AUSIQUE"/>
    <s v="MNT-961"/>
    <s v="SYMBOL"/>
    <x v="19"/>
    <s v="REPARACION EXOSTO"/>
    <n v="25000"/>
    <n v="12500"/>
    <n v="12500"/>
    <s v="SOPORTE EXOSTO"/>
    <n v="55000"/>
    <n v="46218.487394957985"/>
    <n v="8781.5126050420167"/>
    <n v="70000"/>
    <n v="58823.529411764706"/>
    <n v="11176.470588235294"/>
    <n v="2394.957983193277"/>
    <n v="12605.042016806721"/>
    <m/>
  </r>
  <r>
    <x v="133"/>
    <m/>
    <s v="CARLOS AGUDELO"/>
    <s v="BRL-243"/>
    <s v="SYMBOL"/>
    <x v="9"/>
    <s v="CAMBIO DE GRADUACION TRASERA IZQ /DERECHA/CILINDRO"/>
    <n v="50000"/>
    <n v="30000"/>
    <n v="20000"/>
    <s v="GRADUACIONES DE FRENO/CILINDRO"/>
    <m/>
    <n v="0"/>
    <n v="0"/>
    <m/>
    <n v="0"/>
    <n v="0"/>
    <n v="0"/>
    <n v="0"/>
    <m/>
  </r>
  <r>
    <x v="133"/>
    <m/>
    <s v="DAVID MORENO"/>
    <s v="BRL-196"/>
    <s v="CLIO"/>
    <x v="9"/>
    <s v="CAMBIO DE RODAMIENTO TRASERO"/>
    <n v="50000"/>
    <n v="30000"/>
    <n v="20000"/>
    <s v="RODAMIENTO TRASERO"/>
    <n v="65000"/>
    <n v="54621.848739495799"/>
    <n v="10378.151260504203"/>
    <n v="82000"/>
    <n v="68907.563025210082"/>
    <n v="13092.436974789916"/>
    <n v="2714.2857142857138"/>
    <n v="14285.71428571429"/>
    <m/>
  </r>
  <r>
    <x v="133"/>
    <m/>
    <s v="GILBERTO MANULANDA"/>
    <s v="BOR-223"/>
    <s v="CORSA"/>
    <x v="9"/>
    <s v="MATTO DE FRENOS COMPLETO"/>
    <n v="60000"/>
    <n v="36000"/>
    <n v="24000"/>
    <m/>
    <m/>
    <n v="0"/>
    <n v="0"/>
    <m/>
    <n v="0"/>
    <n v="0"/>
    <n v="0"/>
    <n v="0"/>
    <m/>
  </r>
  <r>
    <x v="134"/>
    <s v="RM:495"/>
    <s v="JULIO CRUZ"/>
    <s v="QFV-096"/>
    <s v="SKODA FELICIA"/>
    <x v="9"/>
    <s v="CAMBIO DE BOMBA DE FRENOS"/>
    <n v="40000"/>
    <n v="24000"/>
    <n v="16000"/>
    <s v="LIQUIDO DOT4, BOMBA DE FRENO"/>
    <n v="317000"/>
    <n v="266386.55462184874"/>
    <n v="50613.445378151264"/>
    <n v="370000"/>
    <m/>
    <n v="0"/>
    <n v="-50613.445378151264"/>
    <n v="103613.44537815126"/>
    <m/>
  </r>
  <r>
    <x v="134"/>
    <s v="RM:495"/>
    <s v="JULIO CRUZ"/>
    <s v="QFV-096"/>
    <s v="SKODA FELICIA"/>
    <x v="19"/>
    <s v="CAMBIO DE EXOSTO"/>
    <n v="100000"/>
    <n v="50000"/>
    <n v="50000"/>
    <s v="EXOSTO"/>
    <n v="40000"/>
    <m/>
    <n v="0"/>
    <n v="80000"/>
    <m/>
    <n v="0"/>
    <n v="0"/>
    <n v="40000"/>
    <m/>
  </r>
  <r>
    <x v="134"/>
    <m/>
    <m/>
    <s v="REY-290"/>
    <s v="RENAULT"/>
    <x v="9"/>
    <s v="GRADUACION DE FRENOS"/>
    <n v="10000"/>
    <n v="6000"/>
    <n v="4000"/>
    <m/>
    <m/>
    <n v="0"/>
    <n v="0"/>
    <m/>
    <n v="0"/>
    <n v="0"/>
    <n v="0"/>
    <n v="0"/>
    <m/>
  </r>
  <r>
    <x v="135"/>
    <s v="RM:467"/>
    <s v="ALEJANDRO ALONZO"/>
    <s v="KNZ-523"/>
    <s v="ALASKA"/>
    <x v="9"/>
    <s v="CAMBIO DE PASTILLAS DELANTERAS"/>
    <n v="40000"/>
    <n v="24000"/>
    <n v="16000"/>
    <m/>
    <m/>
    <n v="0"/>
    <n v="0"/>
    <m/>
    <n v="0"/>
    <n v="0"/>
    <n v="0"/>
    <n v="0"/>
    <m/>
  </r>
  <r>
    <x v="135"/>
    <s v="FE:295"/>
    <s v="CESAR ISAZA"/>
    <s v="WPS-037"/>
    <s v="HINO"/>
    <x v="6"/>
    <s v="CORREGIR FUGA DE / COLOCAR CALVULA INFLALLANTAS"/>
    <n v="20000"/>
    <n v="14000"/>
    <n v="6000"/>
    <s v="RACOR/VALVULA INFLALLANTAS"/>
    <n v="37000"/>
    <n v="31092.436974789918"/>
    <n v="5907.5630252100846"/>
    <n v="29190"/>
    <n v="24529.411764705885"/>
    <n v="4660.588235294118"/>
    <n v="-1246.9747899159665"/>
    <n v="-6563.0252100840298"/>
    <m/>
  </r>
  <r>
    <x v="135"/>
    <m/>
    <s v="FELIPE MUÑOZ"/>
    <s v="BKW-854"/>
    <s v="CITROEN"/>
    <x v="9"/>
    <s v="MANTENIMIENTO DE FRENO"/>
    <n v="70000"/>
    <n v="42000"/>
    <n v="28000"/>
    <m/>
    <m/>
    <n v="0"/>
    <n v="0"/>
    <m/>
    <n v="0"/>
    <n v="0"/>
    <n v="0"/>
    <n v="0"/>
    <m/>
  </r>
  <r>
    <x v="136"/>
    <m/>
    <m/>
    <m/>
    <s v="VOLQUETA"/>
    <x v="6"/>
    <s v="CAMBIO DE BORNE"/>
    <n v="20000"/>
    <n v="14000"/>
    <n v="6000"/>
    <m/>
    <m/>
    <n v="0"/>
    <n v="0"/>
    <m/>
    <n v="0"/>
    <n v="0"/>
    <n v="0"/>
    <n v="0"/>
    <m/>
  </r>
  <r>
    <x v="136"/>
    <m/>
    <m/>
    <s v="KEX-032"/>
    <s v="MAZDA"/>
    <x v="19"/>
    <s v="REPARACION EXOSTO/CAMBIO DE CURVA"/>
    <n v="120000"/>
    <n v="60000"/>
    <n v="60000"/>
    <m/>
    <m/>
    <n v="0"/>
    <n v="0"/>
    <m/>
    <n v="0"/>
    <n v="0"/>
    <n v="0"/>
    <n v="0"/>
    <m/>
  </r>
  <r>
    <x v="136"/>
    <m/>
    <m/>
    <s v="UPT-117"/>
    <s v="CHINA"/>
    <x v="19"/>
    <s v="SOLDADURA "/>
    <n v="50000"/>
    <n v="25000"/>
    <n v="25000"/>
    <m/>
    <m/>
    <n v="0"/>
    <n v="0"/>
    <m/>
    <n v="0"/>
    <n v="0"/>
    <n v="0"/>
    <n v="0"/>
    <m/>
  </r>
  <r>
    <x v="136"/>
    <s v="RM:469"/>
    <s v="GERARDO OTERO"/>
    <s v="TGN-516"/>
    <s v="RENAULT"/>
    <x v="9"/>
    <s v="CAMBIO DE RODAMIENTO TRASERO IZQ."/>
    <n v="70000"/>
    <n v="42000"/>
    <n v="28000"/>
    <m/>
    <m/>
    <n v="0"/>
    <n v="0"/>
    <m/>
    <n v="0"/>
    <n v="0"/>
    <n v="0"/>
    <n v="0"/>
    <m/>
  </r>
  <r>
    <x v="136"/>
    <s v="RM:470"/>
    <s v="NESTOR HERNANDEZ"/>
    <s v="JFK-356"/>
    <s v="SUBARU"/>
    <x v="9"/>
    <s v="CAMBIO DE BUJES DE TIJERA"/>
    <n v="120000"/>
    <n v="72000"/>
    <n v="48000"/>
    <s v="BUJES DE TIJERA"/>
    <n v="400000"/>
    <m/>
    <n v="0"/>
    <n v="480000"/>
    <m/>
    <n v="0"/>
    <n v="0"/>
    <n v="80000"/>
    <m/>
  </r>
  <r>
    <x v="136"/>
    <s v="RM:471/FE:296"/>
    <s v="HERNADO ROMERO"/>
    <s v="IKX-010"/>
    <s v="SAIL"/>
    <x v="9"/>
    <s v="REVISION DELANTERAS/CAMBIO DE BANDAS Y CHUPAS"/>
    <n v="80000"/>
    <n v="48000"/>
    <n v="32000"/>
    <s v="BANDAS/CHUPAS"/>
    <n v="106000"/>
    <n v="89075.630252100847"/>
    <n v="16924.36974789916"/>
    <n v="170000"/>
    <n v="142857.14285714287"/>
    <n v="27142.857142857145"/>
    <n v="10218.487394957985"/>
    <n v="53781.512605042022"/>
    <m/>
  </r>
  <r>
    <x v="137"/>
    <s v="FE:297/RM:472"/>
    <s v="ANDRES PACHECO"/>
    <s v="BHB-013"/>
    <s v="FESTIVA"/>
    <x v="9"/>
    <s v="CAMBIO DE RODAMIENTO TRASERO IZQ."/>
    <n v="35000"/>
    <n v="21000"/>
    <n v="14000"/>
    <s v="RODAMIENTO "/>
    <n v="70000"/>
    <n v="58823.529411764706"/>
    <n v="11176.470588235294"/>
    <n v="90000"/>
    <n v="75630.252100840342"/>
    <n v="14369.747899159665"/>
    <n v="3193.2773109243717"/>
    <n v="16806.722689075628"/>
    <m/>
  </r>
  <r>
    <x v="137"/>
    <m/>
    <s v="WILSON ARTEAGA"/>
    <s v="IIR-295"/>
    <s v="SAIL"/>
    <x v="9"/>
    <s v="REVISION DE FRENOS DELANTEROS/CAMBIO DE BUJES DE TIJERA"/>
    <n v="150000"/>
    <n v="90000"/>
    <n v="60000"/>
    <s v="BUJES DE TIJERA"/>
    <n v="50000"/>
    <n v="42016.806722689078"/>
    <n v="7983.1932773109247"/>
    <n v="70000"/>
    <n v="58823.529411764706"/>
    <n v="11176.470588235294"/>
    <n v="3193.277310924369"/>
    <n v="16806.722689075628"/>
    <m/>
  </r>
  <r>
    <x v="137"/>
    <m/>
    <s v="WILSON ARTEAGA"/>
    <s v="IIR-295"/>
    <s v="CHEVROLET"/>
    <x v="19"/>
    <s v="REPARACION EXOSTO"/>
    <n v="80000"/>
    <n v="40000"/>
    <n v="40000"/>
    <s v="TUBO EXOSTO"/>
    <m/>
    <n v="0"/>
    <n v="0"/>
    <m/>
    <n v="0"/>
    <n v="0"/>
    <n v="0"/>
    <n v="0"/>
    <m/>
  </r>
  <r>
    <x v="137"/>
    <m/>
    <s v="GLOBAL CONTAINERS"/>
    <s v="GEV-109"/>
    <s v="FOTON"/>
    <x v="9"/>
    <s v="BAJAR RUEDAS DELANTERAS Y DISCOS"/>
    <n v="70000"/>
    <n v="42000"/>
    <n v="28000"/>
    <m/>
    <m/>
    <n v="0"/>
    <n v="0"/>
    <m/>
    <n v="0"/>
    <n v="0"/>
    <n v="0"/>
    <n v="0"/>
    <m/>
  </r>
  <r>
    <x v="138"/>
    <m/>
    <s v="NELSON REYES"/>
    <s v="DDJ-623"/>
    <s v="TOYOTA FORD RUNNER"/>
    <x v="9"/>
    <s v="MANTENIMIENTO DE FRENOS DEL /GRADUAR TRASERAS"/>
    <n v="40000"/>
    <n v="24000"/>
    <n v="16000"/>
    <m/>
    <m/>
    <n v="0"/>
    <n v="0"/>
    <m/>
    <n v="0"/>
    <n v="0"/>
    <n v="0"/>
    <n v="0"/>
    <m/>
  </r>
  <r>
    <x v="139"/>
    <m/>
    <s v="ALEJANDRA DIAZ"/>
    <s v="BUK-819"/>
    <s v="CITROEN"/>
    <x v="21"/>
    <s v="CAMBIO DE SOPORTE  Y RETENEDORES"/>
    <n v="60000"/>
    <n v="36000"/>
    <n v="24000"/>
    <s v="SOPORTE CAJA"/>
    <n v="160000"/>
    <m/>
    <n v="0"/>
    <n v="190000"/>
    <m/>
    <n v="0"/>
    <n v="0"/>
    <n v="30000"/>
    <m/>
  </r>
  <r>
    <x v="138"/>
    <m/>
    <s v="ALEJANDRA DIAZ"/>
    <s v="BUK-819"/>
    <s v="CITROEN"/>
    <x v="21"/>
    <s v="CAMBIO KIT DE EMBRAGUE"/>
    <n v="180000"/>
    <n v="108000"/>
    <n v="72000"/>
    <m/>
    <m/>
    <n v="0"/>
    <n v="0"/>
    <m/>
    <n v="0"/>
    <n v="0"/>
    <n v="0"/>
    <n v="0"/>
    <m/>
  </r>
  <r>
    <x v="138"/>
    <m/>
    <s v="JUAN GARZON"/>
    <s v="NAM-280"/>
    <s v="AVEO"/>
    <x v="19"/>
    <s v="CAMBIO EXOSTO"/>
    <n v="115000"/>
    <n v="57500"/>
    <n v="57500"/>
    <s v="EXOSTO"/>
    <n v="40000"/>
    <m/>
    <n v="0"/>
    <n v="80000"/>
    <m/>
    <n v="0"/>
    <n v="0"/>
    <n v="40000"/>
    <m/>
  </r>
  <r>
    <x v="138"/>
    <m/>
    <m/>
    <s v="KAT-796"/>
    <s v="MAZDA2"/>
    <x v="21"/>
    <s v="CAMBIAR EMPAQUE CULATA / RECTIFICAR CULATA "/>
    <n v="200000"/>
    <n v="200000"/>
    <n v="0"/>
    <s v="EMPAQUE DE CULATA/ VALVULA D CALEFACCION/ TAPA RADIADOR"/>
    <m/>
    <n v="0"/>
    <n v="0"/>
    <m/>
    <n v="0"/>
    <n v="0"/>
    <n v="0"/>
    <n v="0"/>
    <m/>
  </r>
  <r>
    <x v="138"/>
    <m/>
    <s v="ALEJANDRA ATEHORTUA"/>
    <s v="HSO-992"/>
    <s v="SPARK"/>
    <x v="21"/>
    <s v="BAJAR CULATA-CAMBIO EMPAQUETADURA DE MOTOR"/>
    <n v="500000"/>
    <n v="300000"/>
    <n v="200000"/>
    <n v="0"/>
    <m/>
    <n v="0"/>
    <n v="0"/>
    <m/>
    <n v="0"/>
    <n v="0"/>
    <n v="0"/>
    <n v="0"/>
    <m/>
  </r>
  <r>
    <x v="139"/>
    <s v="RM:481"/>
    <s v="JOSE NIÑO"/>
    <s v="XLL-419"/>
    <s v="HILUX"/>
    <x v="9"/>
    <s v="MANTENIMIENTO COMPLETO"/>
    <n v="80000"/>
    <n v="48000"/>
    <n v="32000"/>
    <s v="JUEGO DE PASTILLAS DELANTERAS, TORNILLO L"/>
    <n v="112000"/>
    <n v="94117.647058823539"/>
    <n v="17882.352941176472"/>
    <n v="150000"/>
    <n v="126050.42016806723"/>
    <n v="23949.579831932773"/>
    <n v="6067.2268907563011"/>
    <n v="31932.773109243702"/>
    <m/>
  </r>
  <r>
    <x v="139"/>
    <s v="RM:482"/>
    <s v="MANUEL BEJARANO"/>
    <s v="LUE-983"/>
    <s v="TOYOTA"/>
    <x v="6"/>
    <s v="CAMBIO EMPA. PRINCIPAL/ CAMBIO EMPAQ. AUXILIAR DE CLOSH"/>
    <n v="75000"/>
    <n v="45000"/>
    <n v="30000"/>
    <m/>
    <m/>
    <n v="0"/>
    <n v="0"/>
    <m/>
    <n v="0"/>
    <n v="0"/>
    <n v="0"/>
    <n v="0"/>
    <m/>
  </r>
  <r>
    <x v="139"/>
    <m/>
    <s v="LUIS ENRIQUE SANCHEZ"/>
    <s v="MCL-828"/>
    <s v="FORD"/>
    <x v="6"/>
    <s v="SERVICIO DE ESCANER"/>
    <n v="50000"/>
    <n v="30000"/>
    <n v="20000"/>
    <m/>
    <m/>
    <n v="0"/>
    <n v="0"/>
    <m/>
    <n v="0"/>
    <n v="0"/>
    <n v="0"/>
    <n v="0"/>
    <m/>
  </r>
  <r>
    <x v="139"/>
    <s v="RM:483"/>
    <s v="YESID RODRIGUEZ"/>
    <s v="HXW-468"/>
    <s v="SAIL"/>
    <x v="9"/>
    <s v="CAMBIO DE BANDAS/MATTO DE FRENOS-CAMBIO DE ESPARRAGO"/>
    <n v="70000"/>
    <n v="42000"/>
    <n v="28000"/>
    <m/>
    <m/>
    <n v="0"/>
    <n v="0"/>
    <m/>
    <n v="0"/>
    <n v="0"/>
    <n v="0"/>
    <n v="0"/>
    <m/>
  </r>
  <r>
    <x v="139"/>
    <s v="RM:483"/>
    <s v="YESID RODRIGUEZ"/>
    <s v="HXW-468"/>
    <s v="SAIL"/>
    <x v="21"/>
    <s v="CAMBIO DE TERMOSTATO"/>
    <n v="30000"/>
    <n v="18000"/>
    <n v="12000"/>
    <m/>
    <m/>
    <n v="0"/>
    <n v="0"/>
    <m/>
    <n v="0"/>
    <n v="0"/>
    <n v="0"/>
    <n v="0"/>
    <m/>
  </r>
  <r>
    <x v="139"/>
    <m/>
    <s v="METALCARGOS"/>
    <s v="TFT-701"/>
    <s v="NKR"/>
    <x v="9"/>
    <s v="BAJAR CAJA DE DIRECCION/GRADUAR FRENOS"/>
    <n v="110000"/>
    <n v="66000"/>
    <n v="44000"/>
    <m/>
    <m/>
    <n v="0"/>
    <n v="0"/>
    <m/>
    <n v="0"/>
    <n v="0"/>
    <n v="0"/>
    <n v="0"/>
    <m/>
  </r>
  <r>
    <x v="140"/>
    <m/>
    <s v="COORPORACION DOS HEMISFERIO"/>
    <m/>
    <m/>
    <x v="9"/>
    <s v="GRADUAR FRENOS"/>
    <n v="10000"/>
    <n v="6000"/>
    <n v="4000"/>
    <m/>
    <m/>
    <m/>
    <n v="0"/>
    <m/>
    <n v="0"/>
    <n v="0"/>
    <n v="0"/>
    <n v="0"/>
    <m/>
  </r>
  <r>
    <x v="141"/>
    <m/>
    <s v="MARTIN ESPITIA"/>
    <s v="KIZ-064"/>
    <s v="SANDERO"/>
    <x v="9"/>
    <s v="REVISION DE RUEDA TRASERA DERECHA"/>
    <n v="30000"/>
    <n v="18000"/>
    <n v="12000"/>
    <m/>
    <m/>
    <n v="0"/>
    <n v="0"/>
    <m/>
    <n v="0"/>
    <n v="0"/>
    <n v="0"/>
    <n v="0"/>
    <m/>
  </r>
  <r>
    <x v="141"/>
    <s v="RM:485/FAS:300"/>
    <s v="EDISON GOMEZ"/>
    <s v="BKC-627"/>
    <s v="FORD"/>
    <x v="9"/>
    <s v="MANTENIMEINTO DE FRENOS/CAMBIO DE LIQUIDO/CAMBIO DE MANGUERA DE FRENOS"/>
    <n v="110000"/>
    <n v="66000"/>
    <n v="44000"/>
    <s v="MANGUERA DE FRENOS/LIQUIDO/PASTILLAS DELANTERAS"/>
    <n v="180000"/>
    <n v="151260.50420168068"/>
    <n v="28739.495798319331"/>
    <n v="230000"/>
    <n v="193277.31092436975"/>
    <n v="36722.689075630253"/>
    <n v="7983.193277310922"/>
    <n v="42016.806722689071"/>
    <m/>
  </r>
  <r>
    <x v="141"/>
    <s v="RM:487"/>
    <s v="ANDRES MAYORGA"/>
    <s v="TSM-364"/>
    <s v="JAC"/>
    <x v="9"/>
    <s v="GRADUACION DE FRENOS/GRADUAR CLOSH"/>
    <n v="15000"/>
    <n v="9000"/>
    <n v="6000"/>
    <m/>
    <m/>
    <n v="0"/>
    <n v="0"/>
    <m/>
    <n v="0"/>
    <n v="0"/>
    <n v="0"/>
    <n v="0"/>
    <m/>
  </r>
  <r>
    <x v="141"/>
    <s v="RM:487"/>
    <s v="ANDRES MAYORGA"/>
    <s v="TSM-364"/>
    <s v="JAC"/>
    <x v="19"/>
    <s v="COLOCAR PUNTERA"/>
    <n v="75000"/>
    <n v="37500"/>
    <n v="37500"/>
    <s v="CURVA"/>
    <m/>
    <n v="0"/>
    <n v="0"/>
    <m/>
    <n v="0"/>
    <n v="0"/>
    <n v="0"/>
    <n v="0"/>
    <m/>
  </r>
  <r>
    <x v="142"/>
    <s v="RM:488"/>
    <s v="AMPARO ALARCON"/>
    <s v="CFP-232"/>
    <s v="SPARK"/>
    <x v="19"/>
    <s v="CAMBIO EXOSTO"/>
    <n v="70000"/>
    <n v="35000"/>
    <n v="35000"/>
    <s v="EXOSTO"/>
    <n v="40000"/>
    <m/>
    <n v="0"/>
    <n v="80000"/>
    <m/>
    <n v="0"/>
    <n v="0"/>
    <n v="40000"/>
    <m/>
  </r>
  <r>
    <x v="142"/>
    <s v="RM:489"/>
    <s v="CRISTIAN DIAZ"/>
    <s v="HST-590"/>
    <s v="NISSAN MARCH"/>
    <x v="9"/>
    <s v="CAMBIO DE BUJES DE TIJERA"/>
    <n v="50000"/>
    <n v="30000"/>
    <n v="20000"/>
    <m/>
    <m/>
    <n v="0"/>
    <n v="0"/>
    <m/>
    <n v="0"/>
    <n v="0"/>
    <n v="0"/>
    <n v="0"/>
    <m/>
  </r>
  <r>
    <x v="142"/>
    <m/>
    <s v="FERNANDO SERRATO"/>
    <s v="BOY-122"/>
    <s v="CLIO"/>
    <x v="9"/>
    <s v="CAMBIO DE QUITA RUIDO"/>
    <n v="20000"/>
    <n v="12000"/>
    <n v="8000"/>
    <m/>
    <m/>
    <n v="0"/>
    <n v="0"/>
    <m/>
    <n v="0"/>
    <n v="0"/>
    <n v="0"/>
    <n v="0"/>
    <m/>
  </r>
  <r>
    <x v="142"/>
    <s v="FE:301/RM:491"/>
    <s v="RICARDO HERNANDEZ"/>
    <s v="SQX-102"/>
    <s v="BUSETA"/>
    <x v="9"/>
    <s v="BAJAR RUEDAS DEL,/BAJAR CILINDROS/RECTIFICAR GRADUACION/ CAMBIO DE BANDAS"/>
    <n v="100000"/>
    <n v="60000"/>
    <n v="40000"/>
    <s v="BANDAS-GASOLINA-CHUPA-RODILLO-GRASA-SILICONA-PINES"/>
    <n v="186800"/>
    <n v="156974.78991596639"/>
    <n v="29825.210084033613"/>
    <n v="257000"/>
    <n v="215966.38655462186"/>
    <n v="41033.613445378156"/>
    <n v="11208.403361344543"/>
    <n v="58991.596638655465"/>
    <m/>
  </r>
  <r>
    <x v="143"/>
    <s v="RM:492"/>
    <s v="JOAQUIN VARON"/>
    <s v="TFQ-819"/>
    <s v="LOGAN"/>
    <x v="9"/>
    <s v="CAMBIO DE ROTULA DELA. IZQ"/>
    <n v="70000"/>
    <n v="42000"/>
    <n v="28000"/>
    <m/>
    <m/>
    <n v="0"/>
    <n v="0"/>
    <m/>
    <n v="0"/>
    <n v="0"/>
    <n v="0"/>
    <n v="0"/>
    <m/>
  </r>
  <r>
    <x v="143"/>
    <m/>
    <m/>
    <s v="RCX-069"/>
    <s v="TOYOTA"/>
    <x v="9"/>
    <s v="CAMBIO DE PASTILLAS DELANTERAS"/>
    <n v="30000"/>
    <n v="18000"/>
    <n v="12000"/>
    <m/>
    <m/>
    <n v="0"/>
    <n v="0"/>
    <m/>
    <n v="0"/>
    <n v="0"/>
    <n v="0"/>
    <n v="0"/>
    <m/>
  </r>
  <r>
    <x v="143"/>
    <m/>
    <m/>
    <m/>
    <s v="MOTO"/>
    <x v="19"/>
    <s v="SOLDADURA"/>
    <n v="30000"/>
    <n v="15000"/>
    <n v="15000"/>
    <m/>
    <m/>
    <n v="0"/>
    <n v="0"/>
    <m/>
    <n v="0"/>
    <n v="0"/>
    <n v="0"/>
    <n v="0"/>
    <m/>
  </r>
  <r>
    <x v="143"/>
    <s v="FE:304"/>
    <s v="JAIME MONCADA "/>
    <s v="ERL-333"/>
    <s v="JAC"/>
    <x v="9"/>
    <s v="REVISION DE FRENOS RUEDAS TRASERAS/CAMBIO DE BLOQUE DE FRENOS"/>
    <n v="70000"/>
    <n v="42000"/>
    <n v="28000"/>
    <m/>
    <m/>
    <n v="0"/>
    <n v="0"/>
    <m/>
    <n v="0"/>
    <n v="0"/>
    <n v="0"/>
    <n v="0"/>
    <m/>
  </r>
  <r>
    <x v="143"/>
    <s v="FE:305/RM:495"/>
    <s v="JESSY RODRIGUEZ"/>
    <s v="HXW-468"/>
    <s v="SAIL"/>
    <x v="9"/>
    <s v="CAMBIO DE AMORTIGUADORES DEL."/>
    <n v="100000"/>
    <n v="60000"/>
    <n v="40000"/>
    <m/>
    <m/>
    <n v="0"/>
    <n v="0"/>
    <m/>
    <n v="0"/>
    <n v="0"/>
    <n v="0"/>
    <n v="0"/>
    <m/>
  </r>
  <r>
    <x v="143"/>
    <m/>
    <s v="JEISSON JIMENEZ"/>
    <s v="CVF-727"/>
    <s v="MEGAN"/>
    <x v="21"/>
    <s v="REVISION SISTEMA DE ENCENDIDO-CAMBIO DE TERMOSTATO"/>
    <n v="120000"/>
    <n v="72000"/>
    <n v="48000"/>
    <m/>
    <m/>
    <n v="0"/>
    <n v="0"/>
    <m/>
    <n v="0"/>
    <n v="0"/>
    <n v="0"/>
    <n v="0"/>
    <m/>
  </r>
  <r>
    <x v="143"/>
    <s v="FE:303"/>
    <s v=" DESARROLLADORA CC FONTANAR SAS"/>
    <s v="MBK-046"/>
    <s v="DODGE JOURNEY"/>
    <x v="9"/>
    <s v="REPARACION DE SUSPENSION DELANTERA/MANTENIMIENTO DE FRENOS"/>
    <n v="470000"/>
    <n v="282000"/>
    <n v="188000"/>
    <s v="AMORTIGUADORES DELANTEROS, BIELTE ESTABILIZADORA, TERMINALES DE DIRECCION DEL., BRAZO AXIAL, BUJES DE TIJERA DEL."/>
    <n v="1548579"/>
    <n v="1301326.8907563025"/>
    <n v="247252.10924369749"/>
    <n v="2919910.04"/>
    <n v="2453705.9159663869"/>
    <n v="466204.12403361354"/>
    <n v="218952.01478991605"/>
    <n v="1152379.0252100839"/>
    <m/>
  </r>
  <r>
    <x v="144"/>
    <s v="RM:496"/>
    <s v="LUIS MONTEALEGRE"/>
    <s v="EFO-015"/>
    <s v="JEEP CHEROKI"/>
    <x v="9"/>
    <s v="MANTEMINIENTO COMPLETO DE FRENO"/>
    <n v="80000"/>
    <n v="48000"/>
    <n v="32000"/>
    <m/>
    <m/>
    <n v="0"/>
    <n v="0"/>
    <m/>
    <n v="0"/>
    <n v="0"/>
    <n v="0"/>
    <n v="0"/>
    <m/>
  </r>
  <r>
    <x v="144"/>
    <s v="RM:496"/>
    <s v="LUIS MONTEALEGRE"/>
    <s v="JGV-778"/>
    <s v="FORD"/>
    <x v="9"/>
    <s v="MANTENIMIENTO DE FRENOS COMPLETO/CAMBIO VALVULA DE COMBUSTIBLE/CAMBIO DE LIQUIDO"/>
    <n v="120000"/>
    <n v="72000"/>
    <n v="48000"/>
    <s v="LIQUIDO"/>
    <n v="37000"/>
    <n v="31092.436974789918"/>
    <n v="5907.5630252100846"/>
    <n v="60000"/>
    <n v="50420.168067226892"/>
    <n v="9579.8319327731097"/>
    <n v="3672.2689075630251"/>
    <n v="19327.731092436974"/>
    <m/>
  </r>
  <r>
    <x v="144"/>
    <m/>
    <s v="EDWIN PRIETO"/>
    <s v="GBM-671"/>
    <s v="FORD"/>
    <x v="9"/>
    <s v="MANTENIMIENTO COMPLETO"/>
    <n v="80000"/>
    <n v="48000"/>
    <n v="32000"/>
    <m/>
    <m/>
    <n v="0"/>
    <n v="0"/>
    <m/>
    <n v="0"/>
    <n v="0"/>
    <n v="0"/>
    <n v="0"/>
    <m/>
  </r>
  <r>
    <x v="144"/>
    <m/>
    <m/>
    <m/>
    <m/>
    <x v="19"/>
    <s v="SOLDADURA"/>
    <n v="40000"/>
    <n v="20000"/>
    <n v="20000"/>
    <m/>
    <m/>
    <n v="0"/>
    <n v="0"/>
    <m/>
    <n v="0"/>
    <n v="0"/>
    <n v="0"/>
    <n v="0"/>
    <m/>
  </r>
  <r>
    <x v="144"/>
    <m/>
    <m/>
    <s v="CDN-832"/>
    <s v="MB"/>
    <x v="9"/>
    <s v="REVISION DELANTERA"/>
    <n v="20000"/>
    <n v="12000"/>
    <n v="8000"/>
    <m/>
    <m/>
    <n v="0"/>
    <n v="0"/>
    <m/>
    <n v="0"/>
    <n v="0"/>
    <n v="0"/>
    <n v="0"/>
    <m/>
  </r>
  <r>
    <x v="145"/>
    <m/>
    <s v="ANDERSON  "/>
    <s v="RCP-194"/>
    <s v="RENAULT"/>
    <x v="9"/>
    <s v="GRADUAR FRENOS"/>
    <n v="10000"/>
    <n v="6000"/>
    <n v="4000"/>
    <m/>
    <m/>
    <n v="0"/>
    <n v="0"/>
    <m/>
    <n v="0"/>
    <n v="0"/>
    <n v="0"/>
    <n v="0"/>
    <m/>
  </r>
  <r>
    <x v="145"/>
    <s v="RM:498"/>
    <s v="NELSON VILLARRAGA"/>
    <s v="HAG-137"/>
    <s v="SUZUKI"/>
    <x v="9"/>
    <s v="REVISAR TRASERAS/CAMBIO DE CHUPAS"/>
    <n v="50000"/>
    <n v="30000"/>
    <n v="20000"/>
    <s v="CHUPAS, LIQUIDO"/>
    <n v="17722"/>
    <n v="14892.436974789916"/>
    <n v="2829.5630252100841"/>
    <n v="35000"/>
    <n v="29411.764705882353"/>
    <n v="5588.2352941176468"/>
    <n v="2758.6722689075627"/>
    <n v="14519.327731092439"/>
    <m/>
  </r>
  <r>
    <x v="145"/>
    <s v="RM:501/FE:310"/>
    <s v="ALEJANDRO PULIDO"/>
    <s v="RZU-740"/>
    <s v="CAPTIVA"/>
    <x v="21"/>
    <s v="CAMBIO DE BOMBA DE AGUA/CORREA ACCESORIO"/>
    <n v="200000"/>
    <n v="120000"/>
    <n v="80000"/>
    <s v="BOMBA DE AGUA /CORREA "/>
    <n v="220000"/>
    <n v="184873.94957983194"/>
    <n v="35126.050420168067"/>
    <n v="280000"/>
    <n v="235294.11764705883"/>
    <n v="44705.882352941175"/>
    <n v="9579.8319327731078"/>
    <n v="50420.168067226885"/>
    <m/>
  </r>
  <r>
    <x v="145"/>
    <s v="RM:506"/>
    <s v="NELSON TAMAYO"/>
    <s v="MUQ-265"/>
    <s v="ECOSPORT"/>
    <x v="9"/>
    <s v="CAMBIO DE TRICETA/RODAMIENTO EJE /MUÑECOS"/>
    <n v="100000"/>
    <n v="60000"/>
    <n v="40000"/>
    <s v="MUÑECO/TRICETA/RODAMIENTO DE EJE"/>
    <n v="735000"/>
    <m/>
    <n v="0"/>
    <n v="870000"/>
    <m/>
    <n v="0"/>
    <n v="0"/>
    <n v="135000"/>
    <m/>
  </r>
  <r>
    <x v="145"/>
    <s v="RM:499"/>
    <s v="PEDRO SANTANA"/>
    <s v="GSZ-853"/>
    <s v="LOGAN"/>
    <x v="9"/>
    <s v="MATTO DE FRENOS DEL. GRADUACION "/>
    <n v="40000"/>
    <n v="24000"/>
    <n v="16000"/>
    <m/>
    <m/>
    <n v="0"/>
    <n v="0"/>
    <m/>
    <n v="0"/>
    <n v="0"/>
    <n v="0"/>
    <n v="0"/>
    <m/>
  </r>
  <r>
    <x v="145"/>
    <m/>
    <s v="ANGEL CHINCHILLA"/>
    <s v="SNR-047"/>
    <s v="NPR"/>
    <x v="9"/>
    <s v="GRADUAR FRENOS"/>
    <n v="10000"/>
    <n v="6000"/>
    <n v="4000"/>
    <m/>
    <m/>
    <n v="0"/>
    <n v="0"/>
    <m/>
    <n v="0"/>
    <n v="0"/>
    <n v="0"/>
    <n v="0"/>
    <m/>
  </r>
  <r>
    <x v="145"/>
    <m/>
    <s v="IVAN MORALES"/>
    <s v="FLR-281"/>
    <s v="CHV ALTO"/>
    <x v="21"/>
    <s v="CAMBIO DE GUAYA DE CAMBIO"/>
    <n v="50000"/>
    <n v="30000"/>
    <n v="20000"/>
    <m/>
    <m/>
    <n v="0"/>
    <n v="0"/>
    <m/>
    <n v="0"/>
    <n v="0"/>
    <n v="0"/>
    <n v="0"/>
    <m/>
  </r>
  <r>
    <x v="145"/>
    <m/>
    <s v="VERDECERES"/>
    <s v="SPL-963"/>
    <s v="NNR"/>
    <x v="9"/>
    <s v="MATTO DE RUEDAS DELANTERAS"/>
    <n v="50000"/>
    <n v="30000"/>
    <n v="20000"/>
    <m/>
    <m/>
    <n v="0"/>
    <n v="0"/>
    <m/>
    <n v="0"/>
    <n v="0"/>
    <n v="0"/>
    <n v="0"/>
    <m/>
  </r>
  <r>
    <x v="145"/>
    <m/>
    <s v="PAULO G"/>
    <s v="UCW-460"/>
    <s v="FIAT"/>
    <x v="9"/>
    <s v="GRADUAR TRASERAS"/>
    <n v="10000"/>
    <n v="6000"/>
    <n v="4000"/>
    <m/>
    <m/>
    <n v="0"/>
    <n v="0"/>
    <m/>
    <n v="0"/>
    <n v="0"/>
    <n v="0"/>
    <n v="0"/>
    <m/>
  </r>
  <r>
    <x v="145"/>
    <m/>
    <s v="MARCO OVALLE"/>
    <s v="BIL-530"/>
    <s v="R9"/>
    <x v="21"/>
    <s v="CAMBIO DE CAJA DE CAMBIO"/>
    <n v="200000"/>
    <n v="120000"/>
    <n v="80000"/>
    <m/>
    <m/>
    <n v="0"/>
    <n v="0"/>
    <m/>
    <n v="0"/>
    <n v="0"/>
    <n v="0"/>
    <n v="0"/>
    <m/>
  </r>
  <r>
    <x v="145"/>
    <m/>
    <s v="MARCO OVALLE"/>
    <s v="BIL-530"/>
    <s v="R9"/>
    <x v="9"/>
    <s v="BAJAR DISCO"/>
    <n v="20000"/>
    <n v="12000"/>
    <n v="8000"/>
    <m/>
    <m/>
    <n v="0"/>
    <n v="0"/>
    <m/>
    <n v="0"/>
    <n v="0"/>
    <n v="0"/>
    <n v="0"/>
    <m/>
  </r>
  <r>
    <x v="145"/>
    <m/>
    <m/>
    <s v="USE-902"/>
    <s v="NHR"/>
    <x v="6"/>
    <s v="SUAVIZAR CLOSH"/>
    <n v="10000"/>
    <n v="6000"/>
    <n v="4000"/>
    <m/>
    <m/>
    <n v="0"/>
    <n v="0"/>
    <m/>
    <n v="0"/>
    <n v="0"/>
    <n v="0"/>
    <n v="0"/>
    <m/>
  </r>
  <r>
    <x v="145"/>
    <m/>
    <s v="FREDY LARROTA"/>
    <m/>
    <s v="OPTRA"/>
    <x v="21"/>
    <s v="SINCRONIZACION"/>
    <n v="100000"/>
    <n v="60000"/>
    <n v="40000"/>
    <s v="BUJIAS"/>
    <n v="110000"/>
    <n v="92436.97478991597"/>
    <n v="17563.025210084033"/>
    <n v="138000"/>
    <n v="115966.38655462186"/>
    <n v="22033.613445378152"/>
    <n v="4470.5882352941189"/>
    <n v="23529.411764705874"/>
    <m/>
  </r>
  <r>
    <x v="145"/>
    <m/>
    <s v="BIOCONTACTO"/>
    <s v="RCQ-054"/>
    <s v="NISSAN"/>
    <x v="9"/>
    <s v="CAMBIO DE AMORTIGUADORES TRASEROS"/>
    <n v="60000"/>
    <n v="36000"/>
    <n v="24000"/>
    <s v="AMORTIGUADORES TRASEROS"/>
    <n v="260000"/>
    <n v="218487.3949579832"/>
    <n v="41512.60504201681"/>
    <n v="330000"/>
    <n v="277310.92436974793"/>
    <n v="52689.075630252104"/>
    <n v="11176.470588235294"/>
    <n v="58823.529411764699"/>
    <m/>
  </r>
  <r>
    <x v="145"/>
    <m/>
    <s v="MIGUEL CANO"/>
    <s v="BSG-182"/>
    <s v="RENAULT TWINGO"/>
    <x v="9"/>
    <s v="MATTO DE FRENOS/CAMBIO DE GUARDAPOLVO DE LA CAJA DE DIRECCION"/>
    <n v="80000"/>
    <n v="48000"/>
    <n v="32000"/>
    <s v="BANDAS"/>
    <n v="88000"/>
    <n v="73949.579831932773"/>
    <n v="14050.420168067227"/>
    <n v="120000"/>
    <n v="100840.33613445378"/>
    <n v="19159.663865546219"/>
    <n v="5109.2436974789925"/>
    <n v="26890.756302521011"/>
    <m/>
  </r>
  <r>
    <x v="145"/>
    <m/>
    <s v="METALCARGOS"/>
    <s v="TFT-701"/>
    <s v="NKR"/>
    <x v="21"/>
    <s v="BAJAR CAJA DE CAMBIOS"/>
    <n v="100000"/>
    <n v="100000"/>
    <n v="0"/>
    <m/>
    <m/>
    <n v="0"/>
    <n v="0"/>
    <m/>
    <n v="0"/>
    <n v="0"/>
    <n v="0"/>
    <n v="0"/>
    <m/>
  </r>
  <r>
    <x v="146"/>
    <s v="RM:507"/>
    <s v="CESAR CARDENAS"/>
    <s v="WCK-131"/>
    <s v="NHR"/>
    <x v="9"/>
    <s v="BAJAR RUEDAS DELANTERAS/ GRADUAR TRASERAS"/>
    <n v="75000"/>
    <n v="52500"/>
    <n v="22500"/>
    <s v="3 CHUPAS/ GASOLINA/GRASA"/>
    <n v="25000"/>
    <n v="21008.403361344539"/>
    <n v="3991.5966386554624"/>
    <n v="40000"/>
    <n v="33613.445378151264"/>
    <n v="6386.5546218487398"/>
    <n v="2394.9579831932774"/>
    <n v="12605.042016806721"/>
    <m/>
  </r>
  <r>
    <x v="146"/>
    <m/>
    <s v="JONATHAN HERAZO"/>
    <s v="MSN-188"/>
    <s v="SAIL"/>
    <x v="9"/>
    <s v="CAMBIO DE SOPORTE DE AMORTIGUADORES DELANTEROS IZ"/>
    <n v="50000"/>
    <n v="35000"/>
    <n v="15000"/>
    <s v="SOPORTE DE AMORTIGUADOR DELANTERIO IZQ"/>
    <n v="30000"/>
    <n v="25210.084033613446"/>
    <n v="4789.9159663865548"/>
    <n v="40000"/>
    <n v="33613.445378151264"/>
    <n v="6386.5546218487398"/>
    <n v="1596.6386554621849"/>
    <n v="8403.3613445378141"/>
    <m/>
  </r>
  <r>
    <x v="146"/>
    <m/>
    <s v="MIGUEL VALBUENA"/>
    <s v="RLM-576"/>
    <s v="LOGAN"/>
    <x v="9"/>
    <s v="CAMBIO DE BANDAS"/>
    <n v="30000"/>
    <n v="21000"/>
    <n v="9000"/>
    <m/>
    <m/>
    <n v="0"/>
    <n v="0"/>
    <m/>
    <n v="0"/>
    <n v="0"/>
    <n v="0"/>
    <n v="0"/>
    <m/>
  </r>
  <r>
    <x v="146"/>
    <s v="FE:313/RM:509"/>
    <s v="LUIS SERRATA"/>
    <s v="ITT-653"/>
    <s v="STEEM"/>
    <x v="9"/>
    <s v="CAMBIO DE BRAZO AXIAL/ TERMINAL/ CAMBIO DE TIJERA"/>
    <n v="120000"/>
    <n v="84000"/>
    <n v="36000"/>
    <s v="BRAZO AXIAL/ TERMINAL/ CAMBIO DE TIJERA"/>
    <n v="337000"/>
    <n v="283193.27731092437"/>
    <n v="53806.722689075628"/>
    <n v="266000"/>
    <n v="223529.4117647059"/>
    <n v="42470.588235294119"/>
    <n v="-11336.134453781509"/>
    <n v="-59663.865546218469"/>
    <m/>
  </r>
  <r>
    <x v="147"/>
    <s v="RM:517"/>
    <s v="FERNANDO TOBO"/>
    <s v="RIT-679"/>
    <s v="DODGE JOURNEY"/>
    <x v="9"/>
    <s v="CAMBIO DE PASTILLAS DELANTERAS/ESPARRAGO DEL DERECHO"/>
    <n v="100000"/>
    <n v="70000"/>
    <n v="30000"/>
    <s v="ESPARRAGO"/>
    <n v="16000"/>
    <n v="13445.378151260506"/>
    <n v="2554.6218487394963"/>
    <n v="20000"/>
    <n v="16806.722689075632"/>
    <n v="3193.2773109243699"/>
    <n v="638.65546218487361"/>
    <n v="3361.3445378151264"/>
    <m/>
  </r>
  <r>
    <x v="147"/>
    <s v="RM:515"/>
    <s v="LUIS ROMERO"/>
    <s v="SEA-130"/>
    <s v="LUV2300"/>
    <x v="9"/>
    <s v="CAMBIO DE BOMBA AUXILIAR DE CLOSH"/>
    <n v="50000"/>
    <n v="35000"/>
    <n v="15000"/>
    <s v="BOMBA AUXILIAR DE CLOSH/PINTA DE LIQUIDO"/>
    <m/>
    <n v="0"/>
    <n v="0"/>
    <m/>
    <n v="0"/>
    <n v="0"/>
    <n v="0"/>
    <n v="0"/>
    <m/>
  </r>
  <r>
    <x v="147"/>
    <s v="RM:513"/>
    <s v="BRAYAN GOMEZ"/>
    <s v="FAV-183"/>
    <s v="SIMBOL"/>
    <x v="21"/>
    <s v="CORREGIR FUGA DE ACEITE"/>
    <n v="180000"/>
    <n v="108000"/>
    <n v="72000"/>
    <s v="RETENES /GASOLINA/SILICONA"/>
    <n v="45000"/>
    <m/>
    <n v="0"/>
    <n v="80000"/>
    <m/>
    <n v="0"/>
    <n v="0"/>
    <n v="35000"/>
    <m/>
  </r>
  <r>
    <x v="147"/>
    <m/>
    <m/>
    <s v="RJN-240"/>
    <s v="TOYOTA"/>
    <x v="9"/>
    <s v="MANTENIMIENTO DE FRENOS DEL."/>
    <n v="30000"/>
    <n v="21000"/>
    <n v="9000"/>
    <m/>
    <m/>
    <n v="0"/>
    <n v="0"/>
    <m/>
    <n v="0"/>
    <n v="0"/>
    <n v="0"/>
    <n v="0"/>
    <m/>
  </r>
  <r>
    <x v="147"/>
    <s v="FE:314/RM:514"/>
    <s v="JORGE MORALES"/>
    <s v="RKO-741"/>
    <s v="TOYOTA "/>
    <x v="9"/>
    <s v="MANTENIMIENTO DE TRASERAS / CAMBIO DE PASTILLAS TRASERAS"/>
    <n v="40000"/>
    <n v="28000"/>
    <n v="12000"/>
    <s v="PASTILLAS TRASERAS"/>
    <n v="117000"/>
    <n v="98319.327731092446"/>
    <n v="18680.672268907565"/>
    <n v="160000"/>
    <n v="134453.78151260506"/>
    <n v="25546.218487394959"/>
    <n v="6865.5462184873941"/>
    <n v="36134.45378151261"/>
    <m/>
  </r>
  <r>
    <x v="147"/>
    <m/>
    <s v="ELIECER CABEZAS"/>
    <s v="WFR-439"/>
    <s v="JAC"/>
    <x v="9"/>
    <s v="GRADUAR FRENOS"/>
    <n v="8000"/>
    <n v="5600"/>
    <n v="2400"/>
    <m/>
    <m/>
    <n v="0"/>
    <n v="0"/>
    <m/>
    <n v="0"/>
    <n v="0"/>
    <n v="0"/>
    <n v="0"/>
    <m/>
  </r>
  <r>
    <x v="147"/>
    <s v="RM:516"/>
    <s v="JAIRO MONTENEGRO"/>
    <s v="JAT-478"/>
    <s v="DODGE RAM"/>
    <x v="9"/>
    <s v="BAJAR BOMBA DE FRENO/REVISION TRASERAS"/>
    <n v="70000"/>
    <n v="49000"/>
    <n v="21000"/>
    <s v="EMPAQUES BOMBA"/>
    <n v="25000"/>
    <m/>
    <n v="0"/>
    <n v="50000"/>
    <m/>
    <n v="0"/>
    <n v="0"/>
    <n v="25000"/>
    <m/>
  </r>
  <r>
    <x v="147"/>
    <m/>
    <m/>
    <s v="TRG-451"/>
    <m/>
    <x v="6"/>
    <s v="GRADUACION DE FRENOS"/>
    <n v="10000"/>
    <n v="6000"/>
    <n v="4000"/>
    <m/>
    <m/>
    <n v="0"/>
    <n v="0"/>
    <m/>
    <n v="0"/>
    <n v="0"/>
    <n v="0"/>
    <n v="0"/>
    <m/>
  </r>
  <r>
    <x v="148"/>
    <m/>
    <s v="EDUARDO RODRIGUEZ"/>
    <s v="BKC-981"/>
    <s v="HONDA CIVIC"/>
    <x v="9"/>
    <s v="REVISION DE RUEDAS TRASERAS"/>
    <n v="30000"/>
    <n v="21000"/>
    <n v="9000"/>
    <m/>
    <m/>
    <n v="0"/>
    <n v="0"/>
    <m/>
    <n v="0"/>
    <n v="0"/>
    <n v="0"/>
    <n v="0"/>
    <m/>
  </r>
  <r>
    <x v="148"/>
    <s v="RM:518"/>
    <s v="HUGO FAJARDO"/>
    <s v="CIM-977"/>
    <s v="MAZDA ALEGRO"/>
    <x v="9"/>
    <s v="REVISION DE FRENOS COMPLETO"/>
    <n v="50000"/>
    <n v="35000"/>
    <n v="15000"/>
    <m/>
    <m/>
    <n v="0"/>
    <n v="0"/>
    <m/>
    <n v="0"/>
    <n v="0"/>
    <n v="0"/>
    <n v="0"/>
    <m/>
  </r>
  <r>
    <x v="148"/>
    <m/>
    <m/>
    <s v="DRR-627"/>
    <s v="SAIL"/>
    <x v="9"/>
    <s v="CAMBIO DE ESPARRAGO Y ROTACION DE CAUCHOS"/>
    <n v="30000"/>
    <n v="21000"/>
    <n v="9000"/>
    <s v="ESPARRAGO"/>
    <m/>
    <n v="0"/>
    <n v="0"/>
    <m/>
    <n v="0"/>
    <n v="0"/>
    <n v="0"/>
    <n v="0"/>
    <m/>
  </r>
  <r>
    <x v="148"/>
    <m/>
    <s v="SEBASTIAN PEREZ"/>
    <s v="UZN-124"/>
    <s v="INTERNACIONAL"/>
    <x v="6"/>
    <s v="CORREGIR FUGA DE AIRE"/>
    <n v="70000"/>
    <n v="42000"/>
    <n v="28000"/>
    <m/>
    <m/>
    <n v="0"/>
    <n v="0"/>
    <m/>
    <n v="0"/>
    <n v="0"/>
    <n v="0"/>
    <n v="0"/>
    <m/>
  </r>
  <r>
    <x v="148"/>
    <m/>
    <s v="MARIO RODRIGUEZ"/>
    <s v="SKZ-080"/>
    <s v="HINO"/>
    <x v="6"/>
    <s v="GRADUAR FRENOS"/>
    <n v="10000"/>
    <n v="6000"/>
    <n v="4000"/>
    <m/>
    <m/>
    <n v="0"/>
    <n v="0"/>
    <m/>
    <n v="0"/>
    <n v="0"/>
    <n v="0"/>
    <n v="0"/>
    <m/>
  </r>
  <r>
    <x v="148"/>
    <s v="FE:315/RM:519"/>
    <s v="LUIS FLORES"/>
    <s v="IWR-537"/>
    <s v="ACCENT"/>
    <x v="9"/>
    <s v="CAMBIO DE PASTILLAS DEL/BUJES DE TIJERA"/>
    <n v="120000"/>
    <n v="84000"/>
    <n v="36000"/>
    <s v="PASTILLAS DEL/BUJES DE TIJERA"/>
    <n v="185000"/>
    <n v="155462.18487394959"/>
    <n v="29537.815126050424"/>
    <n v="222000"/>
    <n v="186554.62184873951"/>
    <n v="35445.378151260506"/>
    <n v="5907.5630252100818"/>
    <n v="31092.436974789918"/>
    <m/>
  </r>
  <r>
    <x v="148"/>
    <s v="FE:316"/>
    <s v="GRIRONA PROYECTO E INVERSIONES"/>
    <s v="USE-902"/>
    <s v="NHR"/>
    <x v="9"/>
    <s v="MANTENIMIENTO DE FRENOS COMPLETO"/>
    <n v="100000"/>
    <n v="70000"/>
    <n v="30000"/>
    <m/>
    <m/>
    <n v="0"/>
    <n v="0"/>
    <m/>
    <n v="0"/>
    <n v="0"/>
    <n v="0"/>
    <n v="0"/>
    <m/>
  </r>
  <r>
    <x v="148"/>
    <s v="FE:316"/>
    <s v="GRIRONA PROYECTO E INVERSIONES"/>
    <s v="USE-902"/>
    <s v="NHR"/>
    <x v="21"/>
    <s v="CAMBIO KIT DE CLOSH"/>
    <n v="200000"/>
    <n v="120000"/>
    <n v="80000"/>
    <m/>
    <m/>
    <n v="0"/>
    <n v="0"/>
    <m/>
    <n v="0"/>
    <n v="0"/>
    <n v="0"/>
    <n v="0"/>
    <m/>
  </r>
  <r>
    <x v="148"/>
    <s v="FE:316"/>
    <s v="GRIRONA PROYECTO E INVERSIONES"/>
    <s v="USE-902"/>
    <s v="NHR"/>
    <x v="19"/>
    <s v="MANTENIMIENTO EXOSTO"/>
    <n v="205000"/>
    <n v="127500"/>
    <n v="102500"/>
    <m/>
    <m/>
    <n v="0"/>
    <n v="0"/>
    <m/>
    <n v="0"/>
    <n v="0"/>
    <n v="0"/>
    <n v="0"/>
    <m/>
  </r>
  <r>
    <x v="149"/>
    <s v="RM:521"/>
    <s v="FERNANDO SERRATO"/>
    <s v="BOY-122"/>
    <s v="CLIO"/>
    <x v="9"/>
    <s v="REVISION DE FRENOS"/>
    <n v="30000"/>
    <n v="21000"/>
    <n v="9000"/>
    <m/>
    <m/>
    <n v="0"/>
    <n v="0"/>
    <m/>
    <n v="0"/>
    <n v="0"/>
    <n v="0"/>
    <n v="0"/>
    <m/>
  </r>
  <r>
    <x v="149"/>
    <m/>
    <s v="JAIME MONCADA"/>
    <s v="QHZ-358"/>
    <s v="CORSA"/>
    <x v="19"/>
    <s v="CAMBIO DE CURVA"/>
    <n v="110000"/>
    <n v="55000"/>
    <n v="55000"/>
    <m/>
    <m/>
    <n v="0"/>
    <n v="0"/>
    <m/>
    <n v="0"/>
    <n v="0"/>
    <n v="0"/>
    <n v="0"/>
    <m/>
  </r>
  <r>
    <x v="149"/>
    <m/>
    <m/>
    <s v="KAK-795"/>
    <s v="JETTA"/>
    <x v="9"/>
    <s v="MANTENIMIENTO DE FRENO COMPLETO"/>
    <n v="60000"/>
    <n v="42000"/>
    <n v="18000"/>
    <m/>
    <m/>
    <n v="0"/>
    <n v="0"/>
    <m/>
    <n v="0"/>
    <n v="0"/>
    <n v="0"/>
    <n v="0"/>
    <m/>
  </r>
  <r>
    <x v="149"/>
    <m/>
    <s v="JAIME MONCADA"/>
    <s v="QHZ-358"/>
    <s v="CORSA"/>
    <x v="9"/>
    <s v="CAMBIO DE MARIPOSA DEL. IZQ/ ROTULAS /TERMINALES"/>
    <n v="100000"/>
    <n v="70000"/>
    <n v="30000"/>
    <m/>
    <m/>
    <n v="0"/>
    <n v="0"/>
    <m/>
    <n v="0"/>
    <n v="0"/>
    <n v="0"/>
    <n v="0"/>
    <m/>
  </r>
  <r>
    <x v="149"/>
    <m/>
    <s v="NESTOR GARCIA"/>
    <s v="BRG-017"/>
    <s v="PRADO"/>
    <x v="6"/>
    <s v="BAJAR RUEDAS TRASERAS"/>
    <n v="20000"/>
    <n v="14000"/>
    <n v="6000"/>
    <m/>
    <m/>
    <n v="0"/>
    <n v="0"/>
    <m/>
    <n v="0"/>
    <n v="0"/>
    <n v="0"/>
    <n v="0"/>
    <m/>
  </r>
  <r>
    <x v="149"/>
    <s v="FE:319"/>
    <s v="PERVIVIR"/>
    <s v="TBZ-979"/>
    <s v="NHR"/>
    <x v="9"/>
    <s v="MANTENIMIENTO DE FRENO COMPLETO"/>
    <n v="140000"/>
    <n v="98000"/>
    <n v="42000"/>
    <s v="GASOLINA, GRASA, JUEGO DE BANDAS, OPIN CACHO, SILICONA, CHUPAS"/>
    <n v="131000"/>
    <n v="110084.03361344538"/>
    <n v="20915.966386554624"/>
    <n v="219000"/>
    <n v="184033.61344537817"/>
    <n v="34966.386554621851"/>
    <n v="14050.420168067227"/>
    <n v="73949.579831932788"/>
    <m/>
  </r>
  <r>
    <x v="150"/>
    <m/>
    <m/>
    <s v="EKM-795"/>
    <s v="NISSAN PATRIOL"/>
    <x v="9"/>
    <s v="CAMBIO DE BUJE DE AMORTIGUADOR"/>
    <n v="40000"/>
    <n v="28000"/>
    <n v="12000"/>
    <s v="BUJE DE AMORTIGUADOR"/>
    <m/>
    <n v="0"/>
    <n v="0"/>
    <n v="30000"/>
    <m/>
    <n v="0"/>
    <n v="0"/>
    <n v="30000"/>
    <m/>
  </r>
  <r>
    <x v="150"/>
    <m/>
    <m/>
    <s v="TSM-562"/>
    <s v="JAC"/>
    <x v="6"/>
    <s v="GRADUAR FRENOS"/>
    <n v="10000"/>
    <n v="7000"/>
    <n v="3000"/>
    <m/>
    <m/>
    <n v="0"/>
    <n v="0"/>
    <m/>
    <n v="0"/>
    <n v="0"/>
    <n v="0"/>
    <n v="0"/>
    <m/>
  </r>
  <r>
    <x v="150"/>
    <m/>
    <s v="NESTOR MANTIEL"/>
    <s v="BOY-709"/>
    <s v="FIAT PALIO"/>
    <x v="9"/>
    <s v="CAMBIO DE BANDAS Y CHUPAS"/>
    <n v="40000"/>
    <n v="28000"/>
    <n v="12000"/>
    <s v="CHUPAS, BANDAS"/>
    <n v="99000"/>
    <n v="83193.277310924372"/>
    <n v="15806.72268907563"/>
    <n v="140000"/>
    <n v="117647.05882352941"/>
    <n v="22352.941176470587"/>
    <n v="6546.2184873949573"/>
    <n v="34453.781512605041"/>
    <m/>
  </r>
  <r>
    <x v="151"/>
    <s v="FE:323/RM:527"/>
    <s v="ANDRES GUTIERREZ"/>
    <s v="HDR-418"/>
    <s v="SPARK GT"/>
    <x v="9"/>
    <s v=" _x000a_CAMBIO DE AMORTIGUADORES TRASEROS/SOPORTE DE AMORTIGUADORES/ CAMBIO DE LIQUIDO/ CAMBIO DE CILINDRO TRASEROS/GP DE AMORTIGUADORES"/>
    <n v="280000"/>
    <n v="196000"/>
    <n v="84000"/>
    <s v="AMORTIGUADORES TRASEROS/SOPORTE DE AMORTIGUADORES/ CAMBIO DE LIQUIDO/ CAMBIO DE CILINDRO TRASEROS/GP DE AMORTIGUADORES"/>
    <n v="532000"/>
    <n v="447058.82352941181"/>
    <n v="84941.176470588238"/>
    <n v="706000"/>
    <n v="593277.31092436973"/>
    <n v="112722.68907563025"/>
    <n v="27781.512605042008"/>
    <n v="146218.48739495804"/>
    <m/>
  </r>
  <r>
    <x v="151"/>
    <m/>
    <s v="CAROLINA OCHOA"/>
    <s v="HBN-909"/>
    <s v="HUMMER"/>
    <x v="9"/>
    <s v="MANTENIMIENTO DE FRENOS /CAMBIO DE PASTILLAS TRASERAS"/>
    <n v="80000"/>
    <n v="56000"/>
    <n v="24000"/>
    <m/>
    <m/>
    <n v="0"/>
    <n v="0"/>
    <m/>
    <n v="0"/>
    <n v="0"/>
    <n v="0"/>
    <n v="0"/>
    <m/>
  </r>
  <r>
    <x v="151"/>
    <m/>
    <m/>
    <m/>
    <m/>
    <x v="19"/>
    <s v="CAMBIO DE SOPORTE"/>
    <n v="20000"/>
    <n v="10000"/>
    <n v="10000"/>
    <m/>
    <m/>
    <n v="0"/>
    <n v="0"/>
    <m/>
    <n v="0"/>
    <n v="0"/>
    <n v="0"/>
    <n v="0"/>
    <m/>
  </r>
  <r>
    <x v="151"/>
    <m/>
    <m/>
    <s v="CSA-348"/>
    <s v="CHEVROLET"/>
    <x v="9"/>
    <s v="MANTENIMEITNO COMPELTO/ CAMBIO DE BRAZO AXIAL/ TERMINAL DE DIRECCION"/>
    <n v="110000"/>
    <n v="77000"/>
    <n v="33000"/>
    <m/>
    <m/>
    <n v="0"/>
    <n v="0"/>
    <m/>
    <n v="0"/>
    <n v="0"/>
    <n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CE66B-4D0A-4552-8197-2248D1995C42}" name="TablaDinámica10" cacheId="1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D6" firstHeaderRow="0" firstDataRow="1" firstDataCol="1" rowPageCount="1" colPageCount="1"/>
  <pivotFields count="20">
    <pivotField axis="axisPage" multipleItemSelectionAllowed="1" showAll="0">
      <items count="15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23">
        <item h="1" x="6"/>
        <item h="1" x="7"/>
        <item h="1" x="8"/>
        <item h="1" x="14"/>
        <item h="1" x="0"/>
        <item x="19"/>
        <item x="18"/>
        <item h="1" x="5"/>
        <item h="1" x="21"/>
        <item h="1" x="1"/>
        <item h="1" x="13"/>
        <item h="1" x="11"/>
        <item h="1" x="2"/>
        <item h="1" x="9"/>
        <item h="1" x="12"/>
        <item h="1" x="10"/>
        <item h="1" x="20"/>
        <item h="1" x="3"/>
        <item h="1" x="15"/>
        <item h="1" x="4"/>
        <item h="1" x="17"/>
        <item h="1" x="16"/>
        <item t="default"/>
      </items>
    </pivotField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5"/>
  </rowFields>
  <rowItems count="3"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Suma de TOTAL FACTURA" fld="7" baseField="5" baseItem="18"/>
    <dataField name="Suma de GANANCIA POR SERVICIOS" fld="9" baseField="5" baseItem="18"/>
    <dataField name="Suma de GANACIA  REPUESTO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AEC088-4503-434C-8350-58D539419087}" name="TablaDinámica8" cacheId="1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D16" firstHeaderRow="0" firstDataRow="1" firstDataCol="1" rowPageCount="1" colPageCount="1"/>
  <pivotFields count="15"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14">
        <item x="2"/>
        <item x="7"/>
        <item x="11"/>
        <item x="4"/>
        <item x="0"/>
        <item x="12"/>
        <item x="10"/>
        <item x="9"/>
        <item x="5"/>
        <item x="1"/>
        <item x="6"/>
        <item x="3"/>
        <item h="1" x="8"/>
        <item t="default"/>
      </items>
    </pivotField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dataField="1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Suma de TOTAL FACTURA" fld="7" baseField="0" baseItem="0"/>
    <dataField name="Suma de GANANCIA POR SERVICIOS" fld="9" baseField="0" baseItem="7"/>
    <dataField name="Suma de GANANCIA POR REPUESTOS" fld="14" baseField="0" baseItem="0"/>
  </dataFields>
  <formats count="6">
    <format dxfId="222">
      <pivotArea type="all" dataOnly="0" outline="0" fieldPosition="0"/>
    </format>
    <format dxfId="221">
      <pivotArea outline="0" collapsedLevelsAreSubtotals="1" fieldPosition="0"/>
    </format>
    <format dxfId="220">
      <pivotArea field="5" type="button" dataOnly="0" labelOnly="1" outline="0" axis="axisRow" fieldPosition="0"/>
    </format>
    <format dxfId="219">
      <pivotArea dataOnly="0" labelOnly="1" fieldPosition="0">
        <references count="1">
          <reference field="5" count="0"/>
        </references>
      </pivotArea>
    </format>
    <format dxfId="218">
      <pivotArea dataOnly="0" labelOnly="1" grandRow="1" outline="0" fieldPosition="0"/>
    </format>
    <format dxfId="2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7F61B1-1EC7-4157-BFFD-F11E7810BAB1}" name="TablaDinámica2" cacheId="1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F6" firstHeaderRow="0" firstDataRow="1" firstDataCol="1" rowPageCount="1" colPageCount="1"/>
  <pivotFields count="20">
    <pivotField axis="axisPage" dataField="1" multipleItemSelectionAllowed="1" showAll="0">
      <items count="5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9"/>
        <item x="40"/>
        <item x="41"/>
        <item x="42"/>
        <item x="43"/>
        <item x="44"/>
        <item x="45"/>
        <item x="37"/>
        <item x="46"/>
        <item x="47"/>
        <item x="48"/>
        <item x="49"/>
        <item h="1" x="50"/>
        <item h="1" x="51"/>
        <item h="1" x="52"/>
        <item h="1" x="53"/>
        <item h="1" x="54"/>
        <item t="default"/>
      </items>
    </pivotField>
    <pivotField showAll="0"/>
    <pivotField showAll="0"/>
    <pivotField showAll="0"/>
    <pivotField showAll="0"/>
    <pivotField axis="axisRow" showAll="0">
      <items count="10">
        <item h="1" x="3"/>
        <item x="6"/>
        <item x="5"/>
        <item h="1" x="2"/>
        <item h="1" x="8"/>
        <item h="1" x="0"/>
        <item h="1" x="7"/>
        <item h="1" x="1"/>
        <item h="1" x="4"/>
        <item t="default"/>
      </items>
    </pivotField>
    <pivotField showAll="0"/>
    <pivotField dataField="1" showAll="0">
      <items count="52">
        <item x="27"/>
        <item x="31"/>
        <item x="33"/>
        <item x="0"/>
        <item x="20"/>
        <item x="9"/>
        <item x="40"/>
        <item x="30"/>
        <item x="2"/>
        <item x="21"/>
        <item x="19"/>
        <item x="8"/>
        <item x="45"/>
        <item x="4"/>
        <item x="22"/>
        <item x="1"/>
        <item x="36"/>
        <item x="7"/>
        <item x="6"/>
        <item x="44"/>
        <item x="29"/>
        <item x="3"/>
        <item x="38"/>
        <item x="23"/>
        <item x="10"/>
        <item x="16"/>
        <item x="47"/>
        <item x="28"/>
        <item x="50"/>
        <item x="18"/>
        <item x="17"/>
        <item x="37"/>
        <item x="32"/>
        <item x="26"/>
        <item x="5"/>
        <item x="15"/>
        <item x="35"/>
        <item x="46"/>
        <item x="24"/>
        <item x="12"/>
        <item x="11"/>
        <item x="39"/>
        <item x="25"/>
        <item x="14"/>
        <item x="34"/>
        <item x="49"/>
        <item x="41"/>
        <item x="13"/>
        <item x="42"/>
        <item x="43"/>
        <item x="48"/>
        <item t="default"/>
      </items>
    </pivotField>
    <pivotField dataField="1" showAll="0">
      <items count="85">
        <item x="77"/>
        <item x="35"/>
        <item x="44"/>
        <item x="69"/>
        <item x="47"/>
        <item x="0"/>
        <item x="50"/>
        <item x="67"/>
        <item x="49"/>
        <item x="23"/>
        <item x="65"/>
        <item x="41"/>
        <item x="10"/>
        <item x="60"/>
        <item x="22"/>
        <item x="45"/>
        <item x="61"/>
        <item x="30"/>
        <item x="2"/>
        <item x="73"/>
        <item x="62"/>
        <item x="24"/>
        <item x="40"/>
        <item x="56"/>
        <item x="21"/>
        <item x="25"/>
        <item x="7"/>
        <item x="9"/>
        <item x="53"/>
        <item x="4"/>
        <item x="58"/>
        <item x="31"/>
        <item x="1"/>
        <item x="37"/>
        <item x="64"/>
        <item x="38"/>
        <item x="43"/>
        <item x="57"/>
        <item x="80"/>
        <item x="27"/>
        <item x="6"/>
        <item x="72"/>
        <item x="28"/>
        <item x="83"/>
        <item x="39"/>
        <item x="74"/>
        <item x="3"/>
        <item x="82"/>
        <item x="81"/>
        <item x="26"/>
        <item x="54"/>
        <item x="11"/>
        <item x="66"/>
        <item x="17"/>
        <item x="76"/>
        <item x="55"/>
        <item x="36"/>
        <item x="18"/>
        <item x="20"/>
        <item x="63"/>
        <item x="19"/>
        <item x="52"/>
        <item x="29"/>
        <item x="46"/>
        <item x="79"/>
        <item x="34"/>
        <item x="16"/>
        <item x="5"/>
        <item x="48"/>
        <item x="33"/>
        <item x="75"/>
        <item x="59"/>
        <item x="13"/>
        <item x="12"/>
        <item x="42"/>
        <item x="32"/>
        <item x="15"/>
        <item x="51"/>
        <item x="68"/>
        <item x="78"/>
        <item x="14"/>
        <item x="71"/>
        <item x="70"/>
        <item x="8"/>
        <item t="default"/>
      </items>
    </pivotField>
    <pivotField dataField="1" showAll="0">
      <items count="77">
        <item x="58"/>
        <item x="71"/>
        <item x="10"/>
        <item x="41"/>
        <item x="44"/>
        <item x="0"/>
        <item x="60"/>
        <item x="23"/>
        <item x="64"/>
        <item x="11"/>
        <item x="45"/>
        <item x="57"/>
        <item x="2"/>
        <item x="53"/>
        <item x="9"/>
        <item x="24"/>
        <item x="22"/>
        <item x="8"/>
        <item x="40"/>
        <item x="4"/>
        <item x="54"/>
        <item x="42"/>
        <item x="1"/>
        <item x="28"/>
        <item x="36"/>
        <item x="66"/>
        <item x="6"/>
        <item x="39"/>
        <item x="63"/>
        <item x="75"/>
        <item x="25"/>
        <item x="72"/>
        <item x="3"/>
        <item x="56"/>
        <item x="48"/>
        <item x="26"/>
        <item x="34"/>
        <item x="12"/>
        <item x="18"/>
        <item x="30"/>
        <item x="69"/>
        <item x="35"/>
        <item x="21"/>
        <item x="20"/>
        <item x="74"/>
        <item x="19"/>
        <item x="43"/>
        <item x="49"/>
        <item x="51"/>
        <item x="33"/>
        <item x="27"/>
        <item x="5"/>
        <item x="50"/>
        <item x="67"/>
        <item x="32"/>
        <item x="68"/>
        <item x="37"/>
        <item x="55"/>
        <item x="73"/>
        <item x="14"/>
        <item x="13"/>
        <item x="17"/>
        <item x="31"/>
        <item x="16"/>
        <item x="65"/>
        <item x="46"/>
        <item x="47"/>
        <item x="29"/>
        <item x="52"/>
        <item x="70"/>
        <item x="15"/>
        <item x="59"/>
        <item x="61"/>
        <item x="62"/>
        <item x="7"/>
        <item x="3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  <pivotField showAll="0"/>
  </pivotFields>
  <rowFields count="1">
    <field x="5"/>
  </rowFields>
  <rowItems count="2"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0" hier="-1"/>
  </pageFields>
  <dataFields count="5">
    <dataField name="Suma de TOTAL FACTURA" fld="7" baseField="0" baseItem="0"/>
    <dataField name="Suma de PORCENTAJE A CANCELAR" fld="8" baseField="0" baseItem="0"/>
    <dataField name="Suma de GANANCIA POR SERVICIOS" fld="9" baseField="0" baseItem="1"/>
    <dataField name="Suma de GANACIA  REPUESTOS" fld="18" baseField="0" baseItem="0"/>
    <dataField name="Cuenta de FECHA" fld="0" subtotal="count" baseField="0" baseItem="0"/>
  </dataFields>
  <formats count="2"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DDF2BA-473F-41FD-871B-AABFFF80A44D}" name="TablaDinámica2" cacheId="1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 rowHeaderCaption="AREA">
  <location ref="A3:D9" firstHeaderRow="0" firstDataRow="1" firstDataCol="1"/>
  <pivotFields count="20">
    <pivotField showAll="0"/>
    <pivotField showAll="0"/>
    <pivotField showAll="0"/>
    <pivotField showAll="0"/>
    <pivotField showAll="0"/>
    <pivotField axis="axisRow" showAll="0">
      <items count="11">
        <item h="1" f="1" x="9"/>
        <item x="3"/>
        <item n="FRENOS Y SUSPENSION" x="0"/>
        <item m="1" x="7"/>
        <item n="EXOSTO" x="5"/>
        <item x="2"/>
        <item m="1" x="6"/>
        <item m="1" x="8"/>
        <item n="MECANICA" x="1"/>
        <item h="1" x="4"/>
        <item t="default"/>
      </items>
    </pivotField>
    <pivotField showAll="0"/>
    <pivotField dataField="1" showAll="0"/>
    <pivotField showAll="0"/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dataField="1" numFmtId="164" showAll="0"/>
    <pivotField showAll="0"/>
  </pivotFields>
  <rowFields count="1">
    <field x="5"/>
  </rowFields>
  <rowItems count="6">
    <i>
      <x v="1"/>
    </i>
    <i>
      <x v="2"/>
    </i>
    <i>
      <x v="4"/>
    </i>
    <i>
      <x v="5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TOTAL FACTURA" fld="7" baseField="5" baseItem="2"/>
    <dataField name="Suma de GANANCIA POR SERVICIOS" fld="9" baseField="9" baseItem="5"/>
    <dataField name="Suma de GANACIA  REPUESTOS" fld="18" baseField="0" baseItem="0"/>
  </dataFields>
  <formats count="1">
    <format dxfId="1">
      <pivotArea outline="0" collapsedLevelsAreSubtotals="1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F2194-BFAF-4907-B1DB-FBE11CA44D01}" name="TablaDinámica2" cacheId="1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F9" firstHeaderRow="0" firstDataRow="1" firstDataCol="1" rowPageCount="1" colPageCount="1"/>
  <pivotFields count="20">
    <pivotField axis="axisPage" multipleItemSelectionAllowed="1" showAll="0">
      <items count="5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2"/>
        <item h="1" x="13"/>
        <item h="1" x="14"/>
        <item h="1" x="15"/>
        <item h="1" x="16"/>
        <item h="1" x="17"/>
        <item h="1" x="11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h="1" x="27"/>
        <item t="default"/>
      </items>
    </pivotField>
    <pivotField showAll="0"/>
    <pivotField showAll="0"/>
    <pivotField showAll="0"/>
    <pivotField showAll="0"/>
    <pivotField axis="axisRow" showAll="0">
      <items count="12">
        <item x="6"/>
        <item x="2"/>
        <item x="3"/>
        <item x="8"/>
        <item x="9"/>
        <item x="5"/>
        <item x="0"/>
        <item x="4"/>
        <item x="1"/>
        <item h="1" x="7"/>
        <item h="1" x="10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</pivotFields>
  <rowFields count="1">
    <field x="5"/>
  </rowFields>
  <rowItems count="6">
    <i>
      <x/>
    </i>
    <i>
      <x v="1"/>
    </i>
    <i>
      <x v="3"/>
    </i>
    <i>
      <x v="6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0" hier="-1"/>
  </pageFields>
  <dataFields count="5">
    <dataField name="Suma de PORCENTAJE A CANCELAR" fld="8" baseField="0" baseItem="0"/>
    <dataField name="Suma de GANANCIA POR SERVICIOS" fld="9" baseField="5" baseItem="0"/>
    <dataField name="Suma de GANACIA  REPUESTOS" fld="18" baseField="0" baseItem="0"/>
    <dataField name="Suma de TOTAL FACTURA" fld="7" baseField="5" baseItem="6"/>
    <dataField name="Suma de VENTA " fld="14" baseField="5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0E1649-538C-4685-A75C-228AC83E6BDB}" name="TablaDinámica2" cacheId="1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3">
  <location ref="A3:B30" firstHeaderRow="1" firstDataRow="1" firstDataCol="1" rowPageCount="1" colPageCount="1"/>
  <pivotFields count="20">
    <pivotField axis="axisPage" multipleItemSelectionAllowed="1" showAll="0">
      <items count="5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2"/>
        <item h="1" x="13"/>
        <item h="1" x="14"/>
        <item h="1" x="15"/>
        <item h="1" x="16"/>
        <item h="1" x="17"/>
        <item h="1" x="11"/>
        <item h="1" x="18"/>
        <item h="1" x="27"/>
        <item h="1" x="19"/>
        <item h="1" x="20"/>
        <item h="1" x="21"/>
        <item h="1" x="22"/>
        <item h="1" x="23"/>
        <item h="1" x="24"/>
        <item h="1" x="25"/>
        <item h="1" x="26"/>
        <item h="1"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h="1" m="1" x="55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showAll="0"/>
    <pivotField showAll="0"/>
    <pivotField showAll="0"/>
    <pivotField axis="axisRow" dataField="1" showAll="0">
      <items count="128">
        <item x="10"/>
        <item x="19"/>
        <item x="32"/>
        <item x="31"/>
        <item x="42"/>
        <item x="48"/>
        <item x="0"/>
        <item x="65"/>
        <item x="44"/>
        <item x="12"/>
        <item x="11"/>
        <item x="22"/>
        <item x="4"/>
        <item x="37"/>
        <item x="36"/>
        <item x="6"/>
        <item x="63"/>
        <item x="20"/>
        <item x="33"/>
        <item x="53"/>
        <item x="59"/>
        <item x="16"/>
        <item x="26"/>
        <item x="43"/>
        <item x="47"/>
        <item x="62"/>
        <item x="55"/>
        <item x="56"/>
        <item x="18"/>
        <item x="54"/>
        <item x="7"/>
        <item x="49"/>
        <item x="40"/>
        <item x="46"/>
        <item x="24"/>
        <item x="1"/>
        <item x="25"/>
        <item x="41"/>
        <item x="15"/>
        <item x="13"/>
        <item x="29"/>
        <item x="28"/>
        <item x="27"/>
        <item x="50"/>
        <item x="52"/>
        <item x="61"/>
        <item x="5"/>
        <item x="21"/>
        <item x="51"/>
        <item x="17"/>
        <item x="57"/>
        <item x="45"/>
        <item m="1" x="126"/>
        <item x="2"/>
        <item x="64"/>
        <item x="60"/>
        <item x="39"/>
        <item x="30"/>
        <item x="35"/>
        <item x="34"/>
        <item x="58"/>
        <item x="3"/>
        <item x="8"/>
        <item x="9"/>
        <item x="23"/>
        <item h="1" x="14"/>
        <item x="38"/>
        <item x="66"/>
        <item x="67"/>
        <item x="68"/>
        <item x="69"/>
        <item x="70"/>
        <item x="71"/>
        <item x="72"/>
        <item x="73"/>
        <item x="74"/>
        <item x="75"/>
        <item x="76"/>
        <item m="1" x="125"/>
        <item x="77"/>
        <item x="78"/>
        <item x="79"/>
        <item x="80"/>
        <item x="81"/>
        <item x="82"/>
        <item x="84"/>
        <item x="85"/>
        <item x="83"/>
        <item x="86"/>
        <item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7">
    <i>
      <x v="1"/>
    </i>
    <i>
      <x v="5"/>
    </i>
    <i>
      <x v="21"/>
    </i>
    <i>
      <x v="22"/>
    </i>
    <i>
      <x v="23"/>
    </i>
    <i>
      <x v="25"/>
    </i>
    <i>
      <x v="28"/>
    </i>
    <i>
      <x v="29"/>
    </i>
    <i>
      <x v="30"/>
    </i>
    <i>
      <x v="32"/>
    </i>
    <i>
      <x v="33"/>
    </i>
    <i>
      <x v="39"/>
    </i>
    <i>
      <x v="42"/>
    </i>
    <i>
      <x v="43"/>
    </i>
    <i>
      <x v="45"/>
    </i>
    <i>
      <x v="51"/>
    </i>
    <i>
      <x v="53"/>
    </i>
    <i>
      <x v="60"/>
    </i>
    <i>
      <x v="61"/>
    </i>
    <i>
      <x v="62"/>
    </i>
    <i>
      <x v="63"/>
    </i>
    <i>
      <x v="66"/>
    </i>
    <i>
      <x v="67"/>
    </i>
    <i>
      <x v="68"/>
    </i>
    <i>
      <x v="75"/>
    </i>
    <i>
      <x v="85"/>
    </i>
    <i t="grand">
      <x/>
    </i>
  </rowItems>
  <colItems count="1">
    <i/>
  </colItems>
  <pageFields count="1">
    <pageField fld="0" hier="-1"/>
  </pageFields>
  <dataFields count="1">
    <dataField name="Cuenta de MODELO" fld="4" subtotal="count" baseField="3" baseItem="28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6F2697-9786-4B92-BB25-6ECFB6ED7FA3}" name="TablaDinámica2" cacheId="1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4:C10" firstHeaderRow="0" firstDataRow="1" firstDataCol="1" rowPageCount="1" colPageCount="1"/>
  <pivotFields count="20">
    <pivotField axis="axisPage" multipleItemSelectionAllowed="1" showAll="0">
      <items count="5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2"/>
        <item h="1" x="13"/>
        <item h="1" x="14"/>
        <item h="1" x="15"/>
        <item h="1" x="16"/>
        <item h="1" x="17"/>
        <item h="1" x="11"/>
        <item h="1" x="18"/>
        <item h="1" x="27"/>
        <item h="1" x="19"/>
        <item h="1" x="20"/>
        <item h="1" x="21"/>
        <item h="1" x="22"/>
        <item h="1" x="23"/>
        <item h="1" x="24"/>
        <item h="1" x="25"/>
        <item h="1" x="26"/>
        <item h="1"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h="1" m="1" x="55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showAll="0"/>
    <pivotField showAll="0"/>
    <pivotField showAll="0"/>
    <pivotField showAll="0"/>
    <pivotField axis="axisRow" dataField="1" multipleItemSelectionAllowed="1" showAll="0">
      <items count="13">
        <item x="6"/>
        <item x="2"/>
        <item x="3"/>
        <item x="5"/>
        <item x="0"/>
        <item x="4"/>
        <item x="1"/>
        <item h="1" x="10"/>
        <item x="8"/>
        <item x="9"/>
        <item m="1" x="11"/>
        <item x="7"/>
        <item t="default"/>
      </items>
    </pivotField>
    <pivotField showAll="0"/>
    <pivotField showAll="0"/>
    <pivotField numFmtId="164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4"/>
    </i>
    <i>
      <x v="6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uenta de AREA" fld="5" subtotal="count" baseField="0" baseItem="1558880112"/>
    <dataField name="Suma de GANANCIA POR SERVICIOS" fld="9" baseField="5" baseItem="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DB2B8B-6BBE-4C62-B7D4-3A74916F8101}" name="TablaDinámica2" cacheId="1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B11" firstHeaderRow="1" firstDataRow="1" firstDataCol="1" rowPageCount="1" colPageCount="1"/>
  <pivotFields count="20">
    <pivotField axis="axisPage" multipleItemSelectionAllowed="1" showAll="0">
      <items count="5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2"/>
        <item h="1" x="13"/>
        <item h="1" x="14"/>
        <item h="1" x="15"/>
        <item h="1" x="16"/>
        <item h="1" x="17"/>
        <item h="1" x="11"/>
        <item h="1" x="18"/>
        <item h="1" x="27"/>
        <item h="1" x="19"/>
        <item h="1" x="20"/>
        <item h="1" x="21"/>
        <item h="1" x="22"/>
        <item h="1" x="23"/>
        <item h="1" x="24"/>
        <item h="1" x="25"/>
        <item h="1" x="26"/>
        <item h="1"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h="1" m="1" x="55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13">
        <item x="6"/>
        <item m="1" x="11"/>
        <item x="2"/>
        <item x="3"/>
        <item x="8"/>
        <item x="9"/>
        <item x="5"/>
        <item x="0"/>
        <item x="4"/>
        <item x="1"/>
        <item x="7"/>
        <item x="10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5"/>
  </rowFields>
  <rowItems count="7">
    <i>
      <x/>
    </i>
    <i>
      <x v="2"/>
    </i>
    <i>
      <x v="4"/>
    </i>
    <i>
      <x v="7"/>
    </i>
    <i>
      <x v="9"/>
    </i>
    <i>
      <x v="11"/>
    </i>
    <i t="grand">
      <x/>
    </i>
  </rowItems>
  <colItems count="1">
    <i/>
  </colItems>
  <pageFields count="1">
    <pageField fld="0" hier="-1"/>
  </pageFields>
  <dataFields count="1">
    <dataField name="Suma de GANACIA  REPUESTOS" fld="18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ED8585-2461-47F8-B00A-97EB4931B82C}" name="TablaDinámica2" cacheId="1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B12" firstHeaderRow="1" firstDataRow="1" firstDataCol="1" rowPageCount="2" colPageCount="1"/>
  <pivotFields count="15">
    <pivotField axis="axisPage" multipleItemSelectionAllowed="1" showAll="0">
      <items count="61">
        <item h="1" x="0"/>
        <item h="1" x="1"/>
        <item h="1" x="2"/>
        <item h="1" x="3"/>
        <item h="1" x="4"/>
        <item h="1" x="5"/>
        <item h="1" x="38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5"/>
        <item h="1" x="4"/>
        <item x="2"/>
        <item h="1" x="1"/>
        <item h="1" x="3"/>
        <item h="1" x="0"/>
        <item h="1" x="9"/>
        <item h="1" x="6"/>
        <item h="1" x="7"/>
        <item h="1" x="8"/>
        <item t="default"/>
      </items>
    </pivotField>
    <pivotField axis="axisRow" showAll="0">
      <items count="254">
        <item x="5"/>
        <item x="17"/>
        <item x="22"/>
        <item x="32"/>
        <item x="10"/>
        <item x="23"/>
        <item x="24"/>
        <item x="26"/>
        <item x="14"/>
        <item x="7"/>
        <item x="9"/>
        <item x="30"/>
        <item x="18"/>
        <item x="33"/>
        <item x="31"/>
        <item x="6"/>
        <item x="3"/>
        <item x="28"/>
        <item x="12"/>
        <item x="15"/>
        <item x="16"/>
        <item x="8"/>
        <item x="20"/>
        <item x="21"/>
        <item x="27"/>
        <item x="29"/>
        <item x="25"/>
        <item x="4"/>
        <item x="13"/>
        <item x="19"/>
        <item x="0"/>
        <item x="2"/>
        <item x="11"/>
        <item x="1"/>
        <item m="1" x="252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8">
    <i>
      <x v="20"/>
    </i>
    <i>
      <x v="54"/>
    </i>
    <i>
      <x v="58"/>
    </i>
    <i>
      <x v="62"/>
    </i>
    <i>
      <x v="66"/>
    </i>
    <i>
      <x v="71"/>
    </i>
    <i>
      <x v="77"/>
    </i>
    <i t="grand">
      <x/>
    </i>
  </rowItems>
  <colItems count="1">
    <i/>
  </colItems>
  <pageFields count="2">
    <pageField fld="0" hier="-1"/>
    <pageField fld="5" hier="-1"/>
  </pageFields>
  <dataFields count="1">
    <dataField name="Suma de PORCENTAJE A CANCELAR" fld="8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37115C-19E1-403E-B077-55749EE68F3F}" name="TablaDinámica1" cacheId="13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>
  <location ref="A4:C18" firstHeaderRow="0" firstDataRow="1" firstDataCol="1" rowPageCount="2" colPageCount="1"/>
  <pivotFields count="15">
    <pivotField axis="axisPage" multipleItemSelectionAllowed="1" showAll="0">
      <items count="5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m="1" x="48"/>
        <item x="17"/>
        <item x="18"/>
        <item x="19"/>
        <item x="20"/>
        <item h="1" x="21"/>
        <item h="1" m="1" x="50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3"/>
        <item h="1" x="42"/>
        <item h="1" x="44"/>
        <item h="1" x="45"/>
        <item h="1" x="46"/>
        <item h="1" x="47"/>
        <item h="1" m="1" x="49"/>
        <item t="default"/>
      </items>
    </pivotField>
    <pivotField showAll="0"/>
    <pivotField showAll="0"/>
    <pivotField showAll="0"/>
    <pivotField showAll="0"/>
    <pivotField axis="axisPage" showAll="0">
      <items count="11">
        <item x="6"/>
        <item x="7"/>
        <item x="5"/>
        <item x="3"/>
        <item x="2"/>
        <item x="1"/>
        <item x="0"/>
        <item x="4"/>
        <item x="8"/>
        <item m="1" x="9"/>
        <item t="default"/>
      </items>
    </pivotField>
    <pivotField showAll="0"/>
    <pivotField showAll="0"/>
    <pivotField showAll="0"/>
    <pivotField showAll="0"/>
    <pivotField axis="axisRow" showAll="0">
      <items count="95">
        <item x="39"/>
        <item x="10"/>
        <item x="7"/>
        <item x="35"/>
        <item x="19"/>
        <item x="43"/>
        <item x="9"/>
        <item x="37"/>
        <item x="1"/>
        <item x="13"/>
        <item x="16"/>
        <item x="31"/>
        <item x="30"/>
        <item x="15"/>
        <item x="24"/>
        <item x="28"/>
        <item x="18"/>
        <item x="17"/>
        <item x="8"/>
        <item x="6"/>
        <item x="2"/>
        <item x="33"/>
        <item x="5"/>
        <item x="4"/>
        <item x="32"/>
        <item x="36"/>
        <item x="41"/>
        <item x="11"/>
        <item x="27"/>
        <item x="25"/>
        <item x="29"/>
        <item x="23"/>
        <item x="22"/>
        <item x="45"/>
        <item x="40"/>
        <item x="42"/>
        <item x="20"/>
        <item x="14"/>
        <item x="0"/>
        <item x="21"/>
        <item x="12"/>
        <item x="38"/>
        <item x="26"/>
        <item x="34"/>
        <item x="44"/>
        <item x="3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t="default"/>
      </items>
    </pivotField>
    <pivotField dataField="1" showAll="0"/>
    <pivotField dataField="1" showAll="0"/>
    <pivotField showAll="0"/>
    <pivotField showAll="0"/>
  </pivotFields>
  <rowFields count="1">
    <field x="10"/>
  </rowFields>
  <rowItems count="14">
    <i>
      <x/>
    </i>
    <i>
      <x v="5"/>
    </i>
    <i>
      <x v="26"/>
    </i>
    <i>
      <x v="33"/>
    </i>
    <i>
      <x v="34"/>
    </i>
    <i>
      <x v="35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-2"/>
  </colFields>
  <colItems count="2">
    <i>
      <x/>
    </i>
    <i i="1">
      <x v="1"/>
    </i>
  </colItems>
  <pageFields count="2">
    <pageField fld="0" hier="-1"/>
    <pageField fld="5" hier="-1"/>
  </pageFields>
  <dataFields count="2">
    <dataField name="Suma de MONTO DE COMPRA" fld="11" baseField="0" baseItem="0"/>
    <dataField name="Suma de MONTO DE LA VENTA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aDinámica1" cacheId="1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1">
  <location ref="A4:C10" firstHeaderRow="0" firstDataRow="1" firstDataCol="1" rowPageCount="2" colPageCount="1"/>
  <pivotFields count="14">
    <pivotField axis="axisPage" multipleItemSelectionAllowed="1" showAll="0" defaultSubtotal="0">
      <items count="3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29"/>
        <item h="1" x="17"/>
        <item h="1" x="18"/>
        <item h="1" x="19"/>
        <item h="1" x="20"/>
        <item h="1" x="21"/>
        <item h="1" x="22"/>
        <item x="23"/>
        <item x="24"/>
        <item x="25"/>
        <item m="1" x="31"/>
        <item x="26"/>
        <item x="27"/>
        <item x="28"/>
        <item h="1" m="1" x="30"/>
      </items>
    </pivotField>
    <pivotField showAll="0"/>
    <pivotField showAll="0" defaultSubtotal="0"/>
    <pivotField showAll="0"/>
    <pivotField showAll="0"/>
    <pivotField axis="axisPage" multipleItemSelectionAllowed="1" showAll="0">
      <items count="12">
        <item h="1" x="0"/>
        <item h="1" x="1"/>
        <item h="1" x="3"/>
        <item h="1" x="7"/>
        <item h="1" m="1" x="8"/>
        <item x="4"/>
        <item h="1" m="1" x="10"/>
        <item h="1" x="5"/>
        <item h="1" x="2"/>
        <item h="1" x="6"/>
        <item h="1" m="1" x="9"/>
        <item t="default"/>
      </items>
    </pivotField>
    <pivotField axis="axisRow" showAll="0">
      <items count="344">
        <item m="1" x="147"/>
        <item m="1" x="170"/>
        <item m="1" x="305"/>
        <item m="1" x="334"/>
        <item m="1" x="295"/>
        <item m="1" x="328"/>
        <item m="1" x="330"/>
        <item m="1" x="243"/>
        <item m="1" x="168"/>
        <item x="25"/>
        <item m="1" x="300"/>
        <item m="1" x="339"/>
        <item m="1" x="291"/>
        <item m="1" x="180"/>
        <item m="1" x="225"/>
        <item m="1" x="271"/>
        <item m="1" x="279"/>
        <item m="1" x="280"/>
        <item x="77"/>
        <item m="1" x="337"/>
        <item x="98"/>
        <item x="11"/>
        <item m="1" x="193"/>
        <item m="1" x="211"/>
        <item m="1" x="320"/>
        <item m="1" x="249"/>
        <item m="1" x="283"/>
        <item m="1" x="228"/>
        <item m="1" x="263"/>
        <item m="1" x="182"/>
        <item m="1" x="341"/>
        <item m="1" x="176"/>
        <item x="6"/>
        <item m="1" x="239"/>
        <item m="1" x="277"/>
        <item x="28"/>
        <item m="1" x="315"/>
        <item x="45"/>
        <item m="1" x="329"/>
        <item m="1" x="242"/>
        <item m="1" x="173"/>
        <item m="1" x="160"/>
        <item m="1" x="195"/>
        <item m="1" x="226"/>
        <item m="1" x="331"/>
        <item x="81"/>
        <item m="1" x="261"/>
        <item m="1" x="301"/>
        <item m="1" x="267"/>
        <item x="144"/>
        <item m="1" x="247"/>
        <item m="1" x="221"/>
        <item m="1" x="159"/>
        <item m="1" x="327"/>
        <item m="1" x="230"/>
        <item m="1" x="222"/>
        <item m="1" x="335"/>
        <item m="1" x="237"/>
        <item m="1" x="167"/>
        <item m="1" x="191"/>
        <item m="1" x="164"/>
        <item m="1" x="260"/>
        <item m="1" x="205"/>
        <item m="1" x="287"/>
        <item m="1" x="162"/>
        <item x="99"/>
        <item x="79"/>
        <item m="1" x="187"/>
        <item m="1" x="213"/>
        <item m="1" x="245"/>
        <item m="1" x="234"/>
        <item m="1" x="184"/>
        <item m="1" x="311"/>
        <item m="1" x="294"/>
        <item x="4"/>
        <item m="1" x="210"/>
        <item m="1" x="196"/>
        <item m="1" x="194"/>
        <item m="1" x="224"/>
        <item m="1" x="227"/>
        <item m="1" x="146"/>
        <item m="1" x="273"/>
        <item x="12"/>
        <item m="1" x="288"/>
        <item m="1" x="246"/>
        <item m="1" x="289"/>
        <item m="1" x="325"/>
        <item m="1" x="304"/>
        <item m="1" x="174"/>
        <item m="1" x="232"/>
        <item m="1" x="264"/>
        <item m="1" x="284"/>
        <item m="1" x="201"/>
        <item m="1" x="148"/>
        <item m="1" x="254"/>
        <item m="1" x="318"/>
        <item m="1" x="253"/>
        <item m="1" x="314"/>
        <item m="1" x="297"/>
        <item m="1" x="257"/>
        <item m="1" x="308"/>
        <item m="1" x="296"/>
        <item m="1" x="165"/>
        <item m="1" x="152"/>
        <item m="1" x="299"/>
        <item m="1" x="154"/>
        <item m="1" x="183"/>
        <item m="1" x="178"/>
        <item m="1" x="208"/>
        <item m="1" x="298"/>
        <item m="1" x="166"/>
        <item m="1" x="209"/>
        <item m="1" x="190"/>
        <item m="1" x="332"/>
        <item m="1" x="324"/>
        <item m="1" x="272"/>
        <item m="1" x="189"/>
        <item m="1" x="317"/>
        <item m="1" x="212"/>
        <item m="1" x="252"/>
        <item m="1" x="214"/>
        <item m="1" x="156"/>
        <item m="1" x="169"/>
        <item m="1" x="229"/>
        <item m="1" x="203"/>
        <item m="1" x="171"/>
        <item x="43"/>
        <item m="1" x="290"/>
        <item m="1" x="204"/>
        <item m="1" x="179"/>
        <item m="1" x="186"/>
        <item m="1" x="175"/>
        <item m="1" x="235"/>
        <item m="1" x="316"/>
        <item m="1" x="248"/>
        <item m="1" x="340"/>
        <item m="1" x="202"/>
        <item m="1" x="192"/>
        <item m="1" x="198"/>
        <item m="1" x="306"/>
        <item m="1" x="199"/>
        <item m="1" x="155"/>
        <item m="1" x="240"/>
        <item m="1" x="312"/>
        <item m="1" x="282"/>
        <item m="1" x="157"/>
        <item m="1" x="256"/>
        <item m="1" x="207"/>
        <item m="1" x="177"/>
        <item m="1" x="181"/>
        <item m="1" x="216"/>
        <item m="1" x="185"/>
        <item m="1" x="266"/>
        <item x="46"/>
        <item m="1" x="244"/>
        <item m="1" x="163"/>
        <item m="1" x="286"/>
        <item m="1" x="319"/>
        <item m="1" x="151"/>
        <item m="1" x="259"/>
        <item m="1" x="145"/>
        <item m="1" x="310"/>
        <item m="1" x="172"/>
        <item m="1" x="215"/>
        <item m="1" x="217"/>
        <item m="1" x="309"/>
        <item m="1" x="342"/>
        <item m="1" x="313"/>
        <item m="1" x="321"/>
        <item m="1" x="219"/>
        <item m="1" x="326"/>
        <item m="1" x="276"/>
        <item m="1" x="233"/>
        <item m="1" x="265"/>
        <item m="1" x="161"/>
        <item m="1" x="268"/>
        <item m="1" x="274"/>
        <item m="1" x="269"/>
        <item x="48"/>
        <item m="1" x="278"/>
        <item x="27"/>
        <item m="1" x="158"/>
        <item m="1" x="333"/>
        <item m="1" x="302"/>
        <item m="1" x="322"/>
        <item m="1" x="258"/>
        <item m="1" x="303"/>
        <item m="1" x="270"/>
        <item m="1" x="323"/>
        <item m="1" x="206"/>
        <item m="1" x="251"/>
        <item m="1" x="197"/>
        <item m="1" x="238"/>
        <item m="1" x="338"/>
        <item m="1" x="220"/>
        <item m="1" x="336"/>
        <item m="1" x="223"/>
        <item x="0"/>
        <item x="1"/>
        <item x="2"/>
        <item sd="0" x="3"/>
        <item sd="0" x="5"/>
        <item x="7"/>
        <item x="8"/>
        <item x="9"/>
        <item x="10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6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4"/>
        <item m="1" x="218"/>
        <item x="47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m="1" x="292"/>
        <item x="65"/>
        <item x="49"/>
        <item x="66"/>
        <item x="67"/>
        <item x="68"/>
        <item m="1" x="262"/>
        <item x="69"/>
        <item x="70"/>
        <item x="71"/>
        <item x="72"/>
        <item x="73"/>
        <item x="74"/>
        <item x="75"/>
        <item x="76"/>
        <item x="78"/>
        <item x="80"/>
        <item x="82"/>
        <item x="83"/>
        <item x="84"/>
        <item x="85"/>
        <item x="86"/>
        <item x="87"/>
        <item x="88"/>
        <item x="89"/>
        <item x="90"/>
        <item x="91"/>
        <item x="92"/>
        <item m="1" x="231"/>
        <item x="94"/>
        <item x="95"/>
        <item x="96"/>
        <item x="97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93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m="1" x="275"/>
        <item m="1" x="188"/>
        <item m="1" x="149"/>
        <item m="1" x="153"/>
        <item m="1" x="307"/>
        <item m="1" x="236"/>
        <item m="1" x="281"/>
        <item m="1" x="250"/>
        <item m="1" x="255"/>
        <item m="1" x="293"/>
        <item m="1" x="150"/>
        <item m="1" x="200"/>
        <item m="1" x="241"/>
        <item m="1" x="285"/>
        <item t="default"/>
      </items>
    </pivotField>
    <pivotField dataField="1" showAll="0"/>
    <pivotField dataField="1" showAll="0"/>
    <pivotField showAll="0" defaultSubtotal="0"/>
    <pivotField showAll="0"/>
    <pivotField showAll="0"/>
    <pivotField showAll="0" defaultSubtotal="0"/>
    <pivotField showAll="0" defaultSubtotal="0"/>
  </pivotFields>
  <rowFields count="1">
    <field x="6"/>
  </rowFields>
  <rowItems count="6">
    <i>
      <x v="320"/>
    </i>
    <i>
      <x v="321"/>
    </i>
    <i>
      <x v="322"/>
    </i>
    <i>
      <x v="325"/>
    </i>
    <i>
      <x v="326"/>
    </i>
    <i t="grand">
      <x/>
    </i>
  </rowItems>
  <colFields count="1">
    <field x="-2"/>
  </colFields>
  <colItems count="2">
    <i>
      <x/>
    </i>
    <i i="1">
      <x v="1"/>
    </i>
  </colItems>
  <pageFields count="2">
    <pageField fld="5" hier="-1"/>
    <pageField fld="0" hier="-1"/>
  </pageFields>
  <dataFields count="2">
    <dataField name="Suma de PORCENTAJE A CANCELAR" fld="8" baseField="1" baseItem="12"/>
    <dataField name="Suma de TOTAL FACTURA" fld="7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209274-57AD-421B-8FE9-553A34EA4695}" name="Tabla11" displayName="Tabla11" ref="A3:E8" totalsRowShown="0" headerRowDxfId="276" dataDxfId="275" dataCellStyle="Moneda">
  <autoFilter ref="A3:E8" xr:uid="{CF209274-57AD-421B-8FE9-553A34EA4695}"/>
  <tableColumns count="5">
    <tableColumn id="1" xr3:uid="{05BB221C-5FAE-4C9A-B78B-DF3E221C2AF2}" name="Columna1"/>
    <tableColumn id="2" xr3:uid="{726EEC63-25B1-4F28-8276-38CA2E020C10}" name="TOTAL FACTURADO" dataDxfId="274" dataCellStyle="Moneda"/>
    <tableColumn id="3" xr3:uid="{B9F32826-29F9-4C93-9D3E-0329949EB587}" name="GANANCIA POR SERVICIOS" dataDxfId="273" dataCellStyle="Moneda"/>
    <tableColumn id="4" xr3:uid="{9C87ED19-4D24-4E98-B1E2-E915D163CA7B}" name="GANANCIAS POR REPUESTOS" dataDxfId="272" dataCellStyle="Moneda"/>
    <tableColumn id="5" xr3:uid="{56711E9A-9032-4B12-9459-E4AC34664539}" name="Columna2" dataDxfId="271" dataCellStyle="Moneda">
      <calculatedColumnFormula>Tabla11[[#This Row],[GANANCIA POR SERVICIOS]]+Tabla11[[#This Row],[GANANCIAS POR REPUESTOS]]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75014A-7CA9-4B8C-9382-62D7D301B398}" name="Tabla12" displayName="Tabla12" ref="A36:E42" totalsRowShown="0" headerRowDxfId="270" dataDxfId="269" dataCellStyle="Moneda">
  <autoFilter ref="A36:E42" xr:uid="{9475014A-7CA9-4B8C-9382-62D7D301B398}"/>
  <tableColumns count="5">
    <tableColumn id="1" xr3:uid="{72F52995-4919-4F01-BF26-A6F8C0B5CC05}" name="Columna1"/>
    <tableColumn id="2" xr3:uid="{CB386103-364F-4C3E-ABAA-D620CA3EC8C7}" name="TOTAL FACTURADO" dataDxfId="268" dataCellStyle="Moneda"/>
    <tableColumn id="3" xr3:uid="{7F5ABA3C-EB57-4BC4-81E2-D38A0833C8D3}" name="GANANCIA POR SERVICIOS" dataDxfId="267" dataCellStyle="Moneda"/>
    <tableColumn id="4" xr3:uid="{C2750F51-C550-475F-B9B1-2493D6F0E9D9}" name="GANANCIAS POR REPUESTOS" dataDxfId="266" dataCellStyle="Moneda"/>
    <tableColumn id="5" xr3:uid="{946F4E63-A903-48BD-8968-59C14DC7B265}" name="Columna2" dataDxfId="265" dataCellStyle="Moneda">
      <calculatedColumnFormula>Tabla12[[#This Row],[GANANCIA POR SERVICIOS]]+Tabla12[[#This Row],[GANANCIAS POR REPUESTOS]]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781CD8-D65E-4C57-824C-2752C934FA1C}" name="Tabla2456711" displayName="Tabla2456711" ref="A1:T810" totalsRowCount="1" headerRowDxfId="264" dataDxfId="263">
  <autoFilter ref="A1:T809" xr:uid="{00000000-0009-0000-0100-000003000000}">
    <filterColumn colId="5">
      <filters>
        <filter val="DIEGO TORRES"/>
        <filter val="ILVAR MORENO"/>
        <filter val="RENY VASQUEZ"/>
        <filter val="SAMIR VASQUEZ"/>
      </filters>
    </filterColumn>
  </autoFilter>
  <tableColumns count="20">
    <tableColumn id="1" xr3:uid="{FD18653A-8B46-4817-828B-9852FCC86819}" name="FECHA" dataDxfId="262" totalsRowDxfId="261"/>
    <tableColumn id="2" xr3:uid="{3166973A-53CD-4DDF-A77B-B16644DDF7F4}" name="NUMERO DE FACTURA" dataDxfId="260" totalsRowDxfId="259"/>
    <tableColumn id="15" xr3:uid="{EA95A02F-659B-48AC-9618-A2A9E6063C69}" name="CLIENTE" dataDxfId="258" totalsRowDxfId="257"/>
    <tableColumn id="3" xr3:uid="{B22343AF-F167-4DB2-986A-1F39E8C05B57}" name="MODELO" dataDxfId="256" totalsRowDxfId="255"/>
    <tableColumn id="4" xr3:uid="{158032BE-D504-488E-AC9C-E76495492953}" name="PLACA" dataDxfId="254" totalsRowDxfId="253"/>
    <tableColumn id="12" xr3:uid="{DF05E8ED-8287-4626-A9A3-77EE851EA45F}" name="AREA" dataDxfId="252" totalsRowDxfId="251"/>
    <tableColumn id="5" xr3:uid="{014B1472-C862-4EA4-B8C3-8B02648F8B17}" name="DETALLES" dataDxfId="250" totalsRowDxfId="249"/>
    <tableColumn id="6" xr3:uid="{BAF134C1-CB6E-4B82-8778-E078D79E9C7B}" name="TOTAL FACTURA" totalsRowFunction="sum" dataDxfId="248" totalsRowDxfId="247" dataCellStyle="Moneda"/>
    <tableColumn id="7" xr3:uid="{5F2415BC-9CE8-475C-976A-DC5F91DDD7AC}" name="PORCENTAJE A CANCELAR" totalsRowFunction="sum" dataDxfId="246" totalsRowDxfId="245" dataCellStyle="Moneda"/>
    <tableColumn id="14" xr3:uid="{3537AF99-87AA-4E3A-95D3-932C165CB23B}" name="GANANCIA POR SERVICIOS" totalsRowFunction="sum" dataDxfId="244" totalsRowDxfId="243" dataCellStyle="Moneda">
      <calculatedColumnFormula>Tabla2456711[[#This Row],[TOTAL FACTURA]]-Tabla2456711[[#This Row],[PORCENTAJE A CANCELAR]]</calculatedColumnFormula>
    </tableColumn>
    <tableColumn id="8" xr3:uid="{B69018DE-60E9-41F9-9888-AA9FEE6B8F35}" name="REPUESTOS USADOS" dataDxfId="242" totalsRowDxfId="241"/>
    <tableColumn id="9" xr3:uid="{7B86F66B-0783-458D-97B9-9AC1EFAC4A8C}" name="MONTO DE COMPRA" totalsRowFunction="sum" dataDxfId="240" totalsRowDxfId="239"/>
    <tableColumn id="16" xr3:uid="{04481381-3138-4B62-B4FE-1F8C7C733F8D}" name="Columna1" dataDxfId="238" totalsRowDxfId="237">
      <calculatedColumnFormula>Tabla2456711[[#This Row],[MONTO DE COMPRA]]/1.19</calculatedColumnFormula>
    </tableColumn>
    <tableColumn id="20" xr3:uid="{CB92E9B5-71EA-4EDB-844E-5A2587AD91A6}" name="IV COMPRA" dataDxfId="236" totalsRowDxfId="235">
      <calculatedColumnFormula>Tabla2456711[[#This Row],[Columna1]]*19%</calculatedColumnFormula>
    </tableColumn>
    <tableColumn id="17" xr3:uid="{D4C70E8E-1B60-47C6-85D6-8A73CB4F4805}" name="VENTA " totalsRowFunction="sum" dataDxfId="234" totalsRowDxfId="233"/>
    <tableColumn id="21" xr3:uid="{6689727A-91EA-4979-BD8E-4E5BC0BD42DE}" name="Columna2" dataDxfId="232" totalsRowDxfId="231">
      <calculatedColumnFormula>Tabla2456711[[#This Row],[VENTA ]]/1.19</calculatedColumnFormula>
    </tableColumn>
    <tableColumn id="13" xr3:uid="{EF6A1E67-A5EF-4CD7-A2F1-BC0D01206896}" name="IVA VENTA " dataDxfId="230" totalsRowDxfId="229">
      <calculatedColumnFormula>Tabla2456711[[#This Row],[Columna2]]*19%</calculatedColumnFormula>
    </tableColumn>
    <tableColumn id="18" xr3:uid="{D77154DF-C3B3-4E68-96BB-FC822067F374}" name="DIFERENCIA IVA " dataDxfId="228" totalsRowDxfId="227">
      <calculatedColumnFormula>Tabla2456711[[#This Row],[IVA VENTA ]]-Tabla2456711[[#This Row],[Columna1]]</calculatedColumnFormula>
    </tableColumn>
    <tableColumn id="19" xr3:uid="{00059692-EF25-486A-849B-A83234A7E2DB}" name="GANACIA  REPUESTOS" totalsRowFunction="sum" dataDxfId="226" totalsRowDxfId="225">
      <calculatedColumnFormula>(Tabla2456711[[#This Row],[VENTA ]]-(Tabla2456711[[#This Row],[MONTO DE COMPRA]]-Tabla2456711[[#This Row],[DIFERENCIA IVA ]]))</calculatedColumnFormula>
    </tableColumn>
    <tableColumn id="11" xr3:uid="{D567A44E-6601-4483-B0FF-33982E94A517}" name="ESTATUS" dataDxfId="224" totalsRowDxfId="2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E353CF-CFD3-4BB4-A463-ABC6A1058A99}" name="Tabla210" displayName="Tabla210" ref="A1:O845" totalsRowShown="0" headerRowDxfId="216" dataDxfId="215">
  <autoFilter ref="A1:O845" xr:uid="{00000000-0009-0000-0100-000001000000}"/>
  <sortState xmlns:xlrd2="http://schemas.microsoft.com/office/spreadsheetml/2017/richdata2" ref="A2:L218">
    <sortCondition ref="A2:A218"/>
  </sortState>
  <tableColumns count="15">
    <tableColumn id="1" xr3:uid="{D86D70D2-1F42-4253-A0C6-C5869A395167}" name="FECHA" dataDxfId="214"/>
    <tableColumn id="2" xr3:uid="{DABF2FD0-5CF6-4E80-91EA-535FFF5E9008}" name="NUMERO DE FACTURA" dataDxfId="213"/>
    <tableColumn id="15" xr3:uid="{C8755372-5C54-449A-8E58-AC5919E87A00}" name="CLIENTE" dataDxfId="212"/>
    <tableColumn id="3" xr3:uid="{307B2AF0-A37D-46CD-86D8-7974B35B8BF5}" name="MODELO" dataDxfId="211"/>
    <tableColumn id="4" xr3:uid="{D9629BFD-12A0-43C1-9AD1-CC49F46006B7}" name="PLACA" dataDxfId="210"/>
    <tableColumn id="12" xr3:uid="{C62E6BF7-8ADE-466B-8659-00019EF9C21B}" name="AREA" dataDxfId="209"/>
    <tableColumn id="5" xr3:uid="{20EE2BB8-B519-40C5-A47A-AB92D4F242D9}" name="DETALLES" dataDxfId="208"/>
    <tableColumn id="6" xr3:uid="{024D8E28-4B4D-4004-82E8-F108E4174BC1}" name="TOTAL FACTURA" dataDxfId="207" dataCellStyle="Moneda"/>
    <tableColumn id="7" xr3:uid="{EFD4C607-1467-4A60-A6A6-73DF08F5343D}" name="PORCENTAJE A CANCELAR" dataDxfId="206" dataCellStyle="Moneda"/>
    <tableColumn id="14" xr3:uid="{C5A392DE-6903-4F51-A6D3-C44B0B41F0BF}" name="GANANCIA POR SERVICIOS" dataDxfId="205" dataCellStyle="Moneda">
      <calculatedColumnFormula>Tabla210[[#This Row],[TOTAL FACTURA]]*0.4</calculatedColumnFormula>
    </tableColumn>
    <tableColumn id="8" xr3:uid="{456B70B5-8818-4C0B-AE44-E12D337B957F}" name="REPUESTOS USADOS" dataDxfId="204"/>
    <tableColumn id="9" xr3:uid="{42D660B6-6EBD-4A01-8511-7D7114B60174}" name="MONTO DE COMPRA" dataDxfId="203"/>
    <tableColumn id="13" xr3:uid="{1D87D196-B68C-460F-B74F-0EBF7E590226}" name="MONTO DE LA VENTA" dataDxfId="202"/>
    <tableColumn id="11" xr3:uid="{5775A1E9-704B-4F1E-943F-6F32BBF3DF14}" name="ESTATUS" dataDxfId="201"/>
    <tableColumn id="10" xr3:uid="{F46B0BC6-C6D1-451A-8985-82D004099070}" name="GANANCIA POR REPUESTOS" dataDxfId="200" dataCellStyle="Moneda">
      <calculatedColumnFormula>Tabla210[[#This Row],[MONTO DE COMPRA]]-Tabla210[[#This Row],[MONTO DE LA VENTA]]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O187" totalsRowShown="0" headerRowDxfId="199" dataDxfId="198">
  <autoFilter ref="A1:O187" xr:uid="{00000000-0009-0000-0100-000001000000}"/>
  <sortState xmlns:xlrd2="http://schemas.microsoft.com/office/spreadsheetml/2017/richdata2" ref="A3:L187">
    <sortCondition ref="A2:A187"/>
  </sortState>
  <tableColumns count="15">
    <tableColumn id="1" xr3:uid="{00000000-0010-0000-0000-000001000000}" name="FECHA" dataDxfId="197"/>
    <tableColumn id="2" xr3:uid="{00000000-0010-0000-0000-000002000000}" name="NUMERO DE FACTURA" dataDxfId="196"/>
    <tableColumn id="15" xr3:uid="{00000000-0010-0000-0000-00000F000000}" name="CLIENTE" dataDxfId="195"/>
    <tableColumn id="3" xr3:uid="{00000000-0010-0000-0000-000003000000}" name="MODELO" dataDxfId="194"/>
    <tableColumn id="4" xr3:uid="{00000000-0010-0000-0000-000004000000}" name="PLACA" dataDxfId="193"/>
    <tableColumn id="12" xr3:uid="{00000000-0010-0000-0000-00000C000000}" name="AREA" dataDxfId="192"/>
    <tableColumn id="5" xr3:uid="{00000000-0010-0000-0000-000005000000}" name="DETALLES" dataDxfId="191"/>
    <tableColumn id="6" xr3:uid="{00000000-0010-0000-0000-000006000000}" name="TOTAL FACTURA" dataDxfId="190" dataCellStyle="Moneda"/>
    <tableColumn id="7" xr3:uid="{00000000-0010-0000-0000-000007000000}" name="PORCENTAJE A CANCELAR" dataDxfId="189" dataCellStyle="Moneda"/>
    <tableColumn id="14" xr3:uid="{00000000-0010-0000-0000-00000E000000}" name="GANANCIA POR SERVICIOS" dataDxfId="188" dataCellStyle="Moneda">
      <calculatedColumnFormula>Tabla2[[#This Row],[TOTAL FACTURA]]*0.4</calculatedColumnFormula>
    </tableColumn>
    <tableColumn id="8" xr3:uid="{00000000-0010-0000-0000-000008000000}" name="REPUESTOS USADOS" dataDxfId="187"/>
    <tableColumn id="9" xr3:uid="{00000000-0010-0000-0000-000009000000}" name="MONTO DE COMPRA" dataDxfId="186"/>
    <tableColumn id="13" xr3:uid="{00000000-0010-0000-0000-00000D000000}" name="MONTO DE LA VENTA" dataDxfId="185"/>
    <tableColumn id="11" xr3:uid="{00000000-0010-0000-0000-00000B000000}" name="ESTATUS" dataDxfId="184"/>
    <tableColumn id="10" xr3:uid="{00000000-0010-0000-0000-00000A000000}" name="GANANCIA POR REPUESTOS" dataDxfId="183" dataCellStyle="Moneda">
      <calculatedColumnFormula>Tabla2[[#This Row],[MONTO DE COMPRA]]-Tabla2[[#This Row],[MONTO DE LA VENTA]]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24" displayName="Tabla24" ref="A1:O230" totalsRowShown="0" headerRowDxfId="182" dataDxfId="181">
  <autoFilter ref="A1:O230" xr:uid="{00000000-0009-0000-0100-000003000000}"/>
  <tableColumns count="15">
    <tableColumn id="1" xr3:uid="{00000000-0010-0000-0100-000001000000}" name="FECHA" dataDxfId="180"/>
    <tableColumn id="2" xr3:uid="{00000000-0010-0000-0100-000002000000}" name="NUMERO DE FACTURA" dataDxfId="179"/>
    <tableColumn id="15" xr3:uid="{00000000-0010-0000-0100-00000F000000}" name="CLIENTE" dataDxfId="178"/>
    <tableColumn id="3" xr3:uid="{00000000-0010-0000-0100-000003000000}" name="MODELO" dataDxfId="177"/>
    <tableColumn id="4" xr3:uid="{00000000-0010-0000-0100-000004000000}" name="PLACA" dataDxfId="176"/>
    <tableColumn id="12" xr3:uid="{00000000-0010-0000-0100-00000C000000}" name="AREA" dataDxfId="175"/>
    <tableColumn id="5" xr3:uid="{00000000-0010-0000-0100-000005000000}" name="DETALLES" dataDxfId="174"/>
    <tableColumn id="6" xr3:uid="{00000000-0010-0000-0100-000006000000}" name="TOTAL FACTURA" dataDxfId="173" dataCellStyle="Moneda"/>
    <tableColumn id="7" xr3:uid="{00000000-0010-0000-0100-000007000000}" name="PORCENTAJE A CANCELAR" dataDxfId="172" dataCellStyle="Moneda"/>
    <tableColumn id="14" xr3:uid="{00000000-0010-0000-0100-00000E000000}" name="GANANCIA POR SERVICIOS" dataDxfId="171" dataCellStyle="Moneda">
      <calculatedColumnFormula>Tabla24[[#This Row],[TOTAL FACTURA]]*0.4</calculatedColumnFormula>
    </tableColumn>
    <tableColumn id="8" xr3:uid="{00000000-0010-0000-0100-000008000000}" name="REPUESTOS USADOS" dataDxfId="170"/>
    <tableColumn id="9" xr3:uid="{00000000-0010-0000-0100-000009000000}" name="MONTO DE COMPRA" dataDxfId="169"/>
    <tableColumn id="13" xr3:uid="{00000000-0010-0000-0100-00000D000000}" name="MONTO DE LA VENTA" dataDxfId="168"/>
    <tableColumn id="11" xr3:uid="{00000000-0010-0000-0100-00000B000000}" name="ESTATUS" dataDxfId="167"/>
    <tableColumn id="10" xr3:uid="{00000000-0010-0000-0100-00000A000000}" name="GANANCIA POR REPUESTOS" dataDxfId="166" dataCellStyle="Moneda">
      <calculatedColumnFormula>Tabla24[[#This Row],[MONTO DE LA VENTA]]-Tabla24[[#This Row],[MONTO DE COMPRA]]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647EE6-451E-4186-A7FC-EE0DFE44F820}" name="Tabla245" displayName="Tabla245" ref="A1:O131" totalsRowShown="0" headerRowDxfId="165" dataDxfId="164">
  <autoFilter ref="A1:O131" xr:uid="{00000000-0009-0000-0100-000003000000}"/>
  <tableColumns count="15">
    <tableColumn id="1" xr3:uid="{47ADF053-266C-4839-9096-47ACAD5EF0F0}" name="FECHA" dataDxfId="163"/>
    <tableColumn id="2" xr3:uid="{DBCA4706-3DB8-4935-A6A8-94595A755E40}" name="NUMERO DE FACTURA" dataDxfId="162"/>
    <tableColumn id="15" xr3:uid="{BF711DD4-8964-4CCD-A9C6-801515F8E257}" name="CLIENTE" dataDxfId="161"/>
    <tableColumn id="3" xr3:uid="{D3296102-9CDC-4B60-A690-10397680C1E0}" name="MODELO" dataDxfId="160"/>
    <tableColumn id="4" xr3:uid="{82E242D2-71E7-4759-A076-4155CD99E401}" name="PLACA" dataDxfId="159"/>
    <tableColumn id="12" xr3:uid="{E41184D8-9102-4C6C-ABFD-FEB760F4CC22}" name="AREA" dataDxfId="158"/>
    <tableColumn id="5" xr3:uid="{120ADE10-908A-4462-8116-0A089C1CF95F}" name="DETALLES" dataDxfId="157"/>
    <tableColumn id="6" xr3:uid="{94D6B664-4CC2-40E7-9741-CDAE2186F794}" name="TOTAL FACTURA" dataDxfId="156" dataCellStyle="Moneda"/>
    <tableColumn id="7" xr3:uid="{8D18967B-E325-4AE4-8A11-A025B96100ED}" name="PORCENTAJE A CANCELAR" dataDxfId="155" dataCellStyle="Moneda">
      <calculatedColumnFormula>Tabla245[[#This Row],[TOTAL FACTURA]]*0.6</calculatedColumnFormula>
    </tableColumn>
    <tableColumn id="14" xr3:uid="{283E73C3-BC1C-4312-90F5-8DDCE0BC42FB}" name="GANANCIA POR SERVICIOS" dataDxfId="154" dataCellStyle="Moneda">
      <calculatedColumnFormula>Tabla245[[#This Row],[TOTAL FACTURA]]*0.4</calculatedColumnFormula>
    </tableColumn>
    <tableColumn id="8" xr3:uid="{CFCA26EE-15E6-449B-93A5-DBFDA86D2EA2}" name="REPUESTOS USADOS" dataDxfId="153"/>
    <tableColumn id="9" xr3:uid="{13D8BC8E-EA40-4242-975E-C21DB26A1894}" name="MONTO DE COMPRA" dataDxfId="152">
      <calculatedColumnFormula>18000+40000+80000+20000+12000</calculatedColumnFormula>
    </tableColumn>
    <tableColumn id="13" xr3:uid="{E17E1D40-F244-46AF-B5E9-6DFDDABCEEC5}" name="MONTO DE LA VENTA" dataDxfId="151"/>
    <tableColumn id="11" xr3:uid="{5C8F75DD-9BBB-40B7-9327-15DAB046D1C5}" name="ESTATUS" dataDxfId="150"/>
    <tableColumn id="10" xr3:uid="{14B71C80-EF42-4BC0-9395-E2095A2DD5D4}" name="GANANCIA POR REPUESTOS" dataDxfId="149" dataCellStyle="Moneda">
      <calculatedColumnFormula>Tabla245[[#This Row],[MONTO DE LA VENTA]]-Tabla245[[#This Row],[MONTO DE COMPRA]]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F304B2-4648-46A1-BBCA-29D3F93F9CA3}" name="Tabla2456" displayName="Tabla2456" ref="A1:O301" totalsRowShown="0" headerRowDxfId="148" dataDxfId="147">
  <autoFilter ref="A1:O301" xr:uid="{00000000-0009-0000-0100-000003000000}"/>
  <tableColumns count="15">
    <tableColumn id="1" xr3:uid="{846EB6C5-E7CE-4134-B6B1-D17CF4D1E151}" name="FECHA" dataDxfId="146"/>
    <tableColumn id="2" xr3:uid="{D7961E11-615B-485E-8B69-6203F71BAEBE}" name="NUMERO DE FACTURA" dataDxfId="145"/>
    <tableColumn id="15" xr3:uid="{42B27548-A8B1-4272-8DB1-AEE3C29B21B9}" name="CLIENTE" dataDxfId="144"/>
    <tableColumn id="3" xr3:uid="{A9EE8D4D-FB9F-40AC-8C5D-B4D6942028CF}" name="MODELO" dataDxfId="143"/>
    <tableColumn id="4" xr3:uid="{64CD51AF-4100-4BB1-9A3B-3C45F8E417D7}" name="PLACA" dataDxfId="142"/>
    <tableColumn id="12" xr3:uid="{B2ED3D77-BE74-4B46-B0EE-6EC612C7AC6C}" name="AREA" dataDxfId="141"/>
    <tableColumn id="5" xr3:uid="{2A74E508-5B5D-4CBD-8CAF-86FFD3A37DE6}" name="DETALLES" dataDxfId="140"/>
    <tableColumn id="6" xr3:uid="{61B6EDE0-28D1-414E-BB16-15C50C1E90AC}" name="TOTAL FACTURA" dataDxfId="139" dataCellStyle="Moneda"/>
    <tableColumn id="7" xr3:uid="{BC7A64E3-F694-4C7E-B9E4-9B956ADD9102}" name="PORCENTAJE A CANCELAR" dataDxfId="138" dataCellStyle="Moneda"/>
    <tableColumn id="14" xr3:uid="{C219F7B9-9CC1-4E53-BAB4-5C7D30F2D7B3}" name="GANANCIA POR SERVICIOS" dataDxfId="137" dataCellStyle="Moneda"/>
    <tableColumn id="8" xr3:uid="{8469AA1F-16C8-4FB5-8129-D209A8C455DF}" name="REPUESTOS USADOS" dataDxfId="136"/>
    <tableColumn id="9" xr3:uid="{1BC035FD-20EB-41D7-A234-1FA9B65D26A1}" name="MONTO DE COMPRA" dataDxfId="135"/>
    <tableColumn id="13" xr3:uid="{86FE5EE1-7920-44F0-8D2B-3C72CDEE8F42}" name="Columna1" dataDxfId="134"/>
    <tableColumn id="11" xr3:uid="{6FA021CA-6C28-4957-8CFA-DA1DE069F177}" name="ESTATUS" dataDxfId="133"/>
    <tableColumn id="10" xr3:uid="{1B9981AA-36A1-4076-B048-959007DE9B6C}" name="GANANCIA POR REPUESTOS" dataDxfId="132" dataCellStyle="Moned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828BDE-775D-49CE-881D-BFCDAA9DC2F3}" name="Tabla24567" displayName="Tabla24567" ref="A1:T121" totalsRowCount="1" headerRowDxfId="131" dataDxfId="130">
  <autoFilter ref="A1:T120" xr:uid="{00000000-0009-0000-0100-000003000000}"/>
  <tableColumns count="20">
    <tableColumn id="1" xr3:uid="{86CB0D4E-645F-4FF6-9713-1EB7E7A99A66}" name="FECHA" dataDxfId="129" totalsRowDxfId="128"/>
    <tableColumn id="2" xr3:uid="{69C74CE7-C5FE-4C13-9EDD-2A8CE3F90206}" name="NUMERO DE FACTURA" dataDxfId="127" totalsRowDxfId="126"/>
    <tableColumn id="15" xr3:uid="{7D4931CB-F770-48E8-9248-D8B98C828F8B}" name="CLIENTE" dataDxfId="125" totalsRowDxfId="124"/>
    <tableColumn id="3" xr3:uid="{58320F4E-2E19-4197-A5A5-FBD6AF0F0E8F}" name="MODELO" dataDxfId="123" totalsRowDxfId="122"/>
    <tableColumn id="4" xr3:uid="{9060D94B-63BE-4360-8135-2FB3B9EEAC6D}" name="PLACA" dataDxfId="121" totalsRowDxfId="120"/>
    <tableColumn id="12" xr3:uid="{5FEBB2C2-D100-41E8-953B-0DC72AA8FC04}" name="AREA" dataDxfId="119" totalsRowDxfId="118"/>
    <tableColumn id="5" xr3:uid="{90C2FC72-E79C-404A-878D-B9D95B538F7D}" name="DETALLES" dataDxfId="117" totalsRowDxfId="116"/>
    <tableColumn id="6" xr3:uid="{E5C267C1-0C76-448B-A46D-FCF82A4DF946}" name="TOTAL FACTURA" dataDxfId="115" totalsRowDxfId="114" dataCellStyle="Moneda"/>
    <tableColumn id="7" xr3:uid="{F91FB496-6E50-4273-B528-B8F0792BF5A4}" name="PORCENTAJE A CANCELAR" dataDxfId="113" totalsRowDxfId="112" dataCellStyle="Moneda"/>
    <tableColumn id="14" xr3:uid="{AE851E93-E504-41AE-B779-5D48DF9158E3}" name="GANANCIA POR SERVICIOS" dataDxfId="111" totalsRowDxfId="110" dataCellStyle="Moneda">
      <calculatedColumnFormula>Tabla24567[[#This Row],[TOTAL FACTURA]]-Tabla24567[[#This Row],[PORCENTAJE A CANCELAR]]</calculatedColumnFormula>
    </tableColumn>
    <tableColumn id="8" xr3:uid="{3F684C7E-CAC9-44BF-BE69-CC59251BED9F}" name="REPUESTOS USADOS" dataDxfId="109" totalsRowDxfId="108"/>
    <tableColumn id="9" xr3:uid="{76A3BE44-4A1D-454D-86CE-0146B0D3BCE5}" name="MONTO DE COMPRA" dataDxfId="107" totalsRowDxfId="106"/>
    <tableColumn id="16" xr3:uid="{D3E4E776-459F-48BB-BE97-46D02DC0E821}" name="Columna1" dataDxfId="105" totalsRowDxfId="104">
      <calculatedColumnFormula>Tabla24567[[#This Row],[MONTO DE COMPRA]]/1.19</calculatedColumnFormula>
    </tableColumn>
    <tableColumn id="20" xr3:uid="{52EA13C5-8B2A-476F-AE9A-E7BE9A737661}" name="IV COMPRA" dataDxfId="103" totalsRowDxfId="102">
      <calculatedColumnFormula>Tabla24567[[#This Row],[Columna1]]*19%</calculatedColumnFormula>
    </tableColumn>
    <tableColumn id="17" xr3:uid="{943925A2-7A9C-4AEB-84BF-CDDBD3FB3E15}" name="VENTA " dataDxfId="101" totalsRowDxfId="100"/>
    <tableColumn id="21" xr3:uid="{69724945-6BC7-401F-89D5-4BE03286677D}" name="Columna2" dataDxfId="99" totalsRowDxfId="98">
      <calculatedColumnFormula>Tabla24567[[#This Row],[VENTA ]]/1.19</calculatedColumnFormula>
    </tableColumn>
    <tableColumn id="13" xr3:uid="{13141705-AF96-4149-A9DD-A59CE765AAD8}" name="IVA VENTA " dataDxfId="97" totalsRowDxfId="96">
      <calculatedColumnFormula>Tabla24567[[#This Row],[Columna2]]*19%</calculatedColumnFormula>
    </tableColumn>
    <tableColumn id="18" xr3:uid="{0B8F709F-9A32-417C-A455-3CE1381F5AAF}" name="DIFERENCIA IVA " dataDxfId="95" totalsRowDxfId="94">
      <calculatedColumnFormula>Tabla24567[[#This Row],[IVA VENTA ]]-Tabla24567[[#This Row],[Columna1]]</calculatedColumnFormula>
    </tableColumn>
    <tableColumn id="19" xr3:uid="{3A516298-9C54-43C9-8FE9-E04C64A77297}" name="GANACIA  REPUESTOS" dataDxfId="93" totalsRowDxfId="92">
      <calculatedColumnFormula>(Tabla24567[[#This Row],[VENTA ]]-(Tabla24567[[#This Row],[MONTO DE COMPRA]]-Tabla24567[[#This Row],[DIFERENCIA IVA ]]))</calculatedColumnFormula>
    </tableColumn>
    <tableColumn id="11" xr3:uid="{45874593-6264-4EA3-9F6E-DAAE9E758AE7}" name="ESTATUS" dataDxfId="91" totalsRowDxfId="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9C97B4-2C0C-4FAD-A9F5-346AE2DAE1BB}" name="Tabla245678" displayName="Tabla245678" ref="A2:T267" totalsRowCount="1" headerRowDxfId="89" dataDxfId="88" totalsRowDxfId="87">
  <autoFilter ref="A2:T266" xr:uid="{00000000-0009-0000-0100-000003000000}"/>
  <tableColumns count="20">
    <tableColumn id="1" xr3:uid="{E399CA64-CE29-47C9-9F3A-526A287C94EF}" name="FECHA" dataDxfId="86" totalsRowDxfId="85"/>
    <tableColumn id="2" xr3:uid="{8ED24B12-E8CB-44AE-AA6B-4BA8253435AE}" name="NUMERO DE FACTURA" dataDxfId="84" totalsRowDxfId="83"/>
    <tableColumn id="15" xr3:uid="{2F116713-B606-46B0-AA21-82F53A162976}" name="CLIENTE" dataDxfId="82" totalsRowDxfId="81"/>
    <tableColumn id="4" xr3:uid="{29FB50AA-434D-4738-B2DE-13EBE789340B}" name="PLACA" dataDxfId="80" totalsRowDxfId="79"/>
    <tableColumn id="3" xr3:uid="{0531F0A7-AD70-42DB-B1CC-79D499639F2A}" name="MODELO" dataDxfId="78" totalsRowDxfId="77"/>
    <tableColumn id="12" xr3:uid="{B7C01D9E-E507-4B74-A5B8-D955695E259B}" name="AREA" dataDxfId="76" totalsRowDxfId="75"/>
    <tableColumn id="5" xr3:uid="{3141D5B4-AC90-4880-BFA5-57747BED933A}" name="DETALLES" dataDxfId="74" totalsRowDxfId="73" dataCellStyle="Moneda"/>
    <tableColumn id="6" xr3:uid="{68F93864-D4DF-4758-9CB7-E05227AA802C}" name="TOTAL FACTURA" dataDxfId="72" totalsRowDxfId="71" dataCellStyle="Moneda"/>
    <tableColumn id="7" xr3:uid="{4CEB4996-2E54-4A5D-BF07-831A25D1E7A5}" name="PORCENTAJE A CANCELAR" dataDxfId="70" totalsRowDxfId="69" dataCellStyle="Moneda"/>
    <tableColumn id="14" xr3:uid="{CBA01EC4-778D-4AA0-919C-EBCC01BBDA40}" name="GANANCIA POR SERVICIOS" dataDxfId="68" totalsRowDxfId="67" dataCellStyle="Moneda"/>
    <tableColumn id="8" xr3:uid="{2A3ED6D4-6283-4EFA-849C-738ECE06189A}" name="REPUESTOS USADOS" dataDxfId="66" totalsRowDxfId="65"/>
    <tableColumn id="9" xr3:uid="{FDC80D50-4EC5-4427-AF88-966C741CEB44}" name="MONTO DE COMPRA" dataDxfId="64" totalsRowDxfId="63"/>
    <tableColumn id="16" xr3:uid="{2ECD4F2D-AB85-4E04-906B-1BDB81901DC1}" name="Columna1" dataDxfId="62" totalsRowDxfId="61"/>
    <tableColumn id="20" xr3:uid="{A1874B72-B8C1-4780-8D61-8B5797737B52}" name="IV COMPRA" dataDxfId="60" totalsRowDxfId="59"/>
    <tableColumn id="17" xr3:uid="{E62B8DA1-A646-496B-B93D-43E06E0D910D}" name="VENTA " dataDxfId="58" totalsRowDxfId="57"/>
    <tableColumn id="21" xr3:uid="{A01D3E8C-604D-4173-89FB-74ABD1C4E8A6}" name="Columna2" dataDxfId="56" totalsRowDxfId="55"/>
    <tableColumn id="13" xr3:uid="{B05DB604-AD5F-44FD-9517-5371A63212CF}" name="IVA VENTA " dataDxfId="54" totalsRowDxfId="53"/>
    <tableColumn id="18" xr3:uid="{EF28699B-4BCD-4D2E-9789-A629418BEB14}" name="DIFERENCIA IVA " dataDxfId="52" totalsRowDxfId="51"/>
    <tableColumn id="19" xr3:uid="{90BCD98B-D998-4A94-815C-0A1512D89D17}" name="GANACIA  REPUESTOS" dataDxfId="50" totalsRowDxfId="49"/>
    <tableColumn id="11" xr3:uid="{04BCF116-9036-4BE8-AB0F-8CA73EAC90E6}" name="ESTATUS" dataDxfId="48" totalsRowDxfId="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C70A81-134B-422A-A833-B26637B00D29}" name="Tabla2456789" displayName="Tabla2456789" ref="A1:T427" totalsRowCount="1" headerRowDxfId="46" dataDxfId="45" totalsRowDxfId="44">
  <autoFilter ref="A1:T426" xr:uid="{00000000-0009-0000-0100-000003000000}"/>
  <tableColumns count="20">
    <tableColumn id="1" xr3:uid="{8848B350-DCA6-4410-A03D-BA22730091E1}" name="FECHA" dataDxfId="43" totalsRowDxfId="42"/>
    <tableColumn id="2" xr3:uid="{029B4F6E-25EB-4416-AE10-0243587849B1}" name="NUMERO DE FACTURA" dataDxfId="41" totalsRowDxfId="40"/>
    <tableColumn id="15" xr3:uid="{A26AE4A2-09D2-4177-849C-5DABCCDA43B5}" name="CLIENTE" dataDxfId="39" totalsRowDxfId="38"/>
    <tableColumn id="4" xr3:uid="{56542B73-B3B1-41FD-927E-E9FC23FB81BD}" name="PLACA" dataDxfId="37" totalsRowDxfId="36"/>
    <tableColumn id="3" xr3:uid="{6F14B35D-5105-4EE4-BE0A-AD54E487A33F}" name="MODELO" dataDxfId="35" totalsRowDxfId="34"/>
    <tableColumn id="12" xr3:uid="{1AE78D5B-0E94-49F3-9733-2E89D41D8B82}" name="AREA" dataDxfId="33" totalsRowDxfId="32"/>
    <tableColumn id="5" xr3:uid="{9B94B9D8-A032-440D-A51F-1A99AEB385AB}" name="DETALLES" dataDxfId="31" totalsRowDxfId="30" dataCellStyle="Moneda"/>
    <tableColumn id="6" xr3:uid="{AB9B399C-ABCB-4881-A429-84FC56271D32}" name="TOTAL FACTURA" totalsRowFunction="sum" dataDxfId="29" totalsRowDxfId="28" dataCellStyle="Moneda"/>
    <tableColumn id="7" xr3:uid="{1A77D3AC-8333-4BAE-9946-CA3C2BD0E6A6}" name="PORCENTAJE A CANCELAR" totalsRowFunction="sum" dataDxfId="27" totalsRowDxfId="26" dataCellStyle="Moneda">
      <calculatedColumnFormula>Tabla2456789[[#This Row],[TOTAL FACTURA]]*0.7</calculatedColumnFormula>
    </tableColumn>
    <tableColumn id="14" xr3:uid="{D7A43378-B698-4D27-85B2-8D59BA38CE3F}" name="GANANCIA POR SERVICIOS" totalsRowFunction="sum" dataDxfId="25" totalsRowDxfId="24" dataCellStyle="Moneda">
      <calculatedColumnFormula>H2-I2</calculatedColumnFormula>
    </tableColumn>
    <tableColumn id="8" xr3:uid="{941C4A54-4758-4ACB-B37E-AE7C89058D53}" name="REPUESTOS USADOS" dataDxfId="23" totalsRowDxfId="22"/>
    <tableColumn id="9" xr3:uid="{10FCBD37-1A6D-43C7-BD23-36E797DA6053}" name="MONTO DE COMPRA" dataDxfId="21" totalsRowDxfId="20"/>
    <tableColumn id="16" xr3:uid="{B18ADAD2-7D5E-413E-88C1-E0F7177228EF}" name="Columna1" dataDxfId="19" totalsRowDxfId="18">
      <calculatedColumnFormula>Tabla2456789[[#This Row],[MONTO DE COMPRA]]/1.19</calculatedColumnFormula>
    </tableColumn>
    <tableColumn id="20" xr3:uid="{4EDAB9DF-75F1-4CB6-9102-ABF1C240C76E}" name="IV COMPRA" dataDxfId="17" totalsRowDxfId="16">
      <calculatedColumnFormula>Tabla2456789[[#This Row],[Columna1]]*19%</calculatedColumnFormula>
    </tableColumn>
    <tableColumn id="17" xr3:uid="{B4829C75-CCA3-497B-863F-41A4838C79F1}" name="VENTA " dataDxfId="15" totalsRowDxfId="14"/>
    <tableColumn id="21" xr3:uid="{655400FA-C5C5-4217-84A0-C60B2A3F7400}" name="Columna2" dataDxfId="13" totalsRowDxfId="12">
      <calculatedColumnFormula>Tabla2456789[[#This Row],[VENTA ]]/1.19</calculatedColumnFormula>
    </tableColumn>
    <tableColumn id="13" xr3:uid="{C370A239-E960-4498-AC13-E7916F88B398}" name="IVA VENTA " dataDxfId="11" totalsRowDxfId="10">
      <calculatedColumnFormula>Tabla2456789[[#This Row],[Columna2]]*19%</calculatedColumnFormula>
    </tableColumn>
    <tableColumn id="18" xr3:uid="{2C6E3CB4-8FCF-4783-8D37-4A3FF8321781}" name="DIFERENCIA IVA " dataDxfId="9" totalsRowDxfId="8">
      <calculatedColumnFormula>Tabla2456789[[#This Row],[IVA VENTA ]]-Tabla2456789[[#This Row],[IV COMPRA]]</calculatedColumnFormula>
    </tableColumn>
    <tableColumn id="19" xr3:uid="{5C46EC1E-8432-4FD6-888F-EF3D82546CC0}" name="GANACIA  REPUESTOS" dataDxfId="7" totalsRowDxfId="6">
      <calculatedColumnFormula>(Tabla2456789[[#This Row],[VENTA ]]-(Tabla2456789[[#This Row],[MONTO DE COMPRA]]+Tabla2456789[[#This Row],[DIFERENCIA IVA ]]))</calculatedColumnFormula>
    </tableColumn>
    <tableColumn id="11" xr3:uid="{E4383C13-24F5-4B7F-966A-B837633D83B9}" name="ESTATUS" dataDxfId="5" totalsRowDxfId="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7" displayName="Tabla7" ref="A1:A12" totalsRowShown="0" headerRowDxfId="0">
  <autoFilter ref="A1:A12" xr:uid="{00000000-0009-0000-0100-000002000000}"/>
  <sortState xmlns:xlrd2="http://schemas.microsoft.com/office/spreadsheetml/2017/richdata2" ref="A2:A12">
    <sortCondition ref="A2:A12"/>
  </sortState>
  <tableColumns count="1">
    <tableColumn id="1" xr3:uid="{00000000-0010-0000-0200-000001000000}" name="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5AB1-92A9-4E27-B7ED-7B2EE12D6306}">
  <dimension ref="A1:G42"/>
  <sheetViews>
    <sheetView workbookViewId="0">
      <selection activeCell="H27" sqref="H27"/>
    </sheetView>
  </sheetViews>
  <sheetFormatPr baseColWidth="10" defaultRowHeight="15" x14ac:dyDescent="0.25"/>
  <cols>
    <col min="1" max="1" width="22" customWidth="1"/>
    <col min="2" max="2" width="20" customWidth="1"/>
    <col min="3" max="3" width="26.5703125" customWidth="1"/>
    <col min="4" max="4" width="28.42578125" customWidth="1"/>
    <col min="5" max="5" width="15.140625" bestFit="1" customWidth="1"/>
    <col min="7" max="7" width="16.7109375" bestFit="1" customWidth="1"/>
  </cols>
  <sheetData>
    <row r="1" spans="1:5" x14ac:dyDescent="0.25">
      <c r="A1" s="196" t="s">
        <v>4427</v>
      </c>
      <c r="B1" s="196"/>
      <c r="C1" s="196"/>
      <c r="D1" s="196"/>
    </row>
    <row r="3" spans="1:5" x14ac:dyDescent="0.25">
      <c r="A3" t="s">
        <v>2065</v>
      </c>
      <c r="B3" s="195" t="s">
        <v>4428</v>
      </c>
      <c r="C3" s="195" t="s">
        <v>130</v>
      </c>
      <c r="D3" s="195" t="s">
        <v>4429</v>
      </c>
      <c r="E3" s="195" t="s">
        <v>2474</v>
      </c>
    </row>
    <row r="4" spans="1:5" x14ac:dyDescent="0.25">
      <c r="A4" t="s">
        <v>4430</v>
      </c>
      <c r="B4" s="63">
        <v>47415000</v>
      </c>
      <c r="C4" s="63">
        <v>17986000</v>
      </c>
      <c r="D4" s="63">
        <v>6441815.3600000003</v>
      </c>
      <c r="E4" s="63"/>
    </row>
    <row r="5" spans="1:5" x14ac:dyDescent="0.25">
      <c r="A5" t="s">
        <v>17</v>
      </c>
      <c r="B5" s="63">
        <v>38745500</v>
      </c>
      <c r="C5" s="63">
        <v>15236200</v>
      </c>
      <c r="D5" s="63">
        <v>9409148.1899999995</v>
      </c>
      <c r="E5" s="63"/>
    </row>
    <row r="6" spans="1:5" x14ac:dyDescent="0.25">
      <c r="A6" t="s">
        <v>18</v>
      </c>
      <c r="B6" s="63">
        <v>24701000</v>
      </c>
      <c r="C6" s="63">
        <v>7776560</v>
      </c>
      <c r="D6" s="63"/>
      <c r="E6" s="63"/>
    </row>
    <row r="7" spans="1:5" x14ac:dyDescent="0.25">
      <c r="A7" t="s">
        <v>4431</v>
      </c>
      <c r="B7" s="63">
        <v>2890000</v>
      </c>
      <c r="C7" s="63">
        <v>1148000</v>
      </c>
      <c r="D7" s="63">
        <v>727127.06</v>
      </c>
      <c r="E7" s="63"/>
    </row>
    <row r="8" spans="1:5" x14ac:dyDescent="0.25">
      <c r="B8" s="143">
        <f>SUM(B4:B7)</f>
        <v>113751500</v>
      </c>
      <c r="C8" s="143">
        <f t="shared" ref="C8:D8" si="0">SUBTOTAL(109,C4:C7)</f>
        <v>42146760</v>
      </c>
      <c r="D8" s="143">
        <f t="shared" si="0"/>
        <v>16578090.610000001</v>
      </c>
      <c r="E8" s="63">
        <f>Tabla11[[#This Row],[GANANCIA POR SERVICIOS]]+Tabla11[[#This Row],[GANANCIAS POR REPUESTOS]]</f>
        <v>58724850.609999999</v>
      </c>
    </row>
    <row r="22" spans="7:7" x14ac:dyDescent="0.25">
      <c r="G22" s="141"/>
    </row>
    <row r="34" spans="1:5" x14ac:dyDescent="0.25">
      <c r="A34" s="196" t="s">
        <v>4432</v>
      </c>
      <c r="B34" s="196"/>
      <c r="C34" s="196"/>
      <c r="D34" s="196"/>
    </row>
    <row r="36" spans="1:5" x14ac:dyDescent="0.25">
      <c r="A36" t="s">
        <v>2065</v>
      </c>
      <c r="B36" s="195" t="s">
        <v>4428</v>
      </c>
      <c r="C36" s="195" t="s">
        <v>130</v>
      </c>
      <c r="D36" s="195" t="s">
        <v>4429</v>
      </c>
      <c r="E36" s="195" t="s">
        <v>2474</v>
      </c>
    </row>
    <row r="37" spans="1:5" x14ac:dyDescent="0.25">
      <c r="A37" t="s">
        <v>17</v>
      </c>
      <c r="B37" s="63">
        <v>46905000</v>
      </c>
      <c r="C37" s="63">
        <v>15128000</v>
      </c>
      <c r="D37" s="63">
        <v>18748391.449999999</v>
      </c>
      <c r="E37" s="63"/>
    </row>
    <row r="38" spans="1:5" x14ac:dyDescent="0.25">
      <c r="A38" t="s">
        <v>4080</v>
      </c>
      <c r="B38" s="63">
        <v>41880000</v>
      </c>
      <c r="C38" s="63">
        <v>13704560</v>
      </c>
      <c r="D38" s="63"/>
      <c r="E38" s="63"/>
    </row>
    <row r="39" spans="1:5" x14ac:dyDescent="0.25">
      <c r="A39" t="s">
        <v>4430</v>
      </c>
      <c r="B39" s="63">
        <v>26035000</v>
      </c>
      <c r="C39" s="63">
        <v>8797500</v>
      </c>
      <c r="D39" s="63">
        <v>12240387.390000001</v>
      </c>
      <c r="E39" s="63"/>
    </row>
    <row r="40" spans="1:5" x14ac:dyDescent="0.25">
      <c r="A40" t="s">
        <v>3386</v>
      </c>
      <c r="B40" s="63">
        <v>5760500</v>
      </c>
      <c r="C40" s="63">
        <v>2680250</v>
      </c>
      <c r="D40" s="63">
        <v>216789.91</v>
      </c>
      <c r="E40" s="63"/>
    </row>
    <row r="41" spans="1:5" x14ac:dyDescent="0.25">
      <c r="A41" t="s">
        <v>4431</v>
      </c>
      <c r="B41" s="63">
        <v>712000</v>
      </c>
      <c r="C41" s="63">
        <v>102800</v>
      </c>
      <c r="D41" s="63">
        <v>122310.92</v>
      </c>
      <c r="E41" s="63"/>
    </row>
    <row r="42" spans="1:5" x14ac:dyDescent="0.25">
      <c r="B42" s="143">
        <f>SUM(B37:B41)</f>
        <v>121292500</v>
      </c>
      <c r="C42" s="143">
        <f t="shared" ref="C42:D42" si="1">SUM(C37:C41)</f>
        <v>40413110</v>
      </c>
      <c r="D42" s="143">
        <f t="shared" si="1"/>
        <v>31327879.670000002</v>
      </c>
      <c r="E42" s="63">
        <f>Tabla12[[#This Row],[GANANCIA POR SERVICIOS]]+Tabla12[[#This Row],[GANANCIAS POR REPUESTOS]]</f>
        <v>71740989.670000002</v>
      </c>
    </row>
  </sheetData>
  <sortState xmlns:xlrd2="http://schemas.microsoft.com/office/spreadsheetml/2017/richdata2" ref="A37:D41">
    <sortCondition descending="1" ref="B37:B41"/>
  </sortState>
  <mergeCells count="2">
    <mergeCell ref="A1:D1"/>
    <mergeCell ref="A34:D34"/>
  </mergeCells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2431-E513-4471-8DBF-D04E8203A464}">
  <dimension ref="A1:J29"/>
  <sheetViews>
    <sheetView workbookViewId="0">
      <selection activeCell="D10" sqref="D10"/>
    </sheetView>
  </sheetViews>
  <sheetFormatPr baseColWidth="10" defaultRowHeight="15" x14ac:dyDescent="0.25"/>
  <cols>
    <col min="1" max="1" width="17.5703125" bestFit="1" customWidth="1"/>
    <col min="2" max="2" width="23.5703125" bestFit="1" customWidth="1"/>
    <col min="3" max="3" width="33.140625" bestFit="1" customWidth="1"/>
    <col min="4" max="4" width="28.85546875" bestFit="1" customWidth="1"/>
    <col min="7" max="7" width="26.85546875" customWidth="1"/>
    <col min="8" max="8" width="22.5703125" customWidth="1"/>
    <col min="9" max="9" width="26.85546875" customWidth="1"/>
    <col min="10" max="10" width="24.140625" customWidth="1"/>
  </cols>
  <sheetData>
    <row r="1" spans="1:10" x14ac:dyDescent="0.25">
      <c r="A1" s="5" t="s">
        <v>0</v>
      </c>
      <c r="B1" t="s">
        <v>367</v>
      </c>
      <c r="G1" s="6" t="s">
        <v>4427</v>
      </c>
    </row>
    <row r="3" spans="1:10" ht="30" x14ac:dyDescent="0.25">
      <c r="A3" s="5" t="s">
        <v>13</v>
      </c>
      <c r="B3" t="s">
        <v>32</v>
      </c>
      <c r="C3" t="s">
        <v>2809</v>
      </c>
      <c r="D3" t="s">
        <v>2810</v>
      </c>
      <c r="G3" s="63"/>
      <c r="H3" s="22" t="s">
        <v>4428</v>
      </c>
      <c r="I3" s="22" t="s">
        <v>130</v>
      </c>
      <c r="J3" s="22" t="s">
        <v>4429</v>
      </c>
    </row>
    <row r="4" spans="1:10" x14ac:dyDescent="0.25">
      <c r="A4" s="6" t="s">
        <v>3666</v>
      </c>
      <c r="B4">
        <v>4015500</v>
      </c>
      <c r="C4">
        <v>1807750</v>
      </c>
      <c r="D4">
        <v>297168.06569411763</v>
      </c>
      <c r="G4" s="63" t="s">
        <v>4430</v>
      </c>
      <c r="H4" s="63">
        <v>47415000</v>
      </c>
      <c r="I4" s="63">
        <v>17986000</v>
      </c>
      <c r="J4" s="63">
        <v>6441815.3600000003</v>
      </c>
    </row>
    <row r="5" spans="1:10" x14ac:dyDescent="0.25">
      <c r="A5" s="6" t="s">
        <v>3437</v>
      </c>
      <c r="B5">
        <v>1745000</v>
      </c>
      <c r="C5">
        <v>872500</v>
      </c>
      <c r="D5">
        <v>-80378.151260504499</v>
      </c>
      <c r="G5" s="63" t="s">
        <v>17</v>
      </c>
      <c r="H5" s="63">
        <v>38745500</v>
      </c>
      <c r="I5" s="63">
        <v>15236200</v>
      </c>
      <c r="J5" s="63">
        <v>9409148.1899999995</v>
      </c>
    </row>
    <row r="6" spans="1:10" x14ac:dyDescent="0.25">
      <c r="A6" s="6" t="s">
        <v>14</v>
      </c>
      <c r="B6">
        <v>5760500</v>
      </c>
      <c r="C6">
        <v>2680250</v>
      </c>
      <c r="D6">
        <v>216789.91443361313</v>
      </c>
      <c r="G6" s="63" t="s">
        <v>18</v>
      </c>
      <c r="H6" s="63">
        <f>2701000+22000000</f>
        <v>24701000</v>
      </c>
      <c r="I6" s="63">
        <f>1078400+6698160</f>
        <v>7776560</v>
      </c>
      <c r="J6" s="63"/>
    </row>
    <row r="7" spans="1:10" x14ac:dyDescent="0.25">
      <c r="G7" s="63" t="s">
        <v>4431</v>
      </c>
      <c r="H7" s="63">
        <v>2890000</v>
      </c>
      <c r="I7" s="63">
        <v>1148000</v>
      </c>
      <c r="J7" s="63">
        <v>727127.06</v>
      </c>
    </row>
    <row r="11" spans="1:10" x14ac:dyDescent="0.25">
      <c r="G11" t="s">
        <v>4432</v>
      </c>
    </row>
    <row r="13" spans="1:10" x14ac:dyDescent="0.25">
      <c r="G13" s="63"/>
      <c r="H13" s="63" t="s">
        <v>4428</v>
      </c>
      <c r="I13" s="63" t="s">
        <v>130</v>
      </c>
      <c r="J13" s="63" t="s">
        <v>4429</v>
      </c>
    </row>
    <row r="14" spans="1:10" x14ac:dyDescent="0.25">
      <c r="G14" s="63" t="s">
        <v>17</v>
      </c>
      <c r="H14" s="63">
        <v>46905000</v>
      </c>
      <c r="I14" s="63">
        <v>15128000</v>
      </c>
      <c r="J14" s="63">
        <v>18748391.449999999</v>
      </c>
    </row>
    <row r="15" spans="1:10" x14ac:dyDescent="0.25">
      <c r="G15" s="63" t="s">
        <v>4430</v>
      </c>
      <c r="H15" s="63">
        <v>26035000</v>
      </c>
      <c r="I15" s="63">
        <v>8797500</v>
      </c>
      <c r="J15" s="63">
        <v>12240387.390000001</v>
      </c>
    </row>
    <row r="16" spans="1:10" x14ac:dyDescent="0.25">
      <c r="G16" s="63" t="s">
        <v>4080</v>
      </c>
      <c r="H16" s="63">
        <v>12300000</v>
      </c>
      <c r="I16" s="63">
        <v>3993640</v>
      </c>
    </row>
    <row r="17" spans="1:10" x14ac:dyDescent="0.25">
      <c r="G17" s="63" t="s">
        <v>3386</v>
      </c>
      <c r="H17" s="63">
        <v>5760500</v>
      </c>
      <c r="I17" s="63">
        <v>2680250</v>
      </c>
      <c r="J17" s="63">
        <v>216789.91</v>
      </c>
    </row>
    <row r="18" spans="1:10" x14ac:dyDescent="0.25">
      <c r="G18" s="63" t="s">
        <v>4431</v>
      </c>
      <c r="H18" s="63">
        <v>712000</v>
      </c>
      <c r="I18" s="63">
        <v>102800</v>
      </c>
      <c r="J18" s="63">
        <v>122310.92</v>
      </c>
    </row>
    <row r="24" spans="1:10" x14ac:dyDescent="0.25">
      <c r="A24" s="63" t="s">
        <v>4436</v>
      </c>
    </row>
    <row r="25" spans="1:10" x14ac:dyDescent="0.25">
      <c r="A25" s="63" t="s">
        <v>4435</v>
      </c>
      <c r="B25" s="19">
        <v>2000000</v>
      </c>
      <c r="C25" s="19">
        <v>607440</v>
      </c>
    </row>
    <row r="26" spans="1:10" x14ac:dyDescent="0.25">
      <c r="A26" s="63" t="s">
        <v>4433</v>
      </c>
      <c r="B26" s="19">
        <v>2000000</v>
      </c>
      <c r="C26" s="19">
        <v>720000</v>
      </c>
    </row>
    <row r="27" spans="1:10" x14ac:dyDescent="0.25">
      <c r="A27" s="63" t="s">
        <v>4434</v>
      </c>
      <c r="B27" s="19">
        <f>3300000+5000000</f>
        <v>8300000</v>
      </c>
      <c r="C27" s="19">
        <f>1117200+1549000</f>
        <v>2666200</v>
      </c>
    </row>
    <row r="28" spans="1:10" x14ac:dyDescent="0.25">
      <c r="B28" s="19"/>
      <c r="C28" s="19"/>
    </row>
    <row r="29" spans="1:10" x14ac:dyDescent="0.25">
      <c r="B29" s="19">
        <f>SUM(B25:B28)</f>
        <v>12300000</v>
      </c>
      <c r="C29" s="19">
        <f>SUM(C25:C28)</f>
        <v>3993640</v>
      </c>
    </row>
  </sheetData>
  <sortState xmlns:xlrd2="http://schemas.microsoft.com/office/spreadsheetml/2017/richdata2" ref="G14:J18">
    <sortCondition descending="1" ref="H14:H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0E89-22E6-4358-ACD8-FCC0BEF9828F}">
  <sheetPr>
    <tabColor rgb="FFFFC000"/>
  </sheetPr>
  <dimension ref="A1:T812"/>
  <sheetViews>
    <sheetView topLeftCell="A463" zoomScale="93" zoomScaleNormal="93" workbookViewId="0">
      <selection activeCell="I732" sqref="I732"/>
    </sheetView>
  </sheetViews>
  <sheetFormatPr baseColWidth="10" defaultRowHeight="15" x14ac:dyDescent="0.25"/>
  <cols>
    <col min="1" max="1" width="12.85546875" style="9" customWidth="1"/>
    <col min="2" max="2" width="16.5703125" style="4" customWidth="1"/>
    <col min="3" max="3" width="21.28515625" style="1" customWidth="1"/>
    <col min="4" max="4" width="18.42578125" style="1" customWidth="1"/>
    <col min="5" max="5" width="13.5703125" style="1" customWidth="1"/>
    <col min="6" max="6" width="30.85546875" style="1" customWidth="1"/>
    <col min="7" max="7" width="56.42578125" style="22" customWidth="1"/>
    <col min="8" max="8" width="17.28515625" style="15" customWidth="1"/>
    <col min="9" max="9" width="16.28515625" style="2" customWidth="1"/>
    <col min="10" max="10" width="14.5703125" style="1" customWidth="1"/>
    <col min="11" max="11" width="48.28515625" style="1" customWidth="1"/>
    <col min="12" max="12" width="18.85546875" style="1" customWidth="1"/>
    <col min="13" max="14" width="23.7109375" style="1" customWidth="1"/>
    <col min="15" max="15" width="19.7109375" style="1" customWidth="1"/>
    <col min="16" max="16" width="23.7109375" style="1" customWidth="1"/>
    <col min="17" max="18" width="22.5703125" style="1" customWidth="1"/>
    <col min="19" max="19" width="23.140625" style="1" customWidth="1"/>
    <col min="20" max="20" width="25.140625" style="2" customWidth="1"/>
    <col min="21" max="16384" width="11.42578125" style="1"/>
  </cols>
  <sheetData>
    <row r="1" spans="1:20" ht="30" x14ac:dyDescent="0.25">
      <c r="A1" s="9" t="s">
        <v>0</v>
      </c>
      <c r="B1" s="4" t="s">
        <v>1</v>
      </c>
      <c r="C1" s="4" t="s">
        <v>597</v>
      </c>
      <c r="D1" s="1" t="s">
        <v>2</v>
      </c>
      <c r="E1" s="1" t="s">
        <v>3</v>
      </c>
      <c r="F1" s="1" t="s">
        <v>15</v>
      </c>
      <c r="G1" s="10" t="s">
        <v>4</v>
      </c>
      <c r="H1" s="15" t="s">
        <v>5</v>
      </c>
      <c r="I1" s="2" t="s">
        <v>6</v>
      </c>
      <c r="J1" s="22" t="s">
        <v>130</v>
      </c>
      <c r="K1" s="1" t="s">
        <v>7</v>
      </c>
      <c r="L1" s="10" t="s">
        <v>8</v>
      </c>
      <c r="M1" s="1" t="s">
        <v>2065</v>
      </c>
      <c r="N1" s="1" t="s">
        <v>2432</v>
      </c>
      <c r="O1" s="1" t="s">
        <v>2433</v>
      </c>
      <c r="P1" s="1" t="s">
        <v>2474</v>
      </c>
      <c r="Q1" s="1" t="s">
        <v>2434</v>
      </c>
      <c r="R1" s="1" t="s">
        <v>2431</v>
      </c>
      <c r="S1" s="22" t="s">
        <v>2435</v>
      </c>
      <c r="T1" s="1" t="s">
        <v>24</v>
      </c>
    </row>
    <row r="2" spans="1:20" x14ac:dyDescent="0.25">
      <c r="A2" s="56">
        <v>44743</v>
      </c>
      <c r="C2" s="4" t="s">
        <v>1263</v>
      </c>
      <c r="D2" s="1" t="s">
        <v>2168</v>
      </c>
      <c r="E2" s="4" t="s">
        <v>2263</v>
      </c>
      <c r="F2" s="1" t="s">
        <v>30</v>
      </c>
      <c r="G2" s="134" t="s">
        <v>2264</v>
      </c>
      <c r="H2" s="15">
        <v>800000</v>
      </c>
      <c r="I2" s="2">
        <f>Tabla2456711[[#This Row],[TOTAL FACTURA]]*0.6</f>
        <v>480000</v>
      </c>
      <c r="J2" s="104">
        <f>Tabla2456711[[#This Row],[TOTAL FACTURA]]-Tabla2456711[[#This Row],[PORCENTAJE A CANCELAR]]</f>
        <v>320000</v>
      </c>
      <c r="L2" s="11">
        <v>38000</v>
      </c>
      <c r="M2" s="11">
        <f>Tabla2456711[[#This Row],[MONTO DE COMPRA]]/1.19</f>
        <v>31932.773109243699</v>
      </c>
      <c r="N2" s="11">
        <f>Tabla2456711[[#This Row],[Columna1]]*19%</f>
        <v>6067.226890756303</v>
      </c>
      <c r="O2" s="11">
        <v>50000</v>
      </c>
      <c r="P2" s="11">
        <f>Tabla2456711[[#This Row],[VENTA ]]/1.19</f>
        <v>42016.806722689078</v>
      </c>
      <c r="Q2" s="11">
        <f>Tabla2456711[[#This Row],[Columna2]]*19%</f>
        <v>7983.1932773109247</v>
      </c>
      <c r="R2" s="11">
        <f>Tabla2456711[[#This Row],[IVA VENTA ]]-Tabla2456711[[#This Row],[IV COMPRA]]</f>
        <v>1915.9663865546217</v>
      </c>
      <c r="S2" s="11">
        <f>(Tabla2456711[[#This Row],[VENTA ]]-(Tabla2456711[[#This Row],[MONTO DE COMPRA]]-Tabla2456711[[#This Row],[DIFERENCIA IVA ]]))</f>
        <v>13915.966386554624</v>
      </c>
    </row>
    <row r="3" spans="1:20" hidden="1" x14ac:dyDescent="0.25">
      <c r="A3" s="56">
        <v>44743</v>
      </c>
      <c r="B3" s="4" t="s">
        <v>2265</v>
      </c>
      <c r="C3" s="4" t="s">
        <v>2266</v>
      </c>
      <c r="D3" s="1" t="s">
        <v>989</v>
      </c>
      <c r="E3" s="4" t="s">
        <v>2267</v>
      </c>
      <c r="F3" s="1" t="s">
        <v>1039</v>
      </c>
      <c r="G3" s="134" t="s">
        <v>2268</v>
      </c>
      <c r="H3" s="15">
        <v>40000</v>
      </c>
      <c r="I3" s="2">
        <f>Tabla2456711[[#This Row],[TOTAL FACTURA]]*0.6</f>
        <v>24000</v>
      </c>
      <c r="J3" s="104">
        <f>Tabla2456711[[#This Row],[TOTAL FACTURA]]-Tabla2456711[[#This Row],[PORCENTAJE A CANCELAR]]</f>
        <v>16000</v>
      </c>
      <c r="L3" s="11"/>
      <c r="M3" s="11">
        <f>Tabla2456711[[#This Row],[MONTO DE COMPRA]]/1.19</f>
        <v>0</v>
      </c>
      <c r="N3" s="11">
        <f>Tabla2456711[[#This Row],[Columna1]]*19%</f>
        <v>0</v>
      </c>
      <c r="O3" s="11"/>
      <c r="P3" s="11">
        <f>Tabla2456711[[#This Row],[VENTA ]]/1.19</f>
        <v>0</v>
      </c>
      <c r="Q3" s="11">
        <f>Tabla2456711[[#This Row],[Columna2]]*19%</f>
        <v>0</v>
      </c>
      <c r="R3" s="11">
        <f>Tabla2456711[[#This Row],[IVA VENTA ]]-Tabla2456711[[#This Row],[IV COMPRA]]</f>
        <v>0</v>
      </c>
      <c r="S3" s="11">
        <f>(Tabla2456711[[#This Row],[VENTA ]]-(Tabla2456711[[#This Row],[MONTO DE COMPRA]]-Tabla2456711[[#This Row],[DIFERENCIA IVA ]]))</f>
        <v>0</v>
      </c>
    </row>
    <row r="4" spans="1:20" hidden="1" x14ac:dyDescent="0.25">
      <c r="A4" s="56">
        <v>44743</v>
      </c>
      <c r="B4" s="4" t="s">
        <v>2265</v>
      </c>
      <c r="C4" s="4" t="s">
        <v>2266</v>
      </c>
      <c r="D4" s="1" t="s">
        <v>989</v>
      </c>
      <c r="E4" s="4" t="s">
        <v>2267</v>
      </c>
      <c r="F4" s="15" t="s">
        <v>19</v>
      </c>
      <c r="G4" s="134" t="s">
        <v>2269</v>
      </c>
      <c r="H4" s="15">
        <v>30000</v>
      </c>
      <c r="I4" s="2">
        <f>Tabla2456711[[#This Row],[TOTAL FACTURA]]*0.7</f>
        <v>21000</v>
      </c>
      <c r="J4" s="104">
        <f>Tabla2456711[[#This Row],[TOTAL FACTURA]]-Tabla2456711[[#This Row],[PORCENTAJE A CANCELAR]]</f>
        <v>9000</v>
      </c>
      <c r="L4" s="11"/>
      <c r="M4" s="11">
        <f>Tabla2456711[[#This Row],[MONTO DE COMPRA]]/1.19</f>
        <v>0</v>
      </c>
      <c r="N4" s="11">
        <f>Tabla2456711[[#This Row],[Columna1]]*19%</f>
        <v>0</v>
      </c>
      <c r="O4" s="11"/>
      <c r="P4" s="11">
        <f>Tabla2456711[[#This Row],[VENTA ]]/1.19</f>
        <v>0</v>
      </c>
      <c r="Q4" s="11">
        <f>Tabla2456711[[#This Row],[Columna2]]*19%</f>
        <v>0</v>
      </c>
      <c r="R4" s="11">
        <f>Tabla2456711[[#This Row],[IVA VENTA ]]-Tabla2456711[[#This Row],[IV COMPRA]]</f>
        <v>0</v>
      </c>
      <c r="S4" s="11">
        <f>(Tabla2456711[[#This Row],[VENTA ]]-(Tabla2456711[[#This Row],[MONTO DE COMPRA]]-Tabla2456711[[#This Row],[DIFERENCIA IVA ]]))</f>
        <v>0</v>
      </c>
    </row>
    <row r="5" spans="1:20" ht="30" hidden="1" x14ac:dyDescent="0.25">
      <c r="A5" s="56">
        <v>44743</v>
      </c>
      <c r="B5" s="4" t="s">
        <v>2270</v>
      </c>
      <c r="C5" s="4" t="s">
        <v>2271</v>
      </c>
      <c r="D5" s="4" t="s">
        <v>242</v>
      </c>
      <c r="E5" s="4" t="s">
        <v>2272</v>
      </c>
      <c r="F5" s="1" t="s">
        <v>19</v>
      </c>
      <c r="G5" s="134" t="s">
        <v>2284</v>
      </c>
      <c r="H5" s="15">
        <v>110000</v>
      </c>
      <c r="I5" s="2">
        <f>Tabla2456711[[#This Row],[TOTAL FACTURA]]*0.7</f>
        <v>77000</v>
      </c>
      <c r="J5" s="104">
        <f>Tabla2456711[[#This Row],[TOTAL FACTURA]]-Tabla2456711[[#This Row],[PORCENTAJE A CANCELAR]]</f>
        <v>33000</v>
      </c>
      <c r="L5" s="11"/>
      <c r="M5" s="11">
        <f>Tabla2456711[[#This Row],[MONTO DE COMPRA]]/1.19</f>
        <v>0</v>
      </c>
      <c r="N5" s="11">
        <f>Tabla2456711[[#This Row],[Columna1]]*19%</f>
        <v>0</v>
      </c>
      <c r="O5" s="11"/>
      <c r="P5" s="11">
        <f>Tabla2456711[[#This Row],[VENTA ]]/1.19</f>
        <v>0</v>
      </c>
      <c r="Q5" s="11">
        <f>Tabla2456711[[#This Row],[Columna2]]*19%</f>
        <v>0</v>
      </c>
      <c r="R5" s="11">
        <f>Tabla2456711[[#This Row],[IVA VENTA ]]-Tabla2456711[[#This Row],[IV COMPRA]]</f>
        <v>0</v>
      </c>
      <c r="S5" s="11">
        <f>(Tabla2456711[[#This Row],[VENTA ]]-(Tabla2456711[[#This Row],[MONTO DE COMPRA]]-Tabla2456711[[#This Row],[DIFERENCIA IVA ]]))</f>
        <v>0</v>
      </c>
    </row>
    <row r="6" spans="1:20" hidden="1" x14ac:dyDescent="0.25">
      <c r="A6" s="56">
        <v>44743</v>
      </c>
      <c r="C6" s="4" t="s">
        <v>2273</v>
      </c>
      <c r="D6" s="1" t="s">
        <v>84</v>
      </c>
      <c r="E6" s="4" t="s">
        <v>2274</v>
      </c>
      <c r="F6" s="1" t="s">
        <v>19</v>
      </c>
      <c r="G6" s="134" t="s">
        <v>2275</v>
      </c>
      <c r="H6" s="15">
        <v>100000</v>
      </c>
      <c r="I6" s="2">
        <f>Tabla2456711[[#This Row],[TOTAL FACTURA]]*0.7</f>
        <v>70000</v>
      </c>
      <c r="J6" s="104">
        <f>Tabla2456711[[#This Row],[TOTAL FACTURA]]-Tabla2456711[[#This Row],[PORCENTAJE A CANCELAR]]</f>
        <v>30000</v>
      </c>
      <c r="L6" s="11"/>
      <c r="M6" s="11">
        <f>Tabla2456711[[#This Row],[MONTO DE COMPRA]]/1.19</f>
        <v>0</v>
      </c>
      <c r="N6" s="11">
        <f>Tabla2456711[[#This Row],[Columna1]]*19%</f>
        <v>0</v>
      </c>
      <c r="O6" s="11"/>
      <c r="P6" s="11">
        <f>Tabla2456711[[#This Row],[VENTA ]]/1.19</f>
        <v>0</v>
      </c>
      <c r="Q6" s="11">
        <f>Tabla2456711[[#This Row],[Columna2]]*19%</f>
        <v>0</v>
      </c>
      <c r="R6" s="11">
        <f>Tabla2456711[[#This Row],[IVA VENTA ]]-Tabla2456711[[#This Row],[IV COMPRA]]</f>
        <v>0</v>
      </c>
      <c r="S6" s="11">
        <f>(Tabla2456711[[#This Row],[VENTA ]]-(Tabla2456711[[#This Row],[MONTO DE COMPRA]]-Tabla2456711[[#This Row],[DIFERENCIA IVA ]]))</f>
        <v>0</v>
      </c>
    </row>
    <row r="7" spans="1:20" hidden="1" x14ac:dyDescent="0.25">
      <c r="A7" s="56">
        <v>44743</v>
      </c>
      <c r="B7" s="4" t="s">
        <v>2276</v>
      </c>
      <c r="C7" s="4" t="s">
        <v>2277</v>
      </c>
      <c r="D7" s="1" t="s">
        <v>76</v>
      </c>
      <c r="E7" s="4" t="s">
        <v>2278</v>
      </c>
      <c r="F7" s="1" t="s">
        <v>408</v>
      </c>
      <c r="G7" s="134" t="s">
        <v>20</v>
      </c>
      <c r="H7" s="15">
        <v>30000</v>
      </c>
      <c r="I7" s="2">
        <f>Tabla2456711[[#This Row],[TOTAL FACTURA]]*0.7</f>
        <v>21000</v>
      </c>
      <c r="J7" s="104">
        <f>Tabla2456711[[#This Row],[TOTAL FACTURA]]-Tabla2456711[[#This Row],[PORCENTAJE A CANCELAR]]</f>
        <v>9000</v>
      </c>
      <c r="L7" s="11"/>
      <c r="M7" s="11">
        <f>Tabla2456711[[#This Row],[MONTO DE COMPRA]]/1.19</f>
        <v>0</v>
      </c>
      <c r="N7" s="11">
        <f>Tabla2456711[[#This Row],[Columna1]]*19%</f>
        <v>0</v>
      </c>
      <c r="O7" s="11"/>
      <c r="P7" s="11">
        <f>Tabla2456711[[#This Row],[VENTA ]]/1.19</f>
        <v>0</v>
      </c>
      <c r="Q7" s="11">
        <f>Tabla2456711[[#This Row],[Columna2]]*19%</f>
        <v>0</v>
      </c>
      <c r="R7" s="11">
        <f>Tabla2456711[[#This Row],[IVA VENTA ]]-Tabla2456711[[#This Row],[IV COMPRA]]</f>
        <v>0</v>
      </c>
      <c r="S7" s="11">
        <f>(Tabla2456711[[#This Row],[VENTA ]]-(Tabla2456711[[#This Row],[MONTO DE COMPRA]]-Tabla2456711[[#This Row],[DIFERENCIA IVA ]]))</f>
        <v>0</v>
      </c>
    </row>
    <row r="8" spans="1:20" hidden="1" x14ac:dyDescent="0.25">
      <c r="A8" s="56">
        <v>44743</v>
      </c>
      <c r="C8" s="4" t="s">
        <v>2279</v>
      </c>
      <c r="D8" s="1" t="s">
        <v>2285</v>
      </c>
      <c r="E8" s="4" t="s">
        <v>2280</v>
      </c>
      <c r="F8" s="1" t="s">
        <v>408</v>
      </c>
      <c r="G8" s="134" t="s">
        <v>21</v>
      </c>
      <c r="H8" s="15">
        <v>20000</v>
      </c>
      <c r="I8" s="2">
        <f>Tabla2456711[[#This Row],[TOTAL FACTURA]]*0.7</f>
        <v>14000</v>
      </c>
      <c r="J8" s="104">
        <f>Tabla2456711[[#This Row],[TOTAL FACTURA]]-Tabla2456711[[#This Row],[PORCENTAJE A CANCELAR]]</f>
        <v>6000</v>
      </c>
      <c r="L8" s="11"/>
      <c r="M8" s="11">
        <f>Tabla2456711[[#This Row],[MONTO DE COMPRA]]/1.19</f>
        <v>0</v>
      </c>
      <c r="N8" s="11">
        <f>Tabla2456711[[#This Row],[Columna1]]*19%</f>
        <v>0</v>
      </c>
      <c r="O8" s="11"/>
      <c r="P8" s="11">
        <f>Tabla2456711[[#This Row],[VENTA ]]/1.19</f>
        <v>0</v>
      </c>
      <c r="Q8" s="11">
        <f>Tabla2456711[[#This Row],[Columna2]]*19%</f>
        <v>0</v>
      </c>
      <c r="R8" s="11">
        <f>Tabla2456711[[#This Row],[IVA VENTA ]]-Tabla2456711[[#This Row],[IV COMPRA]]</f>
        <v>0</v>
      </c>
      <c r="S8" s="11">
        <f>(Tabla2456711[[#This Row],[VENTA ]]-(Tabla2456711[[#This Row],[MONTO DE COMPRA]]-Tabla2456711[[#This Row],[DIFERENCIA IVA ]]))</f>
        <v>0</v>
      </c>
    </row>
    <row r="9" spans="1:20" hidden="1" x14ac:dyDescent="0.25">
      <c r="A9" s="56">
        <v>44743</v>
      </c>
      <c r="C9" s="4" t="s">
        <v>2281</v>
      </c>
      <c r="D9" s="1" t="s">
        <v>2282</v>
      </c>
      <c r="E9" s="4" t="s">
        <v>2283</v>
      </c>
      <c r="F9" s="1" t="s">
        <v>1039</v>
      </c>
      <c r="G9" s="134" t="s">
        <v>21</v>
      </c>
      <c r="H9" s="15">
        <v>10000</v>
      </c>
      <c r="I9" s="2">
        <f>Tabla2456711[[#This Row],[TOTAL FACTURA]]*0.6</f>
        <v>6000</v>
      </c>
      <c r="J9" s="104">
        <f>Tabla2456711[[#This Row],[TOTAL FACTURA]]-Tabla2456711[[#This Row],[PORCENTAJE A CANCELAR]]</f>
        <v>4000</v>
      </c>
      <c r="L9" s="11"/>
      <c r="M9" s="11">
        <f>Tabla2456711[[#This Row],[MONTO DE COMPRA]]/1.19</f>
        <v>0</v>
      </c>
      <c r="N9" s="11">
        <f>Tabla2456711[[#This Row],[Columna1]]*19%</f>
        <v>0</v>
      </c>
      <c r="O9" s="11"/>
      <c r="P9" s="11">
        <f>Tabla2456711[[#This Row],[VENTA ]]/1.19</f>
        <v>0</v>
      </c>
      <c r="Q9" s="11">
        <f>Tabla2456711[[#This Row],[Columna2]]*19%</f>
        <v>0</v>
      </c>
      <c r="R9" s="11">
        <f>Tabla2456711[[#This Row],[IVA VENTA ]]-Tabla2456711[[#This Row],[IV COMPRA]]</f>
        <v>0</v>
      </c>
      <c r="S9" s="11">
        <f>(Tabla2456711[[#This Row],[VENTA ]]-(Tabla2456711[[#This Row],[MONTO DE COMPRA]]-Tabla2456711[[#This Row],[DIFERENCIA IVA ]]))</f>
        <v>0</v>
      </c>
    </row>
    <row r="10" spans="1:20" hidden="1" x14ac:dyDescent="0.25">
      <c r="A10" s="56">
        <v>44743</v>
      </c>
      <c r="C10" s="4" t="s">
        <v>215</v>
      </c>
      <c r="E10" s="4"/>
      <c r="F10" s="1" t="s">
        <v>408</v>
      </c>
      <c r="G10" s="134" t="s">
        <v>21</v>
      </c>
      <c r="H10" s="15">
        <v>8000</v>
      </c>
      <c r="I10" s="2">
        <f>Tabla2456711[[#This Row],[TOTAL FACTURA]]*0.7</f>
        <v>5600</v>
      </c>
      <c r="J10" s="113">
        <f>Tabla2456711[[#This Row],[TOTAL FACTURA]]-Tabla2456711[[#This Row],[PORCENTAJE A CANCELAR]]</f>
        <v>2400</v>
      </c>
      <c r="L10" s="11"/>
      <c r="M10" s="11">
        <f>Tabla2456711[[#This Row],[MONTO DE COMPRA]]/1.19</f>
        <v>0</v>
      </c>
      <c r="N10" s="11">
        <f>Tabla2456711[[#This Row],[Columna1]]*19%</f>
        <v>0</v>
      </c>
      <c r="O10" s="11"/>
      <c r="P10" s="11">
        <f>Tabla2456711[[#This Row],[VENTA ]]/1.19</f>
        <v>0</v>
      </c>
      <c r="Q10" s="11">
        <f>Tabla2456711[[#This Row],[Columna2]]*19%</f>
        <v>0</v>
      </c>
      <c r="R10" s="11">
        <f>Tabla2456711[[#This Row],[IVA VENTA ]]-Tabla2456711[[#This Row],[IV COMPRA]]</f>
        <v>0</v>
      </c>
      <c r="S10" s="11">
        <f>(Tabla2456711[[#This Row],[VENTA ]]-(Tabla2456711[[#This Row],[MONTO DE COMPRA]]-Tabla2456711[[#This Row],[DIFERENCIA IVA ]]))</f>
        <v>0</v>
      </c>
    </row>
    <row r="11" spans="1:20" hidden="1" x14ac:dyDescent="0.25">
      <c r="A11" s="56">
        <v>44743</v>
      </c>
      <c r="C11" s="114"/>
      <c r="D11" s="1" t="s">
        <v>204</v>
      </c>
      <c r="E11" s="4"/>
      <c r="F11" s="1" t="s">
        <v>408</v>
      </c>
      <c r="G11" s="134" t="s">
        <v>2286</v>
      </c>
      <c r="J11" s="113">
        <f>Tabla2456711[[#This Row],[TOTAL FACTURA]]-Tabla2456711[[#This Row],[PORCENTAJE A CANCELAR]]</f>
        <v>0</v>
      </c>
      <c r="L11" s="11"/>
      <c r="M11" s="11">
        <f>Tabla2456711[[#This Row],[MONTO DE COMPRA]]/1.19</f>
        <v>0</v>
      </c>
      <c r="N11" s="11">
        <f>Tabla2456711[[#This Row],[Columna1]]*19%</f>
        <v>0</v>
      </c>
      <c r="O11" s="11"/>
      <c r="P11" s="11">
        <f>Tabla2456711[[#This Row],[VENTA ]]/1.19</f>
        <v>0</v>
      </c>
      <c r="Q11" s="11">
        <f>Tabla2456711[[#This Row],[Columna2]]*19%</f>
        <v>0</v>
      </c>
      <c r="R11" s="11">
        <f>Tabla2456711[[#This Row],[IVA VENTA ]]-Tabla2456711[[#This Row],[IV COMPRA]]</f>
        <v>0</v>
      </c>
      <c r="S11" s="11">
        <f>(Tabla2456711[[#This Row],[VENTA ]]-(Tabla2456711[[#This Row],[MONTO DE COMPRA]]-Tabla2456711[[#This Row],[DIFERENCIA IVA ]]))</f>
        <v>0</v>
      </c>
    </row>
    <row r="12" spans="1:20" x14ac:dyDescent="0.25">
      <c r="A12" s="56">
        <v>44743</v>
      </c>
      <c r="C12" s="4" t="s">
        <v>2287</v>
      </c>
      <c r="D12" s="1" t="s">
        <v>54</v>
      </c>
      <c r="E12" s="4" t="s">
        <v>2288</v>
      </c>
      <c r="F12" s="1" t="s">
        <v>10</v>
      </c>
      <c r="G12" s="134" t="s">
        <v>1151</v>
      </c>
      <c r="H12" s="15">
        <v>700000</v>
      </c>
      <c r="I12" s="2">
        <v>500000</v>
      </c>
      <c r="J12" s="113">
        <f>Tabla2456711[[#This Row],[TOTAL FACTURA]]-Tabla2456711[[#This Row],[PORCENTAJE A CANCELAR]]</f>
        <v>200000</v>
      </c>
      <c r="L12" s="11"/>
      <c r="M12" s="11">
        <f>Tabla2456711[[#This Row],[MONTO DE COMPRA]]/1.19</f>
        <v>0</v>
      </c>
      <c r="N12" s="11">
        <f>Tabla2456711[[#This Row],[Columna1]]*19%</f>
        <v>0</v>
      </c>
      <c r="O12" s="11"/>
      <c r="P12" s="11">
        <f>Tabla2456711[[#This Row],[VENTA ]]/1.19</f>
        <v>0</v>
      </c>
      <c r="Q12" s="11">
        <f>Tabla2456711[[#This Row],[Columna2]]*19%</f>
        <v>0</v>
      </c>
      <c r="R12" s="11">
        <f>Tabla2456711[[#This Row],[IVA VENTA ]]-Tabla2456711[[#This Row],[IV COMPRA]]</f>
        <v>0</v>
      </c>
      <c r="S12" s="11">
        <f>(Tabla2456711[[#This Row],[VENTA ]]-(Tabla2456711[[#This Row],[MONTO DE COMPRA]]-Tabla2456711[[#This Row],[DIFERENCIA IVA ]]))</f>
        <v>0</v>
      </c>
    </row>
    <row r="13" spans="1:20" x14ac:dyDescent="0.25">
      <c r="A13" s="56">
        <v>44743</v>
      </c>
      <c r="C13" s="114"/>
      <c r="E13" s="4"/>
      <c r="F13" s="1" t="s">
        <v>10</v>
      </c>
      <c r="G13" s="134" t="s">
        <v>434</v>
      </c>
      <c r="H13" s="15">
        <v>80000</v>
      </c>
      <c r="I13" s="2">
        <f>Tabla2456711[[#This Row],[TOTAL FACTURA]]*0.7</f>
        <v>56000</v>
      </c>
      <c r="J13" s="113">
        <f>Tabla2456711[[#This Row],[TOTAL FACTURA]]-Tabla2456711[[#This Row],[PORCENTAJE A CANCELAR]]</f>
        <v>24000</v>
      </c>
      <c r="L13" s="11"/>
      <c r="M13" s="11">
        <f>Tabla2456711[[#This Row],[MONTO DE COMPRA]]/1.19</f>
        <v>0</v>
      </c>
      <c r="N13" s="11">
        <f>Tabla2456711[[#This Row],[Columna1]]*19%</f>
        <v>0</v>
      </c>
      <c r="O13" s="11"/>
      <c r="P13" s="11">
        <f>Tabla2456711[[#This Row],[VENTA ]]/1.19</f>
        <v>0</v>
      </c>
      <c r="Q13" s="11">
        <f>Tabla2456711[[#This Row],[Columna2]]*19%</f>
        <v>0</v>
      </c>
      <c r="R13" s="11">
        <f>Tabla2456711[[#This Row],[IVA VENTA ]]-Tabla2456711[[#This Row],[IV COMPRA]]</f>
        <v>0</v>
      </c>
      <c r="S13" s="11">
        <f>(Tabla2456711[[#This Row],[VENTA ]]-(Tabla2456711[[#This Row],[MONTO DE COMPRA]]-Tabla2456711[[#This Row],[DIFERENCIA IVA ]]))</f>
        <v>0</v>
      </c>
    </row>
    <row r="14" spans="1:20" x14ac:dyDescent="0.25">
      <c r="A14" s="56">
        <v>44744</v>
      </c>
      <c r="C14" s="4" t="s">
        <v>2221</v>
      </c>
      <c r="D14" s="1" t="s">
        <v>65</v>
      </c>
      <c r="E14" s="4" t="s">
        <v>2222</v>
      </c>
      <c r="F14" s="1" t="s">
        <v>10</v>
      </c>
      <c r="G14" s="134" t="s">
        <v>2293</v>
      </c>
      <c r="H14" s="15">
        <v>35000</v>
      </c>
      <c r="I14" s="2">
        <f>Tabla2456711[[#This Row],[TOTAL FACTURA]]*0.7</f>
        <v>24500</v>
      </c>
      <c r="J14" s="113">
        <f>Tabla2456711[[#This Row],[TOTAL FACTURA]]-Tabla2456711[[#This Row],[PORCENTAJE A CANCELAR]]</f>
        <v>10500</v>
      </c>
      <c r="L14" s="11"/>
      <c r="M14" s="11">
        <f>Tabla2456711[[#This Row],[MONTO DE COMPRA]]/1.19</f>
        <v>0</v>
      </c>
      <c r="N14" s="11">
        <f>Tabla2456711[[#This Row],[Columna1]]*19%</f>
        <v>0</v>
      </c>
      <c r="O14" s="11"/>
      <c r="P14" s="11">
        <f>Tabla2456711[[#This Row],[VENTA ]]/1.19</f>
        <v>0</v>
      </c>
      <c r="Q14" s="11">
        <f>Tabla2456711[[#This Row],[Columna2]]*19%</f>
        <v>0</v>
      </c>
      <c r="R14" s="11">
        <f>Tabla2456711[[#This Row],[IVA VENTA ]]-Tabla2456711[[#This Row],[IV COMPRA]]</f>
        <v>0</v>
      </c>
      <c r="S14" s="11">
        <f>(Tabla2456711[[#This Row],[VENTA ]]-(Tabla2456711[[#This Row],[MONTO DE COMPRA]]-Tabla2456711[[#This Row],[DIFERENCIA IVA ]]))</f>
        <v>0</v>
      </c>
    </row>
    <row r="15" spans="1:20" hidden="1" x14ac:dyDescent="0.25">
      <c r="A15" s="56">
        <v>44744</v>
      </c>
      <c r="B15" s="4" t="s">
        <v>2341</v>
      </c>
      <c r="C15" s="4" t="s">
        <v>2342</v>
      </c>
      <c r="D15" s="1" t="s">
        <v>389</v>
      </c>
      <c r="E15" s="4" t="s">
        <v>2343</v>
      </c>
      <c r="F15" s="1" t="s">
        <v>408</v>
      </c>
      <c r="G15" s="134" t="s">
        <v>2344</v>
      </c>
      <c r="H15" s="15">
        <v>190000</v>
      </c>
      <c r="I15" s="2">
        <f>Tabla2456711[[#This Row],[TOTAL FACTURA]]*0.7</f>
        <v>133000</v>
      </c>
      <c r="J15" s="113">
        <f>Tabla2456711[[#This Row],[TOTAL FACTURA]]-Tabla2456711[[#This Row],[PORCENTAJE A CANCELAR]]</f>
        <v>57000</v>
      </c>
      <c r="L15" s="11"/>
      <c r="M15" s="11">
        <f>Tabla2456711[[#This Row],[MONTO DE COMPRA]]/1.19</f>
        <v>0</v>
      </c>
      <c r="N15" s="11">
        <f>Tabla2456711[[#This Row],[Columna1]]*19%</f>
        <v>0</v>
      </c>
      <c r="O15" s="11"/>
      <c r="P15" s="11">
        <f>Tabla2456711[[#This Row],[VENTA ]]/1.19</f>
        <v>0</v>
      </c>
      <c r="Q15" s="11">
        <f>Tabla2456711[[#This Row],[Columna2]]*19%</f>
        <v>0</v>
      </c>
      <c r="R15" s="11">
        <f>Tabla2456711[[#This Row],[IVA VENTA ]]-Tabla2456711[[#This Row],[IV COMPRA]]</f>
        <v>0</v>
      </c>
      <c r="S15" s="11">
        <f>(Tabla2456711[[#This Row],[VENTA ]]-(Tabla2456711[[#This Row],[MONTO DE COMPRA]]-Tabla2456711[[#This Row],[DIFERENCIA IVA ]]))</f>
        <v>0</v>
      </c>
    </row>
    <row r="16" spans="1:20" hidden="1" x14ac:dyDescent="0.25">
      <c r="A16" s="56">
        <v>44744</v>
      </c>
      <c r="B16" s="4" t="s">
        <v>2295</v>
      </c>
      <c r="C16" s="4" t="s">
        <v>2294</v>
      </c>
      <c r="D16" s="1" t="s">
        <v>540</v>
      </c>
      <c r="E16" s="4" t="s">
        <v>2296</v>
      </c>
      <c r="F16" s="1" t="s">
        <v>1039</v>
      </c>
      <c r="G16" s="134" t="s">
        <v>2297</v>
      </c>
      <c r="H16" s="15">
        <v>150000</v>
      </c>
      <c r="I16" s="2">
        <f>Tabla2456711[[#This Row],[TOTAL FACTURA]]*0.7</f>
        <v>105000</v>
      </c>
      <c r="J16" s="113">
        <f>Tabla2456711[[#This Row],[TOTAL FACTURA]]-Tabla2456711[[#This Row],[PORCENTAJE A CANCELAR]]</f>
        <v>45000</v>
      </c>
      <c r="L16" s="11"/>
      <c r="M16" s="11">
        <f>Tabla2456711[[#This Row],[MONTO DE COMPRA]]/1.19</f>
        <v>0</v>
      </c>
      <c r="N16" s="11">
        <f>Tabla2456711[[#This Row],[Columna1]]*19%</f>
        <v>0</v>
      </c>
      <c r="O16" s="11"/>
      <c r="P16" s="11">
        <f>Tabla2456711[[#This Row],[VENTA ]]/1.19</f>
        <v>0</v>
      </c>
      <c r="Q16" s="11">
        <f>Tabla2456711[[#This Row],[Columna2]]*19%</f>
        <v>0</v>
      </c>
      <c r="R16" s="11">
        <f>Tabla2456711[[#This Row],[IVA VENTA ]]-Tabla2456711[[#This Row],[IV COMPRA]]</f>
        <v>0</v>
      </c>
      <c r="S16" s="11">
        <f>(Tabla2456711[[#This Row],[VENTA ]]-(Tabla2456711[[#This Row],[MONTO DE COMPRA]]-Tabla2456711[[#This Row],[DIFERENCIA IVA ]]))</f>
        <v>0</v>
      </c>
    </row>
    <row r="17" spans="1:19" hidden="1" x14ac:dyDescent="0.25">
      <c r="A17" s="56">
        <v>44747</v>
      </c>
      <c r="B17" s="4" t="s">
        <v>2298</v>
      </c>
      <c r="C17" s="4" t="s">
        <v>2299</v>
      </c>
      <c r="D17" s="1" t="s">
        <v>311</v>
      </c>
      <c r="E17" s="4" t="s">
        <v>2300</v>
      </c>
      <c r="F17" s="1" t="s">
        <v>19</v>
      </c>
      <c r="G17" s="134" t="s">
        <v>744</v>
      </c>
      <c r="H17" s="15">
        <v>40000</v>
      </c>
      <c r="I17" s="2">
        <f>Tabla2456711[[#This Row],[TOTAL FACTURA]]*0.7</f>
        <v>28000</v>
      </c>
      <c r="J17" s="113">
        <f>Tabla2456711[[#This Row],[TOTAL FACTURA]]-Tabla2456711[[#This Row],[PORCENTAJE A CANCELAR]]</f>
        <v>12000</v>
      </c>
      <c r="L17" s="11"/>
      <c r="M17" s="11">
        <f>Tabla2456711[[#This Row],[MONTO DE COMPRA]]/1.19</f>
        <v>0</v>
      </c>
      <c r="N17" s="11">
        <f>Tabla2456711[[#This Row],[Columna1]]*19%</f>
        <v>0</v>
      </c>
      <c r="O17" s="11"/>
      <c r="P17" s="11">
        <f>Tabla2456711[[#This Row],[VENTA ]]/1.19</f>
        <v>0</v>
      </c>
      <c r="Q17" s="11">
        <f>Tabla2456711[[#This Row],[Columna2]]*19%</f>
        <v>0</v>
      </c>
      <c r="R17" s="11">
        <f>Tabla2456711[[#This Row],[IVA VENTA ]]-Tabla2456711[[#This Row],[IV COMPRA]]</f>
        <v>0</v>
      </c>
      <c r="S17" s="11">
        <f>(Tabla2456711[[#This Row],[VENTA ]]-(Tabla2456711[[#This Row],[MONTO DE COMPRA]]-Tabla2456711[[#This Row],[DIFERENCIA IVA ]]))</f>
        <v>0</v>
      </c>
    </row>
    <row r="18" spans="1:19" hidden="1" x14ac:dyDescent="0.25">
      <c r="A18" s="56">
        <v>44747</v>
      </c>
      <c r="C18" s="4" t="s">
        <v>2301</v>
      </c>
      <c r="D18" s="1" t="s">
        <v>2302</v>
      </c>
      <c r="E18" s="4" t="s">
        <v>1103</v>
      </c>
      <c r="F18" s="1" t="s">
        <v>19</v>
      </c>
      <c r="G18" s="134" t="s">
        <v>2303</v>
      </c>
      <c r="H18" s="15">
        <v>30000</v>
      </c>
      <c r="I18" s="2">
        <f>Tabla2456711[[#This Row],[TOTAL FACTURA]]*0.7</f>
        <v>21000</v>
      </c>
      <c r="J18" s="113">
        <f>Tabla2456711[[#This Row],[TOTAL FACTURA]]-Tabla2456711[[#This Row],[PORCENTAJE A CANCELAR]]</f>
        <v>9000</v>
      </c>
      <c r="L18" s="11"/>
      <c r="M18" s="11">
        <f>Tabla2456711[[#This Row],[MONTO DE COMPRA]]/1.19</f>
        <v>0</v>
      </c>
      <c r="N18" s="11">
        <f>Tabla2456711[[#This Row],[Columna1]]*19%</f>
        <v>0</v>
      </c>
      <c r="O18" s="11"/>
      <c r="P18" s="11">
        <f>Tabla2456711[[#This Row],[VENTA ]]/1.19</f>
        <v>0</v>
      </c>
      <c r="Q18" s="11">
        <f>Tabla2456711[[#This Row],[Columna2]]*19%</f>
        <v>0</v>
      </c>
      <c r="R18" s="11">
        <f>Tabla2456711[[#This Row],[IVA VENTA ]]-Tabla2456711[[#This Row],[IV COMPRA]]</f>
        <v>0</v>
      </c>
      <c r="S18" s="11">
        <f>(Tabla2456711[[#This Row],[VENTA ]]-(Tabla2456711[[#This Row],[MONTO DE COMPRA]]-Tabla2456711[[#This Row],[DIFERENCIA IVA ]]))</f>
        <v>0</v>
      </c>
    </row>
    <row r="19" spans="1:19" hidden="1" x14ac:dyDescent="0.25">
      <c r="A19" s="56">
        <v>44747</v>
      </c>
      <c r="B19" s="4" t="s">
        <v>2304</v>
      </c>
      <c r="C19" s="4" t="s">
        <v>827</v>
      </c>
      <c r="D19" s="1" t="s">
        <v>2305</v>
      </c>
      <c r="E19" s="4" t="s">
        <v>829</v>
      </c>
      <c r="F19" s="1" t="s">
        <v>19</v>
      </c>
      <c r="G19" s="134" t="s">
        <v>2306</v>
      </c>
      <c r="H19" s="15">
        <v>120000</v>
      </c>
      <c r="I19" s="2">
        <f>Tabla2456711[[#This Row],[TOTAL FACTURA]]*0.7</f>
        <v>84000</v>
      </c>
      <c r="J19" s="113">
        <f>Tabla2456711[[#This Row],[TOTAL FACTURA]]-Tabla2456711[[#This Row],[PORCENTAJE A CANCELAR]]</f>
        <v>36000</v>
      </c>
      <c r="L19" s="11"/>
      <c r="M19" s="11">
        <f>Tabla2456711[[#This Row],[MONTO DE COMPRA]]/1.19</f>
        <v>0</v>
      </c>
      <c r="N19" s="11">
        <f>Tabla2456711[[#This Row],[Columna1]]*19%</f>
        <v>0</v>
      </c>
      <c r="O19" s="11"/>
      <c r="P19" s="11">
        <f>Tabla2456711[[#This Row],[VENTA ]]/1.19</f>
        <v>0</v>
      </c>
      <c r="Q19" s="11">
        <f>Tabla2456711[[#This Row],[Columna2]]*19%</f>
        <v>0</v>
      </c>
      <c r="R19" s="11">
        <f>Tabla2456711[[#This Row],[IVA VENTA ]]-Tabla2456711[[#This Row],[IV COMPRA]]</f>
        <v>0</v>
      </c>
      <c r="S19" s="11">
        <f>(Tabla2456711[[#This Row],[VENTA ]]-(Tabla2456711[[#This Row],[MONTO DE COMPRA]]-Tabla2456711[[#This Row],[DIFERENCIA IVA ]]))</f>
        <v>0</v>
      </c>
    </row>
    <row r="20" spans="1:19" hidden="1" x14ac:dyDescent="0.25">
      <c r="A20" s="56">
        <v>44748</v>
      </c>
      <c r="C20" s="114"/>
      <c r="D20" s="1" t="s">
        <v>1077</v>
      </c>
      <c r="E20" s="1" t="s">
        <v>2307</v>
      </c>
      <c r="F20" s="1" t="s">
        <v>19</v>
      </c>
      <c r="G20" s="134" t="s">
        <v>50</v>
      </c>
      <c r="H20" s="15">
        <v>60000</v>
      </c>
      <c r="I20" s="2">
        <f>Tabla2456711[[#This Row],[TOTAL FACTURA]]*0.7</f>
        <v>42000</v>
      </c>
      <c r="J20" s="113">
        <f>Tabla2456711[[#This Row],[TOTAL FACTURA]]-Tabla2456711[[#This Row],[PORCENTAJE A CANCELAR]]</f>
        <v>18000</v>
      </c>
      <c r="L20" s="11"/>
      <c r="M20" s="11">
        <f>Tabla2456711[[#This Row],[MONTO DE COMPRA]]/1.19</f>
        <v>0</v>
      </c>
      <c r="N20" s="11">
        <f>Tabla2456711[[#This Row],[Columna1]]*19%</f>
        <v>0</v>
      </c>
      <c r="O20" s="11"/>
      <c r="P20" s="11">
        <f>Tabla2456711[[#This Row],[VENTA ]]/1.19</f>
        <v>0</v>
      </c>
      <c r="Q20" s="11">
        <f>Tabla2456711[[#This Row],[Columna2]]*19%</f>
        <v>0</v>
      </c>
      <c r="R20" s="11">
        <f>Tabla2456711[[#This Row],[IVA VENTA ]]-Tabla2456711[[#This Row],[IV COMPRA]]</f>
        <v>0</v>
      </c>
      <c r="S20" s="11">
        <f>(Tabla2456711[[#This Row],[VENTA ]]-(Tabla2456711[[#This Row],[MONTO DE COMPRA]]-Tabla2456711[[#This Row],[DIFERENCIA IVA ]]))</f>
        <v>0</v>
      </c>
    </row>
    <row r="21" spans="1:19" hidden="1" x14ac:dyDescent="0.25">
      <c r="A21" s="56">
        <v>44748</v>
      </c>
      <c r="B21" s="4" t="s">
        <v>2308</v>
      </c>
      <c r="C21" s="4" t="s">
        <v>1320</v>
      </c>
      <c r="D21" s="1" t="s">
        <v>52</v>
      </c>
      <c r="E21" s="1" t="s">
        <v>1321</v>
      </c>
      <c r="F21" s="1" t="s">
        <v>1039</v>
      </c>
      <c r="G21" s="134" t="s">
        <v>2309</v>
      </c>
      <c r="H21" s="15">
        <v>60000</v>
      </c>
      <c r="I21" s="2">
        <f>Tabla2456711[[#This Row],[TOTAL FACTURA]]*0.6</f>
        <v>36000</v>
      </c>
      <c r="J21" s="113">
        <f>Tabla2456711[[#This Row],[TOTAL FACTURA]]-Tabla2456711[[#This Row],[PORCENTAJE A CANCELAR]]</f>
        <v>24000</v>
      </c>
      <c r="L21" s="11"/>
      <c r="M21" s="11">
        <f>Tabla2456711[[#This Row],[MONTO DE COMPRA]]/1.19</f>
        <v>0</v>
      </c>
      <c r="N21" s="11">
        <f>Tabla2456711[[#This Row],[Columna1]]*19%</f>
        <v>0</v>
      </c>
      <c r="O21" s="11"/>
      <c r="P21" s="11">
        <f>Tabla2456711[[#This Row],[VENTA ]]/1.19</f>
        <v>0</v>
      </c>
      <c r="Q21" s="11">
        <f>Tabla2456711[[#This Row],[Columna2]]*19%</f>
        <v>0</v>
      </c>
      <c r="R21" s="11">
        <f>Tabla2456711[[#This Row],[IVA VENTA ]]-Tabla2456711[[#This Row],[IV COMPRA]]</f>
        <v>0</v>
      </c>
      <c r="S21" s="11">
        <f>(Tabla2456711[[#This Row],[VENTA ]]-(Tabla2456711[[#This Row],[MONTO DE COMPRA]]-Tabla2456711[[#This Row],[DIFERENCIA IVA ]]))</f>
        <v>0</v>
      </c>
    </row>
    <row r="22" spans="1:19" hidden="1" x14ac:dyDescent="0.25">
      <c r="A22" s="56">
        <v>44748</v>
      </c>
      <c r="B22" s="4" t="s">
        <v>2310</v>
      </c>
      <c r="C22" s="4" t="s">
        <v>2311</v>
      </c>
      <c r="D22" s="1" t="s">
        <v>242</v>
      </c>
      <c r="E22" s="1" t="s">
        <v>2312</v>
      </c>
      <c r="F22" s="1" t="s">
        <v>19</v>
      </c>
      <c r="G22" s="134" t="s">
        <v>1976</v>
      </c>
      <c r="H22" s="15">
        <v>100000</v>
      </c>
      <c r="I22" s="2">
        <f>Tabla2456711[[#This Row],[TOTAL FACTURA]]*0.7</f>
        <v>70000</v>
      </c>
      <c r="J22" s="113">
        <f>Tabla2456711[[#This Row],[TOTAL FACTURA]]-Tabla2456711[[#This Row],[PORCENTAJE A CANCELAR]]</f>
        <v>30000</v>
      </c>
      <c r="L22" s="11"/>
      <c r="M22" s="11">
        <f>Tabla2456711[[#This Row],[MONTO DE COMPRA]]/1.19</f>
        <v>0</v>
      </c>
      <c r="N22" s="11">
        <f>Tabla2456711[[#This Row],[Columna1]]*19%</f>
        <v>0</v>
      </c>
      <c r="O22" s="11"/>
      <c r="P22" s="11">
        <f>Tabla2456711[[#This Row],[VENTA ]]/1.19</f>
        <v>0</v>
      </c>
      <c r="Q22" s="11">
        <f>Tabla2456711[[#This Row],[Columna2]]*19%</f>
        <v>0</v>
      </c>
      <c r="R22" s="11">
        <f>Tabla2456711[[#This Row],[IVA VENTA ]]-Tabla2456711[[#This Row],[IV COMPRA]]</f>
        <v>0</v>
      </c>
      <c r="S22" s="11">
        <f>(Tabla2456711[[#This Row],[VENTA ]]-(Tabla2456711[[#This Row],[MONTO DE COMPRA]]-Tabla2456711[[#This Row],[DIFERENCIA IVA ]]))</f>
        <v>0</v>
      </c>
    </row>
    <row r="23" spans="1:19" x14ac:dyDescent="0.25">
      <c r="A23" s="56">
        <v>44748</v>
      </c>
      <c r="B23" s="4" t="s">
        <v>2313</v>
      </c>
      <c r="C23" s="4" t="s">
        <v>2314</v>
      </c>
      <c r="D23" s="1" t="s">
        <v>2315</v>
      </c>
      <c r="E23" s="4" t="s">
        <v>2125</v>
      </c>
      <c r="F23" s="1" t="s">
        <v>30</v>
      </c>
      <c r="G23" s="134" t="s">
        <v>20</v>
      </c>
      <c r="H23" s="15">
        <v>40000</v>
      </c>
      <c r="I23" s="2">
        <f>Tabla2456711[[#This Row],[TOTAL FACTURA]]*0.6</f>
        <v>24000</v>
      </c>
      <c r="J23" s="113">
        <f>Tabla2456711[[#This Row],[TOTAL FACTURA]]-Tabla2456711[[#This Row],[PORCENTAJE A CANCELAR]]</f>
        <v>16000</v>
      </c>
      <c r="L23" s="11"/>
      <c r="M23" s="11">
        <f>Tabla2456711[[#This Row],[MONTO DE COMPRA]]/1.19</f>
        <v>0</v>
      </c>
      <c r="N23" s="11">
        <f>Tabla2456711[[#This Row],[Columna1]]*19%</f>
        <v>0</v>
      </c>
      <c r="O23" s="11"/>
      <c r="P23" s="11">
        <f>Tabla2456711[[#This Row],[VENTA ]]/1.19</f>
        <v>0</v>
      </c>
      <c r="Q23" s="11">
        <f>Tabla2456711[[#This Row],[Columna2]]*19%</f>
        <v>0</v>
      </c>
      <c r="R23" s="11">
        <f>Tabla2456711[[#This Row],[IVA VENTA ]]-Tabla2456711[[#This Row],[IV COMPRA]]</f>
        <v>0</v>
      </c>
      <c r="S23" s="11">
        <f>(Tabla2456711[[#This Row],[VENTA ]]-(Tabla2456711[[#This Row],[MONTO DE COMPRA]]-Tabla2456711[[#This Row],[DIFERENCIA IVA ]]))</f>
        <v>0</v>
      </c>
    </row>
    <row r="24" spans="1:19" ht="30" hidden="1" x14ac:dyDescent="0.25">
      <c r="A24" s="56">
        <v>44748</v>
      </c>
      <c r="C24" s="114" t="s">
        <v>2316</v>
      </c>
      <c r="D24" s="1" t="s">
        <v>2318</v>
      </c>
      <c r="E24" s="4" t="s">
        <v>2317</v>
      </c>
      <c r="F24" s="1" t="s">
        <v>408</v>
      </c>
      <c r="G24" s="134" t="s">
        <v>2345</v>
      </c>
      <c r="H24" s="15">
        <v>150000</v>
      </c>
      <c r="I24" s="2">
        <f>Tabla2456711[[#This Row],[TOTAL FACTURA]]*0.7</f>
        <v>105000</v>
      </c>
      <c r="J24" s="113">
        <f>Tabla2456711[[#This Row],[TOTAL FACTURA]]-Tabla2456711[[#This Row],[PORCENTAJE A CANCELAR]]</f>
        <v>45000</v>
      </c>
      <c r="L24" s="11"/>
      <c r="M24" s="11">
        <f>Tabla2456711[[#This Row],[MONTO DE COMPRA]]/1.19</f>
        <v>0</v>
      </c>
      <c r="N24" s="11">
        <f>Tabla2456711[[#This Row],[Columna1]]*19%</f>
        <v>0</v>
      </c>
      <c r="O24" s="11"/>
      <c r="P24" s="11">
        <f>Tabla2456711[[#This Row],[VENTA ]]/1.19</f>
        <v>0</v>
      </c>
      <c r="Q24" s="11">
        <f>Tabla2456711[[#This Row],[Columna2]]*19%</f>
        <v>0</v>
      </c>
      <c r="R24" s="11">
        <f>Tabla2456711[[#This Row],[IVA VENTA ]]-Tabla2456711[[#This Row],[IV COMPRA]]</f>
        <v>0</v>
      </c>
      <c r="S24" s="11">
        <f>(Tabla2456711[[#This Row],[VENTA ]]-(Tabla2456711[[#This Row],[MONTO DE COMPRA]]-Tabla2456711[[#This Row],[DIFERENCIA IVA ]]))</f>
        <v>0</v>
      </c>
    </row>
    <row r="25" spans="1:19" ht="30" hidden="1" x14ac:dyDescent="0.25">
      <c r="A25" s="56">
        <v>44748</v>
      </c>
      <c r="B25" s="4" t="s">
        <v>2319</v>
      </c>
      <c r="C25" s="4" t="s">
        <v>2294</v>
      </c>
      <c r="D25" s="1" t="s">
        <v>122</v>
      </c>
      <c r="E25" s="4" t="s">
        <v>2320</v>
      </c>
      <c r="F25" s="1" t="s">
        <v>19</v>
      </c>
      <c r="G25" s="134" t="s">
        <v>2321</v>
      </c>
      <c r="H25" s="15">
        <v>250000</v>
      </c>
      <c r="I25" s="2">
        <f>Tabla2456711[[#This Row],[TOTAL FACTURA]]*0.7</f>
        <v>175000</v>
      </c>
      <c r="J25" s="113">
        <f>Tabla2456711[[#This Row],[TOTAL FACTURA]]-Tabla2456711[[#This Row],[PORCENTAJE A CANCELAR]]</f>
        <v>75000</v>
      </c>
      <c r="L25" s="11"/>
      <c r="M25" s="11">
        <f>Tabla2456711[[#This Row],[MONTO DE COMPRA]]/1.19</f>
        <v>0</v>
      </c>
      <c r="N25" s="11">
        <f>Tabla2456711[[#This Row],[Columna1]]*19%</f>
        <v>0</v>
      </c>
      <c r="O25" s="11"/>
      <c r="P25" s="11">
        <f>Tabla2456711[[#This Row],[VENTA ]]/1.19</f>
        <v>0</v>
      </c>
      <c r="Q25" s="11">
        <f>Tabla2456711[[#This Row],[Columna2]]*19%</f>
        <v>0</v>
      </c>
      <c r="R25" s="11">
        <f>Tabla2456711[[#This Row],[IVA VENTA ]]-Tabla2456711[[#This Row],[IV COMPRA]]</f>
        <v>0</v>
      </c>
      <c r="S25" s="11">
        <f>(Tabla2456711[[#This Row],[VENTA ]]-(Tabla2456711[[#This Row],[MONTO DE COMPRA]]-Tabla2456711[[#This Row],[DIFERENCIA IVA ]]))</f>
        <v>0</v>
      </c>
    </row>
    <row r="26" spans="1:19" hidden="1" x14ac:dyDescent="0.25">
      <c r="A26" s="56">
        <v>44749</v>
      </c>
      <c r="C26" s="4" t="s">
        <v>2322</v>
      </c>
      <c r="D26" s="1" t="s">
        <v>22</v>
      </c>
      <c r="E26" s="4" t="s">
        <v>2323</v>
      </c>
      <c r="F26" s="1" t="s">
        <v>19</v>
      </c>
      <c r="G26" s="134" t="s">
        <v>2324</v>
      </c>
      <c r="H26" s="15">
        <v>30000</v>
      </c>
      <c r="I26" s="2">
        <f>Tabla2456711[[#This Row],[TOTAL FACTURA]]*0.7</f>
        <v>21000</v>
      </c>
      <c r="J26" s="113">
        <f>Tabla2456711[[#This Row],[TOTAL FACTURA]]-Tabla2456711[[#This Row],[PORCENTAJE A CANCELAR]]</f>
        <v>9000</v>
      </c>
      <c r="L26" s="11"/>
      <c r="M26" s="11">
        <f>Tabla2456711[[#This Row],[MONTO DE COMPRA]]/1.19</f>
        <v>0</v>
      </c>
      <c r="N26" s="11">
        <f>Tabla2456711[[#This Row],[Columna1]]*19%</f>
        <v>0</v>
      </c>
      <c r="O26" s="11"/>
      <c r="P26" s="11">
        <f>Tabla2456711[[#This Row],[VENTA ]]/1.19</f>
        <v>0</v>
      </c>
      <c r="Q26" s="11">
        <f>Tabla2456711[[#This Row],[Columna2]]*19%</f>
        <v>0</v>
      </c>
      <c r="R26" s="11">
        <f>Tabla2456711[[#This Row],[IVA VENTA ]]-Tabla2456711[[#This Row],[IV COMPRA]]</f>
        <v>0</v>
      </c>
      <c r="S26" s="11">
        <f>(Tabla2456711[[#This Row],[VENTA ]]-(Tabla2456711[[#This Row],[MONTO DE COMPRA]]-Tabla2456711[[#This Row],[DIFERENCIA IVA ]]))</f>
        <v>0</v>
      </c>
    </row>
    <row r="27" spans="1:19" ht="30" hidden="1" x14ac:dyDescent="0.25">
      <c r="A27" s="56">
        <v>44749</v>
      </c>
      <c r="C27" s="4" t="s">
        <v>2325</v>
      </c>
      <c r="D27" s="1" t="s">
        <v>122</v>
      </c>
      <c r="E27" s="4" t="s">
        <v>228</v>
      </c>
      <c r="F27" s="1" t="s">
        <v>408</v>
      </c>
      <c r="G27" s="134" t="s">
        <v>2326</v>
      </c>
      <c r="H27" s="15">
        <v>60000</v>
      </c>
      <c r="I27" s="2">
        <f>Tabla2456711[[#This Row],[TOTAL FACTURA]]*0.7</f>
        <v>42000</v>
      </c>
      <c r="J27" s="113">
        <f>Tabla2456711[[#This Row],[TOTAL FACTURA]]-Tabla2456711[[#This Row],[PORCENTAJE A CANCELAR]]</f>
        <v>18000</v>
      </c>
      <c r="L27" s="11"/>
      <c r="M27" s="11">
        <f>Tabla2456711[[#This Row],[MONTO DE COMPRA]]/1.19</f>
        <v>0</v>
      </c>
      <c r="N27" s="11">
        <f>Tabla2456711[[#This Row],[Columna1]]*19%</f>
        <v>0</v>
      </c>
      <c r="O27" s="11"/>
      <c r="P27" s="11">
        <f>Tabla2456711[[#This Row],[VENTA ]]/1.19</f>
        <v>0</v>
      </c>
      <c r="Q27" s="11">
        <f>Tabla2456711[[#This Row],[Columna2]]*19%</f>
        <v>0</v>
      </c>
      <c r="R27" s="11">
        <f>Tabla2456711[[#This Row],[IVA VENTA ]]-Tabla2456711[[#This Row],[IV COMPRA]]</f>
        <v>0</v>
      </c>
      <c r="S27" s="11">
        <f>(Tabla2456711[[#This Row],[VENTA ]]-(Tabla2456711[[#This Row],[MONTO DE COMPRA]]-Tabla2456711[[#This Row],[DIFERENCIA IVA ]]))</f>
        <v>0</v>
      </c>
    </row>
    <row r="28" spans="1:19" hidden="1" x14ac:dyDescent="0.25">
      <c r="A28" s="56">
        <v>44749</v>
      </c>
      <c r="C28" s="114"/>
      <c r="D28" s="1" t="s">
        <v>54</v>
      </c>
      <c r="E28" s="4" t="s">
        <v>2327</v>
      </c>
      <c r="F28" s="1" t="s">
        <v>19</v>
      </c>
      <c r="G28" s="134" t="s">
        <v>1515</v>
      </c>
      <c r="H28" s="15">
        <v>30000</v>
      </c>
      <c r="I28" s="2">
        <f>Tabla2456711[[#This Row],[TOTAL FACTURA]]*0.7</f>
        <v>21000</v>
      </c>
      <c r="J28" s="113">
        <f>Tabla2456711[[#This Row],[TOTAL FACTURA]]-Tabla2456711[[#This Row],[PORCENTAJE A CANCELAR]]</f>
        <v>9000</v>
      </c>
      <c r="L28" s="11"/>
      <c r="M28" s="11">
        <f>Tabla2456711[[#This Row],[MONTO DE COMPRA]]/1.19</f>
        <v>0</v>
      </c>
      <c r="N28" s="11">
        <f>Tabla2456711[[#This Row],[Columna1]]*19%</f>
        <v>0</v>
      </c>
      <c r="O28" s="11"/>
      <c r="P28" s="11">
        <f>Tabla2456711[[#This Row],[VENTA ]]/1.19</f>
        <v>0</v>
      </c>
      <c r="Q28" s="11">
        <f>Tabla2456711[[#This Row],[Columna2]]*19%</f>
        <v>0</v>
      </c>
      <c r="R28" s="11">
        <f>Tabla2456711[[#This Row],[IVA VENTA ]]-Tabla2456711[[#This Row],[IV COMPRA]]</f>
        <v>0</v>
      </c>
      <c r="S28" s="11">
        <f>(Tabla2456711[[#This Row],[VENTA ]]-(Tabla2456711[[#This Row],[MONTO DE COMPRA]]-Tabla2456711[[#This Row],[DIFERENCIA IVA ]]))</f>
        <v>0</v>
      </c>
    </row>
    <row r="29" spans="1:19" hidden="1" x14ac:dyDescent="0.25">
      <c r="A29" s="56">
        <v>44749</v>
      </c>
      <c r="C29" s="4" t="s">
        <v>2328</v>
      </c>
      <c r="D29" s="1" t="s">
        <v>1044</v>
      </c>
      <c r="E29" s="4" t="s">
        <v>2329</v>
      </c>
      <c r="F29" s="1" t="s">
        <v>1039</v>
      </c>
      <c r="G29" s="134" t="s">
        <v>2330</v>
      </c>
      <c r="H29" s="15">
        <v>40000</v>
      </c>
      <c r="I29" s="2">
        <f>Tabla2456711[[#This Row],[TOTAL FACTURA]]*0.6</f>
        <v>24000</v>
      </c>
      <c r="J29" s="113">
        <f>Tabla2456711[[#This Row],[TOTAL FACTURA]]-Tabla2456711[[#This Row],[PORCENTAJE A CANCELAR]]</f>
        <v>16000</v>
      </c>
      <c r="L29" s="11"/>
      <c r="M29" s="11">
        <f>Tabla2456711[[#This Row],[MONTO DE COMPRA]]/1.19</f>
        <v>0</v>
      </c>
      <c r="N29" s="11">
        <f>Tabla2456711[[#This Row],[Columna1]]*19%</f>
        <v>0</v>
      </c>
      <c r="O29" s="11"/>
      <c r="P29" s="11">
        <f>Tabla2456711[[#This Row],[VENTA ]]/1.19</f>
        <v>0</v>
      </c>
      <c r="Q29" s="11">
        <f>Tabla2456711[[#This Row],[Columna2]]*19%</f>
        <v>0</v>
      </c>
      <c r="R29" s="11">
        <f>Tabla2456711[[#This Row],[IVA VENTA ]]-Tabla2456711[[#This Row],[IV COMPRA]]</f>
        <v>0</v>
      </c>
      <c r="S29" s="11">
        <f>(Tabla2456711[[#This Row],[VENTA ]]-(Tabla2456711[[#This Row],[MONTO DE COMPRA]]-Tabla2456711[[#This Row],[DIFERENCIA IVA ]]))</f>
        <v>0</v>
      </c>
    </row>
    <row r="30" spans="1:19" hidden="1" x14ac:dyDescent="0.25">
      <c r="A30" s="56">
        <v>44749</v>
      </c>
      <c r="C30" s="114" t="s">
        <v>2331</v>
      </c>
      <c r="D30" s="1" t="s">
        <v>576</v>
      </c>
      <c r="E30" s="4" t="s">
        <v>577</v>
      </c>
      <c r="F30" s="1" t="s">
        <v>19</v>
      </c>
      <c r="G30" s="134" t="s">
        <v>2332</v>
      </c>
      <c r="H30" s="15">
        <v>30000</v>
      </c>
      <c r="I30" s="2">
        <f>Tabla2456711[[#This Row],[TOTAL FACTURA]]*0.7</f>
        <v>21000</v>
      </c>
      <c r="J30" s="113">
        <f>Tabla2456711[[#This Row],[TOTAL FACTURA]]-Tabla2456711[[#This Row],[PORCENTAJE A CANCELAR]]</f>
        <v>9000</v>
      </c>
      <c r="L30" s="11"/>
      <c r="M30" s="11">
        <f>Tabla2456711[[#This Row],[MONTO DE COMPRA]]/1.19</f>
        <v>0</v>
      </c>
      <c r="N30" s="11">
        <f>Tabla2456711[[#This Row],[Columna1]]*19%</f>
        <v>0</v>
      </c>
      <c r="O30" s="11"/>
      <c r="P30" s="11">
        <f>Tabla2456711[[#This Row],[VENTA ]]/1.19</f>
        <v>0</v>
      </c>
      <c r="Q30" s="11">
        <f>Tabla2456711[[#This Row],[Columna2]]*19%</f>
        <v>0</v>
      </c>
      <c r="R30" s="11">
        <f>Tabla2456711[[#This Row],[IVA VENTA ]]-Tabla2456711[[#This Row],[IV COMPRA]]</f>
        <v>0</v>
      </c>
      <c r="S30" s="11">
        <f>(Tabla2456711[[#This Row],[VENTA ]]-(Tabla2456711[[#This Row],[MONTO DE COMPRA]]-Tabla2456711[[#This Row],[DIFERENCIA IVA ]]))</f>
        <v>0</v>
      </c>
    </row>
    <row r="31" spans="1:19" x14ac:dyDescent="0.25">
      <c r="A31" s="56">
        <v>44749</v>
      </c>
      <c r="B31" s="4" t="s">
        <v>2333</v>
      </c>
      <c r="C31" s="4" t="s">
        <v>2334</v>
      </c>
      <c r="D31" s="1" t="s">
        <v>1414</v>
      </c>
      <c r="E31" s="4" t="s">
        <v>2335</v>
      </c>
      <c r="F31" s="1" t="s">
        <v>10</v>
      </c>
      <c r="G31" s="134" t="s">
        <v>956</v>
      </c>
      <c r="H31" s="15">
        <v>1000000</v>
      </c>
      <c r="I31" s="15">
        <f>Tabla2456711[[#This Row],[TOTAL FACTURA]]*0.7</f>
        <v>700000</v>
      </c>
      <c r="J31" s="113">
        <f>Tabla2456711[[#This Row],[TOTAL FACTURA]]-Tabla2456711[[#This Row],[PORCENTAJE A CANCELAR]]</f>
        <v>300000</v>
      </c>
      <c r="L31" s="11"/>
      <c r="M31" s="11">
        <f>Tabla2456711[[#This Row],[MONTO DE COMPRA]]/1.19</f>
        <v>0</v>
      </c>
      <c r="N31" s="11">
        <f>Tabla2456711[[#This Row],[Columna1]]*19%</f>
        <v>0</v>
      </c>
      <c r="O31" s="11"/>
      <c r="P31" s="11">
        <f>Tabla2456711[[#This Row],[VENTA ]]/1.19</f>
        <v>0</v>
      </c>
      <c r="Q31" s="11">
        <f>Tabla2456711[[#This Row],[Columna2]]*19%</f>
        <v>0</v>
      </c>
      <c r="R31" s="11">
        <f>Tabla2456711[[#This Row],[IVA VENTA ]]-Tabla2456711[[#This Row],[IV COMPRA]]</f>
        <v>0</v>
      </c>
      <c r="S31" s="11">
        <f>(Tabla2456711[[#This Row],[VENTA ]]-(Tabla2456711[[#This Row],[MONTO DE COMPRA]]-Tabla2456711[[#This Row],[DIFERENCIA IVA ]]))</f>
        <v>0</v>
      </c>
    </row>
    <row r="32" spans="1:19" ht="30" hidden="1" x14ac:dyDescent="0.25">
      <c r="A32" s="56">
        <v>44750</v>
      </c>
      <c r="C32" s="114" t="s">
        <v>2336</v>
      </c>
      <c r="D32" s="1" t="s">
        <v>566</v>
      </c>
      <c r="E32" s="4" t="s">
        <v>2337</v>
      </c>
      <c r="F32" s="1" t="s">
        <v>19</v>
      </c>
      <c r="G32" s="134" t="s">
        <v>2338</v>
      </c>
      <c r="H32" s="15">
        <v>80000</v>
      </c>
      <c r="I32" s="2">
        <f>Tabla2456711[[#This Row],[TOTAL FACTURA]]*0.7</f>
        <v>56000</v>
      </c>
      <c r="J32" s="113">
        <f>Tabla2456711[[#This Row],[TOTAL FACTURA]]-Tabla2456711[[#This Row],[PORCENTAJE A CANCELAR]]</f>
        <v>24000</v>
      </c>
      <c r="L32" s="11"/>
      <c r="M32" s="11">
        <f>Tabla2456711[[#This Row],[MONTO DE COMPRA]]/1.19</f>
        <v>0</v>
      </c>
      <c r="N32" s="11">
        <f>Tabla2456711[[#This Row],[Columna1]]*19%</f>
        <v>0</v>
      </c>
      <c r="O32" s="11"/>
      <c r="P32" s="11">
        <f>Tabla2456711[[#This Row],[VENTA ]]/1.19</f>
        <v>0</v>
      </c>
      <c r="Q32" s="11">
        <f>Tabla2456711[[#This Row],[Columna2]]*19%</f>
        <v>0</v>
      </c>
      <c r="R32" s="11">
        <f>Tabla2456711[[#This Row],[IVA VENTA ]]-Tabla2456711[[#This Row],[IV COMPRA]]</f>
        <v>0</v>
      </c>
      <c r="S32" s="11">
        <f>(Tabla2456711[[#This Row],[VENTA ]]-(Tabla2456711[[#This Row],[MONTO DE COMPRA]]-Tabla2456711[[#This Row],[DIFERENCIA IVA ]]))</f>
        <v>0</v>
      </c>
    </row>
    <row r="33" spans="1:19" hidden="1" x14ac:dyDescent="0.25">
      <c r="A33" s="56">
        <v>44750</v>
      </c>
      <c r="C33" s="114"/>
      <c r="D33" s="1" t="s">
        <v>76</v>
      </c>
      <c r="E33" s="4" t="s">
        <v>2339</v>
      </c>
      <c r="F33" s="1" t="s">
        <v>408</v>
      </c>
      <c r="G33" s="134" t="s">
        <v>2340</v>
      </c>
      <c r="H33" s="15">
        <v>14000</v>
      </c>
      <c r="I33" s="2">
        <f>Tabla2456711[[#This Row],[TOTAL FACTURA]]*0.7</f>
        <v>9800</v>
      </c>
      <c r="J33" s="113">
        <f>Tabla2456711[[#This Row],[TOTAL FACTURA]]-Tabla2456711[[#This Row],[PORCENTAJE A CANCELAR]]</f>
        <v>4200</v>
      </c>
      <c r="L33" s="11"/>
      <c r="M33" s="11">
        <f>Tabla2456711[[#This Row],[MONTO DE COMPRA]]/1.19</f>
        <v>0</v>
      </c>
      <c r="N33" s="11">
        <f>Tabla2456711[[#This Row],[Columna1]]*19%</f>
        <v>0</v>
      </c>
      <c r="O33" s="11"/>
      <c r="P33" s="11">
        <f>Tabla2456711[[#This Row],[VENTA ]]/1.19</f>
        <v>0</v>
      </c>
      <c r="Q33" s="11">
        <f>Tabla2456711[[#This Row],[Columna2]]*19%</f>
        <v>0</v>
      </c>
      <c r="R33" s="11">
        <f>Tabla2456711[[#This Row],[IVA VENTA ]]-Tabla2456711[[#This Row],[IV COMPRA]]</f>
        <v>0</v>
      </c>
      <c r="S33" s="11">
        <f>(Tabla2456711[[#This Row],[VENTA ]]-(Tabla2456711[[#This Row],[MONTO DE COMPRA]]-Tabla2456711[[#This Row],[DIFERENCIA IVA ]]))</f>
        <v>0</v>
      </c>
    </row>
    <row r="34" spans="1:19" x14ac:dyDescent="0.25">
      <c r="A34" s="56">
        <v>44750</v>
      </c>
      <c r="C34" s="114" t="s">
        <v>2287</v>
      </c>
      <c r="D34" s="1" t="s">
        <v>54</v>
      </c>
      <c r="E34" s="4" t="s">
        <v>2288</v>
      </c>
      <c r="F34" s="1" t="s">
        <v>10</v>
      </c>
      <c r="G34" s="134" t="s">
        <v>1151</v>
      </c>
      <c r="H34" s="15">
        <v>700000</v>
      </c>
      <c r="I34" s="15">
        <v>200000</v>
      </c>
      <c r="J34" s="113">
        <f>Tabla2456711[[#This Row],[TOTAL FACTURA]]-Tabla2456711[[#This Row],[PORCENTAJE A CANCELAR]]</f>
        <v>500000</v>
      </c>
      <c r="L34" s="11"/>
      <c r="M34" s="11">
        <f>Tabla2456711[[#This Row],[MONTO DE COMPRA]]/1.19</f>
        <v>0</v>
      </c>
      <c r="N34" s="11">
        <f>Tabla2456711[[#This Row],[Columna1]]*19%</f>
        <v>0</v>
      </c>
      <c r="O34" s="11"/>
      <c r="P34" s="11">
        <f>Tabla2456711[[#This Row],[VENTA ]]/1.19</f>
        <v>0</v>
      </c>
      <c r="Q34" s="11">
        <f>Tabla2456711[[#This Row],[Columna2]]*19%</f>
        <v>0</v>
      </c>
      <c r="R34" s="11">
        <f>Tabla2456711[[#This Row],[IVA VENTA ]]-Tabla2456711[[#This Row],[IV COMPRA]]</f>
        <v>0</v>
      </c>
      <c r="S34" s="11">
        <f>(Tabla2456711[[#This Row],[VENTA ]]-(Tabla2456711[[#This Row],[MONTO DE COMPRA]]-Tabla2456711[[#This Row],[DIFERENCIA IVA ]]))</f>
        <v>0</v>
      </c>
    </row>
    <row r="35" spans="1:19" x14ac:dyDescent="0.25">
      <c r="A35" s="56">
        <v>44744</v>
      </c>
      <c r="C35" s="114"/>
      <c r="D35" s="1" t="s">
        <v>2285</v>
      </c>
      <c r="E35" s="4"/>
      <c r="F35" s="1" t="s">
        <v>10</v>
      </c>
      <c r="G35" s="134" t="s">
        <v>437</v>
      </c>
      <c r="H35" s="15">
        <v>20000</v>
      </c>
      <c r="I35" s="2">
        <f>Tabla2456711[[#This Row],[TOTAL FACTURA]]*0.7</f>
        <v>14000</v>
      </c>
      <c r="J35" s="113">
        <f>Tabla2456711[[#This Row],[TOTAL FACTURA]]-Tabla2456711[[#This Row],[PORCENTAJE A CANCELAR]]</f>
        <v>6000</v>
      </c>
      <c r="L35" s="11"/>
      <c r="M35" s="11">
        <f>Tabla2456711[[#This Row],[MONTO DE COMPRA]]/1.19</f>
        <v>0</v>
      </c>
      <c r="N35" s="11">
        <f>Tabla2456711[[#This Row],[Columna1]]*19%</f>
        <v>0</v>
      </c>
      <c r="O35" s="11"/>
      <c r="P35" s="11">
        <f>Tabla2456711[[#This Row],[VENTA ]]/1.19</f>
        <v>0</v>
      </c>
      <c r="Q35" s="11">
        <f>Tabla2456711[[#This Row],[Columna2]]*19%</f>
        <v>0</v>
      </c>
      <c r="R35" s="11">
        <f>Tabla2456711[[#This Row],[IVA VENTA ]]-Tabla2456711[[#This Row],[IV COMPRA]]</f>
        <v>0</v>
      </c>
      <c r="S35" s="11">
        <f>(Tabla2456711[[#This Row],[VENTA ]]-(Tabla2456711[[#This Row],[MONTO DE COMPRA]]-Tabla2456711[[#This Row],[DIFERENCIA IVA ]]))</f>
        <v>0</v>
      </c>
    </row>
    <row r="36" spans="1:19" hidden="1" x14ac:dyDescent="0.25">
      <c r="A36" s="56">
        <v>44744</v>
      </c>
      <c r="C36" s="114"/>
      <c r="E36" s="4"/>
      <c r="F36" s="1" t="s">
        <v>1039</v>
      </c>
      <c r="G36" s="134" t="s">
        <v>1448</v>
      </c>
      <c r="H36" s="15">
        <v>30000</v>
      </c>
      <c r="I36" s="2">
        <f>Tabla2456711[[#This Row],[TOTAL FACTURA]]*0.6</f>
        <v>18000</v>
      </c>
      <c r="J36" s="113">
        <f>Tabla2456711[[#This Row],[TOTAL FACTURA]]-Tabla2456711[[#This Row],[PORCENTAJE A CANCELAR]]</f>
        <v>12000</v>
      </c>
      <c r="L36" s="11"/>
      <c r="M36" s="11">
        <f>Tabla2456711[[#This Row],[MONTO DE COMPRA]]/1.19</f>
        <v>0</v>
      </c>
      <c r="N36" s="11">
        <f>Tabla2456711[[#This Row],[Columna1]]*19%</f>
        <v>0</v>
      </c>
      <c r="O36" s="11"/>
      <c r="P36" s="11">
        <f>Tabla2456711[[#This Row],[VENTA ]]/1.19</f>
        <v>0</v>
      </c>
      <c r="Q36" s="11">
        <f>Tabla2456711[[#This Row],[Columna2]]*19%</f>
        <v>0</v>
      </c>
      <c r="R36" s="11">
        <f>Tabla2456711[[#This Row],[IVA VENTA ]]-Tabla2456711[[#This Row],[IV COMPRA]]</f>
        <v>0</v>
      </c>
      <c r="S36" s="11">
        <f>(Tabla2456711[[#This Row],[VENTA ]]-(Tabla2456711[[#This Row],[MONTO DE COMPRA]]-Tabla2456711[[#This Row],[DIFERENCIA IVA ]]))</f>
        <v>0</v>
      </c>
    </row>
    <row r="37" spans="1:19" hidden="1" x14ac:dyDescent="0.25">
      <c r="A37" s="56">
        <v>44753</v>
      </c>
      <c r="C37" s="4" t="s">
        <v>2347</v>
      </c>
      <c r="D37" s="1" t="s">
        <v>46</v>
      </c>
      <c r="E37" s="4" t="s">
        <v>2348</v>
      </c>
      <c r="F37" s="1" t="s">
        <v>408</v>
      </c>
      <c r="G37" s="134" t="s">
        <v>2349</v>
      </c>
      <c r="H37" s="15">
        <v>15000</v>
      </c>
      <c r="I37" s="2">
        <f>Tabla2456711[[#This Row],[TOTAL FACTURA]]*0.7</f>
        <v>10500</v>
      </c>
      <c r="J37" s="113">
        <f>Tabla2456711[[#This Row],[TOTAL FACTURA]]-Tabla2456711[[#This Row],[PORCENTAJE A CANCELAR]]</f>
        <v>4500</v>
      </c>
      <c r="L37" s="11"/>
      <c r="M37" s="11">
        <f>Tabla2456711[[#This Row],[MONTO DE COMPRA]]/1.19</f>
        <v>0</v>
      </c>
      <c r="N37" s="11">
        <f>Tabla2456711[[#This Row],[Columna1]]*19%</f>
        <v>0</v>
      </c>
      <c r="O37" s="11"/>
      <c r="P37" s="11">
        <f>Tabla2456711[[#This Row],[VENTA ]]/1.19</f>
        <v>0</v>
      </c>
      <c r="Q37" s="11">
        <f>Tabla2456711[[#This Row],[Columna2]]*19%</f>
        <v>0</v>
      </c>
      <c r="R37" s="11">
        <f>Tabla2456711[[#This Row],[IVA VENTA ]]-Tabla2456711[[#This Row],[IV COMPRA]]</f>
        <v>0</v>
      </c>
      <c r="S37" s="11">
        <f>(Tabla2456711[[#This Row],[VENTA ]]-(Tabla2456711[[#This Row],[MONTO DE COMPRA]]-Tabla2456711[[#This Row],[DIFERENCIA IVA ]]))</f>
        <v>0</v>
      </c>
    </row>
    <row r="38" spans="1:19" x14ac:dyDescent="0.25">
      <c r="A38" s="56">
        <v>44753</v>
      </c>
      <c r="C38" s="114"/>
      <c r="D38" s="1" t="s">
        <v>242</v>
      </c>
      <c r="E38" s="4" t="s">
        <v>2272</v>
      </c>
      <c r="F38" s="1" t="s">
        <v>10</v>
      </c>
      <c r="G38" s="134" t="s">
        <v>2424</v>
      </c>
      <c r="H38" s="15">
        <v>100000</v>
      </c>
      <c r="I38" s="2">
        <f>Tabla2456711[[#This Row],[TOTAL FACTURA]]*0.7</f>
        <v>70000</v>
      </c>
      <c r="J38" s="113">
        <f>Tabla2456711[[#This Row],[TOTAL FACTURA]]-Tabla2456711[[#This Row],[PORCENTAJE A CANCELAR]]</f>
        <v>30000</v>
      </c>
      <c r="L38" s="11"/>
      <c r="M38" s="11">
        <f>Tabla2456711[[#This Row],[MONTO DE COMPRA]]/1.19</f>
        <v>0</v>
      </c>
      <c r="N38" s="11">
        <f>Tabla2456711[[#This Row],[Columna1]]*19%</f>
        <v>0</v>
      </c>
      <c r="O38" s="11"/>
      <c r="P38" s="11">
        <f>Tabla2456711[[#This Row],[VENTA ]]/1.19</f>
        <v>0</v>
      </c>
      <c r="Q38" s="11">
        <f>Tabla2456711[[#This Row],[Columna2]]*19%</f>
        <v>0</v>
      </c>
      <c r="R38" s="11">
        <f>Tabla2456711[[#This Row],[IVA VENTA ]]-Tabla2456711[[#This Row],[IV COMPRA]]</f>
        <v>0</v>
      </c>
      <c r="S38" s="11">
        <f>(Tabla2456711[[#This Row],[VENTA ]]-(Tabla2456711[[#This Row],[MONTO DE COMPRA]]-Tabla2456711[[#This Row],[DIFERENCIA IVA ]]))</f>
        <v>0</v>
      </c>
    </row>
    <row r="39" spans="1:19" hidden="1" x14ac:dyDescent="0.25">
      <c r="A39" s="56">
        <v>44753</v>
      </c>
      <c r="B39" s="4" t="s">
        <v>2350</v>
      </c>
      <c r="C39" s="4" t="s">
        <v>2351</v>
      </c>
      <c r="D39" s="1" t="s">
        <v>268</v>
      </c>
      <c r="E39" s="4" t="s">
        <v>2352</v>
      </c>
      <c r="F39" s="1" t="s">
        <v>408</v>
      </c>
      <c r="G39" s="134" t="s">
        <v>2353</v>
      </c>
      <c r="H39" s="15">
        <v>100000</v>
      </c>
      <c r="I39" s="2">
        <f>Tabla2456711[[#This Row],[TOTAL FACTURA]]*0.7</f>
        <v>70000</v>
      </c>
      <c r="J39" s="113">
        <f>Tabla2456711[[#This Row],[TOTAL FACTURA]]-Tabla2456711[[#This Row],[PORCENTAJE A CANCELAR]]</f>
        <v>30000</v>
      </c>
      <c r="L39" s="11"/>
      <c r="M39" s="11">
        <f>Tabla2456711[[#This Row],[MONTO DE COMPRA]]/1.19</f>
        <v>0</v>
      </c>
      <c r="N39" s="11">
        <f>Tabla2456711[[#This Row],[Columna1]]*19%</f>
        <v>0</v>
      </c>
      <c r="O39" s="11"/>
      <c r="P39" s="11">
        <f>Tabla2456711[[#This Row],[VENTA ]]/1.19</f>
        <v>0</v>
      </c>
      <c r="Q39" s="11">
        <f>Tabla2456711[[#This Row],[Columna2]]*19%</f>
        <v>0</v>
      </c>
      <c r="R39" s="11">
        <f>Tabla2456711[[#This Row],[IVA VENTA ]]-Tabla2456711[[#This Row],[IV COMPRA]]</f>
        <v>0</v>
      </c>
      <c r="S39" s="11">
        <f>(Tabla2456711[[#This Row],[VENTA ]]-(Tabla2456711[[#This Row],[MONTO DE COMPRA]]-Tabla2456711[[#This Row],[DIFERENCIA IVA ]]))</f>
        <v>0</v>
      </c>
    </row>
    <row r="40" spans="1:19" ht="30" hidden="1" x14ac:dyDescent="0.25">
      <c r="A40" s="56">
        <v>44753</v>
      </c>
      <c r="C40" s="4" t="s">
        <v>598</v>
      </c>
      <c r="D40" s="1" t="s">
        <v>218</v>
      </c>
      <c r="E40" s="4" t="s">
        <v>1333</v>
      </c>
      <c r="F40" s="1" t="s">
        <v>1039</v>
      </c>
      <c r="G40" s="134" t="s">
        <v>2354</v>
      </c>
      <c r="H40" s="15">
        <v>80000</v>
      </c>
      <c r="I40" s="2">
        <f>Tabla2456711[[#This Row],[TOTAL FACTURA]]*0.6</f>
        <v>48000</v>
      </c>
      <c r="J40" s="113">
        <f>Tabla2456711[[#This Row],[TOTAL FACTURA]]-Tabla2456711[[#This Row],[PORCENTAJE A CANCELAR]]</f>
        <v>32000</v>
      </c>
      <c r="L40" s="11"/>
      <c r="M40" s="11">
        <f>Tabla2456711[[#This Row],[MONTO DE COMPRA]]/1.19</f>
        <v>0</v>
      </c>
      <c r="N40" s="11">
        <f>Tabla2456711[[#This Row],[Columna1]]*19%</f>
        <v>0</v>
      </c>
      <c r="O40" s="11"/>
      <c r="P40" s="11">
        <f>Tabla2456711[[#This Row],[VENTA ]]/1.19</f>
        <v>0</v>
      </c>
      <c r="Q40" s="11">
        <f>Tabla2456711[[#This Row],[Columna2]]*19%</f>
        <v>0</v>
      </c>
      <c r="R40" s="11">
        <f>Tabla2456711[[#This Row],[IVA VENTA ]]-Tabla2456711[[#This Row],[IV COMPRA]]</f>
        <v>0</v>
      </c>
      <c r="S40" s="11">
        <f>(Tabla2456711[[#This Row],[VENTA ]]-(Tabla2456711[[#This Row],[MONTO DE COMPRA]]-Tabla2456711[[#This Row],[DIFERENCIA IVA ]]))</f>
        <v>0</v>
      </c>
    </row>
    <row r="41" spans="1:19" x14ac:dyDescent="0.25">
      <c r="A41" s="56">
        <v>44753</v>
      </c>
      <c r="C41" s="4" t="s">
        <v>2367</v>
      </c>
      <c r="D41" s="1" t="s">
        <v>529</v>
      </c>
      <c r="E41" s="4" t="s">
        <v>2368</v>
      </c>
      <c r="F41" s="1" t="s">
        <v>10</v>
      </c>
      <c r="G41" s="134" t="s">
        <v>2425</v>
      </c>
      <c r="H41" s="15">
        <v>10000</v>
      </c>
      <c r="I41" s="2">
        <f>Tabla2456711[[#This Row],[TOTAL FACTURA]]*0.7</f>
        <v>7000</v>
      </c>
      <c r="J41" s="131">
        <f>Tabla2456711[[#This Row],[TOTAL FACTURA]]-Tabla2456711[[#This Row],[PORCENTAJE A CANCELAR]]</f>
        <v>3000</v>
      </c>
      <c r="L41" s="11"/>
      <c r="M41" s="11">
        <f>Tabla2456711[[#This Row],[MONTO DE COMPRA]]/1.19</f>
        <v>0</v>
      </c>
      <c r="N41" s="11">
        <f>Tabla2456711[[#This Row],[Columna1]]*19%</f>
        <v>0</v>
      </c>
      <c r="O41" s="11"/>
      <c r="P41" s="11">
        <f>Tabla2456711[[#This Row],[VENTA ]]/1.19</f>
        <v>0</v>
      </c>
      <c r="Q41" s="11">
        <f>Tabla2456711[[#This Row],[Columna2]]*19%</f>
        <v>0</v>
      </c>
      <c r="R41" s="11">
        <f>Tabla2456711[[#This Row],[IVA VENTA ]]-Tabla2456711[[#This Row],[IV COMPRA]]</f>
        <v>0</v>
      </c>
      <c r="S41" s="11">
        <f>(Tabla2456711[[#This Row],[VENTA ]]-(Tabla2456711[[#This Row],[MONTO DE COMPRA]]-Tabla2456711[[#This Row],[DIFERENCIA IVA ]]))</f>
        <v>0</v>
      </c>
    </row>
    <row r="42" spans="1:19" x14ac:dyDescent="0.25">
      <c r="A42" s="56">
        <v>44753</v>
      </c>
      <c r="C42" s="4" t="s">
        <v>2358</v>
      </c>
      <c r="D42" s="1" t="s">
        <v>2355</v>
      </c>
      <c r="E42" s="4" t="s">
        <v>2356</v>
      </c>
      <c r="F42" s="1" t="s">
        <v>10</v>
      </c>
      <c r="G42" s="134" t="s">
        <v>2357</v>
      </c>
      <c r="H42" s="15">
        <v>30000</v>
      </c>
      <c r="I42" s="2">
        <f>Tabla2456711[[#This Row],[TOTAL FACTURA]]*0.7</f>
        <v>21000</v>
      </c>
      <c r="J42" s="113">
        <f>Tabla2456711[[#This Row],[TOTAL FACTURA]]-Tabla2456711[[#This Row],[PORCENTAJE A CANCELAR]]</f>
        <v>9000</v>
      </c>
      <c r="L42" s="11"/>
      <c r="M42" s="11">
        <f>Tabla2456711[[#This Row],[MONTO DE COMPRA]]/1.19</f>
        <v>0</v>
      </c>
      <c r="N42" s="11">
        <f>Tabla2456711[[#This Row],[Columna1]]*19%</f>
        <v>0</v>
      </c>
      <c r="O42" s="11"/>
      <c r="P42" s="11">
        <f>Tabla2456711[[#This Row],[VENTA ]]/1.19</f>
        <v>0</v>
      </c>
      <c r="Q42" s="11">
        <f>Tabla2456711[[#This Row],[Columna2]]*19%</f>
        <v>0</v>
      </c>
      <c r="R42" s="11">
        <f>Tabla2456711[[#This Row],[IVA VENTA ]]-Tabla2456711[[#This Row],[IV COMPRA]]</f>
        <v>0</v>
      </c>
      <c r="S42" s="11">
        <f>(Tabla2456711[[#This Row],[VENTA ]]-(Tabla2456711[[#This Row],[MONTO DE COMPRA]]-Tabla2456711[[#This Row],[DIFERENCIA IVA ]]))</f>
        <v>0</v>
      </c>
    </row>
    <row r="43" spans="1:19" hidden="1" x14ac:dyDescent="0.25">
      <c r="A43" s="56">
        <v>44753</v>
      </c>
      <c r="B43" s="4" t="s">
        <v>2359</v>
      </c>
      <c r="C43" s="4" t="s">
        <v>2360</v>
      </c>
      <c r="D43" s="1" t="s">
        <v>540</v>
      </c>
      <c r="E43" s="4" t="s">
        <v>2361</v>
      </c>
      <c r="F43" s="1" t="s">
        <v>1039</v>
      </c>
      <c r="G43" s="134" t="s">
        <v>2362</v>
      </c>
      <c r="H43" s="15">
        <v>100000</v>
      </c>
      <c r="I43" s="2">
        <f>Tabla2456711[[#This Row],[TOTAL FACTURA]]*0.6</f>
        <v>60000</v>
      </c>
      <c r="J43" s="113">
        <f>Tabla2456711[[#This Row],[TOTAL FACTURA]]-Tabla2456711[[#This Row],[PORCENTAJE A CANCELAR]]</f>
        <v>40000</v>
      </c>
      <c r="L43" s="11"/>
      <c r="M43" s="11">
        <f>Tabla2456711[[#This Row],[MONTO DE COMPRA]]/1.19</f>
        <v>0</v>
      </c>
      <c r="N43" s="11">
        <f>Tabla2456711[[#This Row],[Columna1]]*19%</f>
        <v>0</v>
      </c>
      <c r="O43" s="11"/>
      <c r="P43" s="11">
        <f>Tabla2456711[[#This Row],[VENTA ]]/1.19</f>
        <v>0</v>
      </c>
      <c r="Q43" s="11">
        <f>Tabla2456711[[#This Row],[Columna2]]*19%</f>
        <v>0</v>
      </c>
      <c r="R43" s="11">
        <f>Tabla2456711[[#This Row],[IVA VENTA ]]-Tabla2456711[[#This Row],[IV COMPRA]]</f>
        <v>0</v>
      </c>
      <c r="S43" s="11">
        <f>(Tabla2456711[[#This Row],[VENTA ]]-(Tabla2456711[[#This Row],[MONTO DE COMPRA]]-Tabla2456711[[#This Row],[DIFERENCIA IVA ]]))</f>
        <v>0</v>
      </c>
    </row>
    <row r="44" spans="1:19" ht="30" hidden="1" x14ac:dyDescent="0.25">
      <c r="A44" s="56">
        <v>44753</v>
      </c>
      <c r="B44" s="4" t="s">
        <v>2363</v>
      </c>
      <c r="C44" s="4" t="s">
        <v>2364</v>
      </c>
      <c r="D44" s="1" t="s">
        <v>59</v>
      </c>
      <c r="E44" s="4" t="s">
        <v>2365</v>
      </c>
      <c r="F44" s="1" t="s">
        <v>408</v>
      </c>
      <c r="G44" s="134" t="s">
        <v>2366</v>
      </c>
      <c r="H44" s="15">
        <v>160000</v>
      </c>
      <c r="I44" s="2">
        <f>Tabla2456711[[#This Row],[TOTAL FACTURA]]*0.7</f>
        <v>112000</v>
      </c>
      <c r="J44" s="113">
        <f>Tabla2456711[[#This Row],[TOTAL FACTURA]]-Tabla2456711[[#This Row],[PORCENTAJE A CANCELAR]]</f>
        <v>48000</v>
      </c>
      <c r="L44" s="11"/>
      <c r="M44" s="11">
        <f>Tabla2456711[[#This Row],[MONTO DE COMPRA]]/1.19</f>
        <v>0</v>
      </c>
      <c r="N44" s="11">
        <f>Tabla2456711[[#This Row],[Columna1]]*19%</f>
        <v>0</v>
      </c>
      <c r="O44" s="11"/>
      <c r="P44" s="11">
        <f>Tabla2456711[[#This Row],[VENTA ]]/1.19</f>
        <v>0</v>
      </c>
      <c r="Q44" s="11">
        <f>Tabla2456711[[#This Row],[Columna2]]*19%</f>
        <v>0</v>
      </c>
      <c r="R44" s="11">
        <f>Tabla2456711[[#This Row],[IVA VENTA ]]-Tabla2456711[[#This Row],[IV COMPRA]]</f>
        <v>0</v>
      </c>
      <c r="S44" s="11">
        <f>(Tabla2456711[[#This Row],[VENTA ]]-(Tabla2456711[[#This Row],[MONTO DE COMPRA]]-Tabla2456711[[#This Row],[DIFERENCIA IVA ]]))</f>
        <v>0</v>
      </c>
    </row>
    <row r="45" spans="1:19" ht="30" hidden="1" x14ac:dyDescent="0.25">
      <c r="A45" s="56">
        <v>44753</v>
      </c>
      <c r="C45" s="4" t="s">
        <v>2367</v>
      </c>
      <c r="D45" s="1" t="s">
        <v>54</v>
      </c>
      <c r="E45" s="4" t="s">
        <v>2368</v>
      </c>
      <c r="F45" s="1" t="s">
        <v>16</v>
      </c>
      <c r="G45" s="134" t="s">
        <v>2369</v>
      </c>
      <c r="H45" s="15">
        <v>30000</v>
      </c>
      <c r="I45" s="2">
        <f>Tabla2456711[[#This Row],[TOTAL FACTURA]]*0.6</f>
        <v>18000</v>
      </c>
      <c r="J45" s="113">
        <f>Tabla2456711[[#This Row],[TOTAL FACTURA]]-Tabla2456711[[#This Row],[PORCENTAJE A CANCELAR]]</f>
        <v>12000</v>
      </c>
      <c r="L45" s="11"/>
      <c r="M45" s="11">
        <f>Tabla2456711[[#This Row],[MONTO DE COMPRA]]/1.19</f>
        <v>0</v>
      </c>
      <c r="N45" s="11">
        <f>Tabla2456711[[#This Row],[Columna1]]*19%</f>
        <v>0</v>
      </c>
      <c r="O45" s="11"/>
      <c r="P45" s="11">
        <f>Tabla2456711[[#This Row],[VENTA ]]/1.19</f>
        <v>0</v>
      </c>
      <c r="Q45" s="11">
        <f>Tabla2456711[[#This Row],[Columna2]]*19%</f>
        <v>0</v>
      </c>
      <c r="R45" s="11">
        <f>Tabla2456711[[#This Row],[IVA VENTA ]]-Tabla2456711[[#This Row],[IV COMPRA]]</f>
        <v>0</v>
      </c>
      <c r="S45" s="11">
        <f>(Tabla2456711[[#This Row],[VENTA ]]-(Tabla2456711[[#This Row],[MONTO DE COMPRA]]-Tabla2456711[[#This Row],[DIFERENCIA IVA ]]))</f>
        <v>0</v>
      </c>
    </row>
    <row r="46" spans="1:19" hidden="1" x14ac:dyDescent="0.25">
      <c r="A46" s="56">
        <v>44754</v>
      </c>
      <c r="C46" s="4" t="s">
        <v>2370</v>
      </c>
      <c r="D46" s="1" t="s">
        <v>2371</v>
      </c>
      <c r="E46" s="4" t="s">
        <v>2372</v>
      </c>
      <c r="F46" s="1" t="s">
        <v>34</v>
      </c>
      <c r="G46" s="134" t="s">
        <v>2373</v>
      </c>
      <c r="H46" s="15">
        <v>50000</v>
      </c>
      <c r="I46" s="2">
        <f>Tabla2456711[[#This Row],[TOTAL FACTURA]]*0.6</f>
        <v>30000</v>
      </c>
      <c r="J46" s="113">
        <f>Tabla2456711[[#This Row],[TOTAL FACTURA]]-Tabla2456711[[#This Row],[PORCENTAJE A CANCELAR]]</f>
        <v>20000</v>
      </c>
      <c r="L46" s="11"/>
      <c r="M46" s="11">
        <f>Tabla2456711[[#This Row],[MONTO DE COMPRA]]/1.19</f>
        <v>0</v>
      </c>
      <c r="N46" s="11">
        <f>Tabla2456711[[#This Row],[Columna1]]*19%</f>
        <v>0</v>
      </c>
      <c r="O46" s="11"/>
      <c r="P46" s="11">
        <f>Tabla2456711[[#This Row],[VENTA ]]/1.19</f>
        <v>0</v>
      </c>
      <c r="Q46" s="11">
        <f>Tabla2456711[[#This Row],[Columna2]]*19%</f>
        <v>0</v>
      </c>
      <c r="R46" s="11">
        <f>Tabla2456711[[#This Row],[IVA VENTA ]]-Tabla2456711[[#This Row],[IV COMPRA]]</f>
        <v>0</v>
      </c>
      <c r="S46" s="11">
        <f>(Tabla2456711[[#This Row],[VENTA ]]-(Tabla2456711[[#This Row],[MONTO DE COMPRA]]-Tabla2456711[[#This Row],[DIFERENCIA IVA ]]))</f>
        <v>0</v>
      </c>
    </row>
    <row r="47" spans="1:19" ht="60" hidden="1" x14ac:dyDescent="0.25">
      <c r="A47" s="56">
        <v>44754</v>
      </c>
      <c r="C47" s="4" t="s">
        <v>948</v>
      </c>
      <c r="D47" s="1" t="s">
        <v>204</v>
      </c>
      <c r="E47" s="4" t="s">
        <v>2574</v>
      </c>
      <c r="F47" s="1" t="s">
        <v>408</v>
      </c>
      <c r="G47" s="134" t="s">
        <v>2374</v>
      </c>
      <c r="H47" s="15">
        <v>450000</v>
      </c>
      <c r="I47" s="2">
        <f>Tabla2456711[[#This Row],[TOTAL FACTURA]]*0.7</f>
        <v>315000</v>
      </c>
      <c r="J47" s="113">
        <f>Tabla2456711[[#This Row],[TOTAL FACTURA]]-Tabla2456711[[#This Row],[PORCENTAJE A CANCELAR]]</f>
        <v>135000</v>
      </c>
      <c r="L47" s="11"/>
      <c r="M47" s="11">
        <f>Tabla2456711[[#This Row],[MONTO DE COMPRA]]/1.19</f>
        <v>0</v>
      </c>
      <c r="N47" s="11">
        <f>Tabla2456711[[#This Row],[Columna1]]*19%</f>
        <v>0</v>
      </c>
      <c r="O47" s="11"/>
      <c r="P47" s="11">
        <f>Tabla2456711[[#This Row],[VENTA ]]/1.19</f>
        <v>0</v>
      </c>
      <c r="Q47" s="11">
        <f>Tabla2456711[[#This Row],[Columna2]]*19%</f>
        <v>0</v>
      </c>
      <c r="R47" s="11">
        <f>Tabla2456711[[#This Row],[IVA VENTA ]]-Tabla2456711[[#This Row],[IV COMPRA]]</f>
        <v>0</v>
      </c>
      <c r="S47" s="11">
        <f>(Tabla2456711[[#This Row],[VENTA ]]-(Tabla2456711[[#This Row],[MONTO DE COMPRA]]-Tabla2456711[[#This Row],[DIFERENCIA IVA ]]))</f>
        <v>0</v>
      </c>
    </row>
    <row r="48" spans="1:19" hidden="1" x14ac:dyDescent="0.25">
      <c r="A48" s="56">
        <v>44754</v>
      </c>
      <c r="C48" s="4" t="s">
        <v>2375</v>
      </c>
      <c r="D48" s="1" t="s">
        <v>2376</v>
      </c>
      <c r="E48" s="4" t="s">
        <v>2377</v>
      </c>
      <c r="F48" s="1" t="s">
        <v>19</v>
      </c>
      <c r="G48" s="134" t="s">
        <v>2378</v>
      </c>
      <c r="H48" s="15">
        <v>80000</v>
      </c>
      <c r="I48" s="2">
        <f>Tabla2456711[[#This Row],[TOTAL FACTURA]]*0.7</f>
        <v>56000</v>
      </c>
      <c r="J48" s="113">
        <f>Tabla2456711[[#This Row],[TOTAL FACTURA]]-Tabla2456711[[#This Row],[PORCENTAJE A CANCELAR]]</f>
        <v>24000</v>
      </c>
      <c r="L48" s="11"/>
      <c r="M48" s="11">
        <f>Tabla2456711[[#This Row],[MONTO DE COMPRA]]/1.19</f>
        <v>0</v>
      </c>
      <c r="N48" s="11">
        <f>Tabla2456711[[#This Row],[Columna1]]*19%</f>
        <v>0</v>
      </c>
      <c r="O48" s="11"/>
      <c r="P48" s="11">
        <f>Tabla2456711[[#This Row],[VENTA ]]/1.19</f>
        <v>0</v>
      </c>
      <c r="Q48" s="11">
        <f>Tabla2456711[[#This Row],[Columna2]]*19%</f>
        <v>0</v>
      </c>
      <c r="R48" s="11">
        <f>Tabla2456711[[#This Row],[IVA VENTA ]]-Tabla2456711[[#This Row],[IV COMPRA]]</f>
        <v>0</v>
      </c>
      <c r="S48" s="11">
        <f>(Tabla2456711[[#This Row],[VENTA ]]-(Tabla2456711[[#This Row],[MONTO DE COMPRA]]-Tabla2456711[[#This Row],[DIFERENCIA IVA ]]))</f>
        <v>0</v>
      </c>
    </row>
    <row r="49" spans="1:19" ht="30" hidden="1" x14ac:dyDescent="0.25">
      <c r="A49" s="56">
        <v>44754</v>
      </c>
      <c r="B49" s="4" t="s">
        <v>2381</v>
      </c>
      <c r="C49" s="4" t="s">
        <v>2379</v>
      </c>
      <c r="D49" s="1" t="s">
        <v>815</v>
      </c>
      <c r="E49" s="4" t="s">
        <v>2380</v>
      </c>
      <c r="F49" s="1" t="s">
        <v>408</v>
      </c>
      <c r="G49" s="134" t="s">
        <v>2382</v>
      </c>
      <c r="H49" s="15">
        <v>310000</v>
      </c>
      <c r="I49" s="2">
        <f>Tabla2456711[[#This Row],[TOTAL FACTURA]]*0.7</f>
        <v>217000</v>
      </c>
      <c r="J49" s="113">
        <f>Tabla2456711[[#This Row],[TOTAL FACTURA]]-Tabla2456711[[#This Row],[PORCENTAJE A CANCELAR]]</f>
        <v>93000</v>
      </c>
      <c r="L49" s="11"/>
      <c r="M49" s="11">
        <f>Tabla2456711[[#This Row],[MONTO DE COMPRA]]/1.19</f>
        <v>0</v>
      </c>
      <c r="N49" s="11">
        <f>Tabla2456711[[#This Row],[Columna1]]*19%</f>
        <v>0</v>
      </c>
      <c r="O49" s="11"/>
      <c r="P49" s="11">
        <f>Tabla2456711[[#This Row],[VENTA ]]/1.19</f>
        <v>0</v>
      </c>
      <c r="Q49" s="11">
        <f>Tabla2456711[[#This Row],[Columna2]]*19%</f>
        <v>0</v>
      </c>
      <c r="R49" s="11">
        <f>Tabla2456711[[#This Row],[IVA VENTA ]]-Tabla2456711[[#This Row],[IV COMPRA]]</f>
        <v>0</v>
      </c>
      <c r="S49" s="11">
        <f>(Tabla2456711[[#This Row],[VENTA ]]-(Tabla2456711[[#This Row],[MONTO DE COMPRA]]-Tabla2456711[[#This Row],[DIFERENCIA IVA ]]))</f>
        <v>0</v>
      </c>
    </row>
    <row r="50" spans="1:19" hidden="1" x14ac:dyDescent="0.25">
      <c r="A50" s="56">
        <v>44754</v>
      </c>
      <c r="B50" s="4" t="s">
        <v>2383</v>
      </c>
      <c r="C50" s="4" t="s">
        <v>215</v>
      </c>
      <c r="D50" s="1" t="s">
        <v>54</v>
      </c>
      <c r="E50" s="4" t="s">
        <v>148</v>
      </c>
      <c r="F50" s="1" t="s">
        <v>1039</v>
      </c>
      <c r="G50" s="134" t="s">
        <v>2384</v>
      </c>
      <c r="H50" s="15">
        <v>150000</v>
      </c>
      <c r="I50" s="2">
        <f>Tabla2456711[[#This Row],[TOTAL FACTURA]]*0.6</f>
        <v>90000</v>
      </c>
      <c r="J50" s="113">
        <f>Tabla2456711[[#This Row],[TOTAL FACTURA]]-Tabla2456711[[#This Row],[PORCENTAJE A CANCELAR]]</f>
        <v>60000</v>
      </c>
      <c r="L50" s="11"/>
      <c r="M50" s="11">
        <f>Tabla2456711[[#This Row],[MONTO DE COMPRA]]/1.19</f>
        <v>0</v>
      </c>
      <c r="N50" s="11">
        <f>Tabla2456711[[#This Row],[Columna1]]*19%</f>
        <v>0</v>
      </c>
      <c r="O50" s="11"/>
      <c r="P50" s="11">
        <f>Tabla2456711[[#This Row],[VENTA ]]/1.19</f>
        <v>0</v>
      </c>
      <c r="Q50" s="11">
        <f>Tabla2456711[[#This Row],[Columna2]]*19%</f>
        <v>0</v>
      </c>
      <c r="R50" s="11">
        <f>Tabla2456711[[#This Row],[IVA VENTA ]]-Tabla2456711[[#This Row],[IV COMPRA]]</f>
        <v>0</v>
      </c>
      <c r="S50" s="11">
        <f>(Tabla2456711[[#This Row],[VENTA ]]-(Tabla2456711[[#This Row],[MONTO DE COMPRA]]-Tabla2456711[[#This Row],[DIFERENCIA IVA ]]))</f>
        <v>0</v>
      </c>
    </row>
    <row r="51" spans="1:19" hidden="1" x14ac:dyDescent="0.25">
      <c r="A51" s="56">
        <v>44755</v>
      </c>
      <c r="C51" s="4" t="s">
        <v>2385</v>
      </c>
      <c r="D51" s="1" t="s">
        <v>84</v>
      </c>
      <c r="E51" s="4" t="s">
        <v>2386</v>
      </c>
      <c r="F51" s="1" t="s">
        <v>19</v>
      </c>
      <c r="G51" s="134" t="s">
        <v>2387</v>
      </c>
      <c r="H51" s="15">
        <v>80000</v>
      </c>
      <c r="I51" s="2">
        <f>Tabla2456711[[#This Row],[TOTAL FACTURA]]*0.7</f>
        <v>56000</v>
      </c>
      <c r="J51" s="113">
        <f>Tabla2456711[[#This Row],[TOTAL FACTURA]]-Tabla2456711[[#This Row],[PORCENTAJE A CANCELAR]]</f>
        <v>24000</v>
      </c>
      <c r="L51" s="11"/>
      <c r="M51" s="11">
        <f>Tabla2456711[[#This Row],[MONTO DE COMPRA]]/1.19</f>
        <v>0</v>
      </c>
      <c r="N51" s="11">
        <f>Tabla2456711[[#This Row],[Columna1]]*19%</f>
        <v>0</v>
      </c>
      <c r="O51" s="11"/>
      <c r="P51" s="11">
        <f>Tabla2456711[[#This Row],[VENTA ]]/1.19</f>
        <v>0</v>
      </c>
      <c r="Q51" s="11">
        <f>Tabla2456711[[#This Row],[Columna2]]*19%</f>
        <v>0</v>
      </c>
      <c r="R51" s="11">
        <f>Tabla2456711[[#This Row],[IVA VENTA ]]-Tabla2456711[[#This Row],[IV COMPRA]]</f>
        <v>0</v>
      </c>
      <c r="S51" s="11">
        <f>(Tabla2456711[[#This Row],[VENTA ]]-(Tabla2456711[[#This Row],[MONTO DE COMPRA]]-Tabla2456711[[#This Row],[DIFERENCIA IVA ]]))</f>
        <v>0</v>
      </c>
    </row>
    <row r="52" spans="1:19" hidden="1" x14ac:dyDescent="0.25">
      <c r="A52" s="56">
        <v>44755</v>
      </c>
      <c r="C52" s="4" t="s">
        <v>2388</v>
      </c>
      <c r="D52" s="1" t="s">
        <v>1947</v>
      </c>
      <c r="E52" s="4" t="s">
        <v>2389</v>
      </c>
      <c r="F52" s="1" t="s">
        <v>1039</v>
      </c>
      <c r="G52" s="134" t="s">
        <v>2390</v>
      </c>
      <c r="H52" s="15">
        <v>50000</v>
      </c>
      <c r="I52" s="2">
        <f>Tabla2456711[[#This Row],[TOTAL FACTURA]]*0.6</f>
        <v>30000</v>
      </c>
      <c r="J52" s="113">
        <f>Tabla2456711[[#This Row],[TOTAL FACTURA]]-Tabla2456711[[#This Row],[PORCENTAJE A CANCELAR]]</f>
        <v>20000</v>
      </c>
      <c r="L52" s="11"/>
      <c r="M52" s="11">
        <f>Tabla2456711[[#This Row],[MONTO DE COMPRA]]/1.19</f>
        <v>0</v>
      </c>
      <c r="N52" s="11">
        <f>Tabla2456711[[#This Row],[Columna1]]*19%</f>
        <v>0</v>
      </c>
      <c r="O52" s="11"/>
      <c r="P52" s="11">
        <f>Tabla2456711[[#This Row],[VENTA ]]/1.19</f>
        <v>0</v>
      </c>
      <c r="Q52" s="11">
        <f>Tabla2456711[[#This Row],[Columna2]]*19%</f>
        <v>0</v>
      </c>
      <c r="R52" s="11">
        <f>Tabla2456711[[#This Row],[IVA VENTA ]]-Tabla2456711[[#This Row],[IV COMPRA]]</f>
        <v>0</v>
      </c>
      <c r="S52" s="11">
        <f>(Tabla2456711[[#This Row],[VENTA ]]-(Tabla2456711[[#This Row],[MONTO DE COMPRA]]-Tabla2456711[[#This Row],[DIFERENCIA IVA ]]))</f>
        <v>0</v>
      </c>
    </row>
    <row r="53" spans="1:19" hidden="1" x14ac:dyDescent="0.25">
      <c r="A53" s="56">
        <v>44755</v>
      </c>
      <c r="C53" s="4" t="s">
        <v>2391</v>
      </c>
      <c r="D53" s="1" t="s">
        <v>2392</v>
      </c>
      <c r="E53" s="4" t="s">
        <v>2393</v>
      </c>
      <c r="F53" s="1" t="s">
        <v>19</v>
      </c>
      <c r="G53" s="134" t="s">
        <v>21</v>
      </c>
      <c r="H53" s="15">
        <v>12000</v>
      </c>
      <c r="I53" s="2">
        <f>Tabla2456711[[#This Row],[TOTAL FACTURA]]*0.7</f>
        <v>8400</v>
      </c>
      <c r="J53" s="113">
        <f>Tabla2456711[[#This Row],[TOTAL FACTURA]]-Tabla2456711[[#This Row],[PORCENTAJE A CANCELAR]]</f>
        <v>3600</v>
      </c>
      <c r="L53" s="11"/>
      <c r="M53" s="11">
        <f>Tabla2456711[[#This Row],[MONTO DE COMPRA]]/1.19</f>
        <v>0</v>
      </c>
      <c r="N53" s="11">
        <f>Tabla2456711[[#This Row],[Columna1]]*19%</f>
        <v>0</v>
      </c>
      <c r="O53" s="11"/>
      <c r="P53" s="11">
        <f>Tabla2456711[[#This Row],[VENTA ]]/1.19</f>
        <v>0</v>
      </c>
      <c r="Q53" s="11">
        <f>Tabla2456711[[#This Row],[Columna2]]*19%</f>
        <v>0</v>
      </c>
      <c r="R53" s="11">
        <f>Tabla2456711[[#This Row],[IVA VENTA ]]-Tabla2456711[[#This Row],[IV COMPRA]]</f>
        <v>0</v>
      </c>
      <c r="S53" s="11">
        <f>(Tabla2456711[[#This Row],[VENTA ]]-(Tabla2456711[[#This Row],[MONTO DE COMPRA]]-Tabla2456711[[#This Row],[DIFERENCIA IVA ]]))</f>
        <v>0</v>
      </c>
    </row>
    <row r="54" spans="1:19" hidden="1" x14ac:dyDescent="0.25">
      <c r="A54" s="56">
        <v>44755</v>
      </c>
      <c r="C54" s="4" t="s">
        <v>2394</v>
      </c>
      <c r="D54" s="1" t="s">
        <v>103</v>
      </c>
      <c r="E54" s="4" t="s">
        <v>2395</v>
      </c>
      <c r="F54" s="1" t="s">
        <v>19</v>
      </c>
      <c r="G54" s="134" t="s">
        <v>2396</v>
      </c>
      <c r="H54" s="15">
        <v>50000</v>
      </c>
      <c r="I54" s="2">
        <f>Tabla2456711[[#This Row],[TOTAL FACTURA]]*0.7</f>
        <v>35000</v>
      </c>
      <c r="J54" s="113">
        <f>Tabla2456711[[#This Row],[TOTAL FACTURA]]-Tabla2456711[[#This Row],[PORCENTAJE A CANCELAR]]</f>
        <v>15000</v>
      </c>
      <c r="L54" s="11"/>
      <c r="M54" s="11">
        <f>Tabla2456711[[#This Row],[MONTO DE COMPRA]]/1.19</f>
        <v>0</v>
      </c>
      <c r="N54" s="11">
        <f>Tabla2456711[[#This Row],[Columna1]]*19%</f>
        <v>0</v>
      </c>
      <c r="O54" s="11"/>
      <c r="P54" s="11">
        <f>Tabla2456711[[#This Row],[VENTA ]]/1.19</f>
        <v>0</v>
      </c>
      <c r="Q54" s="11">
        <f>Tabla2456711[[#This Row],[Columna2]]*19%</f>
        <v>0</v>
      </c>
      <c r="R54" s="11">
        <f>Tabla2456711[[#This Row],[IVA VENTA ]]-Tabla2456711[[#This Row],[IV COMPRA]]</f>
        <v>0</v>
      </c>
      <c r="S54" s="11">
        <f>(Tabla2456711[[#This Row],[VENTA ]]-(Tabla2456711[[#This Row],[MONTO DE COMPRA]]-Tabla2456711[[#This Row],[DIFERENCIA IVA ]]))</f>
        <v>0</v>
      </c>
    </row>
    <row r="55" spans="1:19" hidden="1" x14ac:dyDescent="0.25">
      <c r="A55" s="56">
        <v>44755</v>
      </c>
      <c r="C55" s="114"/>
      <c r="E55" s="4"/>
      <c r="F55" s="1" t="s">
        <v>16</v>
      </c>
      <c r="G55" s="134" t="s">
        <v>128</v>
      </c>
      <c r="H55" s="15">
        <v>20000</v>
      </c>
      <c r="I55" s="2">
        <f>Tabla2456711[[#This Row],[TOTAL FACTURA]]*0.6</f>
        <v>12000</v>
      </c>
      <c r="J55" s="113">
        <f>Tabla2456711[[#This Row],[TOTAL FACTURA]]-Tabla2456711[[#This Row],[PORCENTAJE A CANCELAR]]</f>
        <v>8000</v>
      </c>
      <c r="L55" s="11"/>
      <c r="M55" s="11">
        <f>Tabla2456711[[#This Row],[MONTO DE COMPRA]]/1.19</f>
        <v>0</v>
      </c>
      <c r="N55" s="11">
        <f>Tabla2456711[[#This Row],[Columna1]]*19%</f>
        <v>0</v>
      </c>
      <c r="O55" s="11"/>
      <c r="P55" s="11">
        <f>Tabla2456711[[#This Row],[VENTA ]]/1.19</f>
        <v>0</v>
      </c>
      <c r="Q55" s="11">
        <f>Tabla2456711[[#This Row],[Columna2]]*19%</f>
        <v>0</v>
      </c>
      <c r="R55" s="11">
        <f>Tabla2456711[[#This Row],[IVA VENTA ]]-Tabla2456711[[#This Row],[IV COMPRA]]</f>
        <v>0</v>
      </c>
      <c r="S55" s="11">
        <f>(Tabla2456711[[#This Row],[VENTA ]]-(Tabla2456711[[#This Row],[MONTO DE COMPRA]]-Tabla2456711[[#This Row],[DIFERENCIA IVA ]]))</f>
        <v>0</v>
      </c>
    </row>
    <row r="56" spans="1:19" hidden="1" x14ac:dyDescent="0.25">
      <c r="A56" s="56">
        <v>44756</v>
      </c>
      <c r="C56" s="114"/>
      <c r="E56" s="4" t="s">
        <v>2397</v>
      </c>
      <c r="F56" s="1" t="s">
        <v>1039</v>
      </c>
      <c r="G56" s="134" t="s">
        <v>2398</v>
      </c>
      <c r="H56" s="15">
        <v>20000</v>
      </c>
      <c r="I56" s="2">
        <v>20000</v>
      </c>
      <c r="J56" s="113">
        <f>Tabla2456711[[#This Row],[TOTAL FACTURA]]-Tabla2456711[[#This Row],[PORCENTAJE A CANCELAR]]</f>
        <v>0</v>
      </c>
      <c r="L56" s="11"/>
      <c r="M56" s="11">
        <f>Tabla2456711[[#This Row],[MONTO DE COMPRA]]/1.19</f>
        <v>0</v>
      </c>
      <c r="N56" s="11">
        <f>Tabla2456711[[#This Row],[Columna1]]*19%</f>
        <v>0</v>
      </c>
      <c r="O56" s="11"/>
      <c r="P56" s="11">
        <f>Tabla2456711[[#This Row],[VENTA ]]/1.19</f>
        <v>0</v>
      </c>
      <c r="Q56" s="11">
        <f>Tabla2456711[[#This Row],[Columna2]]*19%</f>
        <v>0</v>
      </c>
      <c r="R56" s="11">
        <f>Tabla2456711[[#This Row],[IVA VENTA ]]-Tabla2456711[[#This Row],[IV COMPRA]]</f>
        <v>0</v>
      </c>
      <c r="S56" s="11">
        <f>(Tabla2456711[[#This Row],[VENTA ]]-(Tabla2456711[[#This Row],[MONTO DE COMPRA]]-Tabla2456711[[#This Row],[DIFERENCIA IVA ]]))</f>
        <v>0</v>
      </c>
    </row>
    <row r="57" spans="1:19" hidden="1" x14ac:dyDescent="0.25">
      <c r="A57" s="56">
        <v>44756</v>
      </c>
      <c r="C57" s="4" t="s">
        <v>2399</v>
      </c>
      <c r="D57" s="1" t="s">
        <v>213</v>
      </c>
      <c r="E57" s="4" t="s">
        <v>2400</v>
      </c>
      <c r="F57" s="1" t="s">
        <v>19</v>
      </c>
      <c r="G57" s="134" t="s">
        <v>2401</v>
      </c>
      <c r="H57" s="15">
        <v>120000</v>
      </c>
      <c r="I57" s="2">
        <f>Tabla2456711[[#This Row],[TOTAL FACTURA]]*0.7</f>
        <v>84000</v>
      </c>
      <c r="J57" s="113">
        <f>Tabla2456711[[#This Row],[TOTAL FACTURA]]-Tabla2456711[[#This Row],[PORCENTAJE A CANCELAR]]</f>
        <v>36000</v>
      </c>
      <c r="L57" s="11"/>
      <c r="M57" s="11">
        <f>Tabla2456711[[#This Row],[MONTO DE COMPRA]]/1.19</f>
        <v>0</v>
      </c>
      <c r="N57" s="11">
        <f>Tabla2456711[[#This Row],[Columna1]]*19%</f>
        <v>0</v>
      </c>
      <c r="O57" s="11"/>
      <c r="P57" s="11">
        <f>Tabla2456711[[#This Row],[VENTA ]]/1.19</f>
        <v>0</v>
      </c>
      <c r="Q57" s="11">
        <f>Tabla2456711[[#This Row],[Columna2]]*19%</f>
        <v>0</v>
      </c>
      <c r="R57" s="11">
        <f>Tabla2456711[[#This Row],[IVA VENTA ]]-Tabla2456711[[#This Row],[IV COMPRA]]</f>
        <v>0</v>
      </c>
      <c r="S57" s="11">
        <f>(Tabla2456711[[#This Row],[VENTA ]]-(Tabla2456711[[#This Row],[MONTO DE COMPRA]]-Tabla2456711[[#This Row],[DIFERENCIA IVA ]]))</f>
        <v>0</v>
      </c>
    </row>
    <row r="58" spans="1:19" hidden="1" x14ac:dyDescent="0.25">
      <c r="A58" s="56">
        <v>44756</v>
      </c>
      <c r="C58" s="4" t="s">
        <v>609</v>
      </c>
      <c r="D58" s="1" t="s">
        <v>59</v>
      </c>
      <c r="E58" s="4" t="s">
        <v>1145</v>
      </c>
      <c r="F58" s="1" t="s">
        <v>1039</v>
      </c>
      <c r="G58" s="134" t="s">
        <v>2402</v>
      </c>
      <c r="H58" s="15">
        <v>90000</v>
      </c>
      <c r="I58" s="2">
        <f>Tabla2456711[[#This Row],[TOTAL FACTURA]]*0.6</f>
        <v>54000</v>
      </c>
      <c r="J58" s="113">
        <f>Tabla2456711[[#This Row],[TOTAL FACTURA]]-Tabla2456711[[#This Row],[PORCENTAJE A CANCELAR]]</f>
        <v>36000</v>
      </c>
      <c r="L58" s="11"/>
      <c r="M58" s="11">
        <f>Tabla2456711[[#This Row],[MONTO DE COMPRA]]/1.19</f>
        <v>0</v>
      </c>
      <c r="N58" s="11">
        <f>Tabla2456711[[#This Row],[Columna1]]*19%</f>
        <v>0</v>
      </c>
      <c r="O58" s="11"/>
      <c r="P58" s="11">
        <f>Tabla2456711[[#This Row],[VENTA ]]/1.19</f>
        <v>0</v>
      </c>
      <c r="Q58" s="11">
        <f>Tabla2456711[[#This Row],[Columna2]]*19%</f>
        <v>0</v>
      </c>
      <c r="R58" s="11">
        <f>Tabla2456711[[#This Row],[IVA VENTA ]]-Tabla2456711[[#This Row],[IV COMPRA]]</f>
        <v>0</v>
      </c>
      <c r="S58" s="11">
        <f>(Tabla2456711[[#This Row],[VENTA ]]-(Tabla2456711[[#This Row],[MONTO DE COMPRA]]-Tabla2456711[[#This Row],[DIFERENCIA IVA ]]))</f>
        <v>0</v>
      </c>
    </row>
    <row r="59" spans="1:19" hidden="1" x14ac:dyDescent="0.25">
      <c r="A59" s="56">
        <v>44756</v>
      </c>
      <c r="C59" s="4" t="s">
        <v>948</v>
      </c>
      <c r="D59" s="1" t="s">
        <v>204</v>
      </c>
      <c r="E59" s="4" t="s">
        <v>2574</v>
      </c>
      <c r="F59" s="1" t="s">
        <v>408</v>
      </c>
      <c r="G59" s="134" t="s">
        <v>2403</v>
      </c>
      <c r="H59" s="15">
        <v>40000</v>
      </c>
      <c r="I59" s="2">
        <f>Tabla2456711[[#This Row],[TOTAL FACTURA]]*0.7</f>
        <v>28000</v>
      </c>
      <c r="J59" s="113">
        <f>Tabla2456711[[#This Row],[TOTAL FACTURA]]-Tabla2456711[[#This Row],[PORCENTAJE A CANCELAR]]</f>
        <v>12000</v>
      </c>
      <c r="L59" s="11"/>
      <c r="M59" s="11">
        <f>Tabla2456711[[#This Row],[MONTO DE COMPRA]]/1.19</f>
        <v>0</v>
      </c>
      <c r="N59" s="11">
        <f>Tabla2456711[[#This Row],[Columna1]]*19%</f>
        <v>0</v>
      </c>
      <c r="O59" s="11"/>
      <c r="P59" s="11">
        <f>Tabla2456711[[#This Row],[VENTA ]]/1.19</f>
        <v>0</v>
      </c>
      <c r="Q59" s="11">
        <f>Tabla2456711[[#This Row],[Columna2]]*19%</f>
        <v>0</v>
      </c>
      <c r="R59" s="11">
        <f>Tabla2456711[[#This Row],[IVA VENTA ]]-Tabla2456711[[#This Row],[IV COMPRA]]</f>
        <v>0</v>
      </c>
      <c r="S59" s="11">
        <f>(Tabla2456711[[#This Row],[VENTA ]]-(Tabla2456711[[#This Row],[MONTO DE COMPRA]]-Tabla2456711[[#This Row],[DIFERENCIA IVA ]]))</f>
        <v>0</v>
      </c>
    </row>
    <row r="60" spans="1:19" x14ac:dyDescent="0.25">
      <c r="A60" s="56">
        <v>44756</v>
      </c>
      <c r="C60" s="4" t="s">
        <v>948</v>
      </c>
      <c r="D60" s="1" t="s">
        <v>204</v>
      </c>
      <c r="E60" s="4" t="s">
        <v>2574</v>
      </c>
      <c r="F60" s="1" t="s">
        <v>30</v>
      </c>
      <c r="G60" s="134" t="s">
        <v>2403</v>
      </c>
      <c r="H60" s="15">
        <v>40000</v>
      </c>
      <c r="I60" s="2">
        <f>Tabla2456711[[#This Row],[TOTAL FACTURA]]*0.6</f>
        <v>24000</v>
      </c>
      <c r="J60" s="113">
        <f>Tabla2456711[[#This Row],[TOTAL FACTURA]]-Tabla2456711[[#This Row],[PORCENTAJE A CANCELAR]]</f>
        <v>16000</v>
      </c>
      <c r="L60" s="11"/>
      <c r="M60" s="11">
        <f>Tabla2456711[[#This Row],[MONTO DE COMPRA]]/1.19</f>
        <v>0</v>
      </c>
      <c r="N60" s="11">
        <f>Tabla2456711[[#This Row],[Columna1]]*19%</f>
        <v>0</v>
      </c>
      <c r="O60" s="11"/>
      <c r="P60" s="11">
        <f>Tabla2456711[[#This Row],[VENTA ]]/1.19</f>
        <v>0</v>
      </c>
      <c r="Q60" s="11">
        <f>Tabla2456711[[#This Row],[Columna2]]*19%</f>
        <v>0</v>
      </c>
      <c r="R60" s="11">
        <f>Tabla2456711[[#This Row],[IVA VENTA ]]-Tabla2456711[[#This Row],[IV COMPRA]]</f>
        <v>0</v>
      </c>
      <c r="S60" s="11">
        <f>(Tabla2456711[[#This Row],[VENTA ]]-(Tabla2456711[[#This Row],[MONTO DE COMPRA]]-Tabla2456711[[#This Row],[DIFERENCIA IVA ]]))</f>
        <v>0</v>
      </c>
    </row>
    <row r="61" spans="1:19" hidden="1" x14ac:dyDescent="0.25">
      <c r="A61" s="56">
        <v>44756</v>
      </c>
      <c r="B61" s="4" t="s">
        <v>2406</v>
      </c>
      <c r="C61" s="4" t="s">
        <v>2404</v>
      </c>
      <c r="D61" s="1" t="s">
        <v>2022</v>
      </c>
      <c r="E61" s="4" t="s">
        <v>2405</v>
      </c>
      <c r="F61" s="1" t="s">
        <v>408</v>
      </c>
      <c r="G61" s="134" t="s">
        <v>114</v>
      </c>
      <c r="H61" s="15">
        <v>80000</v>
      </c>
      <c r="I61" s="2">
        <f>Tabla2456711[[#This Row],[TOTAL FACTURA]]*0.7</f>
        <v>56000</v>
      </c>
      <c r="J61" s="113">
        <f>Tabla2456711[[#This Row],[TOTAL FACTURA]]-Tabla2456711[[#This Row],[PORCENTAJE A CANCELAR]]</f>
        <v>24000</v>
      </c>
      <c r="L61" s="11"/>
      <c r="M61" s="11">
        <f>Tabla2456711[[#This Row],[MONTO DE COMPRA]]/1.19</f>
        <v>0</v>
      </c>
      <c r="N61" s="11">
        <f>Tabla2456711[[#This Row],[Columna1]]*19%</f>
        <v>0</v>
      </c>
      <c r="O61" s="11"/>
      <c r="P61" s="11">
        <f>Tabla2456711[[#This Row],[VENTA ]]/1.19</f>
        <v>0</v>
      </c>
      <c r="Q61" s="11">
        <f>Tabla2456711[[#This Row],[Columna2]]*19%</f>
        <v>0</v>
      </c>
      <c r="R61" s="11">
        <f>Tabla2456711[[#This Row],[IVA VENTA ]]-Tabla2456711[[#This Row],[IV COMPRA]]</f>
        <v>0</v>
      </c>
      <c r="S61" s="11">
        <f>(Tabla2456711[[#This Row],[VENTA ]]-(Tabla2456711[[#This Row],[MONTO DE COMPRA]]-Tabla2456711[[#This Row],[DIFERENCIA IVA ]]))</f>
        <v>0</v>
      </c>
    </row>
    <row r="62" spans="1:19" hidden="1" x14ac:dyDescent="0.25">
      <c r="A62" s="56">
        <v>44756</v>
      </c>
      <c r="C62" s="4" t="s">
        <v>2407</v>
      </c>
      <c r="D62" s="1" t="s">
        <v>142</v>
      </c>
      <c r="E62" s="4" t="s">
        <v>2408</v>
      </c>
      <c r="F62" s="1" t="s">
        <v>408</v>
      </c>
      <c r="G62" s="134" t="s">
        <v>2409</v>
      </c>
      <c r="H62" s="15">
        <v>100000</v>
      </c>
      <c r="I62" s="2">
        <f>Tabla2456711[[#This Row],[TOTAL FACTURA]]*0.7</f>
        <v>70000</v>
      </c>
      <c r="J62" s="113">
        <f>Tabla2456711[[#This Row],[TOTAL FACTURA]]-Tabla2456711[[#This Row],[PORCENTAJE A CANCELAR]]</f>
        <v>30000</v>
      </c>
      <c r="L62" s="11"/>
      <c r="M62" s="11">
        <f>Tabla2456711[[#This Row],[MONTO DE COMPRA]]/1.19</f>
        <v>0</v>
      </c>
      <c r="N62" s="11">
        <f>Tabla2456711[[#This Row],[Columna1]]*19%</f>
        <v>0</v>
      </c>
      <c r="O62" s="11"/>
      <c r="P62" s="11">
        <f>Tabla2456711[[#This Row],[VENTA ]]/1.19</f>
        <v>0</v>
      </c>
      <c r="Q62" s="11">
        <f>Tabla2456711[[#This Row],[Columna2]]*19%</f>
        <v>0</v>
      </c>
      <c r="R62" s="11">
        <f>Tabla2456711[[#This Row],[IVA VENTA ]]-Tabla2456711[[#This Row],[IV COMPRA]]</f>
        <v>0</v>
      </c>
      <c r="S62" s="11">
        <f>(Tabla2456711[[#This Row],[VENTA ]]-(Tabla2456711[[#This Row],[MONTO DE COMPRA]]-Tabla2456711[[#This Row],[DIFERENCIA IVA ]]))</f>
        <v>0</v>
      </c>
    </row>
    <row r="63" spans="1:19" x14ac:dyDescent="0.25">
      <c r="A63" s="56">
        <v>44756</v>
      </c>
      <c r="C63" s="4" t="s">
        <v>2410</v>
      </c>
      <c r="D63" s="1" t="s">
        <v>2411</v>
      </c>
      <c r="E63" s="4" t="s">
        <v>2288</v>
      </c>
      <c r="F63" s="1" t="s">
        <v>10</v>
      </c>
      <c r="G63" s="134" t="s">
        <v>2412</v>
      </c>
      <c r="H63" s="15">
        <v>750000</v>
      </c>
      <c r="I63" s="2">
        <f>Tabla2456711[[#This Row],[TOTAL FACTURA]]*0.7</f>
        <v>525000</v>
      </c>
      <c r="J63" s="113">
        <f>Tabla2456711[[#This Row],[TOTAL FACTURA]]-Tabla2456711[[#This Row],[PORCENTAJE A CANCELAR]]</f>
        <v>225000</v>
      </c>
      <c r="L63" s="11"/>
      <c r="M63" s="11">
        <f>Tabla2456711[[#This Row],[MONTO DE COMPRA]]/1.19</f>
        <v>0</v>
      </c>
      <c r="N63" s="11">
        <f>Tabla2456711[[#This Row],[Columna1]]*19%</f>
        <v>0</v>
      </c>
      <c r="O63" s="11"/>
      <c r="P63" s="11">
        <f>Tabla2456711[[#This Row],[VENTA ]]/1.19</f>
        <v>0</v>
      </c>
      <c r="Q63" s="11">
        <f>Tabla2456711[[#This Row],[Columna2]]*19%</f>
        <v>0</v>
      </c>
      <c r="R63" s="11">
        <f>Tabla2456711[[#This Row],[IVA VENTA ]]-Tabla2456711[[#This Row],[IV COMPRA]]</f>
        <v>0</v>
      </c>
      <c r="S63" s="11">
        <f>(Tabla2456711[[#This Row],[VENTA ]]-(Tabla2456711[[#This Row],[MONTO DE COMPRA]]-Tabla2456711[[#This Row],[DIFERENCIA IVA ]]))</f>
        <v>0</v>
      </c>
    </row>
    <row r="64" spans="1:19" hidden="1" x14ac:dyDescent="0.25">
      <c r="A64" s="56">
        <v>44756</v>
      </c>
      <c r="B64" s="4" t="s">
        <v>2413</v>
      </c>
      <c r="C64" s="4" t="s">
        <v>2414</v>
      </c>
      <c r="D64" s="1" t="s">
        <v>2415</v>
      </c>
      <c r="E64" s="4" t="s">
        <v>2416</v>
      </c>
      <c r="F64" s="1" t="s">
        <v>1039</v>
      </c>
      <c r="G64" s="134" t="s">
        <v>2417</v>
      </c>
      <c r="H64" s="15">
        <v>120000</v>
      </c>
      <c r="I64" s="2">
        <f>Tabla2456711[[#This Row],[TOTAL FACTURA]]*0.6</f>
        <v>72000</v>
      </c>
      <c r="J64" s="113">
        <f>Tabla2456711[[#This Row],[TOTAL FACTURA]]-Tabla2456711[[#This Row],[PORCENTAJE A CANCELAR]]</f>
        <v>48000</v>
      </c>
      <c r="L64" s="11"/>
      <c r="M64" s="11">
        <f>Tabla2456711[[#This Row],[MONTO DE COMPRA]]/1.19</f>
        <v>0</v>
      </c>
      <c r="N64" s="11">
        <f>Tabla2456711[[#This Row],[Columna1]]*19%</f>
        <v>0</v>
      </c>
      <c r="O64" s="11"/>
      <c r="P64" s="11">
        <f>Tabla2456711[[#This Row],[VENTA ]]/1.19</f>
        <v>0</v>
      </c>
      <c r="Q64" s="11">
        <f>Tabla2456711[[#This Row],[Columna2]]*19%</f>
        <v>0</v>
      </c>
      <c r="R64" s="11">
        <f>Tabla2456711[[#This Row],[IVA VENTA ]]-Tabla2456711[[#This Row],[IV COMPRA]]</f>
        <v>0</v>
      </c>
      <c r="S64" s="11">
        <f>(Tabla2456711[[#This Row],[VENTA ]]-(Tabla2456711[[#This Row],[MONTO DE COMPRA]]-Tabla2456711[[#This Row],[DIFERENCIA IVA ]]))</f>
        <v>0</v>
      </c>
    </row>
    <row r="65" spans="1:19" hidden="1" x14ac:dyDescent="0.25">
      <c r="A65" s="56">
        <v>44756</v>
      </c>
      <c r="C65" s="4" t="s">
        <v>2418</v>
      </c>
      <c r="D65" s="1" t="s">
        <v>59</v>
      </c>
      <c r="E65" s="4" t="s">
        <v>2419</v>
      </c>
      <c r="F65" s="1" t="s">
        <v>16</v>
      </c>
      <c r="G65" s="134" t="s">
        <v>2420</v>
      </c>
      <c r="H65" s="15">
        <v>30000</v>
      </c>
      <c r="I65" s="2">
        <f>Tabla2456711[[#This Row],[TOTAL FACTURA]]*0.6</f>
        <v>18000</v>
      </c>
      <c r="J65" s="113">
        <f>Tabla2456711[[#This Row],[TOTAL FACTURA]]-Tabla2456711[[#This Row],[PORCENTAJE A CANCELAR]]</f>
        <v>12000</v>
      </c>
      <c r="L65" s="11"/>
      <c r="M65" s="11">
        <f>Tabla2456711[[#This Row],[MONTO DE COMPRA]]/1.19</f>
        <v>0</v>
      </c>
      <c r="N65" s="11">
        <f>Tabla2456711[[#This Row],[Columna1]]*19%</f>
        <v>0</v>
      </c>
      <c r="O65" s="11"/>
      <c r="P65" s="11">
        <f>Tabla2456711[[#This Row],[VENTA ]]/1.19</f>
        <v>0</v>
      </c>
      <c r="Q65" s="11">
        <f>Tabla2456711[[#This Row],[Columna2]]*19%</f>
        <v>0</v>
      </c>
      <c r="R65" s="11">
        <f>Tabla2456711[[#This Row],[IVA VENTA ]]-Tabla2456711[[#This Row],[IV COMPRA]]</f>
        <v>0</v>
      </c>
      <c r="S65" s="11">
        <f>(Tabla2456711[[#This Row],[VENTA ]]-(Tabla2456711[[#This Row],[MONTO DE COMPRA]]-Tabla2456711[[#This Row],[DIFERENCIA IVA ]]))</f>
        <v>0</v>
      </c>
    </row>
    <row r="66" spans="1:19" hidden="1" x14ac:dyDescent="0.25">
      <c r="A66" s="56">
        <v>44756</v>
      </c>
      <c r="C66" s="4" t="s">
        <v>2421</v>
      </c>
      <c r="D66" s="1" t="s">
        <v>59</v>
      </c>
      <c r="E66" s="4" t="s">
        <v>2422</v>
      </c>
      <c r="F66" s="1" t="s">
        <v>19</v>
      </c>
      <c r="G66" s="134" t="s">
        <v>2423</v>
      </c>
      <c r="H66" s="15">
        <v>120000</v>
      </c>
      <c r="I66" s="2">
        <f>Tabla2456711[[#This Row],[TOTAL FACTURA]]*0.7</f>
        <v>84000</v>
      </c>
      <c r="J66" s="113">
        <f>Tabla2456711[[#This Row],[TOTAL FACTURA]]-Tabla2456711[[#This Row],[PORCENTAJE A CANCELAR]]</f>
        <v>36000</v>
      </c>
      <c r="L66" s="11"/>
      <c r="M66" s="11">
        <f>Tabla2456711[[#This Row],[MONTO DE COMPRA]]/1.19</f>
        <v>0</v>
      </c>
      <c r="N66" s="11">
        <f>Tabla2456711[[#This Row],[Columna1]]*19%</f>
        <v>0</v>
      </c>
      <c r="O66" s="11"/>
      <c r="P66" s="11">
        <f>Tabla2456711[[#This Row],[VENTA ]]/1.19</f>
        <v>0</v>
      </c>
      <c r="Q66" s="11">
        <f>Tabla2456711[[#This Row],[Columna2]]*19%</f>
        <v>0</v>
      </c>
      <c r="R66" s="11">
        <f>Tabla2456711[[#This Row],[IVA VENTA ]]-Tabla2456711[[#This Row],[IV COMPRA]]</f>
        <v>0</v>
      </c>
      <c r="S66" s="11">
        <f>(Tabla2456711[[#This Row],[VENTA ]]-(Tabla2456711[[#This Row],[MONTO DE COMPRA]]-Tabla2456711[[#This Row],[DIFERENCIA IVA ]]))</f>
        <v>0</v>
      </c>
    </row>
    <row r="67" spans="1:19" x14ac:dyDescent="0.25">
      <c r="A67" s="56">
        <v>44756</v>
      </c>
      <c r="C67" s="130"/>
      <c r="D67" s="1" t="s">
        <v>59</v>
      </c>
      <c r="E67" s="4" t="s">
        <v>2427</v>
      </c>
      <c r="F67" s="1" t="s">
        <v>30</v>
      </c>
      <c r="G67" s="134" t="s">
        <v>2428</v>
      </c>
      <c r="H67" s="15">
        <v>100000</v>
      </c>
      <c r="I67" s="2">
        <f>Tabla2456711[[#This Row],[TOTAL FACTURA]]*0.6</f>
        <v>60000</v>
      </c>
      <c r="J67" s="131">
        <f>Tabla2456711[[#This Row],[TOTAL FACTURA]]-Tabla2456711[[#This Row],[PORCENTAJE A CANCELAR]]</f>
        <v>40000</v>
      </c>
      <c r="L67" s="11"/>
      <c r="M67" s="11">
        <f>Tabla2456711[[#This Row],[MONTO DE COMPRA]]/1.19</f>
        <v>0</v>
      </c>
      <c r="N67" s="11">
        <f>Tabla2456711[[#This Row],[Columna1]]*19%</f>
        <v>0</v>
      </c>
      <c r="O67" s="11"/>
      <c r="P67" s="11">
        <f>Tabla2456711[[#This Row],[VENTA ]]/1.19</f>
        <v>0</v>
      </c>
      <c r="Q67" s="11">
        <f>Tabla2456711[[#This Row],[Columna2]]*19%</f>
        <v>0</v>
      </c>
      <c r="R67" s="11">
        <f>Tabla2456711[[#This Row],[IVA VENTA ]]-Tabla2456711[[#This Row],[IV COMPRA]]</f>
        <v>0</v>
      </c>
      <c r="S67" s="11">
        <f>(Tabla2456711[[#This Row],[VENTA ]]-(Tabla2456711[[#This Row],[MONTO DE COMPRA]]-Tabla2456711[[#This Row],[DIFERENCIA IVA ]]))</f>
        <v>0</v>
      </c>
    </row>
    <row r="68" spans="1:19" hidden="1" x14ac:dyDescent="0.25">
      <c r="A68" s="56">
        <v>44756</v>
      </c>
      <c r="C68" s="130"/>
      <c r="D68" s="1" t="s">
        <v>54</v>
      </c>
      <c r="E68" s="4" t="s">
        <v>2429</v>
      </c>
      <c r="F68" s="1" t="s">
        <v>16</v>
      </c>
      <c r="G68" s="134" t="s">
        <v>2430</v>
      </c>
      <c r="H68" s="15">
        <v>50000</v>
      </c>
      <c r="I68" s="2">
        <f>Tabla2456711[[#This Row],[TOTAL FACTURA]]*0.6</f>
        <v>30000</v>
      </c>
      <c r="J68" s="131">
        <f>Tabla2456711[[#This Row],[TOTAL FACTURA]]-Tabla2456711[[#This Row],[PORCENTAJE A CANCELAR]]</f>
        <v>20000</v>
      </c>
      <c r="L68" s="11"/>
      <c r="M68" s="11">
        <f>Tabla2456711[[#This Row],[MONTO DE COMPRA]]/1.19</f>
        <v>0</v>
      </c>
      <c r="N68" s="11">
        <f>Tabla2456711[[#This Row],[Columna1]]*19%</f>
        <v>0</v>
      </c>
      <c r="O68" s="11"/>
      <c r="P68" s="11">
        <f>Tabla2456711[[#This Row],[VENTA ]]/1.19</f>
        <v>0</v>
      </c>
      <c r="Q68" s="11">
        <f>Tabla2456711[[#This Row],[Columna2]]*19%</f>
        <v>0</v>
      </c>
      <c r="R68" s="11">
        <f>Tabla2456711[[#This Row],[IVA VENTA ]]-Tabla2456711[[#This Row],[IV COMPRA]]</f>
        <v>0</v>
      </c>
      <c r="S68" s="11">
        <f>(Tabla2456711[[#This Row],[VENTA ]]-(Tabla2456711[[#This Row],[MONTO DE COMPRA]]-Tabla2456711[[#This Row],[DIFERENCIA IVA ]]))</f>
        <v>0</v>
      </c>
    </row>
    <row r="69" spans="1:19" x14ac:dyDescent="0.25">
      <c r="A69" s="56">
        <v>44758</v>
      </c>
      <c r="C69" s="4" t="s">
        <v>2467</v>
      </c>
      <c r="D69" s="1" t="s">
        <v>1618</v>
      </c>
      <c r="E69" s="4" t="s">
        <v>1122</v>
      </c>
      <c r="F69" s="1" t="s">
        <v>10</v>
      </c>
      <c r="G69" s="134" t="s">
        <v>2508</v>
      </c>
      <c r="H69" s="15">
        <v>1000000</v>
      </c>
      <c r="I69" s="2">
        <f>Tabla2456711[[#This Row],[TOTAL FACTURA]]*0.7</f>
        <v>700000</v>
      </c>
      <c r="J69" s="131">
        <f>Tabla2456711[[#This Row],[TOTAL FACTURA]]-Tabla2456711[[#This Row],[PORCENTAJE A CANCELAR]]</f>
        <v>300000</v>
      </c>
      <c r="L69" s="11"/>
      <c r="M69" s="11">
        <f>Tabla2456711[[#This Row],[MONTO DE COMPRA]]/1.19</f>
        <v>0</v>
      </c>
      <c r="N69" s="11">
        <f>Tabla2456711[[#This Row],[Columna1]]*19%</f>
        <v>0</v>
      </c>
      <c r="O69" s="11"/>
      <c r="P69" s="11">
        <f>Tabla2456711[[#This Row],[VENTA ]]/1.19</f>
        <v>0</v>
      </c>
      <c r="Q69" s="11">
        <f>Tabla2456711[[#This Row],[Columna2]]*19%</f>
        <v>0</v>
      </c>
      <c r="R69" s="11">
        <f>Tabla2456711[[#This Row],[IVA VENTA ]]-Tabla2456711[[#This Row],[IV COMPRA]]</f>
        <v>0</v>
      </c>
      <c r="S69" s="11">
        <f>(Tabla2456711[[#This Row],[VENTA ]]-(Tabla2456711[[#This Row],[MONTO DE COMPRA]]+Tabla2456711[[#This Row],[DIFERENCIA IVA ]]))</f>
        <v>0</v>
      </c>
    </row>
    <row r="70" spans="1:19" hidden="1" x14ac:dyDescent="0.25">
      <c r="A70" s="56">
        <v>44758</v>
      </c>
      <c r="C70" s="4" t="s">
        <v>2331</v>
      </c>
      <c r="D70" s="1" t="s">
        <v>22</v>
      </c>
      <c r="E70" s="4" t="s">
        <v>577</v>
      </c>
      <c r="F70" s="1" t="s">
        <v>603</v>
      </c>
      <c r="G70" s="134" t="s">
        <v>2436</v>
      </c>
      <c r="H70" s="15">
        <v>20000</v>
      </c>
      <c r="I70" s="2">
        <f>Tabla2456711[[#This Row],[TOTAL FACTURA]]*0.6</f>
        <v>12000</v>
      </c>
      <c r="J70" s="131">
        <f>Tabla2456711[[#This Row],[TOTAL FACTURA]]-Tabla2456711[[#This Row],[PORCENTAJE A CANCELAR]]</f>
        <v>8000</v>
      </c>
      <c r="L70" s="11"/>
      <c r="M70" s="11">
        <f>Tabla2456711[[#This Row],[MONTO DE COMPRA]]/1.19</f>
        <v>0</v>
      </c>
      <c r="N70" s="11">
        <f>Tabla2456711[[#This Row],[Columna1]]*19%</f>
        <v>0</v>
      </c>
      <c r="O70" s="11"/>
      <c r="P70" s="11">
        <f>Tabla2456711[[#This Row],[VENTA ]]/1.19</f>
        <v>0</v>
      </c>
      <c r="Q70" s="11">
        <f>Tabla2456711[[#This Row],[Columna2]]*19%</f>
        <v>0</v>
      </c>
      <c r="R70" s="11">
        <f>Tabla2456711[[#This Row],[IVA VENTA ]]-Tabla2456711[[#This Row],[IV COMPRA]]</f>
        <v>0</v>
      </c>
      <c r="S70" s="11">
        <f>(Tabla2456711[[#This Row],[VENTA ]]-(Tabla2456711[[#This Row],[MONTO DE COMPRA]]+Tabla2456711[[#This Row],[DIFERENCIA IVA ]]))</f>
        <v>0</v>
      </c>
    </row>
    <row r="71" spans="1:19" hidden="1" x14ac:dyDescent="0.25">
      <c r="A71" s="56">
        <v>44758</v>
      </c>
      <c r="B71" s="4" t="s">
        <v>2437</v>
      </c>
      <c r="C71" s="4" t="s">
        <v>2438</v>
      </c>
      <c r="D71" s="1" t="s">
        <v>22</v>
      </c>
      <c r="E71" s="4" t="s">
        <v>2439</v>
      </c>
      <c r="F71" s="1" t="s">
        <v>2460</v>
      </c>
      <c r="G71" s="134" t="s">
        <v>2440</v>
      </c>
      <c r="H71" s="15">
        <v>30000</v>
      </c>
      <c r="I71" s="2">
        <f>Tabla2456711[[#This Row],[TOTAL FACTURA]]*0.6</f>
        <v>18000</v>
      </c>
      <c r="J71" s="131">
        <f>Tabla2456711[[#This Row],[TOTAL FACTURA]]-Tabla2456711[[#This Row],[PORCENTAJE A CANCELAR]]</f>
        <v>12000</v>
      </c>
      <c r="L71" s="11"/>
      <c r="M71" s="11">
        <f>Tabla2456711[[#This Row],[MONTO DE COMPRA]]/1.19</f>
        <v>0</v>
      </c>
      <c r="N71" s="11">
        <f>Tabla2456711[[#This Row],[Columna1]]*19%</f>
        <v>0</v>
      </c>
      <c r="O71" s="11"/>
      <c r="P71" s="11">
        <f>Tabla2456711[[#This Row],[VENTA ]]/1.19</f>
        <v>0</v>
      </c>
      <c r="Q71" s="11">
        <f>Tabla2456711[[#This Row],[Columna2]]*19%</f>
        <v>0</v>
      </c>
      <c r="R71" s="11">
        <f>Tabla2456711[[#This Row],[IVA VENTA ]]-Tabla2456711[[#This Row],[IV COMPRA]]</f>
        <v>0</v>
      </c>
      <c r="S71" s="11">
        <f>(Tabla2456711[[#This Row],[VENTA ]]-(Tabla2456711[[#This Row],[MONTO DE COMPRA]]+Tabla2456711[[#This Row],[DIFERENCIA IVA ]]))</f>
        <v>0</v>
      </c>
    </row>
    <row r="72" spans="1:19" hidden="1" x14ac:dyDescent="0.25">
      <c r="A72" s="56">
        <v>44758</v>
      </c>
      <c r="B72" s="4" t="s">
        <v>2437</v>
      </c>
      <c r="C72" s="4" t="s">
        <v>2438</v>
      </c>
      <c r="D72" s="1" t="s">
        <v>22</v>
      </c>
      <c r="E72" s="4" t="s">
        <v>2439</v>
      </c>
      <c r="F72" s="1" t="s">
        <v>3666</v>
      </c>
      <c r="G72" s="134" t="s">
        <v>2441</v>
      </c>
      <c r="H72" s="15">
        <v>30000</v>
      </c>
      <c r="I72" s="2">
        <f>Tabla2456711[[#This Row],[TOTAL FACTURA]]*0.6</f>
        <v>18000</v>
      </c>
      <c r="J72" s="131">
        <f>Tabla2456711[[#This Row],[TOTAL FACTURA]]-Tabla2456711[[#This Row],[PORCENTAJE A CANCELAR]]</f>
        <v>12000</v>
      </c>
      <c r="L72" s="11"/>
      <c r="M72" s="11">
        <f>Tabla2456711[[#This Row],[MONTO DE COMPRA]]/1.19</f>
        <v>0</v>
      </c>
      <c r="N72" s="11">
        <f>Tabla2456711[[#This Row],[Columna1]]*19%</f>
        <v>0</v>
      </c>
      <c r="O72" s="11"/>
      <c r="P72" s="11">
        <f>Tabla2456711[[#This Row],[VENTA ]]/1.19</f>
        <v>0</v>
      </c>
      <c r="Q72" s="11">
        <f>Tabla2456711[[#This Row],[Columna2]]*19%</f>
        <v>0</v>
      </c>
      <c r="R72" s="11">
        <f>Tabla2456711[[#This Row],[IVA VENTA ]]-Tabla2456711[[#This Row],[IV COMPRA]]</f>
        <v>0</v>
      </c>
      <c r="S72" s="11">
        <f>(Tabla2456711[[#This Row],[VENTA ]]-(Tabla2456711[[#This Row],[MONTO DE COMPRA]]+Tabla2456711[[#This Row],[DIFERENCIA IVA ]]))</f>
        <v>0</v>
      </c>
    </row>
    <row r="73" spans="1:19" hidden="1" x14ac:dyDescent="0.25">
      <c r="A73" s="56">
        <v>44758</v>
      </c>
      <c r="B73" s="4" t="s">
        <v>2437</v>
      </c>
      <c r="C73" s="4" t="s">
        <v>2438</v>
      </c>
      <c r="D73" s="1" t="s">
        <v>22</v>
      </c>
      <c r="E73" s="4" t="s">
        <v>2439</v>
      </c>
      <c r="F73" s="1" t="s">
        <v>2460</v>
      </c>
      <c r="G73" s="134" t="s">
        <v>2442</v>
      </c>
      <c r="H73" s="15">
        <v>20000</v>
      </c>
      <c r="I73" s="2">
        <f>Tabla2456711[[#This Row],[TOTAL FACTURA]]*0.6</f>
        <v>12000</v>
      </c>
      <c r="J73" s="131">
        <f>Tabla2456711[[#This Row],[TOTAL FACTURA]]-Tabla2456711[[#This Row],[PORCENTAJE A CANCELAR]]</f>
        <v>8000</v>
      </c>
      <c r="K73" s="1" t="s">
        <v>2443</v>
      </c>
      <c r="L73" s="11">
        <f>6000+10000</f>
        <v>16000</v>
      </c>
      <c r="M73" s="11">
        <f>Tabla2456711[[#This Row],[MONTO DE COMPRA]]/1.19</f>
        <v>13445.378151260506</v>
      </c>
      <c r="N73" s="11">
        <f>Tabla2456711[[#This Row],[Columna1]]*19%</f>
        <v>2554.6218487394963</v>
      </c>
      <c r="O73" s="11">
        <v>45000</v>
      </c>
      <c r="P73" s="11">
        <f>Tabla2456711[[#This Row],[VENTA ]]/1.19</f>
        <v>37815.126050420171</v>
      </c>
      <c r="Q73" s="11">
        <f>Tabla2456711[[#This Row],[Columna2]]*19%</f>
        <v>7184.8739495798327</v>
      </c>
      <c r="R73" s="11">
        <f>Tabla2456711[[#This Row],[IVA VENTA ]]-Tabla2456711[[#This Row],[IV COMPRA]]</f>
        <v>4630.2521008403364</v>
      </c>
      <c r="S73" s="11">
        <f>(Tabla2456711[[#This Row],[VENTA ]]-(Tabla2456711[[#This Row],[MONTO DE COMPRA]]+Tabla2456711[[#This Row],[DIFERENCIA IVA ]]))</f>
        <v>24369.747899159665</v>
      </c>
    </row>
    <row r="74" spans="1:19" hidden="1" x14ac:dyDescent="0.25">
      <c r="A74" s="56">
        <v>44758</v>
      </c>
      <c r="C74" s="4" t="s">
        <v>2444</v>
      </c>
      <c r="D74" s="1" t="s">
        <v>103</v>
      </c>
      <c r="E74" s="4" t="s">
        <v>2445</v>
      </c>
      <c r="F74" s="1" t="s">
        <v>2446</v>
      </c>
      <c r="G74" s="134" t="s">
        <v>2447</v>
      </c>
      <c r="H74" s="15">
        <v>110000</v>
      </c>
      <c r="I74" s="2">
        <f>Tabla2456711[[#This Row],[TOTAL FACTURA]]*0.7</f>
        <v>77000</v>
      </c>
      <c r="J74" s="131">
        <f>Tabla2456711[[#This Row],[TOTAL FACTURA]]-Tabla2456711[[#This Row],[PORCENTAJE A CANCELAR]]</f>
        <v>33000</v>
      </c>
      <c r="K74" s="1" t="s">
        <v>2450</v>
      </c>
      <c r="L74" s="11">
        <v>16000</v>
      </c>
      <c r="M74" s="11">
        <f>Tabla2456711[[#This Row],[MONTO DE COMPRA]]/1.19</f>
        <v>13445.378151260506</v>
      </c>
      <c r="N74" s="11">
        <f>Tabla2456711[[#This Row],[Columna1]]*19%</f>
        <v>2554.6218487394963</v>
      </c>
      <c r="O74" s="11">
        <v>25000</v>
      </c>
      <c r="P74" s="11">
        <f>Tabla2456711[[#This Row],[VENTA ]]/1.19</f>
        <v>21008.403361344539</v>
      </c>
      <c r="Q74" s="11">
        <f>Tabla2456711[[#This Row],[Columna2]]*19%</f>
        <v>3991.5966386554624</v>
      </c>
      <c r="R74" s="11">
        <f>Tabla2456711[[#This Row],[IVA VENTA ]]-Tabla2456711[[#This Row],[IV COMPRA]]</f>
        <v>1436.9747899159661</v>
      </c>
      <c r="S74" s="11">
        <f>(Tabla2456711[[#This Row],[VENTA ]]-(Tabla2456711[[#This Row],[MONTO DE COMPRA]]+Tabla2456711[[#This Row],[DIFERENCIA IVA ]]))</f>
        <v>7563.0252100840335</v>
      </c>
    </row>
    <row r="75" spans="1:19" hidden="1" x14ac:dyDescent="0.25">
      <c r="A75" s="56">
        <v>44758</v>
      </c>
      <c r="C75" s="4" t="s">
        <v>2448</v>
      </c>
      <c r="D75" s="1" t="s">
        <v>22</v>
      </c>
      <c r="E75" s="4" t="s">
        <v>387</v>
      </c>
      <c r="F75" s="1" t="s">
        <v>2449</v>
      </c>
      <c r="G75" s="134" t="s">
        <v>1949</v>
      </c>
      <c r="H75" s="15">
        <v>120000</v>
      </c>
      <c r="I75" s="2">
        <f>Tabla2456711[[#This Row],[TOTAL FACTURA]]*0.7</f>
        <v>84000</v>
      </c>
      <c r="J75" s="131">
        <f>Tabla2456711[[#This Row],[TOTAL FACTURA]]-Tabla2456711[[#This Row],[PORCENTAJE A CANCELAR]]</f>
        <v>36000</v>
      </c>
      <c r="L75" s="11"/>
      <c r="M75" s="11">
        <f>Tabla2456711[[#This Row],[MONTO DE COMPRA]]/1.19</f>
        <v>0</v>
      </c>
      <c r="N75" s="11">
        <f>Tabla2456711[[#This Row],[Columna1]]*19%</f>
        <v>0</v>
      </c>
      <c r="O75" s="11"/>
      <c r="P75" s="11">
        <f>Tabla2456711[[#This Row],[VENTA ]]/1.19</f>
        <v>0</v>
      </c>
      <c r="Q75" s="11">
        <f>Tabla2456711[[#This Row],[Columna2]]*19%</f>
        <v>0</v>
      </c>
      <c r="R75" s="11">
        <f>Tabla2456711[[#This Row],[IVA VENTA ]]-Tabla2456711[[#This Row],[IV COMPRA]]</f>
        <v>0</v>
      </c>
      <c r="S75" s="11">
        <f>(Tabla2456711[[#This Row],[VENTA ]]-(Tabla2456711[[#This Row],[MONTO DE COMPRA]]+Tabla2456711[[#This Row],[DIFERENCIA IVA ]]))</f>
        <v>0</v>
      </c>
    </row>
    <row r="76" spans="1:19" ht="30" hidden="1" x14ac:dyDescent="0.25">
      <c r="A76" s="56">
        <v>44760</v>
      </c>
      <c r="B76" s="4" t="s">
        <v>2451</v>
      </c>
      <c r="C76" s="4" t="s">
        <v>2452</v>
      </c>
      <c r="D76" s="1" t="s">
        <v>1947</v>
      </c>
      <c r="E76" s="4" t="s">
        <v>2453</v>
      </c>
      <c r="F76" s="1" t="s">
        <v>2454</v>
      </c>
      <c r="G76" s="134" t="s">
        <v>2455</v>
      </c>
      <c r="H76" s="15">
        <v>100000</v>
      </c>
      <c r="I76" s="2">
        <f>Tabla2456711[[#This Row],[TOTAL FACTURA]]*0.7</f>
        <v>70000</v>
      </c>
      <c r="J76" s="131">
        <f>Tabla2456711[[#This Row],[TOTAL FACTURA]]-Tabla2456711[[#This Row],[PORCENTAJE A CANCELAR]]</f>
        <v>30000</v>
      </c>
      <c r="K76" s="10" t="s">
        <v>2456</v>
      </c>
      <c r="L76" s="11">
        <f>38000+70000+45000</f>
        <v>153000</v>
      </c>
      <c r="M76" s="11">
        <f>Tabla2456711[[#This Row],[MONTO DE COMPRA]]/1.19</f>
        <v>128571.42857142858</v>
      </c>
      <c r="N76" s="11">
        <f>Tabla2456711[[#This Row],[Columna1]]*19%</f>
        <v>24428.571428571431</v>
      </c>
      <c r="O76" s="11">
        <f>50000+92000+60000</f>
        <v>202000</v>
      </c>
      <c r="P76" s="11">
        <f>Tabla2456711[[#This Row],[VENTA ]]/1.19</f>
        <v>169747.89915966388</v>
      </c>
      <c r="Q76" s="11">
        <f>Tabla2456711[[#This Row],[Columna2]]*19%</f>
        <v>32252.100840336137</v>
      </c>
      <c r="R76" s="11">
        <f>Tabla2456711[[#This Row],[IVA VENTA ]]-Tabla2456711[[#This Row],[IV COMPRA]]</f>
        <v>7823.5294117647063</v>
      </c>
      <c r="S76" s="11">
        <f>(Tabla2456711[[#This Row],[VENTA ]]-(Tabla2456711[[#This Row],[MONTO DE COMPRA]]+Tabla2456711[[#This Row],[DIFERENCIA IVA ]]))</f>
        <v>41176.470588235301</v>
      </c>
    </row>
    <row r="77" spans="1:19" hidden="1" x14ac:dyDescent="0.25">
      <c r="A77" s="56">
        <v>44760</v>
      </c>
      <c r="C77" s="4" t="s">
        <v>2457</v>
      </c>
      <c r="D77" s="1" t="s">
        <v>637</v>
      </c>
      <c r="E77" s="4" t="s">
        <v>2458</v>
      </c>
      <c r="F77" s="1" t="s">
        <v>2460</v>
      </c>
      <c r="G77" s="134" t="s">
        <v>2459</v>
      </c>
      <c r="H77" s="15">
        <v>20000</v>
      </c>
      <c r="I77" s="2">
        <f>Tabla2456711[[#This Row],[TOTAL FACTURA]]*0.6</f>
        <v>12000</v>
      </c>
      <c r="J77" s="131">
        <f>Tabla2456711[[#This Row],[TOTAL FACTURA]]-Tabla2456711[[#This Row],[PORCENTAJE A CANCELAR]]</f>
        <v>8000</v>
      </c>
      <c r="L77" s="11"/>
      <c r="M77" s="11">
        <f>Tabla2456711[[#This Row],[MONTO DE COMPRA]]/1.19</f>
        <v>0</v>
      </c>
      <c r="N77" s="11">
        <f>Tabla2456711[[#This Row],[Columna1]]*19%</f>
        <v>0</v>
      </c>
      <c r="O77" s="11"/>
      <c r="P77" s="11">
        <f>Tabla2456711[[#This Row],[VENTA ]]/1.19</f>
        <v>0</v>
      </c>
      <c r="Q77" s="11">
        <f>Tabla2456711[[#This Row],[Columna2]]*19%</f>
        <v>0</v>
      </c>
      <c r="R77" s="11">
        <f>Tabla2456711[[#This Row],[IVA VENTA ]]-Tabla2456711[[#This Row],[IV COMPRA]]</f>
        <v>0</v>
      </c>
      <c r="S77" s="11">
        <f>(Tabla2456711[[#This Row],[VENTA ]]-(Tabla2456711[[#This Row],[MONTO DE COMPRA]]+Tabla2456711[[#This Row],[DIFERENCIA IVA ]]))</f>
        <v>0</v>
      </c>
    </row>
    <row r="78" spans="1:19" hidden="1" x14ac:dyDescent="0.25">
      <c r="A78" s="56">
        <v>44760</v>
      </c>
      <c r="C78" s="4" t="s">
        <v>1278</v>
      </c>
      <c r="D78" s="1" t="s">
        <v>54</v>
      </c>
      <c r="E78" s="4" t="s">
        <v>2461</v>
      </c>
      <c r="F78" s="1" t="s">
        <v>2460</v>
      </c>
      <c r="G78" s="1" t="s">
        <v>21</v>
      </c>
      <c r="H78" s="15">
        <v>10000</v>
      </c>
      <c r="I78" s="2">
        <f>Tabla2456711[[#This Row],[TOTAL FACTURA]]*0.6</f>
        <v>6000</v>
      </c>
      <c r="J78" s="131">
        <f>Tabla2456711[[#This Row],[TOTAL FACTURA]]-Tabla2456711[[#This Row],[PORCENTAJE A CANCELAR]]</f>
        <v>4000</v>
      </c>
      <c r="L78" s="11"/>
      <c r="M78" s="11">
        <f>Tabla2456711[[#This Row],[MONTO DE COMPRA]]/1.19</f>
        <v>0</v>
      </c>
      <c r="N78" s="11">
        <f>Tabla2456711[[#This Row],[Columna1]]*19%</f>
        <v>0</v>
      </c>
      <c r="O78" s="11"/>
      <c r="P78" s="11">
        <f>Tabla2456711[[#This Row],[VENTA ]]/1.19</f>
        <v>0</v>
      </c>
      <c r="Q78" s="11">
        <f>Tabla2456711[[#This Row],[Columna2]]*19%</f>
        <v>0</v>
      </c>
      <c r="R78" s="11">
        <f>Tabla2456711[[#This Row],[IVA VENTA ]]-Tabla2456711[[#This Row],[IV COMPRA]]</f>
        <v>0</v>
      </c>
      <c r="S78" s="11">
        <f>(Tabla2456711[[#This Row],[VENTA ]]-(Tabla2456711[[#This Row],[MONTO DE COMPRA]]+Tabla2456711[[#This Row],[DIFERENCIA IVA ]]))</f>
        <v>0</v>
      </c>
    </row>
    <row r="79" spans="1:19" x14ac:dyDescent="0.25">
      <c r="A79" s="56">
        <v>44760</v>
      </c>
      <c r="C79" s="4" t="s">
        <v>2462</v>
      </c>
      <c r="D79" s="1" t="s">
        <v>1567</v>
      </c>
      <c r="E79" s="4" t="s">
        <v>2463</v>
      </c>
      <c r="F79" s="1" t="s">
        <v>10</v>
      </c>
      <c r="G79" s="1" t="s">
        <v>2464</v>
      </c>
      <c r="H79" s="15">
        <v>100000</v>
      </c>
      <c r="I79" s="2">
        <f>Tabla2456711[[#This Row],[TOTAL FACTURA]]*0.7</f>
        <v>70000</v>
      </c>
      <c r="J79" s="131">
        <f>Tabla2456711[[#This Row],[TOTAL FACTURA]]-Tabla2456711[[#This Row],[PORCENTAJE A CANCELAR]]</f>
        <v>30000</v>
      </c>
      <c r="L79" s="11"/>
      <c r="M79" s="11">
        <f>Tabla2456711[[#This Row],[MONTO DE COMPRA]]/1.19</f>
        <v>0</v>
      </c>
      <c r="N79" s="11">
        <f>Tabla2456711[[#This Row],[Columna1]]*19%</f>
        <v>0</v>
      </c>
      <c r="O79" s="11"/>
      <c r="P79" s="11">
        <f>Tabla2456711[[#This Row],[VENTA ]]/1.19</f>
        <v>0</v>
      </c>
      <c r="Q79" s="11">
        <f>Tabla2456711[[#This Row],[Columna2]]*19%</f>
        <v>0</v>
      </c>
      <c r="R79" s="11">
        <f>Tabla2456711[[#This Row],[IVA VENTA ]]-Tabla2456711[[#This Row],[IV COMPRA]]</f>
        <v>0</v>
      </c>
      <c r="S79" s="11">
        <f>(Tabla2456711[[#This Row],[VENTA ]]-(Tabla2456711[[#This Row],[MONTO DE COMPRA]]+Tabla2456711[[#This Row],[DIFERENCIA IVA ]]))</f>
        <v>0</v>
      </c>
    </row>
    <row r="80" spans="1:19" hidden="1" x14ac:dyDescent="0.25">
      <c r="A80" s="56">
        <v>44760</v>
      </c>
      <c r="C80" s="130"/>
      <c r="D80" s="1" t="s">
        <v>22</v>
      </c>
      <c r="E80" s="4" t="s">
        <v>2465</v>
      </c>
      <c r="F80" s="1" t="s">
        <v>2460</v>
      </c>
      <c r="G80" s="134" t="s">
        <v>2466</v>
      </c>
      <c r="H80" s="15">
        <v>80000</v>
      </c>
      <c r="I80" s="2">
        <f>Tabla2456711[[#This Row],[TOTAL FACTURA]]*0.6</f>
        <v>48000</v>
      </c>
      <c r="J80" s="131">
        <f>Tabla2456711[[#This Row],[TOTAL FACTURA]]-Tabla2456711[[#This Row],[PORCENTAJE A CANCELAR]]</f>
        <v>32000</v>
      </c>
      <c r="L80" s="11"/>
      <c r="M80" s="11">
        <f>Tabla2456711[[#This Row],[MONTO DE COMPRA]]/1.19</f>
        <v>0</v>
      </c>
      <c r="N80" s="11">
        <f>Tabla2456711[[#This Row],[Columna1]]*19%</f>
        <v>0</v>
      </c>
      <c r="O80" s="11"/>
      <c r="P80" s="11">
        <f>Tabla2456711[[#This Row],[VENTA ]]/1.19</f>
        <v>0</v>
      </c>
      <c r="Q80" s="11">
        <f>Tabla2456711[[#This Row],[Columna2]]*19%</f>
        <v>0</v>
      </c>
      <c r="R80" s="11">
        <f>Tabla2456711[[#This Row],[IVA VENTA ]]-Tabla2456711[[#This Row],[IV COMPRA]]</f>
        <v>0</v>
      </c>
      <c r="S80" s="11">
        <f>(Tabla2456711[[#This Row],[VENTA ]]-(Tabla2456711[[#This Row],[MONTO DE COMPRA]]+Tabla2456711[[#This Row],[DIFERENCIA IVA ]]))</f>
        <v>0</v>
      </c>
    </row>
    <row r="81" spans="1:19" ht="30" hidden="1" x14ac:dyDescent="0.25">
      <c r="A81" s="56">
        <v>44761</v>
      </c>
      <c r="B81" s="4" t="s">
        <v>2468</v>
      </c>
      <c r="C81" s="4" t="s">
        <v>2469</v>
      </c>
      <c r="D81" s="1" t="s">
        <v>122</v>
      </c>
      <c r="E81" s="1" t="s">
        <v>2470</v>
      </c>
      <c r="F81" s="1" t="s">
        <v>2471</v>
      </c>
      <c r="G81" s="134" t="s">
        <v>2472</v>
      </c>
      <c r="H81" s="15">
        <v>180000</v>
      </c>
      <c r="I81" s="2">
        <f>Tabla2456711[[#This Row],[TOTAL FACTURA]]*0.7</f>
        <v>125999.99999999999</v>
      </c>
      <c r="J81" s="131">
        <f>Tabla2456711[[#This Row],[TOTAL FACTURA]]-Tabla2456711[[#This Row],[PORCENTAJE A CANCELAR]]</f>
        <v>54000.000000000015</v>
      </c>
      <c r="K81" s="10" t="s">
        <v>2473</v>
      </c>
      <c r="L81" s="11">
        <v>275000</v>
      </c>
      <c r="M81" s="11">
        <f>Tabla2456711[[#This Row],[MONTO DE COMPRA]]/1.19</f>
        <v>231092.43697478992</v>
      </c>
      <c r="N81" s="11">
        <f>Tabla2456711[[#This Row],[Columna1]]*19%</f>
        <v>43907.563025210082</v>
      </c>
      <c r="O81" s="11">
        <f>220000+210000+75000+22000+10000+16000</f>
        <v>553000</v>
      </c>
      <c r="P81" s="11">
        <f>Tabla2456711[[#This Row],[VENTA ]]/1.19</f>
        <v>464705.8823529412</v>
      </c>
      <c r="Q81" s="11">
        <f>Tabla2456711[[#This Row],[Columna2]]*19%</f>
        <v>88294.117647058825</v>
      </c>
      <c r="R81" s="11">
        <f>Tabla2456711[[#This Row],[IVA VENTA ]]-Tabla2456711[[#This Row],[IV COMPRA]]</f>
        <v>44386.554621848743</v>
      </c>
      <c r="S81" s="11">
        <f>(Tabla2456711[[#This Row],[VENTA ]]-(Tabla2456711[[#This Row],[MONTO DE COMPRA]]+Tabla2456711[[#This Row],[DIFERENCIA IVA ]]))</f>
        <v>233613.44537815126</v>
      </c>
    </row>
    <row r="82" spans="1:19" ht="30" hidden="1" x14ac:dyDescent="0.25">
      <c r="A82" s="56">
        <v>44761</v>
      </c>
      <c r="B82" s="4" t="s">
        <v>2475</v>
      </c>
      <c r="C82" s="4" t="s">
        <v>2476</v>
      </c>
      <c r="D82" s="1" t="s">
        <v>1414</v>
      </c>
      <c r="E82" s="4" t="s">
        <v>2166</v>
      </c>
      <c r="F82" s="1" t="s">
        <v>2471</v>
      </c>
      <c r="G82" s="134" t="s">
        <v>2477</v>
      </c>
      <c r="H82" s="15">
        <v>410000</v>
      </c>
      <c r="I82" s="2">
        <f>Tabla2456711[[#This Row],[TOTAL FACTURA]]*0.7</f>
        <v>287000</v>
      </c>
      <c r="J82" s="131">
        <f>Tabla2456711[[#This Row],[TOTAL FACTURA]]-Tabla2456711[[#This Row],[PORCENTAJE A CANCELAR]]</f>
        <v>123000</v>
      </c>
      <c r="K82" s="1" t="s">
        <v>2484</v>
      </c>
      <c r="L82" s="11">
        <v>530000</v>
      </c>
      <c r="M82" s="11">
        <f>Tabla2456711[[#This Row],[MONTO DE COMPRA]]/1.19</f>
        <v>445378.15126050421</v>
      </c>
      <c r="N82" s="11">
        <f>Tabla2456711[[#This Row],[Columna1]]*19%</f>
        <v>84621.848739495807</v>
      </c>
      <c r="O82" s="11">
        <v>1077001</v>
      </c>
      <c r="P82" s="11">
        <f>Tabla2456711[[#This Row],[VENTA ]]/1.19</f>
        <v>905042.85714285716</v>
      </c>
      <c r="Q82" s="11">
        <f>Tabla2456711[[#This Row],[Columna2]]*19%</f>
        <v>171958.14285714287</v>
      </c>
      <c r="R82" s="11">
        <f>Tabla2456711[[#This Row],[IVA VENTA ]]-Tabla2456711[[#This Row],[IV COMPRA]]</f>
        <v>87336.294117647063</v>
      </c>
      <c r="S82" s="11">
        <f>(Tabla2456711[[#This Row],[VENTA ]]-(Tabla2456711[[#This Row],[MONTO DE COMPRA]]+Tabla2456711[[#This Row],[DIFERENCIA IVA ]]))</f>
        <v>459664.70588235289</v>
      </c>
    </row>
    <row r="83" spans="1:19" hidden="1" x14ac:dyDescent="0.25">
      <c r="A83" s="56">
        <v>44761</v>
      </c>
      <c r="C83" s="130"/>
      <c r="E83" s="4" t="s">
        <v>2478</v>
      </c>
      <c r="F83" s="1" t="s">
        <v>2460</v>
      </c>
      <c r="G83" s="134" t="s">
        <v>250</v>
      </c>
      <c r="H83" s="15">
        <v>30000</v>
      </c>
      <c r="I83" s="2">
        <f>Tabla2456711[[#This Row],[TOTAL FACTURA]]*0.6</f>
        <v>18000</v>
      </c>
      <c r="J83" s="131">
        <f>Tabla2456711[[#This Row],[TOTAL FACTURA]]-Tabla2456711[[#This Row],[PORCENTAJE A CANCELAR]]</f>
        <v>12000</v>
      </c>
      <c r="L83" s="11"/>
      <c r="M83" s="11">
        <f>Tabla2456711[[#This Row],[MONTO DE COMPRA]]/1.19</f>
        <v>0</v>
      </c>
      <c r="N83" s="11">
        <f>Tabla2456711[[#This Row],[Columna1]]*19%</f>
        <v>0</v>
      </c>
      <c r="O83" s="11"/>
      <c r="P83" s="11">
        <f>Tabla2456711[[#This Row],[VENTA ]]/1.19</f>
        <v>0</v>
      </c>
      <c r="Q83" s="11">
        <f>Tabla2456711[[#This Row],[Columna2]]*19%</f>
        <v>0</v>
      </c>
      <c r="R83" s="11">
        <f>Tabla2456711[[#This Row],[IVA VENTA ]]-Tabla2456711[[#This Row],[IV COMPRA]]</f>
        <v>0</v>
      </c>
      <c r="S83" s="11">
        <f>(Tabla2456711[[#This Row],[VENTA ]]-(Tabla2456711[[#This Row],[MONTO DE COMPRA]]+Tabla2456711[[#This Row],[DIFERENCIA IVA ]]))</f>
        <v>0</v>
      </c>
    </row>
    <row r="84" spans="1:19" hidden="1" x14ac:dyDescent="0.25">
      <c r="A84" s="56">
        <v>44761</v>
      </c>
      <c r="C84" s="4" t="s">
        <v>1199</v>
      </c>
      <c r="D84" s="1" t="s">
        <v>54</v>
      </c>
      <c r="E84" s="4" t="s">
        <v>2479</v>
      </c>
      <c r="F84" s="1" t="s">
        <v>603</v>
      </c>
      <c r="G84" s="134" t="s">
        <v>2480</v>
      </c>
      <c r="H84" s="15">
        <v>30000</v>
      </c>
      <c r="I84" s="2">
        <v>30000</v>
      </c>
      <c r="J84" s="131">
        <f>Tabla2456711[[#This Row],[TOTAL FACTURA]]-Tabla2456711[[#This Row],[PORCENTAJE A CANCELAR]]</f>
        <v>0</v>
      </c>
      <c r="L84" s="11"/>
      <c r="M84" s="11">
        <f>Tabla2456711[[#This Row],[MONTO DE COMPRA]]/1.19</f>
        <v>0</v>
      </c>
      <c r="N84" s="11">
        <f>Tabla2456711[[#This Row],[Columna1]]*19%</f>
        <v>0</v>
      </c>
      <c r="O84" s="11"/>
      <c r="P84" s="11">
        <f>Tabla2456711[[#This Row],[VENTA ]]/1.19</f>
        <v>0</v>
      </c>
      <c r="Q84" s="11">
        <f>Tabla2456711[[#This Row],[Columna2]]*19%</f>
        <v>0</v>
      </c>
      <c r="R84" s="11">
        <f>Tabla2456711[[#This Row],[IVA VENTA ]]-Tabla2456711[[#This Row],[IV COMPRA]]</f>
        <v>0</v>
      </c>
      <c r="S84" s="11">
        <f>(Tabla2456711[[#This Row],[VENTA ]]-(Tabla2456711[[#This Row],[MONTO DE COMPRA]]+Tabla2456711[[#This Row],[DIFERENCIA IVA ]]))</f>
        <v>0</v>
      </c>
    </row>
    <row r="85" spans="1:19" hidden="1" x14ac:dyDescent="0.25">
      <c r="A85" s="56">
        <v>44761</v>
      </c>
      <c r="C85" s="130"/>
      <c r="E85" s="4"/>
      <c r="F85" s="1" t="s">
        <v>19</v>
      </c>
      <c r="G85" s="134" t="s">
        <v>2481</v>
      </c>
      <c r="H85" s="15">
        <v>20000</v>
      </c>
      <c r="I85" s="2">
        <f>Tabla2456711[[#This Row],[TOTAL FACTURA]]*0.7</f>
        <v>14000</v>
      </c>
      <c r="J85" s="131">
        <f>Tabla2456711[[#This Row],[TOTAL FACTURA]]-Tabla2456711[[#This Row],[PORCENTAJE A CANCELAR]]</f>
        <v>6000</v>
      </c>
      <c r="L85" s="11"/>
      <c r="M85" s="11">
        <f>Tabla2456711[[#This Row],[MONTO DE COMPRA]]/1.19</f>
        <v>0</v>
      </c>
      <c r="N85" s="11">
        <f>Tabla2456711[[#This Row],[Columna1]]*19%</f>
        <v>0</v>
      </c>
      <c r="O85" s="11"/>
      <c r="P85" s="11">
        <f>Tabla2456711[[#This Row],[VENTA ]]/1.19</f>
        <v>0</v>
      </c>
      <c r="Q85" s="11">
        <f>Tabla2456711[[#This Row],[Columna2]]*19%</f>
        <v>0</v>
      </c>
      <c r="R85" s="11">
        <f>Tabla2456711[[#This Row],[IVA VENTA ]]-Tabla2456711[[#This Row],[IV COMPRA]]</f>
        <v>0</v>
      </c>
      <c r="S85" s="11">
        <f>(Tabla2456711[[#This Row],[VENTA ]]-(Tabla2456711[[#This Row],[MONTO DE COMPRA]]+Tabla2456711[[#This Row],[DIFERENCIA IVA ]]))</f>
        <v>0</v>
      </c>
    </row>
    <row r="86" spans="1:19" hidden="1" x14ac:dyDescent="0.25">
      <c r="A86" s="56">
        <v>44761</v>
      </c>
      <c r="C86" s="4" t="s">
        <v>2482</v>
      </c>
      <c r="D86" s="1" t="s">
        <v>52</v>
      </c>
      <c r="E86" s="4" t="s">
        <v>2483</v>
      </c>
      <c r="F86" s="1" t="s">
        <v>34</v>
      </c>
      <c r="G86" s="134" t="s">
        <v>986</v>
      </c>
      <c r="H86" s="15">
        <v>10000</v>
      </c>
      <c r="I86" s="2">
        <f>Tabla2456711[[#This Row],[TOTAL FACTURA]]*0.6</f>
        <v>6000</v>
      </c>
      <c r="J86" s="131">
        <f>Tabla2456711[[#This Row],[TOTAL FACTURA]]-Tabla2456711[[#This Row],[PORCENTAJE A CANCELAR]]</f>
        <v>4000</v>
      </c>
      <c r="L86" s="11"/>
      <c r="M86" s="11">
        <f>Tabla2456711[[#This Row],[MONTO DE COMPRA]]/1.19</f>
        <v>0</v>
      </c>
      <c r="N86" s="11">
        <f>Tabla2456711[[#This Row],[Columna1]]*19%</f>
        <v>0</v>
      </c>
      <c r="O86" s="11"/>
      <c r="P86" s="11">
        <f>Tabla2456711[[#This Row],[VENTA ]]/1.19</f>
        <v>0</v>
      </c>
      <c r="Q86" s="11">
        <f>Tabla2456711[[#This Row],[Columna2]]*19%</f>
        <v>0</v>
      </c>
      <c r="R86" s="11">
        <f>Tabla2456711[[#This Row],[IVA VENTA ]]-Tabla2456711[[#This Row],[IV COMPRA]]</f>
        <v>0</v>
      </c>
      <c r="S86" s="11">
        <f>(Tabla2456711[[#This Row],[VENTA ]]-(Tabla2456711[[#This Row],[MONTO DE COMPRA]]+Tabla2456711[[#This Row],[DIFERENCIA IVA ]]))</f>
        <v>0</v>
      </c>
    </row>
    <row r="87" spans="1:19" hidden="1" x14ac:dyDescent="0.25">
      <c r="A87" s="56">
        <v>44763</v>
      </c>
      <c r="C87" s="4" t="s">
        <v>2485</v>
      </c>
      <c r="D87" s="1" t="s">
        <v>2486</v>
      </c>
      <c r="E87" s="4" t="s">
        <v>486</v>
      </c>
      <c r="F87" s="1" t="s">
        <v>2487</v>
      </c>
      <c r="G87" s="134" t="s">
        <v>2012</v>
      </c>
      <c r="H87" s="15">
        <v>100000</v>
      </c>
      <c r="I87" s="2">
        <v>80000</v>
      </c>
      <c r="J87" s="131">
        <f>Tabla2456711[[#This Row],[TOTAL FACTURA]]-Tabla2456711[[#This Row],[PORCENTAJE A CANCELAR]]</f>
        <v>20000</v>
      </c>
      <c r="L87" s="11"/>
      <c r="M87" s="11">
        <f>Tabla2456711[[#This Row],[MONTO DE COMPRA]]/1.19</f>
        <v>0</v>
      </c>
      <c r="N87" s="11">
        <f>Tabla2456711[[#This Row],[Columna1]]*19%</f>
        <v>0</v>
      </c>
      <c r="O87" s="11"/>
      <c r="P87" s="11">
        <f>Tabla2456711[[#This Row],[VENTA ]]/1.19</f>
        <v>0</v>
      </c>
      <c r="Q87" s="11">
        <f>Tabla2456711[[#This Row],[Columna2]]*19%</f>
        <v>0</v>
      </c>
      <c r="R87" s="11">
        <f>Tabla2456711[[#This Row],[IVA VENTA ]]-Tabla2456711[[#This Row],[IV COMPRA]]</f>
        <v>0</v>
      </c>
      <c r="S87" s="11">
        <f>(Tabla2456711[[#This Row],[VENTA ]]-(Tabla2456711[[#This Row],[MONTO DE COMPRA]]+Tabla2456711[[#This Row],[DIFERENCIA IVA ]]))</f>
        <v>0</v>
      </c>
    </row>
    <row r="88" spans="1:19" hidden="1" x14ac:dyDescent="0.25">
      <c r="A88" s="56">
        <v>44763</v>
      </c>
      <c r="C88" s="130"/>
      <c r="E88" s="4"/>
      <c r="F88" s="1" t="s">
        <v>2495</v>
      </c>
      <c r="G88" s="134" t="s">
        <v>128</v>
      </c>
      <c r="H88" s="15">
        <v>10000</v>
      </c>
      <c r="I88" s="2">
        <f>Tabla2456711[[#This Row],[TOTAL FACTURA]]*0.6</f>
        <v>6000</v>
      </c>
      <c r="J88" s="131">
        <f>Tabla2456711[[#This Row],[TOTAL FACTURA]]-Tabla2456711[[#This Row],[PORCENTAJE A CANCELAR]]</f>
        <v>4000</v>
      </c>
      <c r="L88" s="11"/>
      <c r="M88" s="11">
        <f>Tabla2456711[[#This Row],[MONTO DE COMPRA]]/1.19</f>
        <v>0</v>
      </c>
      <c r="N88" s="11">
        <f>Tabla2456711[[#This Row],[Columna1]]*19%</f>
        <v>0</v>
      </c>
      <c r="O88" s="11"/>
      <c r="P88" s="11">
        <f>Tabla2456711[[#This Row],[VENTA ]]/1.19</f>
        <v>0</v>
      </c>
      <c r="Q88" s="11">
        <f>Tabla2456711[[#This Row],[Columna2]]*19%</f>
        <v>0</v>
      </c>
      <c r="R88" s="11">
        <f>Tabla2456711[[#This Row],[IVA VENTA ]]-Tabla2456711[[#This Row],[IV COMPRA]]</f>
        <v>0</v>
      </c>
      <c r="S88" s="11">
        <f>(Tabla2456711[[#This Row],[VENTA ]]-(Tabla2456711[[#This Row],[MONTO DE COMPRA]]+Tabla2456711[[#This Row],[DIFERENCIA IVA ]]))</f>
        <v>0</v>
      </c>
    </row>
    <row r="89" spans="1:19" hidden="1" x14ac:dyDescent="0.25">
      <c r="A89" s="56">
        <v>44764</v>
      </c>
      <c r="C89" s="4" t="s">
        <v>2489</v>
      </c>
      <c r="E89" s="4"/>
      <c r="F89" s="1" t="s">
        <v>1039</v>
      </c>
      <c r="G89" s="134" t="s">
        <v>2490</v>
      </c>
      <c r="H89" s="15">
        <v>30000</v>
      </c>
      <c r="I89" s="2">
        <f>Tabla2456711[[#This Row],[TOTAL FACTURA]]*0.6</f>
        <v>18000</v>
      </c>
      <c r="J89" s="131">
        <f>Tabla2456711[[#This Row],[TOTAL FACTURA]]-Tabla2456711[[#This Row],[PORCENTAJE A CANCELAR]]</f>
        <v>12000</v>
      </c>
      <c r="L89" s="11"/>
      <c r="M89" s="11">
        <f>Tabla2456711[[#This Row],[MONTO DE COMPRA]]/1.19</f>
        <v>0</v>
      </c>
      <c r="N89" s="11">
        <f>Tabla2456711[[#This Row],[Columna1]]*19%</f>
        <v>0</v>
      </c>
      <c r="O89" s="11"/>
      <c r="P89" s="11">
        <f>Tabla2456711[[#This Row],[VENTA ]]/1.19</f>
        <v>0</v>
      </c>
      <c r="Q89" s="11">
        <f>Tabla2456711[[#This Row],[Columna2]]*19%</f>
        <v>0</v>
      </c>
      <c r="R89" s="11">
        <f>Tabla2456711[[#This Row],[IVA VENTA ]]-Tabla2456711[[#This Row],[IV COMPRA]]</f>
        <v>0</v>
      </c>
      <c r="S89" s="11">
        <f>(Tabla2456711[[#This Row],[VENTA ]]-(Tabla2456711[[#This Row],[MONTO DE COMPRA]]+Tabla2456711[[#This Row],[DIFERENCIA IVA ]]))</f>
        <v>0</v>
      </c>
    </row>
    <row r="90" spans="1:19" hidden="1" x14ac:dyDescent="0.25">
      <c r="A90" s="56">
        <v>44764</v>
      </c>
      <c r="C90" s="4" t="s">
        <v>2360</v>
      </c>
      <c r="D90" s="1" t="s">
        <v>989</v>
      </c>
      <c r="E90" s="4" t="s">
        <v>2267</v>
      </c>
      <c r="F90" s="1" t="s">
        <v>2449</v>
      </c>
      <c r="G90" s="134" t="s">
        <v>2491</v>
      </c>
      <c r="H90" s="15">
        <v>150000</v>
      </c>
      <c r="I90" s="2">
        <f>Tabla2456711[[#This Row],[TOTAL FACTURA]]*0.7</f>
        <v>105000</v>
      </c>
      <c r="J90" s="131">
        <f>Tabla2456711[[#This Row],[TOTAL FACTURA]]-Tabla2456711[[#This Row],[PORCENTAJE A CANCELAR]]</f>
        <v>45000</v>
      </c>
      <c r="K90" s="1" t="s">
        <v>2492</v>
      </c>
      <c r="L90" s="11">
        <v>80000</v>
      </c>
      <c r="M90" s="11">
        <f>Tabla2456711[[#This Row],[MONTO DE COMPRA]]/1.19</f>
        <v>67226.890756302528</v>
      </c>
      <c r="N90" s="11">
        <f>Tabla2456711[[#This Row],[Columna1]]*19%</f>
        <v>12773.10924369748</v>
      </c>
      <c r="O90" s="11">
        <v>160000</v>
      </c>
      <c r="P90" s="11">
        <f>Tabla2456711[[#This Row],[VENTA ]]/1.19</f>
        <v>134453.78151260506</v>
      </c>
      <c r="Q90" s="11">
        <f>Tabla2456711[[#This Row],[Columna2]]*19%</f>
        <v>25546.218487394959</v>
      </c>
      <c r="R90" s="11">
        <f>Tabla2456711[[#This Row],[IVA VENTA ]]-Tabla2456711[[#This Row],[IV COMPRA]]</f>
        <v>12773.10924369748</v>
      </c>
      <c r="S90" s="11">
        <f>(Tabla2456711[[#This Row],[VENTA ]]-(Tabla2456711[[#This Row],[MONTO DE COMPRA]]+Tabla2456711[[#This Row],[DIFERENCIA IVA ]]))</f>
        <v>67226.890756302513</v>
      </c>
    </row>
    <row r="91" spans="1:19" hidden="1" x14ac:dyDescent="0.25">
      <c r="A91" s="56">
        <v>44764</v>
      </c>
      <c r="C91" s="130"/>
      <c r="D91" s="1" t="s">
        <v>1434</v>
      </c>
      <c r="E91" s="4" t="s">
        <v>1435</v>
      </c>
      <c r="F91" s="1" t="s">
        <v>2493</v>
      </c>
      <c r="G91" s="134" t="s">
        <v>2494</v>
      </c>
      <c r="H91" s="15">
        <v>50000</v>
      </c>
      <c r="I91" s="2">
        <v>50000</v>
      </c>
      <c r="J91" s="131">
        <f>Tabla2456711[[#This Row],[TOTAL FACTURA]]-Tabla2456711[[#This Row],[PORCENTAJE A CANCELAR]]</f>
        <v>0</v>
      </c>
      <c r="L91" s="11"/>
      <c r="M91" s="11">
        <f>Tabla2456711[[#This Row],[MONTO DE COMPRA]]/1.19</f>
        <v>0</v>
      </c>
      <c r="N91" s="11">
        <f>Tabla2456711[[#This Row],[Columna1]]*19%</f>
        <v>0</v>
      </c>
      <c r="O91" s="11"/>
      <c r="P91" s="11">
        <f>Tabla2456711[[#This Row],[VENTA ]]/1.19</f>
        <v>0</v>
      </c>
      <c r="Q91" s="11">
        <f>Tabla2456711[[#This Row],[Columna2]]*19%</f>
        <v>0</v>
      </c>
      <c r="R91" s="11">
        <f>Tabla2456711[[#This Row],[IVA VENTA ]]-Tabla2456711[[#This Row],[IV COMPRA]]</f>
        <v>0</v>
      </c>
      <c r="S91" s="11">
        <f>(Tabla2456711[[#This Row],[VENTA ]]-(Tabla2456711[[#This Row],[MONTO DE COMPRA]]+Tabla2456711[[#This Row],[DIFERENCIA IVA ]]))</f>
        <v>0</v>
      </c>
    </row>
    <row r="92" spans="1:19" hidden="1" x14ac:dyDescent="0.25">
      <c r="A92" s="56">
        <v>44764</v>
      </c>
      <c r="C92" s="130"/>
      <c r="E92" s="4"/>
      <c r="F92" s="1" t="s">
        <v>16</v>
      </c>
      <c r="G92" s="134" t="s">
        <v>434</v>
      </c>
      <c r="H92" s="15">
        <v>80000</v>
      </c>
      <c r="I92" s="2">
        <f>Tabla2456711[[#This Row],[TOTAL FACTURA]]*0.6</f>
        <v>48000</v>
      </c>
      <c r="J92" s="131">
        <f>Tabla2456711[[#This Row],[TOTAL FACTURA]]-Tabla2456711[[#This Row],[PORCENTAJE A CANCELAR]]</f>
        <v>32000</v>
      </c>
      <c r="L92" s="11"/>
      <c r="M92" s="11">
        <f>Tabla2456711[[#This Row],[MONTO DE COMPRA]]/1.19</f>
        <v>0</v>
      </c>
      <c r="N92" s="11">
        <f>Tabla2456711[[#This Row],[Columna1]]*19%</f>
        <v>0</v>
      </c>
      <c r="O92" s="11"/>
      <c r="P92" s="11">
        <f>Tabla2456711[[#This Row],[VENTA ]]/1.19</f>
        <v>0</v>
      </c>
      <c r="Q92" s="11">
        <f>Tabla2456711[[#This Row],[Columna2]]*19%</f>
        <v>0</v>
      </c>
      <c r="R92" s="11">
        <f>Tabla2456711[[#This Row],[IVA VENTA ]]-Tabla2456711[[#This Row],[IV COMPRA]]</f>
        <v>0</v>
      </c>
      <c r="S92" s="11">
        <f>(Tabla2456711[[#This Row],[VENTA ]]-(Tabla2456711[[#This Row],[MONTO DE COMPRA]]+Tabla2456711[[#This Row],[DIFERENCIA IVA ]]))</f>
        <v>0</v>
      </c>
    </row>
    <row r="93" spans="1:19" hidden="1" x14ac:dyDescent="0.25">
      <c r="A93" s="56">
        <v>44764</v>
      </c>
      <c r="C93" s="4" t="s">
        <v>1958</v>
      </c>
      <c r="D93" s="1" t="s">
        <v>521</v>
      </c>
      <c r="E93" s="4" t="s">
        <v>1959</v>
      </c>
      <c r="F93" s="1" t="s">
        <v>2495</v>
      </c>
      <c r="G93" s="134" t="s">
        <v>2509</v>
      </c>
      <c r="H93" s="15">
        <v>240000</v>
      </c>
      <c r="I93" s="2">
        <f>Tabla2456711[[#This Row],[TOTAL FACTURA]]*0.6</f>
        <v>144000</v>
      </c>
      <c r="J93" s="131">
        <f>Tabla2456711[[#This Row],[TOTAL FACTURA]]-Tabla2456711[[#This Row],[PORCENTAJE A CANCELAR]]</f>
        <v>96000</v>
      </c>
      <c r="L93" s="11"/>
      <c r="M93" s="11">
        <f>Tabla2456711[[#This Row],[MONTO DE COMPRA]]/1.19</f>
        <v>0</v>
      </c>
      <c r="N93" s="11">
        <f>Tabla2456711[[#This Row],[Columna1]]*19%</f>
        <v>0</v>
      </c>
      <c r="O93" s="11"/>
      <c r="P93" s="11">
        <f>Tabla2456711[[#This Row],[VENTA ]]/1.19</f>
        <v>0</v>
      </c>
      <c r="Q93" s="11">
        <f>Tabla2456711[[#This Row],[Columna2]]*19%</f>
        <v>0</v>
      </c>
      <c r="R93" s="11">
        <f>Tabla2456711[[#This Row],[IVA VENTA ]]-Tabla2456711[[#This Row],[IV COMPRA]]</f>
        <v>0</v>
      </c>
      <c r="S93" s="11">
        <f>(Tabla2456711[[#This Row],[VENTA ]]-(Tabla2456711[[#This Row],[MONTO DE COMPRA]]+Tabla2456711[[#This Row],[DIFERENCIA IVA ]]))</f>
        <v>0</v>
      </c>
    </row>
    <row r="94" spans="1:19" x14ac:dyDescent="0.25">
      <c r="A94" s="56">
        <v>44764</v>
      </c>
      <c r="C94" s="4" t="s">
        <v>2496</v>
      </c>
      <c r="D94" s="1" t="s">
        <v>2497</v>
      </c>
      <c r="E94" s="4" t="s">
        <v>2498</v>
      </c>
      <c r="F94" s="1" t="s">
        <v>10</v>
      </c>
      <c r="G94" s="134" t="s">
        <v>2499</v>
      </c>
      <c r="H94" s="15">
        <v>120000</v>
      </c>
      <c r="I94" s="2">
        <f>Tabla2456711[[#This Row],[TOTAL FACTURA]]*0.7</f>
        <v>84000</v>
      </c>
      <c r="J94" s="131">
        <f>Tabla2456711[[#This Row],[TOTAL FACTURA]]-Tabla2456711[[#This Row],[PORCENTAJE A CANCELAR]]</f>
        <v>36000</v>
      </c>
      <c r="K94" s="1" t="s">
        <v>2500</v>
      </c>
      <c r="L94" s="11">
        <f>88000+4000+2000</f>
        <v>94000</v>
      </c>
      <c r="M94" s="11">
        <f>Tabla2456711[[#This Row],[MONTO DE COMPRA]]/1.19</f>
        <v>78991.596638655465</v>
      </c>
      <c r="N94" s="11">
        <f>Tabla2456711[[#This Row],[Columna1]]*19%</f>
        <v>15008.403361344539</v>
      </c>
      <c r="O94" s="11">
        <v>140000</v>
      </c>
      <c r="P94" s="11">
        <f>Tabla2456711[[#This Row],[VENTA ]]/1.19</f>
        <v>117647.05882352941</v>
      </c>
      <c r="Q94" s="11">
        <f>Tabla2456711[[#This Row],[Columna2]]*19%</f>
        <v>22352.941176470587</v>
      </c>
      <c r="R94" s="11">
        <f>Tabla2456711[[#This Row],[IVA VENTA ]]-Tabla2456711[[#This Row],[IV COMPRA]]</f>
        <v>7344.5378151260484</v>
      </c>
      <c r="S94" s="11">
        <f>(Tabla2456711[[#This Row],[VENTA ]]-(Tabla2456711[[#This Row],[MONTO DE COMPRA]]+Tabla2456711[[#This Row],[DIFERENCIA IVA ]]))</f>
        <v>38655.462184873948</v>
      </c>
    </row>
    <row r="95" spans="1:19" hidden="1" x14ac:dyDescent="0.25">
      <c r="A95" s="56">
        <v>44764</v>
      </c>
      <c r="C95" s="4" t="s">
        <v>2501</v>
      </c>
      <c r="D95" s="1" t="s">
        <v>200</v>
      </c>
      <c r="E95" s="4" t="s">
        <v>2502</v>
      </c>
      <c r="F95" s="1" t="s">
        <v>19</v>
      </c>
      <c r="G95" s="134" t="s">
        <v>2503</v>
      </c>
      <c r="H95" s="15">
        <v>20000</v>
      </c>
      <c r="I95" s="2">
        <f>Tabla2456711[[#This Row],[TOTAL FACTURA]]*0.7</f>
        <v>14000</v>
      </c>
      <c r="J95" s="131">
        <f>Tabla2456711[[#This Row],[TOTAL FACTURA]]-Tabla2456711[[#This Row],[PORCENTAJE A CANCELAR]]</f>
        <v>6000</v>
      </c>
      <c r="L95" s="11"/>
      <c r="M95" s="11">
        <f>Tabla2456711[[#This Row],[MONTO DE COMPRA]]/1.19</f>
        <v>0</v>
      </c>
      <c r="N95" s="11">
        <f>Tabla2456711[[#This Row],[Columna1]]*19%</f>
        <v>0</v>
      </c>
      <c r="O95" s="11"/>
      <c r="P95" s="11">
        <f>Tabla2456711[[#This Row],[VENTA ]]/1.19</f>
        <v>0</v>
      </c>
      <c r="Q95" s="11">
        <f>Tabla2456711[[#This Row],[Columna2]]*19%</f>
        <v>0</v>
      </c>
      <c r="R95" s="11">
        <f>Tabla2456711[[#This Row],[IVA VENTA ]]-Tabla2456711[[#This Row],[IV COMPRA]]</f>
        <v>0</v>
      </c>
      <c r="S95" s="11">
        <f>(Tabla2456711[[#This Row],[VENTA ]]-(Tabla2456711[[#This Row],[MONTO DE COMPRA]]+Tabla2456711[[#This Row],[DIFERENCIA IVA ]]))</f>
        <v>0</v>
      </c>
    </row>
    <row r="96" spans="1:19" hidden="1" x14ac:dyDescent="0.25">
      <c r="A96" s="56">
        <v>44764</v>
      </c>
      <c r="C96" s="4" t="s">
        <v>2504</v>
      </c>
      <c r="D96" s="1" t="s">
        <v>268</v>
      </c>
      <c r="E96" s="4" t="s">
        <v>2505</v>
      </c>
      <c r="F96" s="1" t="s">
        <v>2495</v>
      </c>
      <c r="G96" s="134" t="s">
        <v>270</v>
      </c>
      <c r="H96" s="15">
        <v>180000</v>
      </c>
      <c r="I96" s="2">
        <f>Tabla2456711[[#This Row],[TOTAL FACTURA]]*0.6</f>
        <v>108000</v>
      </c>
      <c r="J96" s="131">
        <f>Tabla2456711[[#This Row],[TOTAL FACTURA]]-Tabla2456711[[#This Row],[PORCENTAJE A CANCELAR]]</f>
        <v>72000</v>
      </c>
      <c r="K96" s="1" t="s">
        <v>2506</v>
      </c>
      <c r="L96" s="11">
        <v>850000</v>
      </c>
      <c r="M96" s="11"/>
      <c r="N96" s="11">
        <f>Tabla2456711[[#This Row],[Columna1]]*19%</f>
        <v>0</v>
      </c>
      <c r="O96" s="11">
        <v>910000</v>
      </c>
      <c r="P96" s="11"/>
      <c r="Q96" s="11">
        <f>Tabla2456711[[#This Row],[Columna2]]*19%</f>
        <v>0</v>
      </c>
      <c r="R96" s="11">
        <f>Tabla2456711[[#This Row],[IVA VENTA ]]-Tabla2456711[[#This Row],[IV COMPRA]]</f>
        <v>0</v>
      </c>
      <c r="S96" s="11">
        <f>(Tabla2456711[[#This Row],[VENTA ]]-(Tabla2456711[[#This Row],[MONTO DE COMPRA]]+Tabla2456711[[#This Row],[DIFERENCIA IVA ]]))</f>
        <v>60000</v>
      </c>
    </row>
    <row r="97" spans="1:20" x14ac:dyDescent="0.25">
      <c r="A97" s="56">
        <v>44765</v>
      </c>
      <c r="C97" s="4" t="s">
        <v>2510</v>
      </c>
      <c r="D97" s="1" t="s">
        <v>200</v>
      </c>
      <c r="E97" s="4" t="s">
        <v>2512</v>
      </c>
      <c r="F97" s="1" t="s">
        <v>10</v>
      </c>
      <c r="G97" s="134" t="s">
        <v>2511</v>
      </c>
      <c r="H97" s="15">
        <v>60000</v>
      </c>
      <c r="I97" s="2">
        <f>Tabla2456711[[#This Row],[TOTAL FACTURA]]*0.7</f>
        <v>42000</v>
      </c>
      <c r="J97" s="131">
        <f>Tabla2456711[[#This Row],[TOTAL FACTURA]]-Tabla2456711[[#This Row],[PORCENTAJE A CANCELAR]]</f>
        <v>18000</v>
      </c>
      <c r="L97" s="11"/>
      <c r="M97" s="11">
        <f>Tabla2456711[[#This Row],[MONTO DE COMPRA]]/1.19</f>
        <v>0</v>
      </c>
      <c r="N97" s="11">
        <f>Tabla2456711[[#This Row],[Columna1]]*19%</f>
        <v>0</v>
      </c>
      <c r="O97" s="11"/>
      <c r="P97" s="11">
        <f>Tabla2456711[[#This Row],[VENTA ]]/1.19</f>
        <v>0</v>
      </c>
      <c r="Q97" s="11">
        <f>Tabla2456711[[#This Row],[Columna2]]*19%</f>
        <v>0</v>
      </c>
      <c r="R97" s="11">
        <f>Tabla2456711[[#This Row],[IVA VENTA ]]-Tabla2456711[[#This Row],[IV COMPRA]]</f>
        <v>0</v>
      </c>
      <c r="S97" s="11">
        <f>(Tabla2456711[[#This Row],[VENTA ]]-(Tabla2456711[[#This Row],[MONTO DE COMPRA]]-Tabla2456711[[#This Row],[DIFERENCIA IVA ]]))</f>
        <v>0</v>
      </c>
    </row>
    <row r="98" spans="1:20" hidden="1" x14ac:dyDescent="0.25">
      <c r="A98" s="56">
        <v>44765</v>
      </c>
      <c r="C98" s="4" t="s">
        <v>2334</v>
      </c>
      <c r="D98" s="1" t="s">
        <v>1414</v>
      </c>
      <c r="E98" s="4" t="s">
        <v>2335</v>
      </c>
      <c r="F98" s="1" t="s">
        <v>2495</v>
      </c>
      <c r="G98" s="10" t="s">
        <v>2156</v>
      </c>
      <c r="H98" s="15">
        <v>60000</v>
      </c>
      <c r="I98" s="2">
        <f>Tabla2456711[[#This Row],[TOTAL FACTURA]]*0.6</f>
        <v>36000</v>
      </c>
      <c r="J98" s="131">
        <f>Tabla2456711[[#This Row],[TOTAL FACTURA]]-Tabla2456711[[#This Row],[PORCENTAJE A CANCELAR]]</f>
        <v>24000</v>
      </c>
      <c r="L98" s="11"/>
      <c r="M98" s="11">
        <f>Tabla2456711[[#This Row],[MONTO DE COMPRA]]/1.19</f>
        <v>0</v>
      </c>
      <c r="N98" s="11">
        <f>Tabla2456711[[#This Row],[Columna1]]*19%</f>
        <v>0</v>
      </c>
      <c r="O98" s="11"/>
      <c r="P98" s="11">
        <f>Tabla2456711[[#This Row],[VENTA ]]/1.19</f>
        <v>0</v>
      </c>
      <c r="Q98" s="11">
        <f>Tabla2456711[[#This Row],[Columna2]]*19%</f>
        <v>0</v>
      </c>
      <c r="R98" s="11">
        <f>Tabla2456711[[#This Row],[IVA VENTA ]]-Tabla2456711[[#This Row],[IV COMPRA]]</f>
        <v>0</v>
      </c>
      <c r="S98" s="11">
        <f>(Tabla2456711[[#This Row],[VENTA ]]-(Tabla2456711[[#This Row],[MONTO DE COMPRA]]-Tabla2456711[[#This Row],[DIFERENCIA IVA ]]))</f>
        <v>0</v>
      </c>
      <c r="T98" s="11"/>
    </row>
    <row r="99" spans="1:20" hidden="1" x14ac:dyDescent="0.25">
      <c r="A99" s="56">
        <v>44767</v>
      </c>
      <c r="C99" s="4" t="s">
        <v>2571</v>
      </c>
      <c r="D99" s="1" t="s">
        <v>2513</v>
      </c>
      <c r="E99" s="4" t="s">
        <v>2514</v>
      </c>
      <c r="F99" s="1" t="s">
        <v>2446</v>
      </c>
      <c r="G99" s="10" t="s">
        <v>2515</v>
      </c>
      <c r="H99" s="15">
        <v>50000</v>
      </c>
      <c r="I99" s="2">
        <f>Tabla2456711[[#This Row],[TOTAL FACTURA]]*0.7</f>
        <v>35000</v>
      </c>
      <c r="J99" s="131">
        <f>Tabla2456711[[#This Row],[TOTAL FACTURA]]-Tabla2456711[[#This Row],[PORCENTAJE A CANCELAR]]</f>
        <v>15000</v>
      </c>
      <c r="L99" s="11"/>
      <c r="M99" s="11">
        <f>Tabla2456711[[#This Row],[MONTO DE COMPRA]]/1.19</f>
        <v>0</v>
      </c>
      <c r="N99" s="11">
        <f>Tabla2456711[[#This Row],[Columna1]]*19%</f>
        <v>0</v>
      </c>
      <c r="O99" s="11"/>
      <c r="P99" s="11">
        <f>Tabla2456711[[#This Row],[VENTA ]]/1.19</f>
        <v>0</v>
      </c>
      <c r="Q99" s="11">
        <f>Tabla2456711[[#This Row],[Columna2]]*19%</f>
        <v>0</v>
      </c>
      <c r="R99" s="11">
        <f>Tabla2456711[[#This Row],[IVA VENTA ]]-Tabla2456711[[#This Row],[IV COMPRA]]</f>
        <v>0</v>
      </c>
      <c r="S99" s="11">
        <f>(Tabla2456711[[#This Row],[VENTA ]]-(Tabla2456711[[#This Row],[MONTO DE COMPRA]]-Tabla2456711[[#This Row],[DIFERENCIA IVA ]]))</f>
        <v>0</v>
      </c>
      <c r="T99" s="11"/>
    </row>
    <row r="100" spans="1:20" hidden="1" x14ac:dyDescent="0.25">
      <c r="A100" s="56">
        <v>44767</v>
      </c>
      <c r="C100" s="4" t="s">
        <v>215</v>
      </c>
      <c r="E100" s="4" t="s">
        <v>148</v>
      </c>
      <c r="F100" s="1" t="s">
        <v>34</v>
      </c>
      <c r="G100" s="10" t="s">
        <v>2516</v>
      </c>
      <c r="I100" s="2">
        <f>Tabla2456711[[#This Row],[TOTAL FACTURA]]*0.6</f>
        <v>0</v>
      </c>
      <c r="J100" s="131">
        <f>Tabla2456711[[#This Row],[TOTAL FACTURA]]-Tabla2456711[[#This Row],[PORCENTAJE A CANCELAR]]</f>
        <v>0</v>
      </c>
      <c r="L100" s="11"/>
      <c r="M100" s="11">
        <f>Tabla2456711[[#This Row],[MONTO DE COMPRA]]/1.19</f>
        <v>0</v>
      </c>
      <c r="N100" s="11">
        <f>Tabla2456711[[#This Row],[Columna1]]*19%</f>
        <v>0</v>
      </c>
      <c r="O100" s="11"/>
      <c r="P100" s="11">
        <f>Tabla2456711[[#This Row],[VENTA ]]/1.19</f>
        <v>0</v>
      </c>
      <c r="Q100" s="11">
        <f>Tabla2456711[[#This Row],[Columna2]]*19%</f>
        <v>0</v>
      </c>
      <c r="R100" s="11">
        <f>Tabla2456711[[#This Row],[IVA VENTA ]]-Tabla2456711[[#This Row],[IV COMPRA]]</f>
        <v>0</v>
      </c>
      <c r="S100" s="11">
        <f>(Tabla2456711[[#This Row],[VENTA ]]-(Tabla2456711[[#This Row],[MONTO DE COMPRA]]-Tabla2456711[[#This Row],[DIFERENCIA IVA ]]))</f>
        <v>0</v>
      </c>
      <c r="T100" s="11"/>
    </row>
    <row r="101" spans="1:20" hidden="1" x14ac:dyDescent="0.25">
      <c r="A101" s="56">
        <v>44767</v>
      </c>
      <c r="B101" s="4" t="s">
        <v>2520</v>
      </c>
      <c r="C101" s="4" t="s">
        <v>2517</v>
      </c>
      <c r="D101" s="1" t="s">
        <v>48</v>
      </c>
      <c r="E101" s="4" t="s">
        <v>2518</v>
      </c>
      <c r="F101" s="1" t="s">
        <v>2446</v>
      </c>
      <c r="G101" s="10" t="s">
        <v>338</v>
      </c>
      <c r="H101" s="15">
        <v>130000</v>
      </c>
      <c r="I101" s="2">
        <f>Tabla2456711[[#This Row],[TOTAL FACTURA]]*0.7</f>
        <v>91000</v>
      </c>
      <c r="J101" s="131">
        <f>Tabla2456711[[#This Row],[TOTAL FACTURA]]-Tabla2456711[[#This Row],[PORCENTAJE A CANCELAR]]</f>
        <v>39000</v>
      </c>
      <c r="K101" s="1" t="s">
        <v>2519</v>
      </c>
      <c r="L101" s="11">
        <f>8000*4</f>
        <v>32000</v>
      </c>
      <c r="M101" s="11">
        <f>Tabla2456711[[#This Row],[MONTO DE COMPRA]]/1.19</f>
        <v>26890.756302521011</v>
      </c>
      <c r="N101" s="11">
        <f>Tabla2456711[[#This Row],[Columna1]]*19%</f>
        <v>5109.2436974789925</v>
      </c>
      <c r="O101" s="11">
        <v>48000</v>
      </c>
      <c r="P101" s="11">
        <f>Tabla2456711[[#This Row],[VENTA ]]/1.19</f>
        <v>40336.134453781517</v>
      </c>
      <c r="Q101" s="11">
        <f>Tabla2456711[[#This Row],[Columna2]]*19%</f>
        <v>7663.8655462184879</v>
      </c>
      <c r="R101" s="11">
        <f>Tabla2456711[[#This Row],[IVA VENTA ]]-Tabla2456711[[#This Row],[IV COMPRA]]</f>
        <v>2554.6218487394954</v>
      </c>
      <c r="S101" s="11">
        <f>(Tabla2456711[[#This Row],[VENTA ]]-(Tabla2456711[[#This Row],[MONTO DE COMPRA]]-Tabla2456711[[#This Row],[DIFERENCIA IVA ]]))</f>
        <v>18554.621848739494</v>
      </c>
      <c r="T101" s="11"/>
    </row>
    <row r="102" spans="1:20" hidden="1" x14ac:dyDescent="0.25">
      <c r="A102" s="56">
        <v>44767</v>
      </c>
      <c r="B102" s="4" t="s">
        <v>2521</v>
      </c>
      <c r="C102" s="4" t="s">
        <v>2522</v>
      </c>
      <c r="D102" s="1" t="s">
        <v>1970</v>
      </c>
      <c r="E102" s="4" t="s">
        <v>1971</v>
      </c>
      <c r="F102" s="1" t="s">
        <v>2446</v>
      </c>
      <c r="G102" s="10" t="s">
        <v>2523</v>
      </c>
      <c r="H102" s="15">
        <v>24000</v>
      </c>
      <c r="I102" s="2">
        <f>Tabla2456711[[#This Row],[TOTAL FACTURA]]*0.7</f>
        <v>16800</v>
      </c>
      <c r="J102" s="131">
        <f>Tabla2456711[[#This Row],[TOTAL FACTURA]]-Tabla2456711[[#This Row],[PORCENTAJE A CANCELAR]]</f>
        <v>7200</v>
      </c>
      <c r="K102" s="1" t="s">
        <v>2524</v>
      </c>
      <c r="L102" s="11">
        <v>63000</v>
      </c>
      <c r="M102" s="11">
        <f>Tabla2456711[[#This Row],[MONTO DE COMPRA]]/1.19</f>
        <v>52941.176470588238</v>
      </c>
      <c r="N102" s="11">
        <f>Tabla2456711[[#This Row],[Columna1]]*19%</f>
        <v>10058.823529411766</v>
      </c>
      <c r="O102" s="11">
        <v>86000</v>
      </c>
      <c r="P102" s="11"/>
      <c r="Q102" s="11">
        <f>Tabla2456711[[#This Row],[Columna2]]*19%</f>
        <v>0</v>
      </c>
      <c r="R102" s="11"/>
      <c r="S102" s="11">
        <f>(Tabla2456711[[#This Row],[VENTA ]]-(Tabla2456711[[#This Row],[MONTO DE COMPRA]]-Tabla2456711[[#This Row],[DIFERENCIA IVA ]]))</f>
        <v>23000</v>
      </c>
      <c r="T102" s="11"/>
    </row>
    <row r="103" spans="1:20" x14ac:dyDescent="0.25">
      <c r="A103" s="56">
        <v>44768</v>
      </c>
      <c r="C103" s="4" t="s">
        <v>2525</v>
      </c>
      <c r="D103" s="1" t="s">
        <v>2526</v>
      </c>
      <c r="E103" s="4" t="s">
        <v>2527</v>
      </c>
      <c r="F103" s="1" t="s">
        <v>10</v>
      </c>
      <c r="G103" s="10" t="s">
        <v>2528</v>
      </c>
      <c r="H103" s="15">
        <v>10000</v>
      </c>
      <c r="I103" s="2">
        <v>10000</v>
      </c>
      <c r="J103" s="131">
        <f>Tabla2456711[[#This Row],[TOTAL FACTURA]]-Tabla2456711[[#This Row],[PORCENTAJE A CANCELAR]]</f>
        <v>0</v>
      </c>
      <c r="K103" s="1" t="s">
        <v>2529</v>
      </c>
      <c r="L103" s="11">
        <v>18000</v>
      </c>
      <c r="M103" s="11">
        <f>Tabla2456711[[#This Row],[MONTO DE COMPRA]]/1.19</f>
        <v>15126.050420168069</v>
      </c>
      <c r="N103" s="11">
        <f>Tabla2456711[[#This Row],[Columna1]]*19%</f>
        <v>2873.9495798319331</v>
      </c>
      <c r="O103" s="11">
        <v>25000</v>
      </c>
      <c r="P103" s="11">
        <f>Tabla2456711[[#This Row],[VENTA ]]/1.19</f>
        <v>21008.403361344539</v>
      </c>
      <c r="Q103" s="11">
        <f>Tabla2456711[[#This Row],[Columna2]]*19%</f>
        <v>3991.5966386554624</v>
      </c>
      <c r="R103" s="11">
        <f>Tabla2456711[[#This Row],[IVA VENTA ]]-Tabla2456711[[#This Row],[IV COMPRA]]</f>
        <v>1117.6470588235293</v>
      </c>
      <c r="S103" s="11">
        <f>(Tabla2456711[[#This Row],[VENTA ]]-(Tabla2456711[[#This Row],[MONTO DE COMPRA]]-Tabla2456711[[#This Row],[DIFERENCIA IVA ]]))</f>
        <v>8117.6470588235279</v>
      </c>
      <c r="T103" s="11"/>
    </row>
    <row r="104" spans="1:20" ht="30" hidden="1" x14ac:dyDescent="0.25">
      <c r="A104" s="56">
        <v>44767</v>
      </c>
      <c r="B104" s="4" t="s">
        <v>2530</v>
      </c>
      <c r="C104" s="4" t="s">
        <v>2531</v>
      </c>
      <c r="D104" s="1" t="s">
        <v>815</v>
      </c>
      <c r="E104" s="4" t="s">
        <v>2532</v>
      </c>
      <c r="F104" s="1" t="s">
        <v>2495</v>
      </c>
      <c r="G104" s="10" t="s">
        <v>2533</v>
      </c>
      <c r="H104" s="15">
        <v>360000</v>
      </c>
      <c r="I104" s="2">
        <f>Tabla2456711[[#This Row],[TOTAL FACTURA]]*0.6</f>
        <v>216000</v>
      </c>
      <c r="J104" s="131">
        <f>Tabla2456711[[#This Row],[TOTAL FACTURA]]-Tabla2456711[[#This Row],[PORCENTAJE A CANCELAR]]</f>
        <v>144000</v>
      </c>
      <c r="K104" s="1" t="s">
        <v>2534</v>
      </c>
      <c r="L104" s="11">
        <f>37775.52+287803.62+30000+15000+110000+40000</f>
        <v>520579.14</v>
      </c>
      <c r="M104" s="11">
        <f>Tabla2456711[[#This Row],[MONTO DE COMPRA]]/1.19</f>
        <v>437461.46218487399</v>
      </c>
      <c r="N104" s="11">
        <f>Tabla2456711[[#This Row],[Columna1]]*19%</f>
        <v>83117.677815126066</v>
      </c>
      <c r="O104" s="11">
        <f>800000</f>
        <v>800000</v>
      </c>
      <c r="P104" s="11">
        <f>Tabla2456711[[#This Row],[VENTA ]]/1.19</f>
        <v>672268.90756302525</v>
      </c>
      <c r="Q104" s="11">
        <f>Tabla2456711[[#This Row],[Columna2]]*19%</f>
        <v>127731.0924369748</v>
      </c>
      <c r="R104" s="11">
        <f>Tabla2456711[[#This Row],[IVA VENTA ]]-Tabla2456711[[#This Row],[IV COMPRA]]</f>
        <v>44613.414621848729</v>
      </c>
      <c r="S104" s="11">
        <f>(Tabla2456711[[#This Row],[VENTA ]]-(Tabla2456711[[#This Row],[MONTO DE COMPRA]]-Tabla2456711[[#This Row],[DIFERENCIA IVA ]]))</f>
        <v>324034.27462184872</v>
      </c>
      <c r="T104" s="11"/>
    </row>
    <row r="105" spans="1:20" hidden="1" x14ac:dyDescent="0.25">
      <c r="A105" s="56">
        <v>44768</v>
      </c>
      <c r="C105" s="4" t="s">
        <v>2279</v>
      </c>
      <c r="D105" s="1" t="s">
        <v>84</v>
      </c>
      <c r="E105" s="4" t="s">
        <v>2535</v>
      </c>
      <c r="F105" s="1" t="s">
        <v>2446</v>
      </c>
      <c r="G105" s="10" t="s">
        <v>2536</v>
      </c>
      <c r="H105" s="15">
        <v>15000</v>
      </c>
      <c r="I105" s="2">
        <f>Tabla2456711[[#This Row],[TOTAL FACTURA]]*0.7</f>
        <v>10500</v>
      </c>
      <c r="J105" s="131">
        <f>Tabla2456711[[#This Row],[TOTAL FACTURA]]-Tabla2456711[[#This Row],[PORCENTAJE A CANCELAR]]</f>
        <v>4500</v>
      </c>
      <c r="L105" s="11"/>
      <c r="M105" s="11">
        <f>Tabla2456711[[#This Row],[MONTO DE COMPRA]]/1.19</f>
        <v>0</v>
      </c>
      <c r="N105" s="11">
        <f>Tabla2456711[[#This Row],[Columna1]]*19%</f>
        <v>0</v>
      </c>
      <c r="O105" s="11"/>
      <c r="P105" s="11">
        <f>Tabla2456711[[#This Row],[VENTA ]]/1.19</f>
        <v>0</v>
      </c>
      <c r="Q105" s="11">
        <f>Tabla2456711[[#This Row],[Columna2]]*19%</f>
        <v>0</v>
      </c>
      <c r="R105" s="11">
        <f>Tabla2456711[[#This Row],[IVA VENTA ]]-Tabla2456711[[#This Row],[IV COMPRA]]</f>
        <v>0</v>
      </c>
      <c r="S105" s="11">
        <f>(Tabla2456711[[#This Row],[VENTA ]]-(Tabla2456711[[#This Row],[MONTO DE COMPRA]]-Tabla2456711[[#This Row],[DIFERENCIA IVA ]]))</f>
        <v>0</v>
      </c>
      <c r="T105" s="11"/>
    </row>
    <row r="106" spans="1:20" hidden="1" x14ac:dyDescent="0.25">
      <c r="A106" s="56">
        <v>44768</v>
      </c>
      <c r="B106" s="4" t="s">
        <v>2539</v>
      </c>
      <c r="C106" s="4" t="s">
        <v>2540</v>
      </c>
      <c r="D106" s="1" t="s">
        <v>1077</v>
      </c>
      <c r="E106" s="4" t="s">
        <v>2541</v>
      </c>
      <c r="F106" s="1" t="s">
        <v>2446</v>
      </c>
      <c r="G106" s="10" t="s">
        <v>2542</v>
      </c>
      <c r="H106" s="15">
        <v>220000</v>
      </c>
      <c r="I106" s="2">
        <f>Tabla2456711[[#This Row],[TOTAL FACTURA]]*0.7</f>
        <v>154000</v>
      </c>
      <c r="J106" s="131">
        <f>Tabla2456711[[#This Row],[TOTAL FACTURA]]-Tabla2456711[[#This Row],[PORCENTAJE A CANCELAR]]</f>
        <v>66000</v>
      </c>
      <c r="L106" s="11"/>
      <c r="M106" s="11">
        <f>Tabla2456711[[#This Row],[MONTO DE COMPRA]]/1.19</f>
        <v>0</v>
      </c>
      <c r="N106" s="11">
        <f>Tabla2456711[[#This Row],[Columna1]]*19%</f>
        <v>0</v>
      </c>
      <c r="O106" s="11"/>
      <c r="P106" s="11">
        <f>Tabla2456711[[#This Row],[VENTA ]]/1.19</f>
        <v>0</v>
      </c>
      <c r="Q106" s="11">
        <f>Tabla2456711[[#This Row],[Columna2]]*19%</f>
        <v>0</v>
      </c>
      <c r="R106" s="11">
        <f>Tabla2456711[[#This Row],[IVA VENTA ]]-Tabla2456711[[#This Row],[Columna1]]</f>
        <v>0</v>
      </c>
      <c r="S106" s="11">
        <f>(Tabla2456711[[#This Row],[VENTA ]]-(Tabla2456711[[#This Row],[MONTO DE COMPRA]]-Tabla2456711[[#This Row],[DIFERENCIA IVA ]]))</f>
        <v>0</v>
      </c>
      <c r="T106" s="11"/>
    </row>
    <row r="107" spans="1:20" hidden="1" x14ac:dyDescent="0.25">
      <c r="A107" s="56">
        <v>44769</v>
      </c>
      <c r="C107" s="130"/>
      <c r="D107" s="1" t="s">
        <v>2538</v>
      </c>
      <c r="E107" s="4" t="s">
        <v>2537</v>
      </c>
      <c r="F107" s="1" t="s">
        <v>2495</v>
      </c>
      <c r="G107" s="10" t="s">
        <v>211</v>
      </c>
      <c r="H107" s="15">
        <v>30000</v>
      </c>
      <c r="I107" s="2">
        <f>Tabla2456711[[#This Row],[TOTAL FACTURA]]*0.6</f>
        <v>18000</v>
      </c>
      <c r="J107" s="131">
        <f>Tabla2456711[[#This Row],[TOTAL FACTURA]]-Tabla2456711[[#This Row],[PORCENTAJE A CANCELAR]]</f>
        <v>12000</v>
      </c>
      <c r="L107" s="11"/>
      <c r="M107" s="11">
        <f>Tabla2456711[[#This Row],[MONTO DE COMPRA]]/1.19</f>
        <v>0</v>
      </c>
      <c r="N107" s="11">
        <f>Tabla2456711[[#This Row],[Columna1]]*19%</f>
        <v>0</v>
      </c>
      <c r="O107" s="11"/>
      <c r="P107" s="11">
        <f>Tabla2456711[[#This Row],[VENTA ]]/1.19</f>
        <v>0</v>
      </c>
      <c r="Q107" s="11">
        <f>Tabla2456711[[#This Row],[Columna2]]*19%</f>
        <v>0</v>
      </c>
      <c r="R107" s="11">
        <f>Tabla2456711[[#This Row],[IVA VENTA ]]-Tabla2456711[[#This Row],[IV COMPRA]]</f>
        <v>0</v>
      </c>
      <c r="S107" s="11">
        <f>(Tabla2456711[[#This Row],[VENTA ]]-(Tabla2456711[[#This Row],[MONTO DE COMPRA]]-Tabla2456711[[#This Row],[DIFERENCIA IVA ]]))</f>
        <v>0</v>
      </c>
      <c r="T107" s="11"/>
    </row>
    <row r="108" spans="1:20" hidden="1" x14ac:dyDescent="0.25">
      <c r="A108" s="56">
        <v>44769</v>
      </c>
      <c r="B108" s="4" t="s">
        <v>2543</v>
      </c>
      <c r="C108" s="4" t="s">
        <v>2544</v>
      </c>
      <c r="D108" s="1" t="s">
        <v>59</v>
      </c>
      <c r="E108" s="4" t="s">
        <v>2025</v>
      </c>
      <c r="F108" s="1" t="s">
        <v>2446</v>
      </c>
      <c r="G108" s="10" t="s">
        <v>2545</v>
      </c>
      <c r="H108" s="15">
        <v>150000</v>
      </c>
      <c r="I108" s="2">
        <f>Tabla2456711[[#This Row],[TOTAL FACTURA]]*0.7</f>
        <v>105000</v>
      </c>
      <c r="J108" s="131">
        <f>Tabla2456711[[#This Row],[TOTAL FACTURA]]-Tabla2456711[[#This Row],[PORCENTAJE A CANCELAR]]</f>
        <v>45000</v>
      </c>
      <c r="K108" s="1" t="s">
        <v>2546</v>
      </c>
      <c r="L108" s="11">
        <f>150000+12000+20000</f>
        <v>182000</v>
      </c>
      <c r="M108" s="11">
        <f>Tabla2456711[[#This Row],[MONTO DE COMPRA]]/1.19</f>
        <v>152941.17647058825</v>
      </c>
      <c r="N108" s="11">
        <f>Tabla2456711[[#This Row],[Columna1]]*19%</f>
        <v>29058.823529411769</v>
      </c>
      <c r="O108" s="11">
        <v>204994.64</v>
      </c>
      <c r="P108" s="11">
        <f>Tabla2456711[[#This Row],[VENTA ]]/1.19</f>
        <v>172264.40336134456</v>
      </c>
      <c r="Q108" s="11">
        <f>Tabla2456711[[#This Row],[Columna2]]*19%</f>
        <v>32730.236638655468</v>
      </c>
      <c r="R108" s="11">
        <f>Tabla2456711[[#This Row],[IVA VENTA ]]-Tabla2456711[[#This Row],[IV COMPRA]]</f>
        <v>3671.4131092436983</v>
      </c>
      <c r="S108" s="11">
        <f>(Tabla2456711[[#This Row],[VENTA ]]-(Tabla2456711[[#This Row],[MONTO DE COMPRA]]-Tabla2456711[[#This Row],[DIFERENCIA IVA ]]))</f>
        <v>26666.053109243716</v>
      </c>
      <c r="T108" s="11"/>
    </row>
    <row r="109" spans="1:20" hidden="1" x14ac:dyDescent="0.25">
      <c r="A109" s="56">
        <v>44769</v>
      </c>
      <c r="C109" s="4" t="s">
        <v>2547</v>
      </c>
      <c r="D109" s="1" t="s">
        <v>48</v>
      </c>
      <c r="E109" s="4" t="s">
        <v>2548</v>
      </c>
      <c r="F109" s="1" t="s">
        <v>2495</v>
      </c>
      <c r="G109" s="10" t="s">
        <v>2570</v>
      </c>
      <c r="H109" s="15">
        <v>30000</v>
      </c>
      <c r="I109" s="2">
        <f>Tabla2456711[[#This Row],[TOTAL FACTURA]]*0.6</f>
        <v>18000</v>
      </c>
      <c r="J109" s="131">
        <f>Tabla2456711[[#This Row],[TOTAL FACTURA]]-Tabla2456711[[#This Row],[PORCENTAJE A CANCELAR]]</f>
        <v>12000</v>
      </c>
      <c r="L109" s="11"/>
      <c r="M109" s="11">
        <f>Tabla2456711[[#This Row],[MONTO DE COMPRA]]/1.19</f>
        <v>0</v>
      </c>
      <c r="N109" s="11">
        <f>Tabla2456711[[#This Row],[Columna1]]*19%</f>
        <v>0</v>
      </c>
      <c r="O109" s="11"/>
      <c r="P109" s="11">
        <f>Tabla2456711[[#This Row],[VENTA ]]/1.19</f>
        <v>0</v>
      </c>
      <c r="Q109" s="11">
        <f>Tabla2456711[[#This Row],[Columna2]]*19%</f>
        <v>0</v>
      </c>
      <c r="R109" s="11">
        <f>Tabla2456711[[#This Row],[IVA VENTA ]]-Tabla2456711[[#This Row],[IV COMPRA]]</f>
        <v>0</v>
      </c>
      <c r="S109" s="11">
        <f>(Tabla2456711[[#This Row],[VENTA ]]-(Tabla2456711[[#This Row],[MONTO DE COMPRA]]-Tabla2456711[[#This Row],[DIFERENCIA IVA ]]))</f>
        <v>0</v>
      </c>
      <c r="T109" s="11"/>
    </row>
    <row r="110" spans="1:20" hidden="1" x14ac:dyDescent="0.25">
      <c r="A110" s="56">
        <v>44769</v>
      </c>
      <c r="C110" s="130"/>
      <c r="D110" s="1" t="s">
        <v>435</v>
      </c>
      <c r="E110" s="4" t="s">
        <v>2549</v>
      </c>
      <c r="F110" s="1" t="s">
        <v>2495</v>
      </c>
      <c r="G110" s="10" t="s">
        <v>679</v>
      </c>
      <c r="H110" s="15">
        <v>60000</v>
      </c>
      <c r="I110" s="2">
        <f>Tabla2456711[[#This Row],[TOTAL FACTURA]]*0.6</f>
        <v>36000</v>
      </c>
      <c r="J110" s="131">
        <f>Tabla2456711[[#This Row],[TOTAL FACTURA]]-Tabla2456711[[#This Row],[PORCENTAJE A CANCELAR]]</f>
        <v>24000</v>
      </c>
      <c r="L110" s="11"/>
      <c r="M110" s="11">
        <f>Tabla2456711[[#This Row],[MONTO DE COMPRA]]/1.19</f>
        <v>0</v>
      </c>
      <c r="N110" s="11">
        <f>Tabla2456711[[#This Row],[Columna1]]*19%</f>
        <v>0</v>
      </c>
      <c r="O110" s="11"/>
      <c r="P110" s="11">
        <f>Tabla2456711[[#This Row],[VENTA ]]/1.19</f>
        <v>0</v>
      </c>
      <c r="Q110" s="11">
        <f>Tabla2456711[[#This Row],[Columna2]]*19%</f>
        <v>0</v>
      </c>
      <c r="R110" s="11">
        <f>Tabla2456711[[#This Row],[IVA VENTA ]]-Tabla2456711[[#This Row],[IV COMPRA]]</f>
        <v>0</v>
      </c>
      <c r="S110" s="11">
        <f>(Tabla2456711[[#This Row],[VENTA ]]-(Tabla2456711[[#This Row],[MONTO DE COMPRA]]-Tabla2456711[[#This Row],[DIFERENCIA IVA ]]))</f>
        <v>0</v>
      </c>
      <c r="T110" s="11"/>
    </row>
    <row r="111" spans="1:20" ht="30" hidden="1" x14ac:dyDescent="0.25">
      <c r="A111" s="56">
        <v>44770</v>
      </c>
      <c r="C111" s="4" t="s">
        <v>2551</v>
      </c>
      <c r="D111" s="1" t="s">
        <v>1060</v>
      </c>
      <c r="E111" s="4" t="s">
        <v>2550</v>
      </c>
      <c r="F111" s="1" t="s">
        <v>603</v>
      </c>
      <c r="G111" s="10" t="s">
        <v>2552</v>
      </c>
      <c r="H111" s="15">
        <v>140000</v>
      </c>
      <c r="I111" s="2">
        <f>Tabla2456711[[#This Row],[TOTAL FACTURA]]*0.6</f>
        <v>84000</v>
      </c>
      <c r="J111" s="131">
        <f>Tabla2456711[[#This Row],[TOTAL FACTURA]]-Tabla2456711[[#This Row],[PORCENTAJE A CANCELAR]]</f>
        <v>56000</v>
      </c>
      <c r="K111" s="1" t="s">
        <v>2553</v>
      </c>
      <c r="L111" s="11">
        <f>140000+25000</f>
        <v>165000</v>
      </c>
      <c r="M111" s="11">
        <f>Tabla2456711[[#This Row],[MONTO DE COMPRA]]/1.19</f>
        <v>138655.46218487396</v>
      </c>
      <c r="N111" s="11">
        <f>Tabla2456711[[#This Row],[Columna1]]*19%</f>
        <v>26344.537815126052</v>
      </c>
      <c r="O111" s="11">
        <v>260000</v>
      </c>
      <c r="P111" s="11">
        <f>Tabla2456711[[#This Row],[VENTA ]]/1.19</f>
        <v>218487.3949579832</v>
      </c>
      <c r="Q111" s="11">
        <f>Tabla2456711[[#This Row],[Columna2]]*19%</f>
        <v>41512.60504201681</v>
      </c>
      <c r="R111" s="11">
        <f>Tabla2456711[[#This Row],[IVA VENTA ]]-Tabla2456711[[#This Row],[IV COMPRA]]</f>
        <v>15168.067226890758</v>
      </c>
      <c r="S111" s="11">
        <f>(Tabla2456711[[#This Row],[VENTA ]]-(Tabla2456711[[#This Row],[MONTO DE COMPRA]]-Tabla2456711[[#This Row],[DIFERENCIA IVA ]]))</f>
        <v>110168.06722689077</v>
      </c>
      <c r="T111" s="11"/>
    </row>
    <row r="112" spans="1:20" hidden="1" x14ac:dyDescent="0.25">
      <c r="A112" s="56">
        <v>44770</v>
      </c>
      <c r="C112" s="130"/>
      <c r="D112" s="1" t="s">
        <v>48</v>
      </c>
      <c r="E112" s="4"/>
      <c r="F112" s="1" t="s">
        <v>603</v>
      </c>
      <c r="G112" s="10" t="s">
        <v>341</v>
      </c>
      <c r="H112" s="15">
        <v>20000</v>
      </c>
      <c r="I112" s="2">
        <f>Tabla2456711[[#This Row],[TOTAL FACTURA]]*0.6</f>
        <v>12000</v>
      </c>
      <c r="J112" s="131">
        <f>Tabla2456711[[#This Row],[TOTAL FACTURA]]-Tabla2456711[[#This Row],[PORCENTAJE A CANCELAR]]</f>
        <v>8000</v>
      </c>
      <c r="L112" s="11"/>
      <c r="M112" s="11">
        <f>Tabla2456711[[#This Row],[MONTO DE COMPRA]]/1.19</f>
        <v>0</v>
      </c>
      <c r="N112" s="11">
        <f>Tabla2456711[[#This Row],[Columna1]]*19%</f>
        <v>0</v>
      </c>
      <c r="O112" s="11"/>
      <c r="P112" s="11">
        <f>Tabla2456711[[#This Row],[VENTA ]]/1.19</f>
        <v>0</v>
      </c>
      <c r="Q112" s="11">
        <f>Tabla2456711[[#This Row],[Columna2]]*19%</f>
        <v>0</v>
      </c>
      <c r="R112" s="11">
        <f>Tabla2456711[[#This Row],[IVA VENTA ]]-Tabla2456711[[#This Row],[IV COMPRA]]</f>
        <v>0</v>
      </c>
      <c r="S112" s="11">
        <f>(Tabla2456711[[#This Row],[VENTA ]]-(Tabla2456711[[#This Row],[MONTO DE COMPRA]]-Tabla2456711[[#This Row],[DIFERENCIA IVA ]]))</f>
        <v>0</v>
      </c>
      <c r="T112" s="11"/>
    </row>
    <row r="113" spans="1:20" x14ac:dyDescent="0.25">
      <c r="A113" s="56">
        <v>44770</v>
      </c>
      <c r="C113" s="4" t="s">
        <v>1010</v>
      </c>
      <c r="D113" s="1" t="s">
        <v>1011</v>
      </c>
      <c r="E113" s="4" t="s">
        <v>2554</v>
      </c>
      <c r="F113" s="1" t="s">
        <v>10</v>
      </c>
      <c r="G113" s="10" t="s">
        <v>2555</v>
      </c>
      <c r="H113" s="15">
        <v>40000</v>
      </c>
      <c r="I113" s="2">
        <f>Tabla2456711[[#This Row],[TOTAL FACTURA]]*0.7</f>
        <v>28000</v>
      </c>
      <c r="J113" s="131">
        <f>Tabla2456711[[#This Row],[TOTAL FACTURA]]-Tabla2456711[[#This Row],[PORCENTAJE A CANCELAR]]</f>
        <v>12000</v>
      </c>
      <c r="L113" s="11"/>
      <c r="M113" s="11">
        <f>Tabla2456711[[#This Row],[MONTO DE COMPRA]]/1.19</f>
        <v>0</v>
      </c>
      <c r="N113" s="11">
        <f>Tabla2456711[[#This Row],[Columna1]]*19%</f>
        <v>0</v>
      </c>
      <c r="O113" s="11"/>
      <c r="P113" s="11">
        <f>Tabla2456711[[#This Row],[VENTA ]]/1.19</f>
        <v>0</v>
      </c>
      <c r="Q113" s="11">
        <f>Tabla2456711[[#This Row],[Columna2]]*19%</f>
        <v>0</v>
      </c>
      <c r="R113" s="11">
        <f>Tabla2456711[[#This Row],[IVA VENTA ]]-Tabla2456711[[#This Row],[IV COMPRA]]</f>
        <v>0</v>
      </c>
      <c r="S113" s="11">
        <f>(Tabla2456711[[#This Row],[VENTA ]]-(Tabla2456711[[#This Row],[MONTO DE COMPRA]]-Tabla2456711[[#This Row],[DIFERENCIA IVA ]]))</f>
        <v>0</v>
      </c>
      <c r="T113" s="11"/>
    </row>
    <row r="114" spans="1:20" hidden="1" x14ac:dyDescent="0.25">
      <c r="A114" s="56">
        <v>44770</v>
      </c>
      <c r="C114" s="4" t="s">
        <v>2556</v>
      </c>
      <c r="D114" s="1" t="s">
        <v>84</v>
      </c>
      <c r="E114" s="4" t="s">
        <v>223</v>
      </c>
      <c r="F114" s="1" t="s">
        <v>2446</v>
      </c>
      <c r="G114" s="10" t="s">
        <v>2557</v>
      </c>
      <c r="H114" s="15">
        <v>15000</v>
      </c>
      <c r="I114" s="2">
        <f>Tabla2456711[[#This Row],[TOTAL FACTURA]]*0.7</f>
        <v>10500</v>
      </c>
      <c r="J114" s="131">
        <f>Tabla2456711[[#This Row],[TOTAL FACTURA]]-Tabla2456711[[#This Row],[PORCENTAJE A CANCELAR]]</f>
        <v>4500</v>
      </c>
      <c r="L114" s="11"/>
      <c r="M114" s="11">
        <f>Tabla2456711[[#This Row],[MONTO DE COMPRA]]/1.19</f>
        <v>0</v>
      </c>
      <c r="N114" s="11">
        <f>Tabla2456711[[#This Row],[Columna1]]*19%</f>
        <v>0</v>
      </c>
      <c r="O114" s="11"/>
      <c r="P114" s="11">
        <f>Tabla2456711[[#This Row],[VENTA ]]/1.19</f>
        <v>0</v>
      </c>
      <c r="Q114" s="11">
        <f>Tabla2456711[[#This Row],[Columna2]]*19%</f>
        <v>0</v>
      </c>
      <c r="R114" s="11">
        <f>Tabla2456711[[#This Row],[IVA VENTA ]]-Tabla2456711[[#This Row],[IV COMPRA]]</f>
        <v>0</v>
      </c>
      <c r="S114" s="11">
        <f>(Tabla2456711[[#This Row],[VENTA ]]-(Tabla2456711[[#This Row],[MONTO DE COMPRA]]-Tabla2456711[[#This Row],[DIFERENCIA IVA ]]))</f>
        <v>0</v>
      </c>
      <c r="T114" s="11"/>
    </row>
    <row r="115" spans="1:20" ht="30" hidden="1" x14ac:dyDescent="0.25">
      <c r="A115" s="56">
        <v>44771</v>
      </c>
      <c r="C115" s="4" t="s">
        <v>2558</v>
      </c>
      <c r="D115" s="1" t="s">
        <v>2168</v>
      </c>
      <c r="E115" s="4" t="s">
        <v>2559</v>
      </c>
      <c r="F115" s="1" t="s">
        <v>2446</v>
      </c>
      <c r="G115" s="10" t="s">
        <v>2564</v>
      </c>
      <c r="H115" s="15">
        <v>160000</v>
      </c>
      <c r="I115" s="2">
        <f>Tabla2456711[[#This Row],[TOTAL FACTURA]]*0.7</f>
        <v>112000</v>
      </c>
      <c r="J115" s="131">
        <f>Tabla2456711[[#This Row],[TOTAL FACTURA]]-Tabla2456711[[#This Row],[PORCENTAJE A CANCELAR]]</f>
        <v>48000</v>
      </c>
      <c r="K115" s="1" t="s">
        <v>217</v>
      </c>
      <c r="L115" s="11">
        <v>140000</v>
      </c>
      <c r="M115" s="11">
        <f>Tabla2456711[[#This Row],[MONTO DE COMPRA]]/1.19</f>
        <v>117647.05882352941</v>
      </c>
      <c r="N115" s="11">
        <f>Tabla2456711[[#This Row],[Columna1]]*19%</f>
        <v>22352.941176470587</v>
      </c>
      <c r="O115" s="11">
        <v>195000</v>
      </c>
      <c r="P115" s="11">
        <f>Tabla2456711[[#This Row],[VENTA ]]/1.19</f>
        <v>163865.5462184874</v>
      </c>
      <c r="Q115" s="11">
        <f>Tabla2456711[[#This Row],[Columna2]]*19%</f>
        <v>31134.453781512606</v>
      </c>
      <c r="R115" s="11">
        <f>Tabla2456711[[#This Row],[IVA VENTA ]]-Tabla2456711[[#This Row],[IV COMPRA]]</f>
        <v>8781.5126050420185</v>
      </c>
      <c r="S115" s="11">
        <f>(Tabla2456711[[#This Row],[VENTA ]]-(Tabla2456711[[#This Row],[MONTO DE COMPRA]]-Tabla2456711[[#This Row],[DIFERENCIA IVA ]]))</f>
        <v>63781.512605042022</v>
      </c>
      <c r="T115" s="11"/>
    </row>
    <row r="116" spans="1:20" hidden="1" x14ac:dyDescent="0.25">
      <c r="A116" s="56">
        <v>44771</v>
      </c>
      <c r="C116" s="4" t="s">
        <v>2489</v>
      </c>
      <c r="E116" s="4" t="s">
        <v>2560</v>
      </c>
      <c r="F116" s="1" t="s">
        <v>603</v>
      </c>
      <c r="G116" s="10"/>
      <c r="H116" s="15">
        <v>40000</v>
      </c>
      <c r="I116" s="2">
        <v>40000</v>
      </c>
      <c r="J116" s="131">
        <f>Tabla2456711[[#This Row],[TOTAL FACTURA]]-Tabla2456711[[#This Row],[PORCENTAJE A CANCELAR]]</f>
        <v>0</v>
      </c>
      <c r="L116" s="11"/>
      <c r="M116" s="11">
        <f>Tabla2456711[[#This Row],[MONTO DE COMPRA]]/1.19</f>
        <v>0</v>
      </c>
      <c r="N116" s="11">
        <f>Tabla2456711[[#This Row],[Columna1]]*19%</f>
        <v>0</v>
      </c>
      <c r="O116" s="11"/>
      <c r="P116" s="11">
        <f>Tabla2456711[[#This Row],[VENTA ]]/1.19</f>
        <v>0</v>
      </c>
      <c r="Q116" s="11">
        <f>Tabla2456711[[#This Row],[Columna2]]*19%</f>
        <v>0</v>
      </c>
      <c r="R116" s="11">
        <f>Tabla2456711[[#This Row],[IVA VENTA ]]-Tabla2456711[[#This Row],[IV COMPRA]]</f>
        <v>0</v>
      </c>
      <c r="S116" s="11">
        <f>(Tabla2456711[[#This Row],[VENTA ]]-(Tabla2456711[[#This Row],[MONTO DE COMPRA]]-Tabla2456711[[#This Row],[DIFERENCIA IVA ]]))</f>
        <v>0</v>
      </c>
      <c r="T116" s="11"/>
    </row>
    <row r="117" spans="1:20" hidden="1" x14ac:dyDescent="0.25">
      <c r="A117" s="56">
        <v>44771</v>
      </c>
      <c r="C117" s="4" t="s">
        <v>2561</v>
      </c>
      <c r="D117" s="1" t="s">
        <v>815</v>
      </c>
      <c r="E117" s="4" t="s">
        <v>2562</v>
      </c>
      <c r="F117" s="1" t="s">
        <v>2446</v>
      </c>
      <c r="G117" s="10" t="s">
        <v>2563</v>
      </c>
      <c r="H117" s="15">
        <v>10000</v>
      </c>
      <c r="I117" s="2">
        <f>Tabla2456711[[#This Row],[TOTAL FACTURA]]*0.7</f>
        <v>7000</v>
      </c>
      <c r="J117" s="131">
        <f>Tabla2456711[[#This Row],[TOTAL FACTURA]]-Tabla2456711[[#This Row],[PORCENTAJE A CANCELAR]]</f>
        <v>3000</v>
      </c>
      <c r="L117" s="11"/>
      <c r="M117" s="11">
        <f>Tabla2456711[[#This Row],[MONTO DE COMPRA]]/1.19</f>
        <v>0</v>
      </c>
      <c r="N117" s="11">
        <f>Tabla2456711[[#This Row],[Columna1]]*19%</f>
        <v>0</v>
      </c>
      <c r="O117" s="11"/>
      <c r="P117" s="11">
        <f>Tabla2456711[[#This Row],[VENTA ]]/1.19</f>
        <v>0</v>
      </c>
      <c r="Q117" s="11">
        <f>Tabla2456711[[#This Row],[Columna2]]*19%</f>
        <v>0</v>
      </c>
      <c r="R117" s="11">
        <f>Tabla2456711[[#This Row],[IVA VENTA ]]-Tabla2456711[[#This Row],[IV COMPRA]]</f>
        <v>0</v>
      </c>
      <c r="S117" s="11">
        <f>(Tabla2456711[[#This Row],[VENTA ]]-(Tabla2456711[[#This Row],[MONTO DE COMPRA]]-Tabla2456711[[#This Row],[DIFERENCIA IVA ]]))</f>
        <v>0</v>
      </c>
      <c r="T117" s="11"/>
    </row>
    <row r="118" spans="1:20" hidden="1" x14ac:dyDescent="0.25">
      <c r="A118" s="56">
        <v>44771</v>
      </c>
      <c r="C118" s="4" t="s">
        <v>1109</v>
      </c>
      <c r="D118" s="1" t="s">
        <v>59</v>
      </c>
      <c r="E118" s="4" t="s">
        <v>1110</v>
      </c>
      <c r="F118" s="1" t="s">
        <v>2446</v>
      </c>
      <c r="G118" s="10" t="s">
        <v>2563</v>
      </c>
      <c r="H118" s="15">
        <v>10000</v>
      </c>
      <c r="I118" s="2">
        <f>Tabla2456711[[#This Row],[TOTAL FACTURA]]*0.7</f>
        <v>7000</v>
      </c>
      <c r="J118" s="131">
        <f>Tabla2456711[[#This Row],[TOTAL FACTURA]]-Tabla2456711[[#This Row],[PORCENTAJE A CANCELAR]]</f>
        <v>3000</v>
      </c>
      <c r="L118" s="11"/>
      <c r="M118" s="11">
        <f>Tabla2456711[[#This Row],[MONTO DE COMPRA]]/1.19</f>
        <v>0</v>
      </c>
      <c r="N118" s="11">
        <f>Tabla2456711[[#This Row],[Columna1]]*19%</f>
        <v>0</v>
      </c>
      <c r="O118" s="11"/>
      <c r="P118" s="11">
        <f>Tabla2456711[[#This Row],[VENTA ]]/1.19</f>
        <v>0</v>
      </c>
      <c r="Q118" s="11">
        <f>Tabla2456711[[#This Row],[Columna2]]*19%</f>
        <v>0</v>
      </c>
      <c r="R118" s="11">
        <f>Tabla2456711[[#This Row],[IVA VENTA ]]-Tabla2456711[[#This Row],[IV COMPRA]]</f>
        <v>0</v>
      </c>
      <c r="S118" s="11">
        <f>(Tabla2456711[[#This Row],[VENTA ]]-(Tabla2456711[[#This Row],[MONTO DE COMPRA]]-Tabla2456711[[#This Row],[DIFERENCIA IVA ]]))</f>
        <v>0</v>
      </c>
    </row>
    <row r="119" spans="1:20" hidden="1" x14ac:dyDescent="0.25">
      <c r="A119" s="56">
        <v>44771</v>
      </c>
      <c r="B119" s="4" t="s">
        <v>2569</v>
      </c>
      <c r="C119" s="4" t="s">
        <v>2565</v>
      </c>
      <c r="D119" s="1" t="s">
        <v>2566</v>
      </c>
      <c r="E119" s="4" t="s">
        <v>2567</v>
      </c>
      <c r="F119" s="1" t="s">
        <v>2446</v>
      </c>
      <c r="G119" s="134" t="s">
        <v>2568</v>
      </c>
      <c r="H119" s="15">
        <v>150000</v>
      </c>
      <c r="I119" s="2">
        <f>Tabla2456711[[#This Row],[TOTAL FACTURA]]*0.7</f>
        <v>105000</v>
      </c>
      <c r="J119" s="131">
        <f>Tabla2456711[[#This Row],[TOTAL FACTURA]]-Tabla2456711[[#This Row],[PORCENTAJE A CANCELAR]]</f>
        <v>45000</v>
      </c>
      <c r="K119" s="1" t="s">
        <v>234</v>
      </c>
      <c r="L119" s="11">
        <v>1136000</v>
      </c>
      <c r="M119" s="11">
        <f>Tabla2456711[[#This Row],[MONTO DE COMPRA]]/1.19</f>
        <v>954621.84873949585</v>
      </c>
      <c r="N119" s="11">
        <f>Tabla2456711[[#This Row],[Columna1]]*19%</f>
        <v>181378.15126050421</v>
      </c>
      <c r="O119" s="11">
        <v>1610000</v>
      </c>
      <c r="P119" s="11">
        <f>Tabla2456711[[#This Row],[VENTA ]]/1.19</f>
        <v>1352941.1764705882</v>
      </c>
      <c r="Q119" s="11">
        <f>Tabla2456711[[#This Row],[Columna2]]*19%</f>
        <v>257058.82352941175</v>
      </c>
      <c r="R119" s="11">
        <f>Tabla2456711[[#This Row],[IVA VENTA ]]-Tabla2456711[[#This Row],[IV COMPRA]]</f>
        <v>75680.67226890754</v>
      </c>
      <c r="S119" s="11">
        <f>(Tabla2456711[[#This Row],[VENTA ]]-(Tabla2456711[[#This Row],[MONTO DE COMPRA]]-Tabla2456711[[#This Row],[DIFERENCIA IVA ]]))</f>
        <v>549680.67226890754</v>
      </c>
    </row>
    <row r="120" spans="1:20" hidden="1" x14ac:dyDescent="0.25">
      <c r="A120" s="56">
        <v>44771</v>
      </c>
      <c r="C120" s="130"/>
      <c r="E120" s="4"/>
      <c r="G120" s="10"/>
      <c r="J120" s="131">
        <f>Tabla2456711[[#This Row],[TOTAL FACTURA]]-Tabla2456711[[#This Row],[PORCENTAJE A CANCELAR]]</f>
        <v>0</v>
      </c>
      <c r="L120" s="11"/>
      <c r="M120" s="11">
        <f>Tabla2456711[[#This Row],[MONTO DE COMPRA]]/1.19</f>
        <v>0</v>
      </c>
      <c r="N120" s="11">
        <f>Tabla2456711[[#This Row],[Columna1]]*19%</f>
        <v>0</v>
      </c>
      <c r="O120" s="11"/>
      <c r="P120" s="11">
        <f>Tabla2456711[[#This Row],[VENTA ]]/1.19</f>
        <v>0</v>
      </c>
      <c r="Q120" s="11">
        <f>Tabla2456711[[#This Row],[Columna2]]*19%</f>
        <v>0</v>
      </c>
      <c r="R120" s="11">
        <f>Tabla2456711[[#This Row],[IVA VENTA ]]-Tabla2456711[[#This Row],[Columna1]]</f>
        <v>0</v>
      </c>
      <c r="S120" s="11">
        <f>(Tabla2456711[[#This Row],[VENTA ]]-(Tabla2456711[[#This Row],[MONTO DE COMPRA]]-Tabla2456711[[#This Row],[DIFERENCIA IVA ]]))</f>
        <v>0</v>
      </c>
      <c r="T120" s="11"/>
    </row>
    <row r="121" spans="1:20" hidden="1" x14ac:dyDescent="0.25">
      <c r="A121" s="56">
        <v>44772</v>
      </c>
      <c r="C121" s="191" t="s">
        <v>1512</v>
      </c>
      <c r="D121" s="1" t="s">
        <v>1513</v>
      </c>
      <c r="E121" s="4" t="s">
        <v>247</v>
      </c>
      <c r="F121" s="1" t="s">
        <v>2446</v>
      </c>
      <c r="G121" s="134" t="s">
        <v>2575</v>
      </c>
      <c r="H121" s="15">
        <v>50000</v>
      </c>
      <c r="I121" s="2">
        <v>35000</v>
      </c>
      <c r="J121" s="192">
        <v>15000</v>
      </c>
      <c r="L121" s="11"/>
      <c r="M121" s="11">
        <v>0</v>
      </c>
      <c r="N121" s="11">
        <v>0</v>
      </c>
      <c r="O121" s="11"/>
      <c r="P121" s="11">
        <v>0</v>
      </c>
      <c r="Q121" s="11">
        <v>0</v>
      </c>
      <c r="R121" s="11">
        <v>0</v>
      </c>
      <c r="S121" s="11">
        <v>0</v>
      </c>
      <c r="T121" s="2" t="s">
        <v>25</v>
      </c>
    </row>
    <row r="122" spans="1:20" x14ac:dyDescent="0.25">
      <c r="A122" s="56">
        <v>44772</v>
      </c>
      <c r="C122" s="191" t="s">
        <v>2576</v>
      </c>
      <c r="D122" s="1" t="s">
        <v>2463</v>
      </c>
      <c r="E122" s="4" t="s">
        <v>412</v>
      </c>
      <c r="F122" s="1" t="s">
        <v>10</v>
      </c>
      <c r="G122" s="10" t="s">
        <v>2161</v>
      </c>
      <c r="H122" s="15">
        <v>50000</v>
      </c>
      <c r="I122" s="2">
        <v>35000</v>
      </c>
      <c r="J122" s="192">
        <v>15000</v>
      </c>
      <c r="K122" s="1" t="s">
        <v>2577</v>
      </c>
      <c r="L122" s="11">
        <v>63000</v>
      </c>
      <c r="M122" s="11">
        <v>52941.176470588238</v>
      </c>
      <c r="N122" s="11">
        <v>10058.823529411766</v>
      </c>
      <c r="O122" s="11">
        <v>50000</v>
      </c>
      <c r="P122" s="11">
        <v>42016.806722689078</v>
      </c>
      <c r="Q122" s="11">
        <v>7983.1932773109247</v>
      </c>
      <c r="R122" s="11">
        <v>-2075.6302521008411</v>
      </c>
      <c r="S122" s="11">
        <v>-10924.36974789916</v>
      </c>
      <c r="T122" s="11" t="s">
        <v>25</v>
      </c>
    </row>
    <row r="123" spans="1:20" hidden="1" x14ac:dyDescent="0.25">
      <c r="A123" s="56">
        <v>44772</v>
      </c>
      <c r="B123" s="4" t="s">
        <v>2586</v>
      </c>
      <c r="C123" s="191" t="s">
        <v>2578</v>
      </c>
      <c r="D123" s="1" t="s">
        <v>2579</v>
      </c>
      <c r="E123" s="4" t="s">
        <v>385</v>
      </c>
      <c r="F123" s="1" t="s">
        <v>16</v>
      </c>
      <c r="G123" s="10" t="s">
        <v>2580</v>
      </c>
      <c r="H123" s="15">
        <v>150000</v>
      </c>
      <c r="I123" s="2">
        <v>90000</v>
      </c>
      <c r="J123" s="192">
        <v>60000</v>
      </c>
      <c r="K123" s="1" t="s">
        <v>2581</v>
      </c>
      <c r="L123" s="11">
        <v>23000</v>
      </c>
      <c r="M123" s="11">
        <v>19327.731092436974</v>
      </c>
      <c r="N123" s="11"/>
      <c r="O123" s="11">
        <v>12000</v>
      </c>
      <c r="P123" s="11"/>
      <c r="Q123" s="11">
        <v>0</v>
      </c>
      <c r="R123" s="11">
        <v>0</v>
      </c>
      <c r="S123" s="11">
        <v>-11000</v>
      </c>
      <c r="T123" s="11" t="s">
        <v>25</v>
      </c>
    </row>
    <row r="124" spans="1:20" hidden="1" x14ac:dyDescent="0.25">
      <c r="A124" s="56">
        <v>44772</v>
      </c>
      <c r="C124" s="191" t="s">
        <v>1855</v>
      </c>
      <c r="D124" s="1" t="s">
        <v>1750</v>
      </c>
      <c r="E124" s="4" t="s">
        <v>218</v>
      </c>
      <c r="F124" s="1" t="s">
        <v>2446</v>
      </c>
      <c r="G124" s="10" t="s">
        <v>341</v>
      </c>
      <c r="H124" s="15">
        <v>10000</v>
      </c>
      <c r="I124" s="2">
        <v>7000</v>
      </c>
      <c r="J124" s="192">
        <v>3000</v>
      </c>
      <c r="L124" s="11"/>
      <c r="M124" s="11">
        <v>0</v>
      </c>
      <c r="N124" s="11">
        <v>0</v>
      </c>
      <c r="O124" s="11"/>
      <c r="P124" s="11">
        <v>0</v>
      </c>
      <c r="Q124" s="11">
        <v>0</v>
      </c>
      <c r="R124" s="11">
        <v>0</v>
      </c>
      <c r="S124" s="11">
        <v>0</v>
      </c>
      <c r="T124" s="11" t="s">
        <v>25</v>
      </c>
    </row>
    <row r="125" spans="1:20" hidden="1" x14ac:dyDescent="0.25">
      <c r="A125" s="56">
        <v>44772</v>
      </c>
      <c r="C125" s="191" t="s">
        <v>2582</v>
      </c>
      <c r="D125" s="1" t="s">
        <v>2584</v>
      </c>
      <c r="E125" s="4" t="s">
        <v>2583</v>
      </c>
      <c r="F125" s="1" t="s">
        <v>16</v>
      </c>
      <c r="G125" s="10" t="s">
        <v>2585</v>
      </c>
      <c r="H125" s="15">
        <v>30000</v>
      </c>
      <c r="I125" s="2">
        <v>18000</v>
      </c>
      <c r="J125" s="192">
        <v>12000</v>
      </c>
      <c r="L125" s="11"/>
      <c r="M125" s="11">
        <v>0</v>
      </c>
      <c r="N125" s="11">
        <v>0</v>
      </c>
      <c r="O125" s="11"/>
      <c r="P125" s="11">
        <v>0</v>
      </c>
      <c r="Q125" s="11">
        <v>0</v>
      </c>
      <c r="R125" s="11">
        <v>0</v>
      </c>
      <c r="S125" s="11">
        <v>0</v>
      </c>
      <c r="T125" s="11" t="s">
        <v>25</v>
      </c>
    </row>
    <row r="126" spans="1:20" hidden="1" x14ac:dyDescent="0.25">
      <c r="A126" s="56">
        <v>44772</v>
      </c>
      <c r="C126" s="191" t="s">
        <v>129</v>
      </c>
      <c r="D126" s="1" t="s">
        <v>953</v>
      </c>
      <c r="E126" s="4" t="s">
        <v>151</v>
      </c>
      <c r="F126" s="1" t="s">
        <v>16</v>
      </c>
      <c r="G126" s="10" t="s">
        <v>2420</v>
      </c>
      <c r="I126" s="2">
        <v>30000</v>
      </c>
      <c r="J126" s="192">
        <v>-30000</v>
      </c>
      <c r="L126" s="11"/>
      <c r="M126" s="11">
        <v>0</v>
      </c>
      <c r="N126" s="11">
        <v>0</v>
      </c>
      <c r="O126" s="11"/>
      <c r="P126" s="11">
        <v>0</v>
      </c>
      <c r="Q126" s="11">
        <v>0</v>
      </c>
      <c r="R126" s="11">
        <v>0</v>
      </c>
      <c r="S126" s="11">
        <v>0</v>
      </c>
      <c r="T126" s="11" t="s">
        <v>25</v>
      </c>
    </row>
    <row r="127" spans="1:20" x14ac:dyDescent="0.25">
      <c r="A127" s="56">
        <v>44774</v>
      </c>
      <c r="C127" s="191" t="s">
        <v>2587</v>
      </c>
      <c r="D127" s="1" t="s">
        <v>2588</v>
      </c>
      <c r="E127" s="4" t="s">
        <v>962</v>
      </c>
      <c r="F127" s="1" t="s">
        <v>10</v>
      </c>
      <c r="G127" s="10" t="s">
        <v>2589</v>
      </c>
      <c r="H127" s="15">
        <v>50000</v>
      </c>
      <c r="I127" s="2">
        <v>35000</v>
      </c>
      <c r="J127" s="192">
        <v>15000</v>
      </c>
      <c r="L127" s="11"/>
      <c r="M127" s="11">
        <v>0</v>
      </c>
      <c r="N127" s="11">
        <v>0</v>
      </c>
      <c r="O127" s="11"/>
      <c r="P127" s="11">
        <v>0</v>
      </c>
      <c r="Q127" s="11">
        <v>0</v>
      </c>
      <c r="R127" s="11">
        <v>0</v>
      </c>
      <c r="S127" s="11">
        <v>0</v>
      </c>
      <c r="T127" s="11" t="s">
        <v>25</v>
      </c>
    </row>
    <row r="128" spans="1:20" hidden="1" x14ac:dyDescent="0.25">
      <c r="A128" s="56">
        <v>44774</v>
      </c>
      <c r="C128" s="191" t="s">
        <v>2587</v>
      </c>
      <c r="D128" s="1" t="s">
        <v>2588</v>
      </c>
      <c r="E128" s="4" t="s">
        <v>962</v>
      </c>
      <c r="F128" s="1" t="s">
        <v>603</v>
      </c>
      <c r="G128" s="10" t="s">
        <v>211</v>
      </c>
      <c r="H128" s="15">
        <v>30000</v>
      </c>
      <c r="I128" s="2">
        <v>18000</v>
      </c>
      <c r="J128" s="192">
        <v>12000</v>
      </c>
      <c r="L128" s="11"/>
      <c r="M128" s="11">
        <v>0</v>
      </c>
      <c r="N128" s="11">
        <v>0</v>
      </c>
      <c r="O128" s="11"/>
      <c r="P128" s="11">
        <v>0</v>
      </c>
      <c r="Q128" s="11">
        <v>0</v>
      </c>
      <c r="R128" s="11">
        <v>0</v>
      </c>
      <c r="S128" s="11">
        <v>0</v>
      </c>
      <c r="T128" s="11" t="s">
        <v>25</v>
      </c>
    </row>
    <row r="129" spans="1:20" hidden="1" x14ac:dyDescent="0.25">
      <c r="A129" s="56">
        <v>44774</v>
      </c>
      <c r="B129" s="4" t="s">
        <v>707</v>
      </c>
      <c r="C129" s="191" t="s">
        <v>2590</v>
      </c>
      <c r="D129" s="1" t="s">
        <v>2532</v>
      </c>
      <c r="E129" s="4" t="s">
        <v>815</v>
      </c>
      <c r="F129" s="1" t="s">
        <v>2446</v>
      </c>
      <c r="G129" s="10" t="s">
        <v>2047</v>
      </c>
      <c r="H129" s="15">
        <v>50000</v>
      </c>
      <c r="I129" s="2">
        <v>35000</v>
      </c>
      <c r="J129" s="192">
        <v>15000</v>
      </c>
      <c r="K129" s="1" t="s">
        <v>2591</v>
      </c>
      <c r="L129" s="11">
        <v>10000</v>
      </c>
      <c r="M129" s="11">
        <v>8403.361344537816</v>
      </c>
      <c r="N129" s="11">
        <v>1596.6386554621849</v>
      </c>
      <c r="O129" s="11">
        <v>50000</v>
      </c>
      <c r="P129" s="11">
        <v>42016.806722689078</v>
      </c>
      <c r="Q129" s="11">
        <v>7983.1932773109247</v>
      </c>
      <c r="R129" s="11">
        <v>6386.5546218487398</v>
      </c>
      <c r="S129" s="11">
        <v>33613.445378151257</v>
      </c>
      <c r="T129" s="11" t="s">
        <v>25</v>
      </c>
    </row>
    <row r="130" spans="1:20" x14ac:dyDescent="0.25">
      <c r="A130" s="56">
        <v>44774</v>
      </c>
      <c r="B130" s="4" t="s">
        <v>2592</v>
      </c>
      <c r="C130" s="191" t="s">
        <v>2593</v>
      </c>
      <c r="D130" s="1" t="s">
        <v>2594</v>
      </c>
      <c r="E130" s="4" t="s">
        <v>385</v>
      </c>
      <c r="F130" s="1" t="s">
        <v>10</v>
      </c>
      <c r="G130" s="10" t="s">
        <v>2595</v>
      </c>
      <c r="H130" s="15">
        <v>50000</v>
      </c>
      <c r="I130" s="2">
        <v>35000</v>
      </c>
      <c r="J130" s="192">
        <v>15000</v>
      </c>
      <c r="K130" s="1" t="s">
        <v>2596</v>
      </c>
      <c r="L130" s="11"/>
      <c r="M130" s="11">
        <v>0</v>
      </c>
      <c r="N130" s="11">
        <v>0</v>
      </c>
      <c r="O130" s="11"/>
      <c r="P130" s="11">
        <v>0</v>
      </c>
      <c r="Q130" s="11">
        <v>0</v>
      </c>
      <c r="R130" s="11">
        <v>0</v>
      </c>
      <c r="S130" s="11">
        <v>0</v>
      </c>
      <c r="T130" s="11" t="s">
        <v>25</v>
      </c>
    </row>
    <row r="131" spans="1:20" hidden="1" x14ac:dyDescent="0.25">
      <c r="A131" s="56">
        <v>44774</v>
      </c>
      <c r="C131" s="191" t="s">
        <v>2597</v>
      </c>
      <c r="D131" s="1" t="s">
        <v>2594</v>
      </c>
      <c r="E131" s="4" t="s">
        <v>385</v>
      </c>
      <c r="F131" s="1" t="s">
        <v>2446</v>
      </c>
      <c r="G131" s="10" t="s">
        <v>2598</v>
      </c>
      <c r="H131" s="15">
        <v>30000</v>
      </c>
      <c r="I131" s="2">
        <v>21000</v>
      </c>
      <c r="J131" s="192">
        <v>9000</v>
      </c>
      <c r="L131" s="11"/>
      <c r="M131" s="11">
        <v>0</v>
      </c>
      <c r="N131" s="11">
        <v>0</v>
      </c>
      <c r="O131" s="11"/>
      <c r="P131" s="11">
        <v>0</v>
      </c>
      <c r="Q131" s="11">
        <v>0</v>
      </c>
      <c r="R131" s="11">
        <v>0</v>
      </c>
      <c r="S131" s="11">
        <v>0</v>
      </c>
      <c r="T131" s="11" t="s">
        <v>25</v>
      </c>
    </row>
    <row r="132" spans="1:20" hidden="1" x14ac:dyDescent="0.25">
      <c r="A132" s="56">
        <v>44774</v>
      </c>
      <c r="C132" s="191" t="s">
        <v>2599</v>
      </c>
      <c r="D132" s="1" t="s">
        <v>2600</v>
      </c>
      <c r="E132" s="4" t="s">
        <v>247</v>
      </c>
      <c r="F132" s="1" t="s">
        <v>16</v>
      </c>
      <c r="G132" s="10" t="s">
        <v>74</v>
      </c>
      <c r="H132" s="15">
        <v>30000</v>
      </c>
      <c r="I132" s="2">
        <v>18000</v>
      </c>
      <c r="J132" s="192">
        <v>12000</v>
      </c>
      <c r="L132" s="11"/>
      <c r="M132" s="11">
        <v>0</v>
      </c>
      <c r="N132" s="11">
        <v>0</v>
      </c>
      <c r="O132" s="11"/>
      <c r="P132" s="11">
        <v>0</v>
      </c>
      <c r="Q132" s="11">
        <v>0</v>
      </c>
      <c r="R132" s="11">
        <v>0</v>
      </c>
      <c r="S132" s="11">
        <v>0</v>
      </c>
      <c r="T132" s="11" t="s">
        <v>25</v>
      </c>
    </row>
    <row r="133" spans="1:20" hidden="1" x14ac:dyDescent="0.25">
      <c r="A133" s="56">
        <v>44774</v>
      </c>
      <c r="C133" s="191" t="s">
        <v>609</v>
      </c>
      <c r="D133" s="1" t="s">
        <v>2601</v>
      </c>
      <c r="E133" s="4" t="s">
        <v>540</v>
      </c>
      <c r="F133" s="1" t="s">
        <v>16</v>
      </c>
      <c r="G133" s="10" t="s">
        <v>2602</v>
      </c>
      <c r="H133" s="15">
        <v>10000</v>
      </c>
      <c r="I133" s="2">
        <v>6000</v>
      </c>
      <c r="J133" s="192">
        <v>4000</v>
      </c>
      <c r="L133" s="11"/>
      <c r="M133" s="11">
        <v>0</v>
      </c>
      <c r="N133" s="11">
        <v>0</v>
      </c>
      <c r="O133" s="11"/>
      <c r="P133" s="11">
        <v>0</v>
      </c>
      <c r="Q133" s="11">
        <v>0</v>
      </c>
      <c r="R133" s="11">
        <v>0</v>
      </c>
      <c r="S133" s="11">
        <v>0</v>
      </c>
      <c r="T133" s="11" t="s">
        <v>25</v>
      </c>
    </row>
    <row r="134" spans="1:20" hidden="1" x14ac:dyDescent="0.25">
      <c r="A134" s="56">
        <v>44774</v>
      </c>
      <c r="C134" s="191" t="s">
        <v>2603</v>
      </c>
      <c r="D134" s="1" t="s">
        <v>2604</v>
      </c>
      <c r="E134" s="4" t="s">
        <v>975</v>
      </c>
      <c r="F134" s="1" t="s">
        <v>2495</v>
      </c>
      <c r="G134" s="10" t="s">
        <v>2605</v>
      </c>
      <c r="H134" s="15">
        <v>50000</v>
      </c>
      <c r="I134" s="2">
        <v>30000</v>
      </c>
      <c r="J134" s="192">
        <v>20000</v>
      </c>
      <c r="L134" s="11"/>
      <c r="M134" s="11">
        <v>0</v>
      </c>
      <c r="N134" s="11">
        <v>0</v>
      </c>
      <c r="O134" s="11"/>
      <c r="P134" s="11">
        <v>0</v>
      </c>
      <c r="Q134" s="11">
        <v>0</v>
      </c>
      <c r="R134" s="11">
        <v>0</v>
      </c>
      <c r="S134" s="11">
        <v>0</v>
      </c>
      <c r="T134" s="11" t="s">
        <v>25</v>
      </c>
    </row>
    <row r="135" spans="1:20" hidden="1" x14ac:dyDescent="0.25">
      <c r="A135" s="56">
        <v>44774</v>
      </c>
      <c r="C135" s="191" t="s">
        <v>2606</v>
      </c>
      <c r="D135" s="1" t="s">
        <v>2607</v>
      </c>
      <c r="E135" s="4" t="s">
        <v>247</v>
      </c>
      <c r="F135" s="1" t="s">
        <v>2446</v>
      </c>
      <c r="G135" s="10" t="s">
        <v>1373</v>
      </c>
      <c r="H135" s="15">
        <v>30000</v>
      </c>
      <c r="I135" s="2">
        <v>21000</v>
      </c>
      <c r="J135" s="192">
        <v>9000</v>
      </c>
      <c r="L135" s="11"/>
      <c r="M135" s="11">
        <v>0</v>
      </c>
      <c r="N135" s="11">
        <v>0</v>
      </c>
      <c r="O135" s="11"/>
      <c r="P135" s="11">
        <v>0</v>
      </c>
      <c r="Q135" s="11">
        <v>0</v>
      </c>
      <c r="R135" s="11">
        <v>0</v>
      </c>
      <c r="S135" s="11">
        <v>0</v>
      </c>
      <c r="T135" s="11" t="s">
        <v>25</v>
      </c>
    </row>
    <row r="136" spans="1:20" hidden="1" x14ac:dyDescent="0.25">
      <c r="A136" s="56">
        <v>44774</v>
      </c>
      <c r="C136" s="191" t="s">
        <v>2654</v>
      </c>
      <c r="E136" s="4" t="s">
        <v>247</v>
      </c>
      <c r="F136" s="1" t="s">
        <v>2446</v>
      </c>
      <c r="G136" s="10" t="s">
        <v>2655</v>
      </c>
      <c r="H136" s="15">
        <v>10000</v>
      </c>
      <c r="I136" s="2">
        <v>7000</v>
      </c>
      <c r="J136" s="192">
        <v>3000</v>
      </c>
      <c r="L136" s="11"/>
      <c r="M136" s="11">
        <v>0</v>
      </c>
      <c r="N136" s="11">
        <v>0</v>
      </c>
      <c r="O136" s="11"/>
      <c r="P136" s="11">
        <v>0</v>
      </c>
      <c r="Q136" s="11">
        <v>0</v>
      </c>
      <c r="R136" s="11">
        <v>0</v>
      </c>
      <c r="S136" s="11">
        <v>0</v>
      </c>
      <c r="T136" s="11" t="s">
        <v>25</v>
      </c>
    </row>
    <row r="137" spans="1:20" ht="30" hidden="1" x14ac:dyDescent="0.25">
      <c r="A137" s="56">
        <v>44775</v>
      </c>
      <c r="C137" s="191" t="s">
        <v>2608</v>
      </c>
      <c r="D137" s="1" t="s">
        <v>2609</v>
      </c>
      <c r="E137" s="4" t="s">
        <v>1077</v>
      </c>
      <c r="F137" s="1" t="s">
        <v>2446</v>
      </c>
      <c r="G137" s="10" t="s">
        <v>2610</v>
      </c>
      <c r="H137" s="15">
        <v>300000</v>
      </c>
      <c r="I137" s="2">
        <v>210000</v>
      </c>
      <c r="J137" s="192">
        <v>90000</v>
      </c>
      <c r="K137" s="1" t="s">
        <v>2611</v>
      </c>
      <c r="L137" s="11">
        <v>827555.3</v>
      </c>
      <c r="M137" s="11">
        <v>695424.62184873957</v>
      </c>
      <c r="N137" s="11">
        <v>132130.67815126051</v>
      </c>
      <c r="O137" s="11">
        <v>1330000</v>
      </c>
      <c r="P137" s="11">
        <v>1117647.0588235294</v>
      </c>
      <c r="Q137" s="11">
        <v>212352.9411764706</v>
      </c>
      <c r="R137" s="11">
        <v>80222.263025210093</v>
      </c>
      <c r="S137" s="11">
        <v>422222.43697478983</v>
      </c>
      <c r="T137" s="11" t="s">
        <v>25</v>
      </c>
    </row>
    <row r="138" spans="1:20" ht="30" hidden="1" x14ac:dyDescent="0.25">
      <c r="A138" s="56">
        <v>44775</v>
      </c>
      <c r="C138" s="191" t="s">
        <v>2612</v>
      </c>
      <c r="D138" s="1" t="s">
        <v>2616</v>
      </c>
      <c r="E138" s="4" t="s">
        <v>2615</v>
      </c>
      <c r="F138" s="1" t="s">
        <v>2446</v>
      </c>
      <c r="G138" s="10" t="s">
        <v>2613</v>
      </c>
      <c r="H138" s="15">
        <v>80000</v>
      </c>
      <c r="I138" s="2">
        <v>56000</v>
      </c>
      <c r="J138" s="192">
        <v>24000</v>
      </c>
      <c r="K138" s="1" t="s">
        <v>2614</v>
      </c>
      <c r="L138" s="11">
        <v>14900</v>
      </c>
      <c r="M138" s="11">
        <v>12521.008403361346</v>
      </c>
      <c r="N138" s="11">
        <v>2378.9915966386557</v>
      </c>
      <c r="O138" s="11">
        <v>10000</v>
      </c>
      <c r="P138" s="11">
        <v>8403.361344537816</v>
      </c>
      <c r="Q138" s="11">
        <v>1596.6386554621849</v>
      </c>
      <c r="R138" s="11">
        <v>-782.35294117647072</v>
      </c>
      <c r="S138" s="11">
        <v>-4117.6470588235297</v>
      </c>
      <c r="T138" s="11" t="s">
        <v>25</v>
      </c>
    </row>
    <row r="139" spans="1:20" hidden="1" x14ac:dyDescent="0.25">
      <c r="A139" s="56">
        <v>44775</v>
      </c>
      <c r="C139" s="191" t="s">
        <v>2617</v>
      </c>
      <c r="D139" s="1" t="s">
        <v>2618</v>
      </c>
      <c r="E139" s="4" t="s">
        <v>112</v>
      </c>
      <c r="F139" s="1" t="s">
        <v>2495</v>
      </c>
      <c r="G139" s="10" t="s">
        <v>2619</v>
      </c>
      <c r="H139" s="15">
        <v>40000</v>
      </c>
      <c r="I139" s="2">
        <v>24000</v>
      </c>
      <c r="J139" s="192">
        <v>16000</v>
      </c>
      <c r="L139" s="11"/>
      <c r="M139" s="11">
        <v>0</v>
      </c>
      <c r="N139" s="11">
        <v>0</v>
      </c>
      <c r="O139" s="11"/>
      <c r="P139" s="11">
        <v>0</v>
      </c>
      <c r="Q139" s="11">
        <v>0</v>
      </c>
      <c r="R139" s="11">
        <v>0</v>
      </c>
      <c r="S139" s="11">
        <v>0</v>
      </c>
      <c r="T139" s="11" t="s">
        <v>25</v>
      </c>
    </row>
    <row r="140" spans="1:20" hidden="1" x14ac:dyDescent="0.25">
      <c r="A140" s="56">
        <v>44775</v>
      </c>
      <c r="C140" s="191" t="s">
        <v>1278</v>
      </c>
      <c r="D140" s="1" t="s">
        <v>386</v>
      </c>
      <c r="E140" s="4" t="s">
        <v>46</v>
      </c>
      <c r="F140" s="1" t="s">
        <v>2446</v>
      </c>
      <c r="G140" s="10" t="s">
        <v>21</v>
      </c>
      <c r="H140" s="15">
        <v>10000</v>
      </c>
      <c r="I140" s="2">
        <v>7000</v>
      </c>
      <c r="J140" s="192">
        <v>3000</v>
      </c>
      <c r="L140" s="11"/>
      <c r="M140" s="11">
        <v>0</v>
      </c>
      <c r="N140" s="11">
        <v>0</v>
      </c>
      <c r="O140" s="11"/>
      <c r="P140" s="11">
        <v>0</v>
      </c>
      <c r="Q140" s="11">
        <v>0</v>
      </c>
      <c r="R140" s="11">
        <v>0</v>
      </c>
      <c r="S140" s="11">
        <v>0</v>
      </c>
      <c r="T140" s="11" t="s">
        <v>25</v>
      </c>
    </row>
    <row r="141" spans="1:20" hidden="1" x14ac:dyDescent="0.25">
      <c r="A141" s="56">
        <v>44775</v>
      </c>
      <c r="C141" s="191"/>
      <c r="E141" s="4"/>
      <c r="F141" s="1" t="s">
        <v>603</v>
      </c>
      <c r="G141" s="10" t="s">
        <v>21</v>
      </c>
      <c r="H141" s="15">
        <v>10000</v>
      </c>
      <c r="I141" s="2">
        <v>6000</v>
      </c>
      <c r="J141" s="192">
        <v>4000</v>
      </c>
      <c r="K141" s="1" t="s">
        <v>57</v>
      </c>
      <c r="L141" s="11">
        <v>5000</v>
      </c>
      <c r="M141" s="11">
        <v>4201.680672268908</v>
      </c>
      <c r="N141" s="11">
        <v>798.31932773109247</v>
      </c>
      <c r="O141" s="11">
        <v>10000</v>
      </c>
      <c r="P141" s="11">
        <v>8403.361344537816</v>
      </c>
      <c r="Q141" s="11">
        <v>1596.6386554621849</v>
      </c>
      <c r="R141" s="11">
        <v>798.31932773109247</v>
      </c>
      <c r="S141" s="11">
        <v>4201.6806722689071</v>
      </c>
      <c r="T141" s="11" t="s">
        <v>25</v>
      </c>
    </row>
    <row r="142" spans="1:20" hidden="1" x14ac:dyDescent="0.25">
      <c r="A142" s="56">
        <v>44776</v>
      </c>
      <c r="C142" s="191" t="s">
        <v>2620</v>
      </c>
      <c r="D142" s="1" t="s">
        <v>2622</v>
      </c>
      <c r="E142" s="4" t="s">
        <v>2621</v>
      </c>
      <c r="F142" s="1" t="s">
        <v>2495</v>
      </c>
      <c r="G142" s="10" t="s">
        <v>2623</v>
      </c>
      <c r="H142" s="15">
        <v>80000</v>
      </c>
      <c r="I142" s="2">
        <v>48000</v>
      </c>
      <c r="J142" s="192">
        <v>32000</v>
      </c>
      <c r="L142" s="11"/>
      <c r="M142" s="11">
        <v>0</v>
      </c>
      <c r="N142" s="11">
        <v>0</v>
      </c>
      <c r="O142" s="11"/>
      <c r="P142" s="11">
        <v>0</v>
      </c>
      <c r="Q142" s="11">
        <v>0</v>
      </c>
      <c r="R142" s="11">
        <v>0</v>
      </c>
      <c r="S142" s="11">
        <v>0</v>
      </c>
      <c r="T142" s="11" t="s">
        <v>25</v>
      </c>
    </row>
    <row r="143" spans="1:20" hidden="1" x14ac:dyDescent="0.25">
      <c r="A143" s="56">
        <v>44776</v>
      </c>
      <c r="C143" s="191" t="s">
        <v>1586</v>
      </c>
      <c r="D143" s="1" t="s">
        <v>263</v>
      </c>
      <c r="E143" s="4" t="s">
        <v>48</v>
      </c>
      <c r="F143" s="1" t="s">
        <v>2446</v>
      </c>
      <c r="G143" s="10" t="s">
        <v>2097</v>
      </c>
      <c r="H143" s="15">
        <v>10000</v>
      </c>
      <c r="I143" s="2">
        <v>7000</v>
      </c>
      <c r="J143" s="192">
        <v>3000</v>
      </c>
      <c r="L143" s="11"/>
      <c r="M143" s="11">
        <v>0</v>
      </c>
      <c r="N143" s="11">
        <v>0</v>
      </c>
      <c r="O143" s="11"/>
      <c r="P143" s="11">
        <v>0</v>
      </c>
      <c r="Q143" s="11">
        <v>0</v>
      </c>
      <c r="R143" s="11">
        <v>0</v>
      </c>
      <c r="S143" s="11">
        <v>0</v>
      </c>
      <c r="T143" s="11" t="s">
        <v>25</v>
      </c>
    </row>
    <row r="144" spans="1:20" ht="30" hidden="1" x14ac:dyDescent="0.25">
      <c r="A144" s="56">
        <v>44776</v>
      </c>
      <c r="C144" s="191" t="s">
        <v>2624</v>
      </c>
      <c r="D144" s="1" t="s">
        <v>2626</v>
      </c>
      <c r="E144" s="4" t="s">
        <v>2625</v>
      </c>
      <c r="F144" s="1" t="s">
        <v>2495</v>
      </c>
      <c r="G144" s="10" t="s">
        <v>2627</v>
      </c>
      <c r="H144" s="15">
        <v>190000</v>
      </c>
      <c r="I144" s="2">
        <v>114000</v>
      </c>
      <c r="J144" s="192">
        <v>76000</v>
      </c>
      <c r="K144" s="1" t="s">
        <v>2629</v>
      </c>
      <c r="L144" s="11">
        <v>900000</v>
      </c>
      <c r="M144" s="11">
        <v>756302.52100840339</v>
      </c>
      <c r="N144" s="11">
        <v>143697.47899159664</v>
      </c>
      <c r="O144" s="11">
        <v>1130000</v>
      </c>
      <c r="P144" s="11">
        <v>949579.83193277312</v>
      </c>
      <c r="Q144" s="11">
        <v>180420.16806722688</v>
      </c>
      <c r="R144" s="11">
        <v>36722.689075630245</v>
      </c>
      <c r="S144" s="11">
        <v>693277.31092436973</v>
      </c>
      <c r="T144" s="11" t="s">
        <v>25</v>
      </c>
    </row>
    <row r="145" spans="1:20" hidden="1" x14ac:dyDescent="0.25">
      <c r="A145" s="56">
        <v>44776</v>
      </c>
      <c r="C145" s="191" t="s">
        <v>2628</v>
      </c>
      <c r="D145" s="1" t="s">
        <v>273</v>
      </c>
      <c r="E145" s="4" t="s">
        <v>59</v>
      </c>
      <c r="F145" s="1" t="s">
        <v>2446</v>
      </c>
      <c r="G145" s="10" t="s">
        <v>21</v>
      </c>
      <c r="H145" s="15">
        <v>10000</v>
      </c>
      <c r="I145" s="2">
        <v>7000</v>
      </c>
      <c r="J145" s="192">
        <v>3000</v>
      </c>
      <c r="L145" s="11"/>
      <c r="M145" s="11">
        <v>0</v>
      </c>
      <c r="N145" s="11">
        <v>0</v>
      </c>
      <c r="O145" s="11"/>
      <c r="P145" s="11">
        <v>0</v>
      </c>
      <c r="Q145" s="11">
        <v>0</v>
      </c>
      <c r="R145" s="11">
        <v>0</v>
      </c>
      <c r="S145" s="11">
        <v>0</v>
      </c>
      <c r="T145" s="11" t="s">
        <v>25</v>
      </c>
    </row>
    <row r="146" spans="1:20" x14ac:dyDescent="0.25">
      <c r="A146" s="56">
        <v>44777</v>
      </c>
      <c r="C146" s="191" t="s">
        <v>2630</v>
      </c>
      <c r="D146" s="1" t="s">
        <v>2632</v>
      </c>
      <c r="E146" s="4" t="s">
        <v>2631</v>
      </c>
      <c r="F146" s="1" t="s">
        <v>10</v>
      </c>
      <c r="G146" s="10" t="s">
        <v>2633</v>
      </c>
      <c r="H146" s="15">
        <v>30000</v>
      </c>
      <c r="I146" s="2">
        <v>21000</v>
      </c>
      <c r="J146" s="192">
        <v>9000</v>
      </c>
      <c r="L146" s="11"/>
      <c r="M146" s="11">
        <v>0</v>
      </c>
      <c r="N146" s="11">
        <v>0</v>
      </c>
      <c r="O146" s="11"/>
      <c r="P146" s="11">
        <v>0</v>
      </c>
      <c r="Q146" s="11">
        <v>0</v>
      </c>
      <c r="R146" s="11">
        <v>0</v>
      </c>
      <c r="S146" s="11">
        <v>0</v>
      </c>
      <c r="T146" s="11" t="s">
        <v>25</v>
      </c>
    </row>
    <row r="147" spans="1:20" hidden="1" x14ac:dyDescent="0.25">
      <c r="A147" s="56">
        <v>44777</v>
      </c>
      <c r="C147" s="191" t="s">
        <v>2634</v>
      </c>
      <c r="D147" s="1" t="s">
        <v>107</v>
      </c>
      <c r="E147" s="4" t="s">
        <v>2635</v>
      </c>
      <c r="F147" s="1" t="s">
        <v>2446</v>
      </c>
      <c r="G147" s="10" t="s">
        <v>2636</v>
      </c>
      <c r="H147" s="15">
        <v>40000</v>
      </c>
      <c r="I147" s="2">
        <v>40000</v>
      </c>
      <c r="J147" s="192">
        <v>0</v>
      </c>
      <c r="K147" s="1" t="s">
        <v>2637</v>
      </c>
      <c r="L147" s="11">
        <v>115000</v>
      </c>
      <c r="M147" s="11">
        <v>96638.655462184877</v>
      </c>
      <c r="N147" s="11">
        <v>18361.344537815126</v>
      </c>
      <c r="O147" s="11">
        <v>140000</v>
      </c>
      <c r="P147" s="11">
        <v>117647.05882352941</v>
      </c>
      <c r="Q147" s="11">
        <v>22352.941176470587</v>
      </c>
      <c r="R147" s="11">
        <v>3991.596638655461</v>
      </c>
      <c r="S147" s="11">
        <v>21008.403361344535</v>
      </c>
      <c r="T147" s="11" t="s">
        <v>25</v>
      </c>
    </row>
    <row r="148" spans="1:20" hidden="1" x14ac:dyDescent="0.25">
      <c r="A148" s="56">
        <v>44777</v>
      </c>
      <c r="B148" s="4" t="s">
        <v>2640</v>
      </c>
      <c r="C148" s="191" t="s">
        <v>2638</v>
      </c>
      <c r="D148" s="1" t="s">
        <v>1077</v>
      </c>
      <c r="E148" s="4" t="s">
        <v>2639</v>
      </c>
      <c r="F148" s="1" t="s">
        <v>2446</v>
      </c>
      <c r="G148" s="10" t="s">
        <v>329</v>
      </c>
      <c r="H148" s="15">
        <v>50000</v>
      </c>
      <c r="I148" s="2">
        <v>35000</v>
      </c>
      <c r="J148" s="192">
        <v>15000</v>
      </c>
      <c r="L148" s="11"/>
      <c r="M148" s="11">
        <v>0</v>
      </c>
      <c r="N148" s="11">
        <v>0</v>
      </c>
      <c r="O148" s="11"/>
      <c r="P148" s="11">
        <v>0</v>
      </c>
      <c r="Q148" s="11">
        <v>0</v>
      </c>
      <c r="R148" s="11">
        <v>0</v>
      </c>
      <c r="S148" s="11">
        <v>0</v>
      </c>
      <c r="T148" s="11" t="s">
        <v>25</v>
      </c>
    </row>
    <row r="149" spans="1:20" ht="30" hidden="1" x14ac:dyDescent="0.25">
      <c r="A149" s="56">
        <v>44777</v>
      </c>
      <c r="C149" s="191" t="s">
        <v>2641</v>
      </c>
      <c r="D149" s="1" t="s">
        <v>1011</v>
      </c>
      <c r="E149" s="4" t="s">
        <v>2554</v>
      </c>
      <c r="F149" s="1" t="s">
        <v>2495</v>
      </c>
      <c r="G149" s="10" t="s">
        <v>2642</v>
      </c>
      <c r="H149" s="15">
        <v>140000</v>
      </c>
      <c r="I149" s="2">
        <v>84000</v>
      </c>
      <c r="J149" s="192">
        <v>56000</v>
      </c>
      <c r="L149" s="11"/>
      <c r="M149" s="11">
        <v>0</v>
      </c>
      <c r="N149" s="11">
        <v>0</v>
      </c>
      <c r="O149" s="11"/>
      <c r="P149" s="11">
        <v>0</v>
      </c>
      <c r="Q149" s="11">
        <v>0</v>
      </c>
      <c r="R149" s="11">
        <v>0</v>
      </c>
      <c r="S149" s="11">
        <v>0</v>
      </c>
      <c r="T149" s="11" t="s">
        <v>25</v>
      </c>
    </row>
    <row r="150" spans="1:20" hidden="1" x14ac:dyDescent="0.25">
      <c r="A150" s="56">
        <v>44778</v>
      </c>
      <c r="C150" s="191" t="s">
        <v>2643</v>
      </c>
      <c r="D150" s="1" t="s">
        <v>2083</v>
      </c>
      <c r="E150" s="4" t="s">
        <v>2644</v>
      </c>
      <c r="F150" s="1" t="s">
        <v>2446</v>
      </c>
      <c r="G150" s="10" t="s">
        <v>2645</v>
      </c>
      <c r="H150" s="15">
        <v>40000</v>
      </c>
      <c r="I150" s="2">
        <v>24000</v>
      </c>
      <c r="J150" s="192">
        <v>16000</v>
      </c>
      <c r="L150" s="11"/>
      <c r="M150" s="11">
        <v>0</v>
      </c>
      <c r="N150" s="11">
        <v>0</v>
      </c>
      <c r="O150" s="11"/>
      <c r="P150" s="11">
        <v>0</v>
      </c>
      <c r="Q150" s="11">
        <v>0</v>
      </c>
      <c r="R150" s="11">
        <v>0</v>
      </c>
      <c r="S150" s="11">
        <v>0</v>
      </c>
      <c r="T150" s="11" t="s">
        <v>25</v>
      </c>
    </row>
    <row r="151" spans="1:20" hidden="1" x14ac:dyDescent="0.25">
      <c r="A151" s="56">
        <v>44778</v>
      </c>
      <c r="C151" s="191"/>
      <c r="E151" s="4"/>
      <c r="F151" s="1" t="s">
        <v>16</v>
      </c>
      <c r="G151" s="10" t="s">
        <v>434</v>
      </c>
      <c r="H151" s="15">
        <v>50000</v>
      </c>
      <c r="I151" s="2">
        <v>30000</v>
      </c>
      <c r="J151" s="192">
        <v>20000</v>
      </c>
      <c r="L151" s="11"/>
      <c r="M151" s="11">
        <v>0</v>
      </c>
      <c r="N151" s="11">
        <v>0</v>
      </c>
      <c r="O151" s="11"/>
      <c r="P151" s="11">
        <v>0</v>
      </c>
      <c r="Q151" s="11">
        <v>0</v>
      </c>
      <c r="R151" s="11">
        <v>0</v>
      </c>
      <c r="S151" s="11">
        <v>0</v>
      </c>
      <c r="T151" s="11" t="s">
        <v>25</v>
      </c>
    </row>
    <row r="152" spans="1:20" ht="30" hidden="1" x14ac:dyDescent="0.25">
      <c r="A152" s="56">
        <v>44778</v>
      </c>
      <c r="C152" s="191" t="s">
        <v>734</v>
      </c>
      <c r="D152" s="1" t="s">
        <v>735</v>
      </c>
      <c r="E152" s="4" t="s">
        <v>1944</v>
      </c>
      <c r="F152" s="1" t="s">
        <v>2446</v>
      </c>
      <c r="G152" s="10" t="s">
        <v>2648</v>
      </c>
      <c r="H152" s="15">
        <v>220000</v>
      </c>
      <c r="I152" s="2">
        <v>154000</v>
      </c>
      <c r="J152" s="192">
        <v>66000</v>
      </c>
      <c r="L152" s="11"/>
      <c r="M152" s="11">
        <v>0</v>
      </c>
      <c r="N152" s="11">
        <v>0</v>
      </c>
      <c r="O152" s="11"/>
      <c r="P152" s="11">
        <v>0</v>
      </c>
      <c r="Q152" s="11">
        <v>0</v>
      </c>
      <c r="R152" s="11">
        <v>0</v>
      </c>
      <c r="S152" s="11">
        <v>0</v>
      </c>
      <c r="T152" s="11" t="s">
        <v>25</v>
      </c>
    </row>
    <row r="153" spans="1:20" x14ac:dyDescent="0.25">
      <c r="A153" s="56">
        <v>44778</v>
      </c>
      <c r="B153" s="4" t="s">
        <v>2665</v>
      </c>
      <c r="C153" s="191" t="s">
        <v>734</v>
      </c>
      <c r="D153" s="1" t="s">
        <v>735</v>
      </c>
      <c r="E153" s="4" t="s">
        <v>1944</v>
      </c>
      <c r="F153" s="1" t="s">
        <v>10</v>
      </c>
      <c r="G153" s="10" t="s">
        <v>2652</v>
      </c>
      <c r="H153" s="15">
        <v>900000</v>
      </c>
      <c r="I153" s="2">
        <v>630000</v>
      </c>
      <c r="J153" s="192">
        <v>270000</v>
      </c>
      <c r="L153" s="11"/>
      <c r="M153" s="11">
        <v>0</v>
      </c>
      <c r="N153" s="11">
        <v>0</v>
      </c>
      <c r="O153" s="11"/>
      <c r="P153" s="11">
        <v>0</v>
      </c>
      <c r="Q153" s="11">
        <v>0</v>
      </c>
      <c r="R153" s="11">
        <v>0</v>
      </c>
      <c r="S153" s="11">
        <v>0</v>
      </c>
      <c r="T153" s="11" t="s">
        <v>25</v>
      </c>
    </row>
    <row r="154" spans="1:20" hidden="1" x14ac:dyDescent="0.25">
      <c r="A154" s="56">
        <v>44778</v>
      </c>
      <c r="C154" s="191" t="s">
        <v>2649</v>
      </c>
      <c r="D154" s="1" t="s">
        <v>2651</v>
      </c>
      <c r="E154" s="4" t="s">
        <v>2650</v>
      </c>
      <c r="F154" s="1" t="s">
        <v>2446</v>
      </c>
      <c r="G154" s="10" t="s">
        <v>679</v>
      </c>
      <c r="H154" s="15">
        <v>80000</v>
      </c>
      <c r="I154" s="2">
        <v>56000</v>
      </c>
      <c r="J154" s="192">
        <v>24000</v>
      </c>
      <c r="K154" s="1" t="s">
        <v>680</v>
      </c>
      <c r="L154" s="11">
        <v>312000</v>
      </c>
      <c r="M154" s="11">
        <v>262184.87394957984</v>
      </c>
      <c r="N154" s="11">
        <v>49815.126050420171</v>
      </c>
      <c r="O154" s="11">
        <v>371000</v>
      </c>
      <c r="P154" s="11">
        <v>311764.70588235295</v>
      </c>
      <c r="Q154" s="11">
        <v>59235.294117647063</v>
      </c>
      <c r="R154" s="11">
        <v>9420.1680672268922</v>
      </c>
      <c r="S154" s="11">
        <v>49579.831932773115</v>
      </c>
      <c r="T154" s="11" t="s">
        <v>25</v>
      </c>
    </row>
    <row r="155" spans="1:20" x14ac:dyDescent="0.25">
      <c r="A155" s="56">
        <v>44778</v>
      </c>
      <c r="C155" s="191" t="s">
        <v>2221</v>
      </c>
      <c r="D155" s="1" t="s">
        <v>2656</v>
      </c>
      <c r="E155" s="4" t="s">
        <v>1907</v>
      </c>
      <c r="F155" s="1" t="s">
        <v>10</v>
      </c>
      <c r="G155" s="10" t="s">
        <v>956</v>
      </c>
      <c r="H155" s="15">
        <v>1000000</v>
      </c>
      <c r="I155" s="2">
        <v>700000</v>
      </c>
      <c r="J155" s="192">
        <v>300000</v>
      </c>
      <c r="L155" s="11">
        <v>1604000</v>
      </c>
      <c r="M155" s="11"/>
      <c r="N155" s="11">
        <v>0</v>
      </c>
      <c r="O155" s="11">
        <v>2772000</v>
      </c>
      <c r="P155" s="11">
        <v>2329411.7647058824</v>
      </c>
      <c r="Q155" s="11">
        <v>442588.23529411765</v>
      </c>
      <c r="R155" s="11">
        <v>442588.23529411765</v>
      </c>
      <c r="S155" s="11">
        <v>725411.76470588241</v>
      </c>
      <c r="T155" s="11"/>
    </row>
    <row r="156" spans="1:20" hidden="1" x14ac:dyDescent="0.25">
      <c r="A156" s="56">
        <v>44778</v>
      </c>
      <c r="C156" s="191" t="s">
        <v>2221</v>
      </c>
      <c r="D156" s="1" t="s">
        <v>2656</v>
      </c>
      <c r="E156" s="4" t="s">
        <v>1907</v>
      </c>
      <c r="F156" s="1" t="s">
        <v>16</v>
      </c>
      <c r="G156" s="10" t="s">
        <v>2658</v>
      </c>
      <c r="H156" s="15">
        <v>100000</v>
      </c>
      <c r="I156" s="2">
        <v>60000</v>
      </c>
      <c r="J156" s="192">
        <v>40000</v>
      </c>
      <c r="L156" s="11"/>
      <c r="M156" s="11">
        <v>0</v>
      </c>
      <c r="N156" s="11">
        <v>0</v>
      </c>
      <c r="O156" s="11"/>
      <c r="P156" s="11">
        <v>0</v>
      </c>
      <c r="Q156" s="11">
        <v>0</v>
      </c>
      <c r="R156" s="11">
        <v>0</v>
      </c>
      <c r="S156" s="11">
        <v>0</v>
      </c>
      <c r="T156" s="11"/>
    </row>
    <row r="157" spans="1:20" hidden="1" x14ac:dyDescent="0.25">
      <c r="A157" s="56">
        <v>44779</v>
      </c>
      <c r="C157" s="191"/>
      <c r="D157" s="1" t="s">
        <v>2659</v>
      </c>
      <c r="E157" s="4"/>
      <c r="F157" s="1" t="s">
        <v>603</v>
      </c>
      <c r="G157" s="10" t="s">
        <v>329</v>
      </c>
      <c r="H157" s="15">
        <v>30000</v>
      </c>
      <c r="I157" s="2">
        <v>18000</v>
      </c>
      <c r="J157" s="192">
        <v>12000</v>
      </c>
      <c r="L157" s="11"/>
      <c r="M157" s="11">
        <v>0</v>
      </c>
      <c r="N157" s="11">
        <v>0</v>
      </c>
      <c r="O157" s="11"/>
      <c r="P157" s="11">
        <v>0</v>
      </c>
      <c r="Q157" s="11">
        <v>0</v>
      </c>
      <c r="R157" s="11">
        <v>0</v>
      </c>
      <c r="S157" s="11">
        <v>0</v>
      </c>
      <c r="T157" s="11"/>
    </row>
    <row r="158" spans="1:20" hidden="1" x14ac:dyDescent="0.25">
      <c r="A158" s="56">
        <v>44779</v>
      </c>
      <c r="B158" s="4" t="s">
        <v>2663</v>
      </c>
      <c r="C158" s="191" t="s">
        <v>2660</v>
      </c>
      <c r="D158" s="1" t="s">
        <v>2661</v>
      </c>
      <c r="E158" s="4" t="s">
        <v>84</v>
      </c>
      <c r="F158" s="1" t="s">
        <v>408</v>
      </c>
      <c r="G158" s="10" t="s">
        <v>2662</v>
      </c>
      <c r="H158" s="15">
        <v>60000</v>
      </c>
      <c r="I158" s="2">
        <v>42000</v>
      </c>
      <c r="J158" s="192">
        <v>18000</v>
      </c>
      <c r="L158" s="11"/>
      <c r="M158" s="11">
        <v>0</v>
      </c>
      <c r="N158" s="11">
        <v>0</v>
      </c>
      <c r="O158" s="11"/>
      <c r="P158" s="11">
        <v>0</v>
      </c>
      <c r="Q158" s="11">
        <v>0</v>
      </c>
      <c r="R158" s="11">
        <v>0</v>
      </c>
      <c r="S158" s="11">
        <v>0</v>
      </c>
      <c r="T158" s="11"/>
    </row>
    <row r="159" spans="1:20" hidden="1" x14ac:dyDescent="0.25">
      <c r="A159" s="56">
        <v>44779</v>
      </c>
      <c r="C159" s="191" t="s">
        <v>2646</v>
      </c>
      <c r="D159" s="1" t="s">
        <v>201</v>
      </c>
      <c r="E159" s="4" t="s">
        <v>2647</v>
      </c>
      <c r="F159" s="1" t="s">
        <v>408</v>
      </c>
      <c r="G159" s="10" t="s">
        <v>2664</v>
      </c>
      <c r="H159" s="15">
        <v>60000</v>
      </c>
      <c r="I159" s="2">
        <v>60000</v>
      </c>
      <c r="J159" s="192">
        <v>0</v>
      </c>
      <c r="L159" s="11"/>
      <c r="M159" s="11">
        <v>0</v>
      </c>
      <c r="N159" s="11">
        <v>0</v>
      </c>
      <c r="O159" s="11"/>
      <c r="P159" s="11">
        <v>0</v>
      </c>
      <c r="Q159" s="11">
        <v>0</v>
      </c>
      <c r="R159" s="11">
        <v>0</v>
      </c>
      <c r="S159" s="11">
        <v>0</v>
      </c>
      <c r="T159" s="11" t="s">
        <v>25</v>
      </c>
    </row>
    <row r="160" spans="1:20" hidden="1" x14ac:dyDescent="0.25">
      <c r="A160" s="56">
        <v>44781</v>
      </c>
      <c r="B160" s="4" t="s">
        <v>2666</v>
      </c>
      <c r="C160" s="191" t="s">
        <v>2590</v>
      </c>
      <c r="D160" s="1" t="s">
        <v>22</v>
      </c>
      <c r="E160" s="4" t="s">
        <v>2532</v>
      </c>
      <c r="F160" s="1" t="s">
        <v>603</v>
      </c>
      <c r="G160" s="10" t="s">
        <v>20</v>
      </c>
      <c r="H160" s="15">
        <v>20000</v>
      </c>
      <c r="I160" s="2">
        <v>18000</v>
      </c>
      <c r="J160" s="192">
        <v>2000</v>
      </c>
      <c r="L160" s="11"/>
      <c r="M160" s="11">
        <v>0</v>
      </c>
      <c r="N160" s="11">
        <v>0</v>
      </c>
      <c r="O160" s="11"/>
      <c r="P160" s="11">
        <v>0</v>
      </c>
      <c r="Q160" s="11">
        <v>0</v>
      </c>
      <c r="R160" s="11">
        <v>0</v>
      </c>
      <c r="S160" s="11">
        <v>0</v>
      </c>
      <c r="T160" s="11"/>
    </row>
    <row r="161" spans="1:20" ht="30" hidden="1" x14ac:dyDescent="0.25">
      <c r="A161" s="56">
        <v>44781</v>
      </c>
      <c r="B161" s="4" t="s">
        <v>2667</v>
      </c>
      <c r="C161" s="191" t="s">
        <v>1394</v>
      </c>
      <c r="D161" s="1" t="s">
        <v>240</v>
      </c>
      <c r="E161" s="4" t="s">
        <v>1395</v>
      </c>
      <c r="F161" s="1" t="s">
        <v>408</v>
      </c>
      <c r="G161" s="10" t="s">
        <v>2668</v>
      </c>
      <c r="H161" s="15">
        <v>150000</v>
      </c>
      <c r="I161" s="2">
        <v>105000</v>
      </c>
      <c r="J161" s="192">
        <v>45000</v>
      </c>
      <c r="L161" s="11"/>
      <c r="M161" s="11">
        <v>0</v>
      </c>
      <c r="N161" s="11">
        <v>0</v>
      </c>
      <c r="O161" s="11"/>
      <c r="P161" s="11">
        <v>0</v>
      </c>
      <c r="Q161" s="11">
        <v>0</v>
      </c>
      <c r="R161" s="11">
        <v>0</v>
      </c>
      <c r="S161" s="11">
        <v>0</v>
      </c>
      <c r="T161" s="11"/>
    </row>
    <row r="162" spans="1:20" x14ac:dyDescent="0.25">
      <c r="A162" s="56">
        <v>44781</v>
      </c>
      <c r="C162" s="191" t="s">
        <v>2669</v>
      </c>
      <c r="D162" s="1" t="s">
        <v>46</v>
      </c>
      <c r="E162" s="4" t="s">
        <v>2670</v>
      </c>
      <c r="F162" s="1" t="s">
        <v>10</v>
      </c>
      <c r="G162" s="10" t="s">
        <v>2010</v>
      </c>
      <c r="H162" s="15">
        <v>20000</v>
      </c>
      <c r="I162" s="2">
        <v>14000</v>
      </c>
      <c r="J162" s="192">
        <v>6000</v>
      </c>
      <c r="L162" s="11"/>
      <c r="M162" s="11">
        <v>0</v>
      </c>
      <c r="N162" s="11">
        <v>0</v>
      </c>
      <c r="O162" s="11"/>
      <c r="P162" s="11">
        <v>0</v>
      </c>
      <c r="Q162" s="11">
        <v>0</v>
      </c>
      <c r="R162" s="11">
        <v>0</v>
      </c>
      <c r="S162" s="11">
        <v>0</v>
      </c>
      <c r="T162" s="11"/>
    </row>
    <row r="163" spans="1:20" hidden="1" x14ac:dyDescent="0.25">
      <c r="A163" s="56">
        <v>44781</v>
      </c>
      <c r="C163" s="191" t="s">
        <v>1512</v>
      </c>
      <c r="D163" s="1" t="s">
        <v>828</v>
      </c>
      <c r="E163" s="4" t="s">
        <v>1513</v>
      </c>
      <c r="F163" s="1" t="s">
        <v>19</v>
      </c>
      <c r="G163" s="10" t="s">
        <v>2671</v>
      </c>
      <c r="H163" s="15">
        <v>40000</v>
      </c>
      <c r="I163" s="2">
        <v>28000</v>
      </c>
      <c r="J163" s="192">
        <v>12000</v>
      </c>
      <c r="K163" s="1" t="s">
        <v>2687</v>
      </c>
      <c r="L163" s="11">
        <v>70000</v>
      </c>
      <c r="M163" s="11">
        <v>58823.529411764706</v>
      </c>
      <c r="N163" s="11">
        <v>11176.470588235294</v>
      </c>
      <c r="O163" s="11">
        <v>100000</v>
      </c>
      <c r="P163" s="11">
        <v>84033.613445378156</v>
      </c>
      <c r="Q163" s="11">
        <v>15966.386554621849</v>
      </c>
      <c r="R163" s="11">
        <v>4789.9159663865557</v>
      </c>
      <c r="S163" s="11">
        <v>25210.084033613442</v>
      </c>
      <c r="T163" s="11"/>
    </row>
    <row r="164" spans="1:20" hidden="1" x14ac:dyDescent="0.25">
      <c r="A164" s="56">
        <v>44781</v>
      </c>
      <c r="C164" s="191" t="s">
        <v>2672</v>
      </c>
      <c r="D164" s="1" t="s">
        <v>1907</v>
      </c>
      <c r="E164" s="4" t="s">
        <v>2673</v>
      </c>
      <c r="F164" s="1" t="s">
        <v>2495</v>
      </c>
      <c r="G164" s="10" t="s">
        <v>2674</v>
      </c>
      <c r="H164" s="15">
        <v>60000</v>
      </c>
      <c r="I164" s="2">
        <v>36000</v>
      </c>
      <c r="J164" s="192">
        <v>24000</v>
      </c>
      <c r="K164" s="1" t="s">
        <v>217</v>
      </c>
      <c r="L164" s="11">
        <v>170000</v>
      </c>
      <c r="M164" s="11">
        <v>142857.14285714287</v>
      </c>
      <c r="N164" s="11">
        <v>27142.857142857145</v>
      </c>
      <c r="O164" s="11">
        <v>240000</v>
      </c>
      <c r="P164" s="11">
        <v>201680.67226890757</v>
      </c>
      <c r="Q164" s="11">
        <v>38319.327731092439</v>
      </c>
      <c r="R164" s="11">
        <v>11176.470588235294</v>
      </c>
      <c r="S164" s="11">
        <v>58823.529411764699</v>
      </c>
      <c r="T164" s="11"/>
    </row>
    <row r="165" spans="1:20" hidden="1" x14ac:dyDescent="0.25">
      <c r="A165" s="56">
        <v>44781</v>
      </c>
      <c r="B165" s="4" t="s">
        <v>2677</v>
      </c>
      <c r="C165" s="191" t="s">
        <v>2675</v>
      </c>
      <c r="D165" s="1" t="s">
        <v>59</v>
      </c>
      <c r="E165" s="4" t="s">
        <v>2676</v>
      </c>
      <c r="F165" s="1" t="s">
        <v>408</v>
      </c>
      <c r="G165" s="10" t="s">
        <v>2575</v>
      </c>
      <c r="H165" s="15">
        <v>100000</v>
      </c>
      <c r="I165" s="2">
        <v>70000</v>
      </c>
      <c r="J165" s="192">
        <v>30000</v>
      </c>
      <c r="L165" s="11"/>
      <c r="M165" s="11">
        <v>0</v>
      </c>
      <c r="N165" s="11">
        <v>0</v>
      </c>
      <c r="O165" s="11"/>
      <c r="P165" s="11">
        <v>0</v>
      </c>
      <c r="Q165" s="11">
        <v>0</v>
      </c>
      <c r="R165" s="11">
        <v>0</v>
      </c>
      <c r="S165" s="11">
        <v>0</v>
      </c>
      <c r="T165" s="11"/>
    </row>
    <row r="166" spans="1:20" ht="45" hidden="1" x14ac:dyDescent="0.25">
      <c r="A166" s="56">
        <v>44781</v>
      </c>
      <c r="B166" s="4" t="s">
        <v>2678</v>
      </c>
      <c r="C166" s="191" t="s">
        <v>2679</v>
      </c>
      <c r="D166" s="1" t="s">
        <v>2681</v>
      </c>
      <c r="E166" s="4" t="s">
        <v>2680</v>
      </c>
      <c r="F166" s="1" t="s">
        <v>19</v>
      </c>
      <c r="G166" s="10" t="s">
        <v>2682</v>
      </c>
      <c r="H166" s="15">
        <v>350000</v>
      </c>
      <c r="I166" s="2">
        <v>244999.99999999997</v>
      </c>
      <c r="J166" s="192">
        <v>105000.00000000003</v>
      </c>
      <c r="L166" s="11"/>
      <c r="M166" s="11">
        <v>0</v>
      </c>
      <c r="N166" s="11">
        <v>0</v>
      </c>
      <c r="O166" s="11"/>
      <c r="P166" s="11">
        <v>0</v>
      </c>
      <c r="Q166" s="11">
        <v>0</v>
      </c>
      <c r="R166" s="11">
        <v>0</v>
      </c>
      <c r="S166" s="11">
        <v>0</v>
      </c>
      <c r="T166" s="11"/>
    </row>
    <row r="167" spans="1:20" hidden="1" x14ac:dyDescent="0.25">
      <c r="A167" s="56">
        <v>44781</v>
      </c>
      <c r="B167" s="4" t="s">
        <v>2678</v>
      </c>
      <c r="C167" s="191" t="s">
        <v>2679</v>
      </c>
      <c r="D167" s="1" t="s">
        <v>2681</v>
      </c>
      <c r="E167" s="4" t="s">
        <v>2680</v>
      </c>
      <c r="F167" s="1" t="s">
        <v>16</v>
      </c>
      <c r="G167" s="10" t="s">
        <v>2683</v>
      </c>
      <c r="H167" s="15">
        <v>130000</v>
      </c>
      <c r="I167" s="2">
        <v>78000</v>
      </c>
      <c r="J167" s="192">
        <v>52000</v>
      </c>
      <c r="L167" s="11"/>
      <c r="M167" s="11">
        <v>0</v>
      </c>
      <c r="N167" s="11">
        <v>0</v>
      </c>
      <c r="O167" s="11"/>
      <c r="P167" s="11">
        <v>0</v>
      </c>
      <c r="Q167" s="11">
        <v>0</v>
      </c>
      <c r="R167" s="11">
        <v>0</v>
      </c>
      <c r="S167" s="11">
        <v>0</v>
      </c>
      <c r="T167" s="11"/>
    </row>
    <row r="168" spans="1:20" ht="30" x14ac:dyDescent="0.25">
      <c r="A168" s="56">
        <v>44781</v>
      </c>
      <c r="C168" s="191" t="s">
        <v>2684</v>
      </c>
      <c r="D168" s="1" t="s">
        <v>88</v>
      </c>
      <c r="E168" s="4" t="s">
        <v>2659</v>
      </c>
      <c r="F168" s="1" t="s">
        <v>10</v>
      </c>
      <c r="G168" s="10" t="s">
        <v>2685</v>
      </c>
      <c r="H168" s="15">
        <v>420000</v>
      </c>
      <c r="I168" s="2">
        <v>294000</v>
      </c>
      <c r="J168" s="192">
        <v>126000</v>
      </c>
      <c r="K168" s="1" t="s">
        <v>2686</v>
      </c>
      <c r="L168" s="11">
        <v>343000</v>
      </c>
      <c r="M168" s="11">
        <v>288235.29411764705</v>
      </c>
      <c r="N168" s="11">
        <v>54764.705882352937</v>
      </c>
      <c r="O168" s="11">
        <v>425000</v>
      </c>
      <c r="P168" s="11"/>
      <c r="Q168" s="11">
        <v>0</v>
      </c>
      <c r="R168" s="11"/>
      <c r="S168" s="11">
        <v>82000</v>
      </c>
      <c r="T168" s="11"/>
    </row>
    <row r="169" spans="1:20" ht="30" hidden="1" x14ac:dyDescent="0.25">
      <c r="A169" s="56">
        <v>44782</v>
      </c>
      <c r="C169" s="191" t="s">
        <v>2688</v>
      </c>
      <c r="D169" s="1" t="s">
        <v>435</v>
      </c>
      <c r="E169" s="4" t="s">
        <v>2689</v>
      </c>
      <c r="F169" s="1" t="s">
        <v>19</v>
      </c>
      <c r="G169" s="10" t="s">
        <v>2690</v>
      </c>
      <c r="H169" s="15">
        <v>120000</v>
      </c>
      <c r="I169" s="2">
        <v>84000</v>
      </c>
      <c r="J169" s="192">
        <v>36000</v>
      </c>
      <c r="K169" s="1" t="s">
        <v>57</v>
      </c>
      <c r="L169" s="11">
        <v>12000</v>
      </c>
      <c r="M169" s="11">
        <v>10084.033613445379</v>
      </c>
      <c r="N169" s="11">
        <v>1915.966386554622</v>
      </c>
      <c r="O169" s="11">
        <v>24000</v>
      </c>
      <c r="P169" s="11">
        <v>20168.067226890758</v>
      </c>
      <c r="Q169" s="11">
        <v>3831.932773109244</v>
      </c>
      <c r="R169" s="11">
        <v>1915.966386554622</v>
      </c>
      <c r="S169" s="11">
        <v>10084.033613445377</v>
      </c>
      <c r="T169" s="11"/>
    </row>
    <row r="170" spans="1:20" hidden="1" x14ac:dyDescent="0.25">
      <c r="A170" s="56">
        <v>44782</v>
      </c>
      <c r="C170" s="191" t="s">
        <v>2688</v>
      </c>
      <c r="D170" s="1" t="s">
        <v>435</v>
      </c>
      <c r="E170" s="4" t="s">
        <v>2689</v>
      </c>
      <c r="F170" s="1" t="s">
        <v>16</v>
      </c>
      <c r="G170" s="10" t="s">
        <v>128</v>
      </c>
      <c r="H170" s="15">
        <v>10000</v>
      </c>
      <c r="I170" s="2">
        <v>6000</v>
      </c>
      <c r="J170" s="192">
        <v>4000</v>
      </c>
      <c r="L170" s="11"/>
      <c r="M170" s="11">
        <v>0</v>
      </c>
      <c r="N170" s="11">
        <v>0</v>
      </c>
      <c r="O170" s="11"/>
      <c r="P170" s="11">
        <v>0</v>
      </c>
      <c r="Q170" s="11">
        <v>0</v>
      </c>
      <c r="R170" s="11">
        <v>0</v>
      </c>
      <c r="S170" s="11">
        <v>0</v>
      </c>
      <c r="T170" s="11"/>
    </row>
    <row r="171" spans="1:20" hidden="1" x14ac:dyDescent="0.25">
      <c r="A171" s="56">
        <v>44782</v>
      </c>
      <c r="C171" s="191"/>
      <c r="D171" s="1" t="s">
        <v>2691</v>
      </c>
      <c r="E171" s="4" t="s">
        <v>52</v>
      </c>
      <c r="F171" s="1" t="s">
        <v>603</v>
      </c>
      <c r="G171" s="10" t="s">
        <v>2721</v>
      </c>
      <c r="H171" s="15">
        <v>45000</v>
      </c>
      <c r="I171" s="2">
        <v>27000</v>
      </c>
      <c r="J171" s="192">
        <v>18000</v>
      </c>
      <c r="K171" s="1" t="s">
        <v>2692</v>
      </c>
      <c r="L171" s="11">
        <v>15000</v>
      </c>
      <c r="M171" s="11">
        <v>12605.042016806723</v>
      </c>
      <c r="N171" s="11">
        <v>2394.9579831932774</v>
      </c>
      <c r="O171" s="11">
        <v>35000</v>
      </c>
      <c r="P171" s="11">
        <v>29411.764705882353</v>
      </c>
      <c r="Q171" s="11">
        <v>5588.2352941176468</v>
      </c>
      <c r="R171" s="11">
        <v>3193.2773109243694</v>
      </c>
      <c r="S171" s="11">
        <v>16806.722689075632</v>
      </c>
      <c r="T171" s="11"/>
    </row>
    <row r="172" spans="1:20" hidden="1" x14ac:dyDescent="0.25">
      <c r="A172" s="56">
        <v>44783</v>
      </c>
      <c r="C172" s="191"/>
      <c r="D172" s="1" t="s">
        <v>240</v>
      </c>
      <c r="E172" s="4" t="s">
        <v>2693</v>
      </c>
      <c r="F172" s="1" t="s">
        <v>2495</v>
      </c>
      <c r="G172" s="10" t="s">
        <v>437</v>
      </c>
      <c r="H172" s="15">
        <v>30000</v>
      </c>
      <c r="I172" s="2">
        <v>18000</v>
      </c>
      <c r="J172" s="192">
        <v>12000</v>
      </c>
      <c r="L172" s="11"/>
      <c r="M172" s="11">
        <v>0</v>
      </c>
      <c r="N172" s="11">
        <v>0</v>
      </c>
      <c r="O172" s="11"/>
      <c r="P172" s="11">
        <v>0</v>
      </c>
      <c r="Q172" s="11">
        <v>0</v>
      </c>
      <c r="R172" s="11">
        <v>0</v>
      </c>
      <c r="S172" s="11">
        <v>0</v>
      </c>
      <c r="T172" s="11"/>
    </row>
    <row r="173" spans="1:20" hidden="1" x14ac:dyDescent="0.25">
      <c r="A173" s="56">
        <v>44783</v>
      </c>
      <c r="B173" s="4" t="s">
        <v>1210</v>
      </c>
      <c r="C173" s="191" t="s">
        <v>215</v>
      </c>
      <c r="D173" s="1" t="s">
        <v>54</v>
      </c>
      <c r="E173" s="4" t="s">
        <v>1610</v>
      </c>
      <c r="F173" s="1" t="s">
        <v>2495</v>
      </c>
      <c r="G173" s="10" t="s">
        <v>2694</v>
      </c>
      <c r="H173" s="15">
        <v>50000</v>
      </c>
      <c r="I173" s="2">
        <v>30000</v>
      </c>
      <c r="J173" s="192">
        <v>20000</v>
      </c>
      <c r="L173" s="11"/>
      <c r="M173" s="11">
        <v>0</v>
      </c>
      <c r="N173" s="11">
        <v>0</v>
      </c>
      <c r="O173" s="11"/>
      <c r="P173" s="11">
        <v>0</v>
      </c>
      <c r="Q173" s="11">
        <v>0</v>
      </c>
      <c r="R173" s="11">
        <v>0</v>
      </c>
      <c r="S173" s="11">
        <v>0</v>
      </c>
      <c r="T173" s="11"/>
    </row>
    <row r="174" spans="1:20" ht="30" hidden="1" x14ac:dyDescent="0.25">
      <c r="A174" s="56">
        <v>44783</v>
      </c>
      <c r="B174" s="4" t="s">
        <v>1210</v>
      </c>
      <c r="C174" s="191" t="s">
        <v>215</v>
      </c>
      <c r="D174" s="1" t="s">
        <v>54</v>
      </c>
      <c r="E174" s="4" t="s">
        <v>1610</v>
      </c>
      <c r="F174" s="1" t="s">
        <v>408</v>
      </c>
      <c r="G174" s="10" t="s">
        <v>2695</v>
      </c>
      <c r="H174" s="15">
        <v>120000</v>
      </c>
      <c r="I174" s="2">
        <v>84000</v>
      </c>
      <c r="J174" s="192">
        <v>36000</v>
      </c>
      <c r="L174" s="11"/>
      <c r="M174" s="11">
        <v>0</v>
      </c>
      <c r="N174" s="11">
        <v>0</v>
      </c>
      <c r="O174" s="11"/>
      <c r="P174" s="11">
        <v>0</v>
      </c>
      <c r="Q174" s="11">
        <v>0</v>
      </c>
      <c r="R174" s="11">
        <v>0</v>
      </c>
      <c r="S174" s="11">
        <v>0</v>
      </c>
      <c r="T174" s="11"/>
    </row>
    <row r="175" spans="1:20" x14ac:dyDescent="0.25">
      <c r="A175" s="56">
        <v>44783</v>
      </c>
      <c r="B175" s="4" t="s">
        <v>2697</v>
      </c>
      <c r="C175" s="191" t="s">
        <v>2221</v>
      </c>
      <c r="D175" s="1" t="s">
        <v>2656</v>
      </c>
      <c r="E175" s="4" t="s">
        <v>1907</v>
      </c>
      <c r="F175" s="1" t="s">
        <v>10</v>
      </c>
      <c r="G175" s="10" t="s">
        <v>2696</v>
      </c>
      <c r="H175" s="15">
        <v>50000</v>
      </c>
      <c r="I175" s="2">
        <v>35000</v>
      </c>
      <c r="J175" s="192">
        <v>15000</v>
      </c>
      <c r="L175" s="11"/>
      <c r="M175" s="11">
        <v>0</v>
      </c>
      <c r="N175" s="11">
        <v>0</v>
      </c>
      <c r="O175" s="11"/>
      <c r="P175" s="11">
        <v>0</v>
      </c>
      <c r="Q175" s="11">
        <v>0</v>
      </c>
      <c r="R175" s="11">
        <v>0</v>
      </c>
      <c r="S175" s="11">
        <v>0</v>
      </c>
      <c r="T175" s="11"/>
    </row>
    <row r="176" spans="1:20" hidden="1" x14ac:dyDescent="0.25">
      <c r="A176" s="56">
        <v>44784</v>
      </c>
      <c r="C176" s="191" t="s">
        <v>615</v>
      </c>
      <c r="D176" s="1" t="s">
        <v>2699</v>
      </c>
      <c r="E176" s="4" t="s">
        <v>385</v>
      </c>
      <c r="F176" s="1" t="s">
        <v>2495</v>
      </c>
      <c r="G176" s="10" t="s">
        <v>2700</v>
      </c>
      <c r="H176" s="15">
        <v>100000</v>
      </c>
      <c r="I176" s="2">
        <v>60000</v>
      </c>
      <c r="J176" s="192">
        <v>40000</v>
      </c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x14ac:dyDescent="0.25">
      <c r="A177" s="56">
        <v>44784</v>
      </c>
      <c r="C177" s="191"/>
      <c r="D177" s="1" t="s">
        <v>666</v>
      </c>
      <c r="E177" s="4"/>
      <c r="F177" s="1" t="s">
        <v>10</v>
      </c>
      <c r="G177" s="10" t="s">
        <v>2701</v>
      </c>
      <c r="H177" s="15">
        <v>420000</v>
      </c>
      <c r="I177" s="2">
        <v>294000</v>
      </c>
      <c r="J177" s="192">
        <v>126000</v>
      </c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idden="1" x14ac:dyDescent="0.25">
      <c r="A178" s="56">
        <v>44792</v>
      </c>
      <c r="C178" s="191" t="s">
        <v>734</v>
      </c>
      <c r="D178" s="1" t="s">
        <v>735</v>
      </c>
      <c r="E178" s="4" t="s">
        <v>1593</v>
      </c>
      <c r="F178" s="1" t="s">
        <v>2446</v>
      </c>
      <c r="G178" s="10" t="s">
        <v>2706</v>
      </c>
      <c r="H178" s="15">
        <v>80000</v>
      </c>
      <c r="I178" s="2">
        <v>56000</v>
      </c>
      <c r="J178" s="192">
        <v>24000</v>
      </c>
      <c r="L178" s="11"/>
      <c r="M178" s="11">
        <v>0</v>
      </c>
      <c r="N178" s="11">
        <v>0</v>
      </c>
      <c r="O178" s="11"/>
      <c r="P178" s="11">
        <v>0</v>
      </c>
      <c r="Q178" s="11">
        <v>0</v>
      </c>
      <c r="R178" s="11">
        <v>0</v>
      </c>
      <c r="S178" s="11">
        <v>0</v>
      </c>
      <c r="T178" s="11"/>
    </row>
    <row r="179" spans="1:20" hidden="1" x14ac:dyDescent="0.25">
      <c r="A179" s="56">
        <v>44784</v>
      </c>
      <c r="C179" s="191"/>
      <c r="E179" s="4" t="s">
        <v>1749</v>
      </c>
      <c r="F179" s="1" t="s">
        <v>408</v>
      </c>
      <c r="G179" s="10" t="s">
        <v>341</v>
      </c>
      <c r="H179" s="15">
        <v>15000</v>
      </c>
      <c r="I179" s="2">
        <v>10500</v>
      </c>
      <c r="J179" s="192">
        <v>4500</v>
      </c>
      <c r="L179" s="11"/>
      <c r="M179" s="11">
        <v>0</v>
      </c>
      <c r="N179" s="11">
        <v>0</v>
      </c>
      <c r="O179" s="11"/>
      <c r="P179" s="11">
        <v>0</v>
      </c>
      <c r="Q179" s="11">
        <v>0</v>
      </c>
      <c r="R179" s="11">
        <v>0</v>
      </c>
      <c r="S179" s="11">
        <v>0</v>
      </c>
      <c r="T179" s="11"/>
    </row>
    <row r="180" spans="1:20" hidden="1" x14ac:dyDescent="0.25">
      <c r="A180" s="56">
        <v>44784</v>
      </c>
      <c r="C180" s="191" t="s">
        <v>1855</v>
      </c>
      <c r="D180" s="1" t="s">
        <v>1820</v>
      </c>
      <c r="E180" s="4" t="s">
        <v>240</v>
      </c>
      <c r="F180" s="1" t="s">
        <v>408</v>
      </c>
      <c r="G180" s="10" t="s">
        <v>341</v>
      </c>
      <c r="H180" s="15">
        <v>10000</v>
      </c>
      <c r="I180" s="2">
        <v>7000</v>
      </c>
      <c r="J180" s="192">
        <v>3000</v>
      </c>
      <c r="K180" s="1" t="s">
        <v>2698</v>
      </c>
      <c r="L180" s="11">
        <v>5000</v>
      </c>
      <c r="M180" s="11">
        <v>4201.680672268908</v>
      </c>
      <c r="N180" s="11">
        <v>798.31932773109247</v>
      </c>
      <c r="O180" s="11">
        <v>12000</v>
      </c>
      <c r="P180" s="11">
        <v>10084.033613445379</v>
      </c>
      <c r="Q180" s="11">
        <v>1915.966386554622</v>
      </c>
      <c r="R180" s="11">
        <v>1117.6470588235295</v>
      </c>
      <c r="S180" s="11">
        <v>5882.3529411764703</v>
      </c>
      <c r="T180" s="11"/>
    </row>
    <row r="181" spans="1:20" ht="30" hidden="1" x14ac:dyDescent="0.25">
      <c r="A181" s="56">
        <v>44784</v>
      </c>
      <c r="C181" s="191" t="s">
        <v>2702</v>
      </c>
      <c r="D181" s="1" t="s">
        <v>2703</v>
      </c>
      <c r="E181" s="4" t="s">
        <v>1679</v>
      </c>
      <c r="F181" s="1" t="s">
        <v>2495</v>
      </c>
      <c r="G181" s="10" t="s">
        <v>2704</v>
      </c>
      <c r="H181" s="15">
        <v>150000</v>
      </c>
      <c r="I181" s="2">
        <v>90000</v>
      </c>
      <c r="J181" s="192">
        <v>60000</v>
      </c>
      <c r="K181" s="1" t="s">
        <v>2705</v>
      </c>
      <c r="L181" s="11">
        <v>538000</v>
      </c>
      <c r="M181" s="11">
        <v>452100.84033613448</v>
      </c>
      <c r="N181" s="11">
        <v>85899.159663865546</v>
      </c>
      <c r="O181" s="11">
        <v>800000</v>
      </c>
      <c r="P181" s="11">
        <v>672268.90756302525</v>
      </c>
      <c r="Q181" s="11">
        <v>127731.0924369748</v>
      </c>
      <c r="R181" s="11">
        <v>41831.932773109249</v>
      </c>
      <c r="S181" s="11">
        <v>220168.06722689071</v>
      </c>
      <c r="T181" s="11"/>
    </row>
    <row r="182" spans="1:20" hidden="1" x14ac:dyDescent="0.25">
      <c r="A182" s="56">
        <v>44784</v>
      </c>
      <c r="C182" s="191" t="s">
        <v>2702</v>
      </c>
      <c r="D182" s="1" t="s">
        <v>2703</v>
      </c>
      <c r="E182" s="4" t="s">
        <v>1679</v>
      </c>
      <c r="F182" s="1" t="s">
        <v>408</v>
      </c>
      <c r="G182" s="10" t="s">
        <v>138</v>
      </c>
      <c r="H182" s="15">
        <v>50000</v>
      </c>
      <c r="I182" s="2">
        <v>35000</v>
      </c>
      <c r="J182" s="192">
        <v>15000</v>
      </c>
      <c r="L182" s="11"/>
      <c r="M182" s="11">
        <v>0</v>
      </c>
      <c r="N182" s="11">
        <v>0</v>
      </c>
      <c r="O182" s="11"/>
      <c r="P182" s="11">
        <v>0</v>
      </c>
      <c r="Q182" s="11">
        <v>0</v>
      </c>
      <c r="R182" s="11">
        <v>0</v>
      </c>
      <c r="S182" s="11">
        <v>0</v>
      </c>
      <c r="T182" s="11"/>
    </row>
    <row r="183" spans="1:20" hidden="1" x14ac:dyDescent="0.25">
      <c r="A183" s="56">
        <v>44784</v>
      </c>
      <c r="C183" s="191" t="s">
        <v>2638</v>
      </c>
      <c r="D183" s="1" t="s">
        <v>2639</v>
      </c>
      <c r="E183" s="4" t="s">
        <v>1077</v>
      </c>
      <c r="F183" s="1" t="s">
        <v>2495</v>
      </c>
      <c r="G183" s="10" t="s">
        <v>786</v>
      </c>
      <c r="H183" s="15">
        <v>60000</v>
      </c>
      <c r="I183" s="2">
        <v>36000</v>
      </c>
      <c r="J183" s="192">
        <v>24000</v>
      </c>
      <c r="L183" s="11"/>
      <c r="M183" s="11">
        <v>0</v>
      </c>
      <c r="N183" s="11">
        <v>0</v>
      </c>
      <c r="O183" s="11"/>
      <c r="P183" s="11">
        <v>0</v>
      </c>
      <c r="Q183" s="11">
        <v>0</v>
      </c>
      <c r="R183" s="11">
        <v>0</v>
      </c>
      <c r="S183" s="11">
        <v>0</v>
      </c>
      <c r="T183" s="11"/>
    </row>
    <row r="184" spans="1:20" hidden="1" x14ac:dyDescent="0.25">
      <c r="A184" s="56">
        <v>44784</v>
      </c>
      <c r="B184" s="4" t="s">
        <v>2707</v>
      </c>
      <c r="C184" s="191" t="s">
        <v>2708</v>
      </c>
      <c r="D184" s="1" t="s">
        <v>2709</v>
      </c>
      <c r="E184" s="4" t="s">
        <v>1947</v>
      </c>
      <c r="F184" s="1" t="s">
        <v>19</v>
      </c>
      <c r="G184" s="10" t="s">
        <v>2575</v>
      </c>
      <c r="H184" s="15">
        <v>60000</v>
      </c>
      <c r="I184" s="2">
        <v>42000</v>
      </c>
      <c r="J184" s="192">
        <v>18000</v>
      </c>
      <c r="L184" s="11"/>
      <c r="M184" s="11">
        <v>0</v>
      </c>
      <c r="N184" s="11">
        <v>0</v>
      </c>
      <c r="O184" s="11"/>
      <c r="P184" s="11">
        <v>0</v>
      </c>
      <c r="Q184" s="11">
        <v>0</v>
      </c>
      <c r="R184" s="11">
        <v>0</v>
      </c>
      <c r="S184" s="11">
        <v>0</v>
      </c>
      <c r="T184" s="11"/>
    </row>
    <row r="185" spans="1:20" hidden="1" x14ac:dyDescent="0.25">
      <c r="A185" s="56">
        <v>44784</v>
      </c>
      <c r="B185" s="4" t="s">
        <v>2713</v>
      </c>
      <c r="C185" s="191"/>
      <c r="D185" s="1" t="s">
        <v>2463</v>
      </c>
      <c r="E185" s="4" t="s">
        <v>76</v>
      </c>
      <c r="F185" s="1" t="s">
        <v>16</v>
      </c>
      <c r="G185" s="10" t="s">
        <v>2694</v>
      </c>
      <c r="H185" s="15">
        <v>30000</v>
      </c>
      <c r="I185" s="2">
        <v>18000</v>
      </c>
      <c r="J185" s="192">
        <v>12000</v>
      </c>
      <c r="K185" s="1" t="s">
        <v>2710</v>
      </c>
      <c r="L185" s="11">
        <v>37000</v>
      </c>
      <c r="M185" s="11">
        <v>31092.436974789918</v>
      </c>
      <c r="N185" s="11">
        <v>5907.5630252100846</v>
      </c>
      <c r="O185" s="11">
        <v>50000</v>
      </c>
      <c r="P185" s="11">
        <v>42016.806722689078</v>
      </c>
      <c r="Q185" s="11">
        <v>7983.1932773109247</v>
      </c>
      <c r="R185" s="11">
        <v>2075.6302521008402</v>
      </c>
      <c r="S185" s="11">
        <v>10924.36974789916</v>
      </c>
      <c r="T185" s="11"/>
    </row>
    <row r="186" spans="1:20" hidden="1" x14ac:dyDescent="0.25">
      <c r="A186" s="56">
        <v>44784</v>
      </c>
      <c r="B186" s="4" t="s">
        <v>2713</v>
      </c>
      <c r="C186" s="191"/>
      <c r="D186" s="1" t="s">
        <v>2463</v>
      </c>
      <c r="E186" s="4" t="s">
        <v>76</v>
      </c>
      <c r="F186" s="1" t="s">
        <v>408</v>
      </c>
      <c r="G186" s="10" t="s">
        <v>138</v>
      </c>
      <c r="H186" s="15">
        <v>50000</v>
      </c>
      <c r="I186" s="2">
        <v>35000</v>
      </c>
      <c r="J186" s="192">
        <v>15000</v>
      </c>
      <c r="L186" s="11"/>
      <c r="M186" s="11">
        <v>0</v>
      </c>
      <c r="N186" s="11">
        <v>0</v>
      </c>
      <c r="O186" s="11"/>
      <c r="P186" s="11">
        <v>0</v>
      </c>
      <c r="Q186" s="11">
        <v>0</v>
      </c>
      <c r="R186" s="11">
        <v>0</v>
      </c>
      <c r="S186" s="11">
        <v>0</v>
      </c>
      <c r="T186" s="11"/>
    </row>
    <row r="187" spans="1:20" hidden="1" x14ac:dyDescent="0.25">
      <c r="A187" s="56">
        <v>44785</v>
      </c>
      <c r="B187" s="4" t="s">
        <v>2712</v>
      </c>
      <c r="C187" s="191" t="s">
        <v>2711</v>
      </c>
      <c r="D187" s="1" t="s">
        <v>2714</v>
      </c>
      <c r="E187" s="4" t="s">
        <v>201</v>
      </c>
      <c r="F187" s="1" t="s">
        <v>19</v>
      </c>
      <c r="G187" s="10" t="s">
        <v>2715</v>
      </c>
      <c r="H187" s="15">
        <v>50000</v>
      </c>
      <c r="I187" s="2">
        <v>35000</v>
      </c>
      <c r="J187" s="192">
        <v>15000</v>
      </c>
      <c r="L187" s="11"/>
      <c r="M187" s="11">
        <v>0</v>
      </c>
      <c r="N187" s="11">
        <v>0</v>
      </c>
      <c r="O187" s="11"/>
      <c r="P187" s="11">
        <v>0</v>
      </c>
      <c r="Q187" s="11">
        <v>0</v>
      </c>
      <c r="R187" s="11">
        <v>0</v>
      </c>
      <c r="S187" s="11">
        <v>0</v>
      </c>
      <c r="T187" s="11"/>
    </row>
    <row r="188" spans="1:20" hidden="1" x14ac:dyDescent="0.25">
      <c r="A188" s="56">
        <v>44785</v>
      </c>
      <c r="B188" s="4" t="s">
        <v>2716</v>
      </c>
      <c r="C188" s="191" t="s">
        <v>215</v>
      </c>
      <c r="D188" s="1" t="s">
        <v>1610</v>
      </c>
      <c r="E188" s="4" t="s">
        <v>54</v>
      </c>
      <c r="F188" s="1" t="s">
        <v>408</v>
      </c>
      <c r="G188" s="10" t="s">
        <v>2717</v>
      </c>
      <c r="H188" s="15">
        <v>50000</v>
      </c>
      <c r="I188" s="2">
        <v>35000</v>
      </c>
      <c r="J188" s="192">
        <v>15000</v>
      </c>
      <c r="L188" s="11"/>
      <c r="M188" s="11">
        <v>0</v>
      </c>
      <c r="N188" s="11">
        <v>0</v>
      </c>
      <c r="O188" s="11"/>
      <c r="P188" s="11">
        <v>0</v>
      </c>
      <c r="Q188" s="11">
        <v>0</v>
      </c>
      <c r="R188" s="11">
        <v>0</v>
      </c>
      <c r="S188" s="11">
        <v>0</v>
      </c>
      <c r="T188" s="11"/>
    </row>
    <row r="189" spans="1:20" hidden="1" x14ac:dyDescent="0.25">
      <c r="A189" s="56">
        <v>44785</v>
      </c>
      <c r="B189" s="4" t="s">
        <v>2718</v>
      </c>
      <c r="C189" s="191" t="s">
        <v>1512</v>
      </c>
      <c r="D189" s="1" t="s">
        <v>1513</v>
      </c>
      <c r="E189" s="4" t="s">
        <v>2720</v>
      </c>
      <c r="F189" s="1" t="s">
        <v>19</v>
      </c>
      <c r="G189" s="10" t="s">
        <v>2719</v>
      </c>
      <c r="H189" s="15">
        <v>100000</v>
      </c>
      <c r="I189" s="2">
        <v>70000</v>
      </c>
      <c r="J189" s="192">
        <v>30000</v>
      </c>
      <c r="L189" s="11"/>
      <c r="M189" s="11">
        <v>0</v>
      </c>
      <c r="N189" s="11">
        <v>0</v>
      </c>
      <c r="O189" s="11"/>
      <c r="P189" s="11">
        <v>0</v>
      </c>
      <c r="Q189" s="11">
        <v>0</v>
      </c>
      <c r="R189" s="11">
        <v>0</v>
      </c>
      <c r="S189" s="11">
        <v>0</v>
      </c>
      <c r="T189" s="11"/>
    </row>
    <row r="190" spans="1:20" x14ac:dyDescent="0.25">
      <c r="A190" s="56">
        <v>44785</v>
      </c>
      <c r="C190" s="191" t="s">
        <v>129</v>
      </c>
      <c r="D190" s="1" t="s">
        <v>125</v>
      </c>
      <c r="E190" s="4"/>
      <c r="F190" s="1" t="s">
        <v>10</v>
      </c>
      <c r="G190" s="10" t="s">
        <v>2723</v>
      </c>
      <c r="H190" s="15">
        <v>50000</v>
      </c>
      <c r="I190" s="2">
        <v>50000</v>
      </c>
      <c r="J190" s="192">
        <v>0</v>
      </c>
      <c r="L190" s="11"/>
      <c r="M190" s="11">
        <v>0</v>
      </c>
      <c r="N190" s="11">
        <v>0</v>
      </c>
      <c r="O190" s="11"/>
      <c r="P190" s="11">
        <v>0</v>
      </c>
      <c r="Q190" s="11">
        <v>0</v>
      </c>
      <c r="R190" s="11">
        <v>0</v>
      </c>
      <c r="S190" s="11">
        <v>0</v>
      </c>
      <c r="T190" s="11"/>
    </row>
    <row r="191" spans="1:20" hidden="1" x14ac:dyDescent="0.25">
      <c r="A191" s="56">
        <v>44786</v>
      </c>
      <c r="B191" s="4" t="s">
        <v>2724</v>
      </c>
      <c r="C191" s="191" t="s">
        <v>2725</v>
      </c>
      <c r="D191" s="1" t="s">
        <v>2726</v>
      </c>
      <c r="E191" s="4" t="s">
        <v>122</v>
      </c>
      <c r="F191" s="1" t="s">
        <v>2446</v>
      </c>
      <c r="G191" s="10" t="s">
        <v>2645</v>
      </c>
      <c r="H191" s="15">
        <v>30000</v>
      </c>
      <c r="I191" s="2">
        <v>21000</v>
      </c>
      <c r="J191" s="192">
        <v>9000</v>
      </c>
      <c r="K191" s="1" t="s">
        <v>2727</v>
      </c>
      <c r="L191" s="11">
        <v>95000</v>
      </c>
      <c r="M191" s="11">
        <v>79831.932773109249</v>
      </c>
      <c r="N191" s="11">
        <v>15168.067226890758</v>
      </c>
      <c r="O191" s="11"/>
      <c r="P191" s="11">
        <v>0</v>
      </c>
      <c r="Q191" s="11">
        <v>0</v>
      </c>
      <c r="R191" s="11">
        <v>-15168.067226890758</v>
      </c>
      <c r="S191" s="11">
        <v>-79831.932773109234</v>
      </c>
      <c r="T191" s="11"/>
    </row>
    <row r="192" spans="1:20" hidden="1" x14ac:dyDescent="0.25">
      <c r="A192" s="56">
        <v>44786</v>
      </c>
      <c r="C192" s="191"/>
      <c r="D192" s="1" t="s">
        <v>2728</v>
      </c>
      <c r="E192" s="4" t="s">
        <v>1488</v>
      </c>
      <c r="F192" s="1" t="s">
        <v>2495</v>
      </c>
      <c r="G192" s="10" t="s">
        <v>2729</v>
      </c>
      <c r="H192" s="15">
        <v>20000</v>
      </c>
      <c r="I192" s="2">
        <v>12000</v>
      </c>
      <c r="J192" s="192">
        <v>8000</v>
      </c>
      <c r="L192" s="11"/>
      <c r="M192" s="11">
        <v>0</v>
      </c>
      <c r="N192" s="11">
        <v>0</v>
      </c>
      <c r="O192" s="11"/>
      <c r="P192" s="11">
        <v>0</v>
      </c>
      <c r="Q192" s="11">
        <v>0</v>
      </c>
      <c r="R192" s="11">
        <v>0</v>
      </c>
      <c r="S192" s="11">
        <v>0</v>
      </c>
      <c r="T192" s="11"/>
    </row>
    <row r="193" spans="1:20" hidden="1" x14ac:dyDescent="0.25">
      <c r="A193" s="56">
        <v>44786</v>
      </c>
      <c r="C193" s="191" t="s">
        <v>2730</v>
      </c>
      <c r="D193" s="1" t="s">
        <v>2731</v>
      </c>
      <c r="E193" s="4" t="s">
        <v>2376</v>
      </c>
      <c r="F193" s="1" t="s">
        <v>2446</v>
      </c>
      <c r="G193" s="10" t="s">
        <v>2732</v>
      </c>
      <c r="H193" s="15">
        <v>50000</v>
      </c>
      <c r="I193" s="2">
        <v>60000</v>
      </c>
      <c r="J193" s="192">
        <v>-10000</v>
      </c>
      <c r="K193" s="1" t="s">
        <v>2733</v>
      </c>
      <c r="L193" s="11">
        <v>420000</v>
      </c>
      <c r="M193" s="11"/>
      <c r="N193" s="11"/>
      <c r="O193" s="11">
        <v>450000</v>
      </c>
      <c r="P193" s="11"/>
      <c r="Q193" s="11">
        <v>0</v>
      </c>
      <c r="R193" s="11">
        <v>0</v>
      </c>
      <c r="S193" s="11">
        <v>30000</v>
      </c>
      <c r="T193" s="11"/>
    </row>
    <row r="194" spans="1:20" hidden="1" x14ac:dyDescent="0.25">
      <c r="A194" s="56">
        <v>44786</v>
      </c>
      <c r="C194" s="191" t="s">
        <v>2734</v>
      </c>
      <c r="D194" s="1" t="s">
        <v>2735</v>
      </c>
      <c r="E194" s="4" t="s">
        <v>385</v>
      </c>
      <c r="F194" s="1" t="s">
        <v>2495</v>
      </c>
      <c r="G194" s="10" t="s">
        <v>2736</v>
      </c>
      <c r="H194" s="15">
        <v>70000</v>
      </c>
      <c r="I194" s="2">
        <v>42000</v>
      </c>
      <c r="J194" s="192">
        <v>28000</v>
      </c>
      <c r="L194" s="11"/>
      <c r="M194" s="11">
        <v>0</v>
      </c>
      <c r="N194" s="11">
        <v>0</v>
      </c>
      <c r="O194" s="11"/>
      <c r="P194" s="11">
        <v>0</v>
      </c>
      <c r="Q194" s="11">
        <v>0</v>
      </c>
      <c r="R194" s="11">
        <v>0</v>
      </c>
      <c r="S194" s="11">
        <v>0</v>
      </c>
      <c r="T194" s="11"/>
    </row>
    <row r="195" spans="1:20" hidden="1" x14ac:dyDescent="0.25">
      <c r="A195" s="56">
        <v>44788</v>
      </c>
      <c r="C195" s="191" t="s">
        <v>2737</v>
      </c>
      <c r="D195" s="1" t="s">
        <v>2738</v>
      </c>
      <c r="E195" s="4" t="s">
        <v>402</v>
      </c>
      <c r="F195" s="1" t="s">
        <v>2495</v>
      </c>
      <c r="G195" s="10" t="s">
        <v>2598</v>
      </c>
      <c r="H195" s="15">
        <v>40000</v>
      </c>
      <c r="I195" s="2">
        <v>24000</v>
      </c>
      <c r="J195" s="192">
        <v>16000</v>
      </c>
      <c r="L195" s="11"/>
      <c r="M195" s="11">
        <v>0</v>
      </c>
      <c r="N195" s="11">
        <v>0</v>
      </c>
      <c r="O195" s="11"/>
      <c r="P195" s="11">
        <v>0</v>
      </c>
      <c r="Q195" s="11">
        <v>0</v>
      </c>
      <c r="R195" s="11">
        <v>0</v>
      </c>
      <c r="S195" s="11">
        <v>0</v>
      </c>
      <c r="T195" s="11"/>
    </row>
    <row r="196" spans="1:20" hidden="1" x14ac:dyDescent="0.25">
      <c r="A196" s="56">
        <v>44788</v>
      </c>
      <c r="C196" s="191"/>
      <c r="E196" s="4" t="s">
        <v>574</v>
      </c>
      <c r="F196" s="1" t="s">
        <v>2495</v>
      </c>
      <c r="G196" s="10" t="s">
        <v>2739</v>
      </c>
      <c r="H196" s="15">
        <v>60000</v>
      </c>
      <c r="I196" s="2">
        <v>36000</v>
      </c>
      <c r="J196" s="192">
        <v>24000</v>
      </c>
      <c r="L196" s="11"/>
      <c r="M196" s="11">
        <v>0</v>
      </c>
      <c r="N196" s="11">
        <v>0</v>
      </c>
      <c r="O196" s="11"/>
      <c r="P196" s="11">
        <v>0</v>
      </c>
      <c r="Q196" s="11">
        <v>0</v>
      </c>
      <c r="R196" s="11">
        <v>0</v>
      </c>
      <c r="S196" s="11">
        <v>0</v>
      </c>
      <c r="T196" s="11"/>
    </row>
    <row r="197" spans="1:20" hidden="1" x14ac:dyDescent="0.25">
      <c r="A197" s="56">
        <v>44789</v>
      </c>
      <c r="C197" s="191" t="s">
        <v>2740</v>
      </c>
      <c r="D197" s="1" t="s">
        <v>2647</v>
      </c>
      <c r="E197" s="4" t="s">
        <v>297</v>
      </c>
      <c r="F197" s="1" t="s">
        <v>2446</v>
      </c>
      <c r="G197" s="10" t="s">
        <v>744</v>
      </c>
      <c r="H197" s="15">
        <v>30000</v>
      </c>
      <c r="I197" s="2">
        <v>30000</v>
      </c>
      <c r="J197" s="192">
        <v>0</v>
      </c>
      <c r="K197" s="1" t="s">
        <v>2741</v>
      </c>
      <c r="L197" s="11">
        <v>42000</v>
      </c>
      <c r="M197" s="11">
        <v>35294.117647058825</v>
      </c>
      <c r="N197" s="11">
        <v>6705.8823529411766</v>
      </c>
      <c r="O197" s="11">
        <v>60000</v>
      </c>
      <c r="P197" s="11">
        <v>50420.168067226892</v>
      </c>
      <c r="Q197" s="11">
        <v>9579.8319327731097</v>
      </c>
      <c r="R197" s="11">
        <v>2873.9495798319331</v>
      </c>
      <c r="S197" s="11">
        <v>15126.050420168067</v>
      </c>
      <c r="T197" s="11"/>
    </row>
    <row r="198" spans="1:20" hidden="1" x14ac:dyDescent="0.25">
      <c r="A198" s="56">
        <v>44789</v>
      </c>
      <c r="C198" s="191" t="s">
        <v>2590</v>
      </c>
      <c r="D198" s="1" t="s">
        <v>2532</v>
      </c>
      <c r="E198" s="4" t="s">
        <v>815</v>
      </c>
      <c r="F198" s="1" t="s">
        <v>2446</v>
      </c>
      <c r="G198" s="10" t="s">
        <v>2742</v>
      </c>
      <c r="H198" s="15">
        <v>80000</v>
      </c>
      <c r="I198" s="2">
        <v>70000</v>
      </c>
      <c r="J198" s="192">
        <v>10000</v>
      </c>
      <c r="L198" s="11"/>
      <c r="M198" s="11">
        <v>0</v>
      </c>
      <c r="N198" s="11">
        <v>0</v>
      </c>
      <c r="O198" s="11"/>
      <c r="P198" s="11">
        <v>0</v>
      </c>
      <c r="Q198" s="11">
        <v>0</v>
      </c>
      <c r="R198" s="11">
        <v>0</v>
      </c>
      <c r="S198" s="11">
        <v>0</v>
      </c>
      <c r="T198" s="11"/>
    </row>
    <row r="199" spans="1:20" ht="30" hidden="1" x14ac:dyDescent="0.25">
      <c r="A199" s="56">
        <v>44789</v>
      </c>
      <c r="B199" s="4" t="s">
        <v>2759</v>
      </c>
      <c r="C199" s="191" t="s">
        <v>2755</v>
      </c>
      <c r="D199" s="1" t="s">
        <v>2756</v>
      </c>
      <c r="E199" s="4" t="s">
        <v>2785</v>
      </c>
      <c r="F199" s="1" t="s">
        <v>2495</v>
      </c>
      <c r="G199" s="10" t="s">
        <v>2757</v>
      </c>
      <c r="H199" s="15">
        <v>180000</v>
      </c>
      <c r="I199" s="2">
        <v>108000</v>
      </c>
      <c r="J199" s="192">
        <v>72000</v>
      </c>
      <c r="K199" s="1" t="s">
        <v>2758</v>
      </c>
      <c r="L199" s="11">
        <v>239000</v>
      </c>
      <c r="M199" s="11">
        <v>200840.3361344538</v>
      </c>
      <c r="N199" s="11">
        <v>38159.663865546223</v>
      </c>
      <c r="O199" s="11">
        <v>363000</v>
      </c>
      <c r="P199" s="11">
        <v>305042.01680672268</v>
      </c>
      <c r="Q199" s="11">
        <v>57957.983193277309</v>
      </c>
      <c r="R199" s="11">
        <v>19798.319327731086</v>
      </c>
      <c r="S199" s="11">
        <v>104201.68067226891</v>
      </c>
      <c r="T199" s="11"/>
    </row>
    <row r="200" spans="1:20" ht="30" hidden="1" x14ac:dyDescent="0.25">
      <c r="A200" s="56">
        <v>44789</v>
      </c>
      <c r="B200" s="4" t="s">
        <v>2754</v>
      </c>
      <c r="C200" s="191" t="s">
        <v>2749</v>
      </c>
      <c r="D200" s="1" t="s">
        <v>2751</v>
      </c>
      <c r="E200" s="4" t="s">
        <v>2750</v>
      </c>
      <c r="F200" s="1" t="s">
        <v>2495</v>
      </c>
      <c r="G200" s="10" t="s">
        <v>2752</v>
      </c>
      <c r="H200" s="15">
        <v>150000</v>
      </c>
      <c r="I200" s="2">
        <v>90000</v>
      </c>
      <c r="J200" s="192">
        <v>60000</v>
      </c>
      <c r="K200" s="1" t="s">
        <v>2753</v>
      </c>
      <c r="L200" s="11">
        <v>590000</v>
      </c>
      <c r="M200" s="11">
        <v>495798.31932773109</v>
      </c>
      <c r="N200" s="11">
        <v>94201.680672268907</v>
      </c>
      <c r="O200" s="11">
        <v>814000</v>
      </c>
      <c r="P200" s="11">
        <v>684033.61344537814</v>
      </c>
      <c r="Q200" s="11">
        <v>129966.38655462184</v>
      </c>
      <c r="R200" s="11">
        <v>35764.705882352937</v>
      </c>
      <c r="S200" s="11">
        <v>188235.29411764711</v>
      </c>
      <c r="T200" s="11"/>
    </row>
    <row r="201" spans="1:20" hidden="1" x14ac:dyDescent="0.25">
      <c r="A201" s="56">
        <v>44790</v>
      </c>
      <c r="C201" s="191" t="s">
        <v>2743</v>
      </c>
      <c r="D201" s="1" t="s">
        <v>2744</v>
      </c>
      <c r="E201" s="4" t="s">
        <v>168</v>
      </c>
      <c r="F201" s="1" t="s">
        <v>2495</v>
      </c>
      <c r="G201" s="10" t="s">
        <v>2249</v>
      </c>
      <c r="H201" s="15">
        <v>30000</v>
      </c>
      <c r="I201" s="2">
        <v>18000</v>
      </c>
      <c r="J201" s="192">
        <v>12000</v>
      </c>
      <c r="L201" s="11"/>
      <c r="M201" s="11">
        <v>0</v>
      </c>
      <c r="N201" s="11">
        <v>0</v>
      </c>
      <c r="O201" s="11"/>
      <c r="P201" s="11">
        <v>0</v>
      </c>
      <c r="Q201" s="11">
        <v>0</v>
      </c>
      <c r="R201" s="11">
        <v>0</v>
      </c>
      <c r="S201" s="11">
        <v>0</v>
      </c>
      <c r="T201" s="11"/>
    </row>
    <row r="202" spans="1:20" hidden="1" x14ac:dyDescent="0.25">
      <c r="A202" s="56">
        <v>44790</v>
      </c>
      <c r="C202" s="191"/>
      <c r="D202" s="1" t="s">
        <v>2416</v>
      </c>
      <c r="E202" s="4" t="s">
        <v>2745</v>
      </c>
      <c r="F202" s="1" t="s">
        <v>2495</v>
      </c>
      <c r="G202" s="10" t="s">
        <v>744</v>
      </c>
      <c r="H202" s="15" t="s">
        <v>655</v>
      </c>
      <c r="I202" s="2">
        <v>30000</v>
      </c>
      <c r="J202" s="192" t="s">
        <v>655</v>
      </c>
      <c r="K202" s="1" t="s">
        <v>2746</v>
      </c>
      <c r="L202" s="11">
        <v>20000</v>
      </c>
      <c r="M202" s="11">
        <v>16806.722689075632</v>
      </c>
      <c r="N202" s="11">
        <v>3193.2773109243699</v>
      </c>
      <c r="O202" s="11">
        <v>10000</v>
      </c>
      <c r="P202" s="11">
        <v>8403.361344537816</v>
      </c>
      <c r="Q202" s="11">
        <v>1596.6386554621849</v>
      </c>
      <c r="R202" s="11">
        <v>-1596.6386554621849</v>
      </c>
      <c r="S202" s="11">
        <v>-8403.3613445378141</v>
      </c>
      <c r="T202" s="11"/>
    </row>
    <row r="203" spans="1:20" hidden="1" x14ac:dyDescent="0.25">
      <c r="A203" s="56">
        <v>44790</v>
      </c>
      <c r="C203" s="191" t="s">
        <v>2747</v>
      </c>
      <c r="D203" s="1" t="s">
        <v>2748</v>
      </c>
      <c r="E203" s="4" t="s">
        <v>1011</v>
      </c>
      <c r="F203" s="1" t="s">
        <v>2446</v>
      </c>
      <c r="G203" s="10" t="s">
        <v>515</v>
      </c>
      <c r="H203" s="15">
        <v>115000</v>
      </c>
      <c r="I203" s="2">
        <v>80500</v>
      </c>
      <c r="J203" s="192">
        <v>34500</v>
      </c>
      <c r="L203" s="11"/>
      <c r="M203" s="11">
        <v>0</v>
      </c>
      <c r="N203" s="11">
        <v>0</v>
      </c>
      <c r="O203" s="11"/>
      <c r="P203" s="11">
        <v>0</v>
      </c>
      <c r="Q203" s="11">
        <v>0</v>
      </c>
      <c r="R203" s="11">
        <v>0</v>
      </c>
      <c r="S203" s="11">
        <v>0</v>
      </c>
      <c r="T203" s="11"/>
    </row>
    <row r="204" spans="1:20" ht="30" hidden="1" x14ac:dyDescent="0.25">
      <c r="A204" s="56">
        <v>44791</v>
      </c>
      <c r="B204" s="4" t="s">
        <v>2760</v>
      </c>
      <c r="C204" s="191" t="s">
        <v>2761</v>
      </c>
      <c r="D204" s="1" t="s">
        <v>2762</v>
      </c>
      <c r="E204" s="4" t="s">
        <v>48</v>
      </c>
      <c r="F204" s="1" t="s">
        <v>2446</v>
      </c>
      <c r="G204" s="10" t="s">
        <v>2763</v>
      </c>
      <c r="H204" s="15">
        <v>200000</v>
      </c>
      <c r="I204" s="2">
        <v>140000</v>
      </c>
      <c r="J204" s="192">
        <v>60000</v>
      </c>
      <c r="K204" s="1" t="s">
        <v>51</v>
      </c>
      <c r="L204" s="11"/>
      <c r="M204" s="11">
        <v>300000</v>
      </c>
      <c r="N204" s="11">
        <v>57000</v>
      </c>
      <c r="O204" s="11">
        <v>464800</v>
      </c>
      <c r="P204" s="11">
        <v>390588.23529411765</v>
      </c>
      <c r="Q204" s="11">
        <v>74211.76470588235</v>
      </c>
      <c r="R204" s="11">
        <v>17211.76470588235</v>
      </c>
      <c r="S204" s="11">
        <v>447588.23529411765</v>
      </c>
      <c r="T204" s="11"/>
    </row>
    <row r="205" spans="1:20" hidden="1" x14ac:dyDescent="0.25">
      <c r="A205" s="56">
        <v>44791</v>
      </c>
      <c r="C205" s="191" t="s">
        <v>2764</v>
      </c>
      <c r="D205" s="1" t="s">
        <v>2765</v>
      </c>
      <c r="E205" s="4" t="s">
        <v>540</v>
      </c>
      <c r="F205" s="1" t="s">
        <v>34</v>
      </c>
      <c r="G205" s="10" t="s">
        <v>2766</v>
      </c>
      <c r="H205" s="15">
        <v>55000</v>
      </c>
      <c r="I205" s="2">
        <v>33000</v>
      </c>
      <c r="J205" s="192">
        <v>22000</v>
      </c>
      <c r="L205" s="11"/>
      <c r="M205" s="11">
        <v>0</v>
      </c>
      <c r="N205" s="11">
        <v>0</v>
      </c>
      <c r="O205" s="11"/>
      <c r="P205" s="11">
        <v>0</v>
      </c>
      <c r="Q205" s="11">
        <v>0</v>
      </c>
      <c r="R205" s="11">
        <v>0</v>
      </c>
      <c r="S205" s="11">
        <v>0</v>
      </c>
      <c r="T205" s="11"/>
    </row>
    <row r="206" spans="1:20" hidden="1" x14ac:dyDescent="0.25">
      <c r="A206" s="56">
        <v>44791</v>
      </c>
      <c r="C206" s="191" t="s">
        <v>2767</v>
      </c>
      <c r="D206" s="1" t="s">
        <v>2768</v>
      </c>
      <c r="E206" s="4" t="s">
        <v>59</v>
      </c>
      <c r="F206" s="1" t="s">
        <v>2495</v>
      </c>
      <c r="G206" s="10" t="s">
        <v>21</v>
      </c>
      <c r="H206" s="15">
        <v>15000</v>
      </c>
      <c r="I206" s="2">
        <v>9000</v>
      </c>
      <c r="J206" s="192">
        <v>6000</v>
      </c>
      <c r="L206" s="11"/>
      <c r="M206" s="11">
        <v>0</v>
      </c>
      <c r="N206" s="11">
        <v>0</v>
      </c>
      <c r="O206" s="11"/>
      <c r="P206" s="11">
        <v>0</v>
      </c>
      <c r="Q206" s="11">
        <v>0</v>
      </c>
      <c r="R206" s="11">
        <v>0</v>
      </c>
      <c r="S206" s="11">
        <v>0</v>
      </c>
      <c r="T206" s="11"/>
    </row>
    <row r="207" spans="1:20" hidden="1" x14ac:dyDescent="0.25">
      <c r="A207" s="56">
        <v>44791</v>
      </c>
      <c r="C207" s="191" t="s">
        <v>2769</v>
      </c>
      <c r="D207" s="1" t="s">
        <v>2770</v>
      </c>
      <c r="E207" s="4" t="s">
        <v>2392</v>
      </c>
      <c r="F207" s="1" t="s">
        <v>2495</v>
      </c>
      <c r="G207" s="10" t="s">
        <v>206</v>
      </c>
      <c r="H207" s="15">
        <v>100000</v>
      </c>
      <c r="I207" s="2">
        <v>100000</v>
      </c>
      <c r="J207" s="192">
        <v>0</v>
      </c>
      <c r="L207" s="11"/>
      <c r="M207" s="11">
        <v>0</v>
      </c>
      <c r="N207" s="11">
        <v>0</v>
      </c>
      <c r="O207" s="11"/>
      <c r="P207" s="11">
        <v>0</v>
      </c>
      <c r="Q207" s="11">
        <v>0</v>
      </c>
      <c r="R207" s="11">
        <v>0</v>
      </c>
      <c r="S207" s="11">
        <v>0</v>
      </c>
      <c r="T207" s="11"/>
    </row>
    <row r="208" spans="1:20" x14ac:dyDescent="0.25">
      <c r="A208" s="56">
        <v>44791</v>
      </c>
      <c r="C208" s="191" t="s">
        <v>2769</v>
      </c>
      <c r="D208" s="1" t="s">
        <v>2770</v>
      </c>
      <c r="E208" s="4" t="s">
        <v>2392</v>
      </c>
      <c r="F208" s="1" t="s">
        <v>10</v>
      </c>
      <c r="G208" s="10" t="s">
        <v>2771</v>
      </c>
      <c r="H208" s="15">
        <v>300000</v>
      </c>
      <c r="I208" s="2">
        <v>210000</v>
      </c>
      <c r="J208" s="192">
        <v>90000</v>
      </c>
      <c r="K208" s="1" t="s">
        <v>2775</v>
      </c>
      <c r="L208" s="11">
        <v>2175000</v>
      </c>
      <c r="M208" s="11"/>
      <c r="N208" s="11"/>
      <c r="O208" s="11">
        <v>3255900</v>
      </c>
      <c r="P208" s="11">
        <v>2736050.4201680673</v>
      </c>
      <c r="Q208" s="11">
        <v>519849.57983193279</v>
      </c>
      <c r="R208" s="11">
        <v>519849.57983193279</v>
      </c>
      <c r="S208" s="11">
        <v>561050.42016806733</v>
      </c>
      <c r="T208" s="11"/>
    </row>
    <row r="209" spans="1:20" hidden="1" x14ac:dyDescent="0.25">
      <c r="A209" s="56">
        <v>44792</v>
      </c>
      <c r="B209" s="4" t="s">
        <v>2776</v>
      </c>
      <c r="C209" s="191" t="s">
        <v>2772</v>
      </c>
      <c r="D209" s="1" t="s">
        <v>546</v>
      </c>
      <c r="E209" s="4" t="s">
        <v>574</v>
      </c>
      <c r="F209" s="1" t="s">
        <v>1629</v>
      </c>
      <c r="G209" s="10" t="s">
        <v>2773</v>
      </c>
      <c r="H209" s="15">
        <v>300000</v>
      </c>
      <c r="I209" s="2">
        <v>210000</v>
      </c>
      <c r="J209" s="192">
        <v>90000</v>
      </c>
      <c r="K209" s="1" t="s">
        <v>2774</v>
      </c>
      <c r="L209" s="11">
        <v>2130000</v>
      </c>
      <c r="M209" s="11"/>
      <c r="N209" s="11"/>
      <c r="O209" s="11">
        <v>2716000</v>
      </c>
      <c r="P209" s="11"/>
      <c r="Q209" s="11"/>
      <c r="R209" s="11">
        <v>0</v>
      </c>
      <c r="S209" s="11">
        <v>586000</v>
      </c>
      <c r="T209" s="11"/>
    </row>
    <row r="210" spans="1:20" x14ac:dyDescent="0.25">
      <c r="A210" s="56">
        <v>44792</v>
      </c>
      <c r="B210" s="4" t="s">
        <v>2776</v>
      </c>
      <c r="C210" s="191" t="s">
        <v>2772</v>
      </c>
      <c r="D210" s="1" t="s">
        <v>546</v>
      </c>
      <c r="E210" s="4" t="s">
        <v>574</v>
      </c>
      <c r="F210" s="1" t="s">
        <v>10</v>
      </c>
      <c r="G210" s="10" t="s">
        <v>2777</v>
      </c>
      <c r="H210" s="15">
        <v>300000</v>
      </c>
      <c r="I210" s="2">
        <v>210000</v>
      </c>
      <c r="J210" s="192">
        <v>90000</v>
      </c>
      <c r="L210" s="11"/>
      <c r="M210" s="11">
        <v>0</v>
      </c>
      <c r="N210" s="11">
        <v>0</v>
      </c>
      <c r="O210" s="11"/>
      <c r="P210" s="11">
        <v>0</v>
      </c>
      <c r="Q210" s="11">
        <v>0</v>
      </c>
      <c r="R210" s="11">
        <v>0</v>
      </c>
      <c r="S210" s="11">
        <v>0</v>
      </c>
      <c r="T210" s="11"/>
    </row>
    <row r="211" spans="1:20" hidden="1" x14ac:dyDescent="0.25">
      <c r="A211" s="56">
        <v>44792</v>
      </c>
      <c r="C211" s="191" t="s">
        <v>2761</v>
      </c>
      <c r="D211" s="1" t="s">
        <v>2778</v>
      </c>
      <c r="E211" s="4" t="s">
        <v>59</v>
      </c>
      <c r="F211" s="1" t="s">
        <v>2446</v>
      </c>
      <c r="G211" s="10" t="s">
        <v>2779</v>
      </c>
      <c r="H211" s="15">
        <v>50000</v>
      </c>
      <c r="I211" s="2">
        <v>35000</v>
      </c>
      <c r="J211" s="192">
        <v>15000</v>
      </c>
      <c r="L211" s="11"/>
      <c r="M211" s="11">
        <v>0</v>
      </c>
      <c r="N211" s="11">
        <v>0</v>
      </c>
      <c r="O211" s="11"/>
      <c r="P211" s="11">
        <v>0</v>
      </c>
      <c r="Q211" s="11">
        <v>0</v>
      </c>
      <c r="R211" s="11">
        <v>0</v>
      </c>
      <c r="S211" s="11">
        <v>0</v>
      </c>
      <c r="T211" s="11"/>
    </row>
    <row r="212" spans="1:20" hidden="1" x14ac:dyDescent="0.25">
      <c r="A212" s="56">
        <v>44792</v>
      </c>
      <c r="C212" s="191" t="s">
        <v>2780</v>
      </c>
      <c r="D212" s="1" t="s">
        <v>2781</v>
      </c>
      <c r="E212" s="4" t="s">
        <v>1077</v>
      </c>
      <c r="F212" s="1" t="s">
        <v>2495</v>
      </c>
      <c r="G212" s="10" t="s">
        <v>20</v>
      </c>
      <c r="H212" s="15">
        <v>30000</v>
      </c>
      <c r="I212" s="2">
        <v>18000</v>
      </c>
      <c r="J212" s="192">
        <v>12000</v>
      </c>
      <c r="K212" s="1" t="s">
        <v>71</v>
      </c>
      <c r="L212" s="11">
        <v>138000</v>
      </c>
      <c r="M212" s="11">
        <v>115966.38655462186</v>
      </c>
      <c r="N212" s="11">
        <v>22033.613445378152</v>
      </c>
      <c r="O212" s="11">
        <v>190000</v>
      </c>
      <c r="P212" s="11">
        <v>159663.8655462185</v>
      </c>
      <c r="Q212" s="11">
        <v>30336.134453781517</v>
      </c>
      <c r="R212" s="11">
        <v>8302.5210084033642</v>
      </c>
      <c r="S212" s="11">
        <v>43697.478991596639</v>
      </c>
      <c r="T212" s="11"/>
    </row>
    <row r="213" spans="1:20" hidden="1" x14ac:dyDescent="0.25">
      <c r="A213" s="56">
        <v>44792</v>
      </c>
      <c r="C213" s="191" t="s">
        <v>646</v>
      </c>
      <c r="D213" s="1" t="s">
        <v>1435</v>
      </c>
      <c r="E213" s="4" t="s">
        <v>1434</v>
      </c>
      <c r="F213" s="1" t="s">
        <v>2446</v>
      </c>
      <c r="G213" s="10" t="s">
        <v>2782</v>
      </c>
      <c r="H213" s="15">
        <v>150000</v>
      </c>
      <c r="I213" s="2">
        <v>105000</v>
      </c>
      <c r="J213" s="192">
        <v>45000</v>
      </c>
      <c r="L213" s="11"/>
      <c r="M213" s="11">
        <v>0</v>
      </c>
      <c r="N213" s="11">
        <v>0</v>
      </c>
      <c r="O213" s="11"/>
      <c r="P213" s="11">
        <v>0</v>
      </c>
      <c r="Q213" s="11">
        <v>0</v>
      </c>
      <c r="R213" s="11">
        <v>0</v>
      </c>
      <c r="S213" s="11">
        <v>0</v>
      </c>
      <c r="T213" s="11"/>
    </row>
    <row r="214" spans="1:20" x14ac:dyDescent="0.25">
      <c r="A214" s="56">
        <v>44792</v>
      </c>
      <c r="B214" s="4" t="s">
        <v>2806</v>
      </c>
      <c r="C214" s="191" t="s">
        <v>2807</v>
      </c>
      <c r="D214" s="1" t="s">
        <v>1746</v>
      </c>
      <c r="E214" s="4" t="s">
        <v>107</v>
      </c>
      <c r="F214" s="1" t="s">
        <v>10</v>
      </c>
      <c r="G214" s="10" t="s">
        <v>2783</v>
      </c>
      <c r="H214" s="15">
        <v>200000</v>
      </c>
      <c r="I214" s="2">
        <v>140000</v>
      </c>
      <c r="J214" s="192">
        <v>60000</v>
      </c>
      <c r="K214" s="1" t="s">
        <v>2808</v>
      </c>
      <c r="L214" s="11">
        <v>15000</v>
      </c>
      <c r="M214" s="11">
        <v>12605.042016806723</v>
      </c>
      <c r="N214" s="11">
        <v>2394.9579831932774</v>
      </c>
      <c r="O214" s="11">
        <v>25000</v>
      </c>
      <c r="P214" s="11">
        <v>21008.403361344539</v>
      </c>
      <c r="Q214" s="11">
        <v>3991.5966386554624</v>
      </c>
      <c r="R214" s="11">
        <v>1596.6386554621849</v>
      </c>
      <c r="S214" s="11">
        <v>8403.3613445378141</v>
      </c>
      <c r="T214" s="11"/>
    </row>
    <row r="215" spans="1:20" hidden="1" x14ac:dyDescent="0.25">
      <c r="A215" s="56">
        <v>44793</v>
      </c>
      <c r="B215" s="4" t="s">
        <v>2786</v>
      </c>
      <c r="C215" s="191" t="s">
        <v>2787</v>
      </c>
      <c r="D215" s="1" t="s">
        <v>2788</v>
      </c>
      <c r="E215" s="4" t="s">
        <v>2006</v>
      </c>
      <c r="F215" s="1" t="s">
        <v>603</v>
      </c>
      <c r="G215" s="10" t="s">
        <v>2789</v>
      </c>
      <c r="H215" s="15">
        <v>100000</v>
      </c>
      <c r="I215" s="2">
        <v>60000</v>
      </c>
      <c r="J215" s="192">
        <v>40000</v>
      </c>
      <c r="K215" s="1" t="s">
        <v>2790</v>
      </c>
      <c r="L215" s="11">
        <v>40000</v>
      </c>
      <c r="M215" s="11">
        <v>33613.445378151264</v>
      </c>
      <c r="N215" s="11">
        <v>6386.5546218487398</v>
      </c>
      <c r="O215" s="11">
        <v>70000</v>
      </c>
      <c r="P215" s="11">
        <v>58823.529411764706</v>
      </c>
      <c r="Q215" s="11">
        <v>11176.470588235294</v>
      </c>
      <c r="R215" s="11">
        <v>4789.9159663865539</v>
      </c>
      <c r="S215" s="11">
        <v>25210.084033613442</v>
      </c>
      <c r="T215" s="11"/>
    </row>
    <row r="216" spans="1:20" hidden="1" x14ac:dyDescent="0.25">
      <c r="A216" s="56">
        <v>44793</v>
      </c>
      <c r="B216" s="4" t="s">
        <v>2795</v>
      </c>
      <c r="C216" s="191" t="s">
        <v>2791</v>
      </c>
      <c r="D216" s="1" t="s">
        <v>2792</v>
      </c>
      <c r="E216" s="4" t="s">
        <v>385</v>
      </c>
      <c r="F216" s="1" t="s">
        <v>2446</v>
      </c>
      <c r="G216" s="10" t="s">
        <v>2793</v>
      </c>
      <c r="H216" s="15">
        <v>90000</v>
      </c>
      <c r="I216" s="2">
        <v>62999.999999999993</v>
      </c>
      <c r="J216" s="192">
        <v>27000.000000000007</v>
      </c>
      <c r="K216" s="1" t="s">
        <v>2794</v>
      </c>
      <c r="L216" s="11">
        <v>235000</v>
      </c>
      <c r="M216" s="11">
        <v>197478.99159663866</v>
      </c>
      <c r="N216" s="11">
        <v>37521.008403361346</v>
      </c>
      <c r="O216" s="11">
        <v>310000</v>
      </c>
      <c r="P216" s="11">
        <v>260504.20168067227</v>
      </c>
      <c r="Q216" s="11">
        <v>49495.798319327732</v>
      </c>
      <c r="R216" s="11">
        <v>11974.789915966387</v>
      </c>
      <c r="S216" s="11">
        <v>63025.210084033606</v>
      </c>
      <c r="T216" s="11"/>
    </row>
    <row r="217" spans="1:20" hidden="1" x14ac:dyDescent="0.25">
      <c r="A217" s="56">
        <v>44793</v>
      </c>
      <c r="C217" s="191" t="s">
        <v>2287</v>
      </c>
      <c r="D217" s="1" t="s">
        <v>2288</v>
      </c>
      <c r="E217" s="4" t="s">
        <v>2796</v>
      </c>
      <c r="F217" s="1" t="s">
        <v>2446</v>
      </c>
      <c r="G217" s="10" t="s">
        <v>2425</v>
      </c>
      <c r="H217" s="15">
        <v>25000</v>
      </c>
      <c r="I217" s="2">
        <v>17500</v>
      </c>
      <c r="J217" s="192">
        <v>7500</v>
      </c>
      <c r="K217" s="1" t="s">
        <v>2797</v>
      </c>
      <c r="L217" s="11">
        <v>40000</v>
      </c>
      <c r="M217" s="11">
        <v>33613.445378151264</v>
      </c>
      <c r="N217" s="11">
        <v>6386.5546218487398</v>
      </c>
      <c r="O217" s="11">
        <v>65000</v>
      </c>
      <c r="P217" s="11">
        <v>54621.848739495799</v>
      </c>
      <c r="Q217" s="11">
        <v>10378.151260504203</v>
      </c>
      <c r="R217" s="11">
        <v>3991.5966386554628</v>
      </c>
      <c r="S217" s="11">
        <v>21008.403361344535</v>
      </c>
      <c r="T217" s="11"/>
    </row>
    <row r="218" spans="1:20" hidden="1" x14ac:dyDescent="0.25">
      <c r="A218" s="56">
        <v>44793</v>
      </c>
      <c r="B218" s="4" t="s">
        <v>2798</v>
      </c>
      <c r="C218" s="191" t="s">
        <v>2799</v>
      </c>
      <c r="D218" s="1" t="s">
        <v>2800</v>
      </c>
      <c r="E218" s="4" t="s">
        <v>574</v>
      </c>
      <c r="F218" s="1" t="s">
        <v>2446</v>
      </c>
      <c r="G218" s="10" t="s">
        <v>2801</v>
      </c>
      <c r="H218" s="15">
        <v>110000</v>
      </c>
      <c r="I218" s="2">
        <v>77000</v>
      </c>
      <c r="J218" s="192">
        <v>33000</v>
      </c>
      <c r="K218" s="1" t="s">
        <v>2802</v>
      </c>
      <c r="L218" s="11">
        <v>260000</v>
      </c>
      <c r="M218" s="11">
        <v>218487.3949579832</v>
      </c>
      <c r="N218" s="11">
        <v>41512.60504201681</v>
      </c>
      <c r="O218" s="11">
        <v>355000</v>
      </c>
      <c r="P218" s="11">
        <v>298319.32773109246</v>
      </c>
      <c r="Q218" s="11">
        <v>56680.672268907569</v>
      </c>
      <c r="R218" s="11">
        <v>15168.067226890758</v>
      </c>
      <c r="S218" s="11">
        <v>79831.932773109234</v>
      </c>
      <c r="T218" s="11"/>
    </row>
    <row r="219" spans="1:20" hidden="1" x14ac:dyDescent="0.25">
      <c r="A219" s="56">
        <v>44793</v>
      </c>
      <c r="B219" s="4" t="s">
        <v>2804</v>
      </c>
      <c r="C219" s="191" t="s">
        <v>1846</v>
      </c>
      <c r="D219" s="1" t="s">
        <v>1848</v>
      </c>
      <c r="E219" s="4" t="s">
        <v>385</v>
      </c>
      <c r="F219" s="1" t="s">
        <v>603</v>
      </c>
      <c r="G219" s="10" t="s">
        <v>2803</v>
      </c>
      <c r="H219" s="15">
        <v>150000</v>
      </c>
      <c r="I219" s="2">
        <v>150000</v>
      </c>
      <c r="J219" s="192"/>
      <c r="K219" s="1" t="s">
        <v>2805</v>
      </c>
      <c r="L219" s="11">
        <v>526000</v>
      </c>
      <c r="M219" s="11">
        <v>442016.80672268907</v>
      </c>
      <c r="N219" s="11">
        <v>83983.193277310929</v>
      </c>
      <c r="O219" s="11">
        <v>649000</v>
      </c>
      <c r="P219" s="11">
        <v>545378.15126050427</v>
      </c>
      <c r="Q219" s="11">
        <v>103621.84873949581</v>
      </c>
      <c r="R219" s="11">
        <v>19638.655462184877</v>
      </c>
      <c r="S219" s="11">
        <v>103361.34453781508</v>
      </c>
      <c r="T219" s="11"/>
    </row>
    <row r="220" spans="1:20" hidden="1" x14ac:dyDescent="0.25">
      <c r="A220" s="56">
        <v>44795</v>
      </c>
      <c r="B220" s="4" t="s">
        <v>2811</v>
      </c>
      <c r="C220" s="191" t="s">
        <v>2812</v>
      </c>
      <c r="D220" s="1" t="s">
        <v>501</v>
      </c>
      <c r="E220" s="4" t="s">
        <v>168</v>
      </c>
      <c r="F220" s="1" t="s">
        <v>2446</v>
      </c>
      <c r="G220" s="10" t="s">
        <v>2813</v>
      </c>
      <c r="H220" s="15">
        <v>120000</v>
      </c>
      <c r="I220" s="2">
        <v>84000</v>
      </c>
      <c r="J220" s="192">
        <v>36000</v>
      </c>
      <c r="K220" s="1" t="s">
        <v>2814</v>
      </c>
      <c r="L220" s="11">
        <v>144000</v>
      </c>
      <c r="M220" s="11">
        <v>121008.40336134455</v>
      </c>
      <c r="N220" s="11">
        <v>22991.596638655465</v>
      </c>
      <c r="O220" s="11">
        <v>199000</v>
      </c>
      <c r="P220" s="11">
        <v>167226.89075630254</v>
      </c>
      <c r="Q220" s="11">
        <v>31773.109243697483</v>
      </c>
      <c r="R220" s="11">
        <v>8781.5126050420185</v>
      </c>
      <c r="S220" s="11">
        <v>46218.487394957978</v>
      </c>
      <c r="T220" s="11"/>
    </row>
    <row r="221" spans="1:20" hidden="1" x14ac:dyDescent="0.25">
      <c r="A221" s="56">
        <v>44795</v>
      </c>
      <c r="B221" s="4" t="s">
        <v>2815</v>
      </c>
      <c r="C221" s="191" t="s">
        <v>1974</v>
      </c>
      <c r="D221" s="1" t="s">
        <v>1975</v>
      </c>
      <c r="E221" s="4" t="s">
        <v>975</v>
      </c>
      <c r="F221" s="1" t="s">
        <v>603</v>
      </c>
      <c r="G221" s="10" t="s">
        <v>2816</v>
      </c>
      <c r="H221" s="15">
        <v>80000</v>
      </c>
      <c r="I221" s="2">
        <v>48000</v>
      </c>
      <c r="J221" s="192">
        <v>32000</v>
      </c>
      <c r="L221" s="11"/>
      <c r="M221" s="11">
        <v>0</v>
      </c>
      <c r="N221" s="11">
        <v>0</v>
      </c>
      <c r="O221" s="11"/>
      <c r="P221" s="11">
        <v>0</v>
      </c>
      <c r="Q221" s="11">
        <v>0</v>
      </c>
      <c r="R221" s="11">
        <v>0</v>
      </c>
      <c r="S221" s="11">
        <v>0</v>
      </c>
      <c r="T221" s="11"/>
    </row>
    <row r="222" spans="1:20" hidden="1" x14ac:dyDescent="0.25">
      <c r="A222" s="56">
        <v>44795</v>
      </c>
      <c r="C222" s="191" t="s">
        <v>2817</v>
      </c>
      <c r="D222" s="1" t="s">
        <v>2818</v>
      </c>
      <c r="E222" s="4" t="s">
        <v>28</v>
      </c>
      <c r="F222" s="1" t="s">
        <v>2446</v>
      </c>
      <c r="G222" s="10" t="s">
        <v>20</v>
      </c>
      <c r="H222" s="15">
        <v>30000</v>
      </c>
      <c r="I222" s="2">
        <v>21000</v>
      </c>
      <c r="J222" s="192">
        <v>9000</v>
      </c>
      <c r="L222" s="11"/>
      <c r="M222" s="11">
        <v>0</v>
      </c>
      <c r="N222" s="11">
        <v>0</v>
      </c>
      <c r="O222" s="11"/>
      <c r="P222" s="11">
        <v>0</v>
      </c>
      <c r="Q222" s="11">
        <v>0</v>
      </c>
      <c r="R222" s="11">
        <v>0</v>
      </c>
      <c r="S222" s="11">
        <v>0</v>
      </c>
      <c r="T222" s="11"/>
    </row>
    <row r="223" spans="1:20" hidden="1" x14ac:dyDescent="0.25">
      <c r="A223" s="56">
        <v>44795</v>
      </c>
      <c r="B223" s="4" t="s">
        <v>2819</v>
      </c>
      <c r="C223" s="191" t="s">
        <v>2820</v>
      </c>
      <c r="D223" s="1" t="s">
        <v>2821</v>
      </c>
      <c r="E223" s="4" t="s">
        <v>1749</v>
      </c>
      <c r="F223" s="1" t="s">
        <v>2446</v>
      </c>
      <c r="G223" s="10" t="s">
        <v>2822</v>
      </c>
      <c r="H223" s="15">
        <v>80000</v>
      </c>
      <c r="I223" s="2">
        <v>56000</v>
      </c>
      <c r="J223" s="192">
        <v>24000</v>
      </c>
      <c r="L223" s="11"/>
      <c r="M223" s="11">
        <v>0</v>
      </c>
      <c r="N223" s="11">
        <v>0</v>
      </c>
      <c r="O223" s="11"/>
      <c r="P223" s="11">
        <v>0</v>
      </c>
      <c r="Q223" s="11">
        <v>0</v>
      </c>
      <c r="R223" s="11">
        <v>0</v>
      </c>
      <c r="S223" s="11">
        <v>0</v>
      </c>
      <c r="T223" s="11"/>
    </row>
    <row r="224" spans="1:20" hidden="1" x14ac:dyDescent="0.25">
      <c r="A224" s="56">
        <v>44795</v>
      </c>
      <c r="B224" s="4" t="s">
        <v>2823</v>
      </c>
      <c r="C224" s="191" t="s">
        <v>2824</v>
      </c>
      <c r="D224" s="1" t="s">
        <v>2825</v>
      </c>
      <c r="E224" s="4" t="s">
        <v>59</v>
      </c>
      <c r="F224" s="1" t="s">
        <v>16</v>
      </c>
      <c r="G224" s="10" t="s">
        <v>687</v>
      </c>
      <c r="H224" s="15">
        <v>40000</v>
      </c>
      <c r="I224" s="2">
        <v>24000</v>
      </c>
      <c r="J224" s="192">
        <v>16000</v>
      </c>
      <c r="L224" s="11"/>
      <c r="M224" s="11">
        <v>0</v>
      </c>
      <c r="N224" s="11">
        <v>0</v>
      </c>
      <c r="O224" s="11"/>
      <c r="P224" s="11">
        <v>0</v>
      </c>
      <c r="Q224" s="11">
        <v>0</v>
      </c>
      <c r="R224" s="11">
        <v>0</v>
      </c>
      <c r="S224" s="11">
        <v>0</v>
      </c>
      <c r="T224" s="11"/>
    </row>
    <row r="225" spans="1:20" x14ac:dyDescent="0.25">
      <c r="A225" s="56">
        <v>44795</v>
      </c>
      <c r="B225" s="4" t="s">
        <v>2826</v>
      </c>
      <c r="C225" s="191" t="s">
        <v>703</v>
      </c>
      <c r="D225" s="1" t="s">
        <v>705</v>
      </c>
      <c r="E225" s="4" t="s">
        <v>704</v>
      </c>
      <c r="F225" s="1" t="s">
        <v>10</v>
      </c>
      <c r="G225" s="10" t="s">
        <v>1407</v>
      </c>
      <c r="H225" s="15">
        <v>180000</v>
      </c>
      <c r="I225" s="2">
        <v>125999.99999999999</v>
      </c>
      <c r="J225" s="192">
        <v>54000.000000000015</v>
      </c>
      <c r="L225" s="11"/>
      <c r="M225" s="11">
        <v>0</v>
      </c>
      <c r="N225" s="11">
        <v>0</v>
      </c>
      <c r="O225" s="11"/>
      <c r="P225" s="11">
        <v>0</v>
      </c>
      <c r="Q225" s="11">
        <v>0</v>
      </c>
      <c r="R225" s="11">
        <v>0</v>
      </c>
      <c r="S225" s="11">
        <v>0</v>
      </c>
      <c r="T225" s="11"/>
    </row>
    <row r="226" spans="1:20" hidden="1" x14ac:dyDescent="0.25">
      <c r="A226" s="56">
        <v>44796</v>
      </c>
      <c r="C226" s="191" t="s">
        <v>2827</v>
      </c>
      <c r="D226" s="1" t="s">
        <v>2828</v>
      </c>
      <c r="E226" s="4" t="s">
        <v>1345</v>
      </c>
      <c r="F226" s="1" t="s">
        <v>2446</v>
      </c>
      <c r="G226" s="10" t="s">
        <v>2829</v>
      </c>
      <c r="H226" s="15">
        <v>90000</v>
      </c>
      <c r="I226" s="2">
        <v>62999.999999999993</v>
      </c>
      <c r="J226" s="192">
        <v>27000.000000000007</v>
      </c>
      <c r="K226" s="1" t="s">
        <v>2830</v>
      </c>
      <c r="L226" s="11">
        <v>15000</v>
      </c>
      <c r="M226" s="11">
        <v>12605.042016806723</v>
      </c>
      <c r="N226" s="11">
        <v>2394.9579831932774</v>
      </c>
      <c r="O226" s="11">
        <v>35000</v>
      </c>
      <c r="P226" s="11">
        <v>29411.764705882353</v>
      </c>
      <c r="Q226" s="11">
        <v>5588.2352941176468</v>
      </c>
      <c r="R226" s="11">
        <v>3193.2773109243694</v>
      </c>
      <c r="S226" s="11">
        <v>16806.722689075632</v>
      </c>
      <c r="T226" s="11"/>
    </row>
    <row r="227" spans="1:20" hidden="1" x14ac:dyDescent="0.25">
      <c r="A227" s="56">
        <v>44796</v>
      </c>
      <c r="C227" s="191" t="s">
        <v>2831</v>
      </c>
      <c r="D227" s="1" t="s">
        <v>2833</v>
      </c>
      <c r="E227" s="4" t="s">
        <v>2832</v>
      </c>
      <c r="F227" s="1" t="s">
        <v>2446</v>
      </c>
      <c r="G227" s="10" t="s">
        <v>2834</v>
      </c>
      <c r="H227" s="15">
        <v>50000</v>
      </c>
      <c r="I227" s="2">
        <v>35000</v>
      </c>
      <c r="J227" s="192">
        <v>15000</v>
      </c>
      <c r="L227" s="11"/>
      <c r="M227" s="11">
        <v>0</v>
      </c>
      <c r="N227" s="11">
        <v>0</v>
      </c>
      <c r="O227" s="11"/>
      <c r="P227" s="11">
        <v>0</v>
      </c>
      <c r="Q227" s="11">
        <v>0</v>
      </c>
      <c r="R227" s="11">
        <v>0</v>
      </c>
      <c r="S227" s="11">
        <v>0</v>
      </c>
      <c r="T227" s="11"/>
    </row>
    <row r="228" spans="1:20" hidden="1" x14ac:dyDescent="0.25">
      <c r="A228" s="56">
        <v>44796</v>
      </c>
      <c r="B228" s="4" t="s">
        <v>2836</v>
      </c>
      <c r="C228" s="191" t="s">
        <v>2835</v>
      </c>
      <c r="D228" s="1" t="s">
        <v>2837</v>
      </c>
      <c r="E228" s="4" t="s">
        <v>2392</v>
      </c>
      <c r="F228" s="1" t="s">
        <v>2495</v>
      </c>
      <c r="G228" s="10" t="s">
        <v>2838</v>
      </c>
      <c r="H228" s="15">
        <v>230000</v>
      </c>
      <c r="I228" s="2">
        <v>138000</v>
      </c>
      <c r="J228" s="192">
        <v>92000</v>
      </c>
      <c r="K228" s="1" t="s">
        <v>2839</v>
      </c>
      <c r="L228" s="11">
        <v>334600</v>
      </c>
      <c r="M228" s="11">
        <v>281176.4705882353</v>
      </c>
      <c r="N228" s="11">
        <v>53423.529411764706</v>
      </c>
      <c r="O228" s="11">
        <v>515000</v>
      </c>
      <c r="P228" s="11">
        <v>432773.10924369749</v>
      </c>
      <c r="Q228" s="11">
        <v>82226.890756302528</v>
      </c>
      <c r="R228" s="11">
        <v>28803.361344537821</v>
      </c>
      <c r="S228" s="11">
        <v>151596.63865546219</v>
      </c>
      <c r="T228" s="11"/>
    </row>
    <row r="229" spans="1:20" hidden="1" x14ac:dyDescent="0.25">
      <c r="A229" s="56">
        <v>44796</v>
      </c>
      <c r="B229" s="4" t="s">
        <v>2843</v>
      </c>
      <c r="C229" s="191" t="s">
        <v>2840</v>
      </c>
      <c r="D229" s="1" t="s">
        <v>2842</v>
      </c>
      <c r="E229" s="4" t="s">
        <v>2841</v>
      </c>
      <c r="F229" s="1" t="s">
        <v>2495</v>
      </c>
      <c r="G229" s="10" t="s">
        <v>140</v>
      </c>
      <c r="H229" s="15">
        <v>240000</v>
      </c>
      <c r="I229" s="2">
        <v>144000</v>
      </c>
      <c r="J229" s="192">
        <v>96000</v>
      </c>
      <c r="K229" s="1" t="s">
        <v>2844</v>
      </c>
      <c r="L229" s="11">
        <v>368600</v>
      </c>
      <c r="M229" s="11">
        <v>309747.89915966388</v>
      </c>
      <c r="N229" s="11">
        <v>58852.100840336141</v>
      </c>
      <c r="O229" s="11">
        <v>638000</v>
      </c>
      <c r="P229" s="11">
        <v>536134.45378151268</v>
      </c>
      <c r="Q229" s="11">
        <v>101865.5462184874</v>
      </c>
      <c r="R229" s="11">
        <v>43013.445378151264</v>
      </c>
      <c r="S229" s="11">
        <v>226386.55462184874</v>
      </c>
      <c r="T229" s="11"/>
    </row>
    <row r="230" spans="1:20" ht="30" x14ac:dyDescent="0.25">
      <c r="A230" s="56">
        <v>44796</v>
      </c>
      <c r="C230" s="191" t="s">
        <v>34</v>
      </c>
      <c r="D230" s="1" t="s">
        <v>2846</v>
      </c>
      <c r="E230" s="4" t="s">
        <v>2845</v>
      </c>
      <c r="F230" s="1" t="s">
        <v>10</v>
      </c>
      <c r="G230" s="10" t="s">
        <v>2847</v>
      </c>
      <c r="H230" s="15" t="s">
        <v>655</v>
      </c>
      <c r="I230" s="2">
        <v>150000</v>
      </c>
      <c r="J230" s="192"/>
      <c r="K230" s="1" t="s">
        <v>2848</v>
      </c>
      <c r="L230" s="11"/>
      <c r="M230" s="11">
        <v>0</v>
      </c>
      <c r="N230" s="11">
        <v>0</v>
      </c>
      <c r="O230" s="11"/>
      <c r="P230" s="11">
        <v>0</v>
      </c>
      <c r="Q230" s="11">
        <v>0</v>
      </c>
      <c r="R230" s="11">
        <v>0</v>
      </c>
      <c r="S230" s="11">
        <v>0</v>
      </c>
      <c r="T230" s="11"/>
    </row>
    <row r="231" spans="1:20" hidden="1" x14ac:dyDescent="0.25">
      <c r="A231" s="56">
        <v>44796</v>
      </c>
      <c r="C231" s="191" t="s">
        <v>34</v>
      </c>
      <c r="D231" s="1" t="s">
        <v>2846</v>
      </c>
      <c r="E231" s="4" t="s">
        <v>2845</v>
      </c>
      <c r="F231" s="1" t="s">
        <v>2446</v>
      </c>
      <c r="G231" s="10" t="s">
        <v>206</v>
      </c>
      <c r="H231" s="15" t="s">
        <v>655</v>
      </c>
      <c r="I231" s="2">
        <v>50000</v>
      </c>
      <c r="J231" s="192"/>
      <c r="L231" s="11"/>
      <c r="M231" s="11">
        <v>0</v>
      </c>
      <c r="N231" s="11">
        <v>0</v>
      </c>
      <c r="O231" s="11"/>
      <c r="P231" s="11">
        <v>0</v>
      </c>
      <c r="Q231" s="11">
        <v>0</v>
      </c>
      <c r="R231" s="11">
        <v>0</v>
      </c>
      <c r="S231" s="11">
        <v>0</v>
      </c>
      <c r="T231" s="11"/>
    </row>
    <row r="232" spans="1:20" hidden="1" x14ac:dyDescent="0.25">
      <c r="A232" s="56">
        <v>44796</v>
      </c>
      <c r="B232" s="4" t="s">
        <v>2850</v>
      </c>
      <c r="C232" s="191" t="s">
        <v>2141</v>
      </c>
      <c r="D232" s="1" t="s">
        <v>546</v>
      </c>
      <c r="E232" s="4" t="s">
        <v>574</v>
      </c>
      <c r="F232" s="1" t="s">
        <v>2446</v>
      </c>
      <c r="G232" s="10" t="s">
        <v>2851</v>
      </c>
      <c r="H232" s="15">
        <v>500000</v>
      </c>
      <c r="I232" s="2">
        <v>350000</v>
      </c>
      <c r="J232" s="192">
        <v>150000</v>
      </c>
      <c r="K232" s="1" t="s">
        <v>2849</v>
      </c>
      <c r="L232" s="11">
        <v>1685000</v>
      </c>
      <c r="M232" s="11">
        <v>1415966.3865546219</v>
      </c>
      <c r="N232" s="11">
        <v>269033.61344537814</v>
      </c>
      <c r="O232" s="11">
        <v>2185000</v>
      </c>
      <c r="P232" s="11">
        <v>1836134.4537815128</v>
      </c>
      <c r="Q232" s="11">
        <v>348865.54621848743</v>
      </c>
      <c r="R232" s="11">
        <v>79831.932773109293</v>
      </c>
      <c r="S232" s="11">
        <v>420168.06722689071</v>
      </c>
      <c r="T232" s="11"/>
    </row>
    <row r="233" spans="1:20" hidden="1" x14ac:dyDescent="0.25">
      <c r="A233" s="56">
        <v>44797</v>
      </c>
      <c r="C233" s="191"/>
      <c r="E233" s="4" t="s">
        <v>2285</v>
      </c>
      <c r="F233" s="1" t="s">
        <v>2446</v>
      </c>
      <c r="G233" s="10" t="s">
        <v>21</v>
      </c>
      <c r="H233" s="15">
        <v>10000</v>
      </c>
      <c r="I233" s="2">
        <v>7000</v>
      </c>
      <c r="J233" s="192">
        <v>3000</v>
      </c>
      <c r="L233" s="11"/>
      <c r="M233" s="11">
        <v>0</v>
      </c>
      <c r="N233" s="11">
        <v>0</v>
      </c>
      <c r="O233" s="11"/>
      <c r="P233" s="11">
        <v>0</v>
      </c>
      <c r="Q233" s="11">
        <v>0</v>
      </c>
      <c r="R233" s="11">
        <v>0</v>
      </c>
      <c r="S233" s="11">
        <v>0</v>
      </c>
      <c r="T233" s="11"/>
    </row>
    <row r="234" spans="1:20" hidden="1" x14ac:dyDescent="0.25">
      <c r="A234" s="56">
        <v>44797</v>
      </c>
      <c r="C234" s="191" t="s">
        <v>1427</v>
      </c>
      <c r="D234" s="1" t="s">
        <v>2853</v>
      </c>
      <c r="E234" s="4" t="s">
        <v>1559</v>
      </c>
      <c r="F234" s="1" t="s">
        <v>2446</v>
      </c>
      <c r="G234" s="10" t="s">
        <v>2854</v>
      </c>
      <c r="H234" s="15">
        <v>120000</v>
      </c>
      <c r="I234" s="2">
        <v>84000</v>
      </c>
      <c r="J234" s="192">
        <v>36000</v>
      </c>
      <c r="K234" s="1" t="s">
        <v>1015</v>
      </c>
      <c r="L234" s="11">
        <v>6000</v>
      </c>
      <c r="M234" s="11">
        <v>3000</v>
      </c>
      <c r="N234" s="11">
        <v>570</v>
      </c>
      <c r="O234" s="11">
        <v>10000</v>
      </c>
      <c r="P234" s="11">
        <v>8403.361344537816</v>
      </c>
      <c r="Q234" s="11">
        <v>1596.6386554621849</v>
      </c>
      <c r="R234" s="11">
        <v>1026.6386554621849</v>
      </c>
      <c r="S234" s="11">
        <v>2973.3613445378151</v>
      </c>
      <c r="T234" s="11"/>
    </row>
    <row r="235" spans="1:20" hidden="1" x14ac:dyDescent="0.25">
      <c r="A235" s="56">
        <v>44797</v>
      </c>
      <c r="C235" s="191" t="s">
        <v>2855</v>
      </c>
      <c r="D235" s="1" t="s">
        <v>2857</v>
      </c>
      <c r="E235" s="4" t="s">
        <v>2856</v>
      </c>
      <c r="F235" s="1" t="s">
        <v>2495</v>
      </c>
      <c r="G235" s="10" t="s">
        <v>2858</v>
      </c>
      <c r="H235" s="15">
        <v>60000</v>
      </c>
      <c r="I235" s="2">
        <v>36000</v>
      </c>
      <c r="J235" s="192">
        <v>24000</v>
      </c>
      <c r="K235" s="1" t="s">
        <v>1307</v>
      </c>
      <c r="L235" s="11">
        <v>123000</v>
      </c>
      <c r="M235" s="11">
        <v>103361.34453781514</v>
      </c>
      <c r="N235" s="11">
        <v>19638.655462184877</v>
      </c>
      <c r="O235" s="11">
        <v>170000</v>
      </c>
      <c r="P235" s="11">
        <v>142857.14285714287</v>
      </c>
      <c r="Q235" s="11">
        <v>27142.857142857145</v>
      </c>
      <c r="R235" s="11">
        <v>7504.2016806722677</v>
      </c>
      <c r="S235" s="11">
        <v>39495.798319327732</v>
      </c>
      <c r="T235" s="11"/>
    </row>
    <row r="236" spans="1:20" hidden="1" x14ac:dyDescent="0.25">
      <c r="A236" s="56">
        <v>44797</v>
      </c>
      <c r="B236" s="4" t="s">
        <v>2861</v>
      </c>
      <c r="C236" s="191" t="s">
        <v>2859</v>
      </c>
      <c r="D236" s="1" t="s">
        <v>2860</v>
      </c>
      <c r="E236" s="4" t="s">
        <v>389</v>
      </c>
      <c r="F236" s="1" t="s">
        <v>2446</v>
      </c>
      <c r="G236" s="10" t="s">
        <v>338</v>
      </c>
      <c r="H236" s="15">
        <v>100000</v>
      </c>
      <c r="I236" s="2">
        <v>70000</v>
      </c>
      <c r="J236" s="192">
        <v>30000</v>
      </c>
      <c r="L236" s="11"/>
      <c r="M236" s="11">
        <v>0</v>
      </c>
      <c r="N236" s="11">
        <v>0</v>
      </c>
      <c r="O236" s="11"/>
      <c r="P236" s="11">
        <v>0</v>
      </c>
      <c r="Q236" s="11">
        <v>0</v>
      </c>
      <c r="R236" s="11">
        <v>0</v>
      </c>
      <c r="S236" s="11">
        <v>0</v>
      </c>
      <c r="T236" s="11"/>
    </row>
    <row r="237" spans="1:20" hidden="1" x14ac:dyDescent="0.25">
      <c r="A237" s="56">
        <v>44797</v>
      </c>
      <c r="C237" s="191" t="s">
        <v>2370</v>
      </c>
      <c r="D237" s="1" t="s">
        <v>2862</v>
      </c>
      <c r="E237" s="4" t="s">
        <v>240</v>
      </c>
      <c r="F237" s="1" t="s">
        <v>16</v>
      </c>
      <c r="G237" s="10" t="s">
        <v>2863</v>
      </c>
      <c r="H237" s="15">
        <v>152000</v>
      </c>
      <c r="I237" s="2">
        <v>91200</v>
      </c>
      <c r="J237" s="192">
        <v>60800</v>
      </c>
      <c r="L237" s="11"/>
      <c r="M237" s="11">
        <v>0</v>
      </c>
      <c r="N237" s="11">
        <v>0</v>
      </c>
      <c r="O237" s="11"/>
      <c r="P237" s="11">
        <v>0</v>
      </c>
      <c r="Q237" s="11">
        <v>0</v>
      </c>
      <c r="R237" s="11">
        <v>0</v>
      </c>
      <c r="S237" s="11">
        <v>0</v>
      </c>
      <c r="T237" s="11"/>
    </row>
    <row r="238" spans="1:20" hidden="1" x14ac:dyDescent="0.25">
      <c r="A238" s="56">
        <v>44797</v>
      </c>
      <c r="B238" s="4" t="s">
        <v>2864</v>
      </c>
      <c r="C238" s="191" t="s">
        <v>2865</v>
      </c>
      <c r="D238" s="1" t="s">
        <v>2866</v>
      </c>
      <c r="E238" s="4" t="s">
        <v>76</v>
      </c>
      <c r="F238" s="1" t="s">
        <v>2495</v>
      </c>
      <c r="G238" s="10" t="s">
        <v>2867</v>
      </c>
      <c r="H238" s="15">
        <v>110000</v>
      </c>
      <c r="I238" s="2">
        <v>66000</v>
      </c>
      <c r="J238" s="192">
        <v>44000</v>
      </c>
      <c r="K238" s="1" t="s">
        <v>2868</v>
      </c>
      <c r="L238" s="11">
        <v>406000</v>
      </c>
      <c r="M238" s="11">
        <v>341176.4705882353</v>
      </c>
      <c r="N238" s="11">
        <v>64823.529411764706</v>
      </c>
      <c r="O238" s="11">
        <v>590000</v>
      </c>
      <c r="P238" s="11">
        <v>495798.31932773109</v>
      </c>
      <c r="Q238" s="11">
        <v>94201.680672268907</v>
      </c>
      <c r="R238" s="11">
        <v>29378.151260504201</v>
      </c>
      <c r="S238" s="11">
        <v>154621.84873949579</v>
      </c>
      <c r="T238" s="11"/>
    </row>
    <row r="239" spans="1:20" ht="30" hidden="1" x14ac:dyDescent="0.25">
      <c r="A239" s="56">
        <v>44797</v>
      </c>
      <c r="B239" s="4" t="s">
        <v>2869</v>
      </c>
      <c r="C239" s="191" t="s">
        <v>2870</v>
      </c>
      <c r="D239" s="1" t="s">
        <v>2871</v>
      </c>
      <c r="E239" s="4" t="s">
        <v>88</v>
      </c>
      <c r="F239" s="1" t="s">
        <v>2446</v>
      </c>
      <c r="G239" s="10" t="s">
        <v>2872</v>
      </c>
      <c r="H239" s="15">
        <v>300000</v>
      </c>
      <c r="I239" s="2">
        <v>210000</v>
      </c>
      <c r="J239" s="192">
        <v>90000</v>
      </c>
      <c r="L239" s="11"/>
      <c r="M239" s="11">
        <v>0</v>
      </c>
      <c r="N239" s="11">
        <v>0</v>
      </c>
      <c r="O239" s="11"/>
      <c r="P239" s="11">
        <v>0</v>
      </c>
      <c r="Q239" s="11">
        <v>0</v>
      </c>
      <c r="R239" s="11">
        <v>0</v>
      </c>
      <c r="S239" s="11">
        <v>0</v>
      </c>
      <c r="T239" s="11"/>
    </row>
    <row r="240" spans="1:20" hidden="1" x14ac:dyDescent="0.25">
      <c r="A240" s="56">
        <v>44798</v>
      </c>
      <c r="C240" s="191" t="s">
        <v>2873</v>
      </c>
      <c r="D240" s="1" t="s">
        <v>2874</v>
      </c>
      <c r="E240" s="4" t="s">
        <v>2631</v>
      </c>
      <c r="F240" s="1" t="s">
        <v>603</v>
      </c>
      <c r="G240" s="10" t="s">
        <v>1074</v>
      </c>
      <c r="H240" s="15">
        <v>20000</v>
      </c>
      <c r="I240" s="2">
        <v>12000</v>
      </c>
      <c r="J240" s="192">
        <v>8000</v>
      </c>
      <c r="L240" s="11"/>
      <c r="M240" s="11">
        <v>0</v>
      </c>
      <c r="N240" s="11">
        <v>0</v>
      </c>
      <c r="O240" s="11"/>
      <c r="P240" s="11">
        <v>0</v>
      </c>
      <c r="Q240" s="11">
        <v>0</v>
      </c>
      <c r="R240" s="11">
        <v>0</v>
      </c>
      <c r="S240" s="11">
        <v>0</v>
      </c>
      <c r="T240" s="11"/>
    </row>
    <row r="241" spans="1:20" hidden="1" x14ac:dyDescent="0.25">
      <c r="A241" s="56">
        <v>44798</v>
      </c>
      <c r="C241" s="191" t="s">
        <v>2875</v>
      </c>
      <c r="D241" s="1" t="s">
        <v>2846</v>
      </c>
      <c r="E241" s="4" t="s">
        <v>122</v>
      </c>
      <c r="F241" s="1" t="s">
        <v>2446</v>
      </c>
      <c r="G241" s="10" t="s">
        <v>2876</v>
      </c>
      <c r="I241" s="2">
        <v>150000</v>
      </c>
      <c r="J241" s="192">
        <v>-150000</v>
      </c>
      <c r="L241" s="11"/>
      <c r="M241" s="11">
        <v>0</v>
      </c>
      <c r="N241" s="11">
        <v>0</v>
      </c>
      <c r="O241" s="11"/>
      <c r="P241" s="11">
        <v>0</v>
      </c>
      <c r="Q241" s="11">
        <v>0</v>
      </c>
      <c r="R241" s="11">
        <v>0</v>
      </c>
      <c r="S241" s="11">
        <v>0</v>
      </c>
      <c r="T241" s="11"/>
    </row>
    <row r="242" spans="1:20" hidden="1" x14ac:dyDescent="0.25">
      <c r="A242" s="56">
        <v>44798</v>
      </c>
      <c r="B242" s="4" t="s">
        <v>2877</v>
      </c>
      <c r="C242" s="191" t="s">
        <v>2878</v>
      </c>
      <c r="D242" s="1" t="s">
        <v>1275</v>
      </c>
      <c r="E242" s="4" t="s">
        <v>2893</v>
      </c>
      <c r="F242" s="1" t="s">
        <v>2446</v>
      </c>
      <c r="G242" s="10" t="s">
        <v>744</v>
      </c>
      <c r="H242" s="15">
        <v>40000</v>
      </c>
      <c r="I242" s="2">
        <v>28000</v>
      </c>
      <c r="J242" s="192">
        <v>12000</v>
      </c>
      <c r="K242" s="1" t="s">
        <v>2879</v>
      </c>
      <c r="L242" s="11"/>
      <c r="M242" s="11">
        <v>0</v>
      </c>
      <c r="N242" s="11">
        <v>0</v>
      </c>
      <c r="O242" s="11"/>
      <c r="P242" s="11">
        <v>0</v>
      </c>
      <c r="Q242" s="11">
        <v>0</v>
      </c>
      <c r="R242" s="11">
        <v>0</v>
      </c>
      <c r="S242" s="11">
        <v>0</v>
      </c>
      <c r="T242" s="11"/>
    </row>
    <row r="243" spans="1:20" hidden="1" x14ac:dyDescent="0.25">
      <c r="A243" s="56">
        <v>44798</v>
      </c>
      <c r="C243" s="191" t="s">
        <v>2880</v>
      </c>
      <c r="D243" s="1" t="s">
        <v>2881</v>
      </c>
      <c r="E243" s="4" t="s">
        <v>452</v>
      </c>
      <c r="F243" s="1" t="s">
        <v>2446</v>
      </c>
      <c r="G243" s="10" t="s">
        <v>2575</v>
      </c>
      <c r="H243" s="15">
        <v>70000</v>
      </c>
      <c r="I243" s="2">
        <v>49000</v>
      </c>
      <c r="J243" s="192">
        <v>21000</v>
      </c>
      <c r="L243" s="11"/>
      <c r="M243" s="11">
        <v>0</v>
      </c>
      <c r="N243" s="11">
        <v>0</v>
      </c>
      <c r="O243" s="11"/>
      <c r="P243" s="11">
        <v>0</v>
      </c>
      <c r="Q243" s="11">
        <v>0</v>
      </c>
      <c r="R243" s="11">
        <v>0</v>
      </c>
      <c r="S243" s="11">
        <v>0</v>
      </c>
      <c r="T243" s="11"/>
    </row>
    <row r="244" spans="1:20" hidden="1" x14ac:dyDescent="0.25">
      <c r="A244" s="56">
        <v>44798</v>
      </c>
      <c r="B244" s="4" t="s">
        <v>2882</v>
      </c>
      <c r="C244" s="191" t="s">
        <v>1394</v>
      </c>
      <c r="D244" s="1" t="s">
        <v>1395</v>
      </c>
      <c r="E244" s="4" t="s">
        <v>240</v>
      </c>
      <c r="F244" s="1" t="s">
        <v>603</v>
      </c>
      <c r="G244" s="10" t="s">
        <v>2883</v>
      </c>
      <c r="H244" s="15">
        <v>40000</v>
      </c>
      <c r="I244" s="2">
        <v>24000</v>
      </c>
      <c r="J244" s="192">
        <v>16000</v>
      </c>
      <c r="L244" s="11"/>
      <c r="M244" s="11">
        <v>0</v>
      </c>
      <c r="N244" s="11">
        <v>0</v>
      </c>
      <c r="O244" s="11"/>
      <c r="P244" s="11">
        <v>0</v>
      </c>
      <c r="Q244" s="11">
        <v>0</v>
      </c>
      <c r="R244" s="11">
        <v>0</v>
      </c>
      <c r="S244" s="11">
        <v>0</v>
      </c>
      <c r="T244" s="11"/>
    </row>
    <row r="245" spans="1:20" ht="30" x14ac:dyDescent="0.25">
      <c r="A245" s="56">
        <v>44798</v>
      </c>
      <c r="B245" s="4" t="s">
        <v>2884</v>
      </c>
      <c r="C245" s="191" t="s">
        <v>1010</v>
      </c>
      <c r="D245" s="1" t="s">
        <v>2885</v>
      </c>
      <c r="E245" s="4" t="s">
        <v>1011</v>
      </c>
      <c r="F245" s="1" t="s">
        <v>10</v>
      </c>
      <c r="G245" s="10" t="s">
        <v>2886</v>
      </c>
      <c r="H245" s="15">
        <v>700000</v>
      </c>
      <c r="I245" s="2">
        <v>489999.99999999994</v>
      </c>
      <c r="J245" s="192">
        <v>210000.00000000006</v>
      </c>
      <c r="L245" s="11"/>
      <c r="M245" s="11">
        <v>0</v>
      </c>
      <c r="N245" s="11">
        <v>0</v>
      </c>
      <c r="O245" s="11"/>
      <c r="P245" s="11">
        <v>0</v>
      </c>
      <c r="Q245" s="11">
        <v>0</v>
      </c>
      <c r="R245" s="11">
        <v>0</v>
      </c>
      <c r="S245" s="11">
        <v>0</v>
      </c>
      <c r="T245" s="11"/>
    </row>
    <row r="246" spans="1:20" hidden="1" x14ac:dyDescent="0.25">
      <c r="A246" s="56">
        <v>44799</v>
      </c>
      <c r="B246" s="4" t="s">
        <v>2887</v>
      </c>
      <c r="C246" s="191" t="s">
        <v>1991</v>
      </c>
      <c r="D246" s="1" t="s">
        <v>1760</v>
      </c>
      <c r="E246" s="4" t="s">
        <v>2894</v>
      </c>
      <c r="F246" s="1" t="s">
        <v>2446</v>
      </c>
      <c r="G246" s="10" t="s">
        <v>2888</v>
      </c>
      <c r="H246" s="15">
        <v>20000</v>
      </c>
      <c r="I246" s="2">
        <v>14000</v>
      </c>
      <c r="J246" s="192">
        <v>6000</v>
      </c>
      <c r="L246" s="11"/>
      <c r="M246" s="11">
        <v>0</v>
      </c>
      <c r="N246" s="11">
        <v>0</v>
      </c>
      <c r="O246" s="11"/>
      <c r="P246" s="11">
        <v>0</v>
      </c>
      <c r="Q246" s="11">
        <v>0</v>
      </c>
      <c r="R246" s="11">
        <v>0</v>
      </c>
      <c r="S246" s="11">
        <v>0</v>
      </c>
      <c r="T246" s="11"/>
    </row>
    <row r="247" spans="1:20" hidden="1" x14ac:dyDescent="0.25">
      <c r="A247" s="56">
        <v>44799</v>
      </c>
      <c r="B247" s="4" t="s">
        <v>2889</v>
      </c>
      <c r="C247" s="191" t="s">
        <v>2890</v>
      </c>
      <c r="D247" s="1" t="s">
        <v>1829</v>
      </c>
      <c r="E247" s="4" t="s">
        <v>1077</v>
      </c>
      <c r="F247" s="1" t="s">
        <v>603</v>
      </c>
      <c r="G247" s="10" t="s">
        <v>2891</v>
      </c>
      <c r="H247" s="15">
        <v>30000</v>
      </c>
      <c r="I247" s="2">
        <v>18000</v>
      </c>
      <c r="J247" s="192">
        <v>12000</v>
      </c>
      <c r="L247" s="11"/>
      <c r="M247" s="11">
        <v>0</v>
      </c>
      <c r="N247" s="11">
        <v>0</v>
      </c>
      <c r="O247" s="11"/>
      <c r="P247" s="11">
        <v>0</v>
      </c>
      <c r="Q247" s="11">
        <v>0</v>
      </c>
      <c r="R247" s="11">
        <v>0</v>
      </c>
      <c r="S247" s="11">
        <v>0</v>
      </c>
      <c r="T247" s="11"/>
    </row>
    <row r="248" spans="1:20" hidden="1" x14ac:dyDescent="0.25">
      <c r="A248" s="56">
        <v>44799</v>
      </c>
      <c r="C248" s="191"/>
      <c r="D248" s="1" t="s">
        <v>2892</v>
      </c>
      <c r="E248" s="4" t="s">
        <v>389</v>
      </c>
      <c r="F248" s="1" t="s">
        <v>1039</v>
      </c>
      <c r="G248" s="10" t="s">
        <v>2891</v>
      </c>
      <c r="H248" s="15">
        <v>30000</v>
      </c>
      <c r="I248" s="2">
        <v>18000</v>
      </c>
      <c r="J248" s="192">
        <v>12000</v>
      </c>
      <c r="L248" s="11"/>
      <c r="M248" s="11">
        <v>0</v>
      </c>
      <c r="N248" s="11">
        <v>0</v>
      </c>
      <c r="O248" s="11"/>
      <c r="P248" s="11">
        <v>0</v>
      </c>
      <c r="Q248" s="11">
        <v>0</v>
      </c>
      <c r="R248" s="11">
        <v>0</v>
      </c>
      <c r="S248" s="11">
        <v>0</v>
      </c>
      <c r="T248" s="11"/>
    </row>
    <row r="249" spans="1:20" hidden="1" x14ac:dyDescent="0.25">
      <c r="A249" s="56">
        <v>44800</v>
      </c>
      <c r="B249" s="4" t="s">
        <v>2902</v>
      </c>
      <c r="C249" s="191" t="s">
        <v>2898</v>
      </c>
      <c r="D249" s="1" t="s">
        <v>2900</v>
      </c>
      <c r="E249" s="4" t="s">
        <v>2899</v>
      </c>
      <c r="F249" s="1" t="s">
        <v>2446</v>
      </c>
      <c r="G249" s="10" t="s">
        <v>2901</v>
      </c>
      <c r="H249" s="15">
        <v>50000</v>
      </c>
      <c r="I249" s="2">
        <v>35000</v>
      </c>
      <c r="J249" s="192">
        <v>15000</v>
      </c>
      <c r="K249" s="1" t="s">
        <v>1781</v>
      </c>
      <c r="L249" s="11">
        <v>110000</v>
      </c>
      <c r="M249" s="11">
        <v>92436.97478991597</v>
      </c>
      <c r="N249" s="11">
        <v>17563.025210084033</v>
      </c>
      <c r="O249" s="11">
        <v>135000</v>
      </c>
      <c r="P249" s="11">
        <v>113445.37815126051</v>
      </c>
      <c r="Q249" s="11">
        <v>21554.621848739498</v>
      </c>
      <c r="R249" s="11">
        <v>3991.5966386554646</v>
      </c>
      <c r="S249" s="11">
        <v>21008.403361344535</v>
      </c>
      <c r="T249" s="11"/>
    </row>
    <row r="250" spans="1:20" hidden="1" x14ac:dyDescent="0.25">
      <c r="A250" s="56">
        <v>44800</v>
      </c>
      <c r="B250" s="4" t="s">
        <v>2903</v>
      </c>
      <c r="C250" s="191" t="s">
        <v>2141</v>
      </c>
      <c r="D250" s="1" t="s">
        <v>546</v>
      </c>
      <c r="E250" s="4" t="s">
        <v>574</v>
      </c>
      <c r="F250" s="1" t="s">
        <v>603</v>
      </c>
      <c r="G250" s="10" t="s">
        <v>212</v>
      </c>
      <c r="H250" s="15">
        <v>80000</v>
      </c>
      <c r="I250" s="2">
        <v>48000</v>
      </c>
      <c r="J250" s="192">
        <v>32000</v>
      </c>
      <c r="K250" s="1" t="s">
        <v>108</v>
      </c>
      <c r="L250" s="11">
        <v>470000</v>
      </c>
      <c r="M250" s="11"/>
      <c r="N250" s="11">
        <v>0</v>
      </c>
      <c r="O250" s="11">
        <v>610000</v>
      </c>
      <c r="P250" s="11"/>
      <c r="Q250" s="11">
        <v>0</v>
      </c>
      <c r="R250" s="11">
        <v>0</v>
      </c>
      <c r="S250" s="11">
        <v>140000</v>
      </c>
      <c r="T250" s="11"/>
    </row>
    <row r="251" spans="1:20" hidden="1" x14ac:dyDescent="0.25">
      <c r="A251" s="56">
        <v>44800</v>
      </c>
      <c r="B251" s="4" t="s">
        <v>2904</v>
      </c>
      <c r="C251" s="191" t="s">
        <v>2905</v>
      </c>
      <c r="D251" s="1" t="s">
        <v>2907</v>
      </c>
      <c r="E251" s="4" t="s">
        <v>2906</v>
      </c>
      <c r="F251" s="1" t="s">
        <v>2446</v>
      </c>
      <c r="G251" s="10" t="s">
        <v>2908</v>
      </c>
      <c r="H251" s="15">
        <v>30000</v>
      </c>
      <c r="I251" s="2">
        <v>21000</v>
      </c>
      <c r="J251" s="192">
        <v>9000</v>
      </c>
      <c r="L251" s="11"/>
      <c r="M251" s="11">
        <v>0</v>
      </c>
      <c r="N251" s="11">
        <v>0</v>
      </c>
      <c r="O251" s="11"/>
      <c r="P251" s="11">
        <v>0</v>
      </c>
      <c r="Q251" s="11">
        <v>0</v>
      </c>
      <c r="R251" s="11">
        <v>0</v>
      </c>
      <c r="S251" s="11">
        <v>0</v>
      </c>
      <c r="T251" s="11"/>
    </row>
    <row r="252" spans="1:20" x14ac:dyDescent="0.25">
      <c r="A252" s="56">
        <v>44800</v>
      </c>
      <c r="B252" s="4" t="s">
        <v>2904</v>
      </c>
      <c r="C252" s="191" t="s">
        <v>2905</v>
      </c>
      <c r="D252" s="1" t="s">
        <v>2907</v>
      </c>
      <c r="E252" s="4" t="s">
        <v>2906</v>
      </c>
      <c r="F252" s="1" t="s">
        <v>10</v>
      </c>
      <c r="G252" s="10" t="s">
        <v>2909</v>
      </c>
      <c r="H252" s="15">
        <v>80000</v>
      </c>
      <c r="I252" s="2">
        <v>56000</v>
      </c>
      <c r="J252" s="192">
        <v>24000</v>
      </c>
      <c r="K252" s="1" t="s">
        <v>2910</v>
      </c>
      <c r="L252" s="11">
        <v>40000</v>
      </c>
      <c r="M252" s="11">
        <v>33613.445378151264</v>
      </c>
      <c r="N252" s="11">
        <v>6386.5546218487398</v>
      </c>
      <c r="O252" s="11">
        <v>50000</v>
      </c>
      <c r="P252" s="11">
        <v>42016.806722689078</v>
      </c>
      <c r="Q252" s="11">
        <v>7983.1932773109247</v>
      </c>
      <c r="R252" s="11">
        <v>1596.6386554621849</v>
      </c>
      <c r="S252" s="11">
        <v>8403.3613445378141</v>
      </c>
      <c r="T252" s="11"/>
    </row>
    <row r="253" spans="1:20" hidden="1" x14ac:dyDescent="0.25">
      <c r="A253" s="56">
        <v>44800</v>
      </c>
      <c r="C253" s="191"/>
      <c r="E253" s="4"/>
      <c r="F253" s="1" t="s">
        <v>16</v>
      </c>
      <c r="G253" s="10" t="s">
        <v>128</v>
      </c>
      <c r="H253" s="15">
        <v>11000</v>
      </c>
      <c r="I253" s="2">
        <v>6600</v>
      </c>
      <c r="J253" s="192">
        <v>4400</v>
      </c>
      <c r="L253" s="11"/>
      <c r="M253" s="11">
        <v>0</v>
      </c>
      <c r="N253" s="11">
        <v>0</v>
      </c>
      <c r="O253" s="11"/>
      <c r="P253" s="11">
        <v>0</v>
      </c>
      <c r="Q253" s="11">
        <v>0</v>
      </c>
      <c r="R253" s="11">
        <v>0</v>
      </c>
      <c r="S253" s="11">
        <v>0</v>
      </c>
      <c r="T253" s="11"/>
    </row>
    <row r="254" spans="1:20" hidden="1" x14ac:dyDescent="0.25">
      <c r="A254" s="56">
        <v>44802</v>
      </c>
      <c r="B254" s="4" t="s">
        <v>2911</v>
      </c>
      <c r="C254" s="191" t="s">
        <v>2912</v>
      </c>
      <c r="D254" s="1" t="s">
        <v>2913</v>
      </c>
      <c r="E254" s="4" t="s">
        <v>52</v>
      </c>
      <c r="F254" s="1" t="s">
        <v>2446</v>
      </c>
      <c r="G254" s="10" t="s">
        <v>2914</v>
      </c>
      <c r="H254" s="15">
        <v>40000</v>
      </c>
      <c r="I254" s="2">
        <v>28000</v>
      </c>
      <c r="J254" s="192">
        <v>12000</v>
      </c>
      <c r="K254" s="1" t="s">
        <v>2915</v>
      </c>
      <c r="L254" s="11"/>
      <c r="M254" s="11">
        <v>0</v>
      </c>
      <c r="N254" s="11">
        <v>0</v>
      </c>
      <c r="O254" s="11"/>
      <c r="P254" s="11">
        <v>0</v>
      </c>
      <c r="Q254" s="11">
        <v>0</v>
      </c>
      <c r="R254" s="11">
        <v>0</v>
      </c>
      <c r="S254" s="11">
        <v>0</v>
      </c>
      <c r="T254" s="11"/>
    </row>
    <row r="255" spans="1:20" hidden="1" x14ac:dyDescent="0.25">
      <c r="A255" s="56">
        <v>44802</v>
      </c>
      <c r="B255" s="4" t="s">
        <v>2916</v>
      </c>
      <c r="C255" s="191" t="s">
        <v>2917</v>
      </c>
      <c r="D255" s="1" t="s">
        <v>2918</v>
      </c>
      <c r="E255" s="4" t="s">
        <v>2022</v>
      </c>
      <c r="F255" s="1" t="s">
        <v>2446</v>
      </c>
      <c r="G255" s="10" t="s">
        <v>2919</v>
      </c>
      <c r="H255" s="15">
        <v>100000</v>
      </c>
      <c r="I255" s="2">
        <v>70000</v>
      </c>
      <c r="J255" s="192">
        <v>30000</v>
      </c>
      <c r="K255" s="1" t="s">
        <v>57</v>
      </c>
      <c r="L255" s="11">
        <v>42000</v>
      </c>
      <c r="M255" s="11">
        <v>35294.117647058825</v>
      </c>
      <c r="N255" s="11">
        <v>6705.8823529411766</v>
      </c>
      <c r="O255" s="11">
        <v>50000</v>
      </c>
      <c r="P255" s="11">
        <v>42016.806722689078</v>
      </c>
      <c r="Q255" s="11">
        <v>7983.1932773109247</v>
      </c>
      <c r="R255" s="11">
        <v>1277.3109243697481</v>
      </c>
      <c r="S255" s="11">
        <v>6722.6890756302528</v>
      </c>
      <c r="T255" s="11"/>
    </row>
    <row r="256" spans="1:20" hidden="1" x14ac:dyDescent="0.25">
      <c r="A256" s="56">
        <v>44802</v>
      </c>
      <c r="C256" s="191"/>
      <c r="D256" s="1" t="s">
        <v>2920</v>
      </c>
      <c r="E256" s="4" t="s">
        <v>2856</v>
      </c>
      <c r="F256" s="1" t="s">
        <v>603</v>
      </c>
      <c r="G256" s="10" t="s">
        <v>2921</v>
      </c>
      <c r="H256" s="15">
        <v>30000</v>
      </c>
      <c r="I256" s="2">
        <v>18000</v>
      </c>
      <c r="J256" s="192">
        <v>12000</v>
      </c>
      <c r="K256" s="1" t="s">
        <v>2922</v>
      </c>
      <c r="L256" s="11">
        <v>5000</v>
      </c>
      <c r="M256" s="11">
        <v>4201.680672268908</v>
      </c>
      <c r="N256" s="11">
        <v>798.31932773109247</v>
      </c>
      <c r="O256" s="11">
        <v>10000</v>
      </c>
      <c r="P256" s="11">
        <v>8403.361344537816</v>
      </c>
      <c r="Q256" s="11">
        <v>1596.6386554621849</v>
      </c>
      <c r="R256" s="11">
        <v>798.31932773109247</v>
      </c>
      <c r="S256" s="11">
        <v>4201.6806722689071</v>
      </c>
      <c r="T256" s="11"/>
    </row>
    <row r="257" spans="1:20" hidden="1" x14ac:dyDescent="0.25">
      <c r="A257" s="56">
        <v>44802</v>
      </c>
      <c r="B257" s="4" t="s">
        <v>2936</v>
      </c>
      <c r="C257" s="191" t="s">
        <v>2351</v>
      </c>
      <c r="D257" s="1" t="s">
        <v>740</v>
      </c>
      <c r="E257" s="4" t="s">
        <v>2933</v>
      </c>
      <c r="F257" s="1" t="s">
        <v>2446</v>
      </c>
      <c r="G257" s="10" t="s">
        <v>2934</v>
      </c>
      <c r="H257" s="15">
        <v>300000</v>
      </c>
      <c r="I257" s="2">
        <v>210000</v>
      </c>
      <c r="J257" s="192">
        <v>90000</v>
      </c>
      <c r="K257" s="1" t="s">
        <v>2935</v>
      </c>
      <c r="L257" s="11">
        <v>650000</v>
      </c>
      <c r="M257" s="11">
        <v>546218.48739495804</v>
      </c>
      <c r="N257" s="11">
        <v>103781.51260504202</v>
      </c>
      <c r="O257" s="11">
        <v>1220587</v>
      </c>
      <c r="P257" s="11">
        <v>1025703.3613445378</v>
      </c>
      <c r="Q257" s="11">
        <v>194883.63865546219</v>
      </c>
      <c r="R257" s="11">
        <v>91102.126050420164</v>
      </c>
      <c r="S257" s="11">
        <v>479484.87394957989</v>
      </c>
      <c r="T257" s="11"/>
    </row>
    <row r="258" spans="1:20" hidden="1" x14ac:dyDescent="0.25">
      <c r="A258" s="56">
        <v>44803</v>
      </c>
      <c r="C258" s="191" t="s">
        <v>2923</v>
      </c>
      <c r="D258" s="1" t="s">
        <v>2924</v>
      </c>
      <c r="E258" s="4" t="s">
        <v>815</v>
      </c>
      <c r="F258" s="1" t="s">
        <v>2446</v>
      </c>
      <c r="G258" s="10" t="s">
        <v>211</v>
      </c>
      <c r="H258" s="15">
        <v>20000</v>
      </c>
      <c r="I258" s="2">
        <v>14000</v>
      </c>
      <c r="J258" s="192">
        <v>6000</v>
      </c>
      <c r="L258" s="11"/>
      <c r="M258" s="11">
        <v>0</v>
      </c>
      <c r="N258" s="11">
        <v>0</v>
      </c>
      <c r="O258" s="11"/>
      <c r="P258" s="11">
        <v>0</v>
      </c>
      <c r="Q258" s="11">
        <v>0</v>
      </c>
      <c r="R258" s="11">
        <v>0</v>
      </c>
      <c r="S258" s="11">
        <v>0</v>
      </c>
      <c r="T258" s="11"/>
    </row>
    <row r="259" spans="1:20" hidden="1" x14ac:dyDescent="0.25">
      <c r="A259" s="56"/>
      <c r="C259" s="191" t="s">
        <v>2351</v>
      </c>
      <c r="D259" s="1" t="s">
        <v>2925</v>
      </c>
      <c r="E259" s="4" t="s">
        <v>200</v>
      </c>
      <c r="F259" s="1" t="s">
        <v>2446</v>
      </c>
      <c r="G259" s="10" t="s">
        <v>138</v>
      </c>
      <c r="I259" s="2">
        <v>0</v>
      </c>
      <c r="J259" s="192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56">
        <v>44803</v>
      </c>
      <c r="C260" s="191" t="s">
        <v>2926</v>
      </c>
      <c r="D260" s="1" t="s">
        <v>2927</v>
      </c>
      <c r="E260" s="4" t="s">
        <v>1077</v>
      </c>
      <c r="F260" s="1" t="s">
        <v>10</v>
      </c>
      <c r="G260" s="10" t="s">
        <v>2928</v>
      </c>
      <c r="H260" s="15">
        <v>80000</v>
      </c>
      <c r="I260" s="2">
        <v>56000</v>
      </c>
      <c r="J260" s="192">
        <v>24000</v>
      </c>
      <c r="K260" s="1" t="s">
        <v>2929</v>
      </c>
      <c r="L260" s="11">
        <v>40000</v>
      </c>
      <c r="M260" s="11">
        <v>33613.445378151264</v>
      </c>
      <c r="N260" s="11">
        <v>6386.5546218487398</v>
      </c>
      <c r="O260" s="11">
        <v>60000</v>
      </c>
      <c r="P260" s="11">
        <v>50420.168067226892</v>
      </c>
      <c r="Q260" s="11">
        <v>9579.8319327731097</v>
      </c>
      <c r="R260" s="11">
        <v>3193.2773109243699</v>
      </c>
      <c r="S260" s="11">
        <v>16806.722689075628</v>
      </c>
      <c r="T260" s="11"/>
    </row>
    <row r="261" spans="1:20" hidden="1" x14ac:dyDescent="0.25">
      <c r="A261" s="56">
        <v>44803</v>
      </c>
      <c r="C261" s="191"/>
      <c r="D261" s="1" t="s">
        <v>2931</v>
      </c>
      <c r="E261" s="4" t="s">
        <v>2930</v>
      </c>
      <c r="F261" s="1" t="s">
        <v>2446</v>
      </c>
      <c r="G261" s="10" t="s">
        <v>2932</v>
      </c>
      <c r="H261" s="15">
        <v>60000</v>
      </c>
      <c r="I261" s="2">
        <v>42000</v>
      </c>
      <c r="J261" s="192">
        <v>18000</v>
      </c>
      <c r="L261" s="11"/>
      <c r="M261" s="11">
        <v>0</v>
      </c>
      <c r="N261" s="11">
        <v>0</v>
      </c>
      <c r="O261" s="11"/>
      <c r="P261" s="11">
        <v>0</v>
      </c>
      <c r="Q261" s="11">
        <v>0</v>
      </c>
      <c r="R261" s="11">
        <v>0</v>
      </c>
      <c r="S261" s="11">
        <v>0</v>
      </c>
      <c r="T261" s="11"/>
    </row>
    <row r="262" spans="1:20" x14ac:dyDescent="0.25">
      <c r="A262" s="56">
        <v>44803</v>
      </c>
      <c r="B262" s="4" t="s">
        <v>2939</v>
      </c>
      <c r="C262" s="191" t="s">
        <v>1394</v>
      </c>
      <c r="D262" s="1" t="s">
        <v>1395</v>
      </c>
      <c r="E262" s="4" t="s">
        <v>240</v>
      </c>
      <c r="F262" s="1" t="s">
        <v>10</v>
      </c>
      <c r="G262" s="10" t="s">
        <v>2937</v>
      </c>
      <c r="H262" s="15">
        <v>60000</v>
      </c>
      <c r="I262" s="2">
        <v>42000</v>
      </c>
      <c r="J262" s="192">
        <v>18000</v>
      </c>
      <c r="K262" s="1" t="s">
        <v>2938</v>
      </c>
      <c r="L262" s="11">
        <v>90000</v>
      </c>
      <c r="M262" s="11">
        <v>75630.252100840342</v>
      </c>
      <c r="N262" s="11">
        <v>14369.747899159665</v>
      </c>
      <c r="O262" s="11">
        <v>120000</v>
      </c>
      <c r="P262" s="11">
        <v>100840.33613445378</v>
      </c>
      <c r="Q262" s="11">
        <v>19159.663865546219</v>
      </c>
      <c r="R262" s="11">
        <v>4789.9159663865539</v>
      </c>
      <c r="S262" s="11">
        <v>25210.084033613442</v>
      </c>
      <c r="T262" s="11"/>
    </row>
    <row r="263" spans="1:20" hidden="1" x14ac:dyDescent="0.25">
      <c r="A263" s="56">
        <v>44803</v>
      </c>
      <c r="B263" s="4" t="s">
        <v>2939</v>
      </c>
      <c r="C263" s="191" t="s">
        <v>1394</v>
      </c>
      <c r="D263" s="1" t="s">
        <v>1395</v>
      </c>
      <c r="E263" s="4" t="s">
        <v>240</v>
      </c>
      <c r="F263" s="1" t="s">
        <v>2446</v>
      </c>
      <c r="G263" s="10" t="s">
        <v>341</v>
      </c>
      <c r="H263" s="15">
        <v>10000</v>
      </c>
      <c r="I263" s="2">
        <v>7000</v>
      </c>
      <c r="J263" s="192">
        <v>3000</v>
      </c>
      <c r="L263" s="11"/>
      <c r="M263" s="11">
        <v>0</v>
      </c>
      <c r="N263" s="11">
        <v>0</v>
      </c>
      <c r="O263" s="11"/>
      <c r="P263" s="11">
        <v>0</v>
      </c>
      <c r="Q263" s="11">
        <v>0</v>
      </c>
      <c r="R263" s="11">
        <v>0</v>
      </c>
      <c r="S263" s="11">
        <v>0</v>
      </c>
      <c r="T263" s="11"/>
    </row>
    <row r="264" spans="1:20" hidden="1" x14ac:dyDescent="0.25">
      <c r="A264" s="56">
        <v>44803</v>
      </c>
      <c r="B264" s="4" t="s">
        <v>2940</v>
      </c>
      <c r="C264" s="191" t="s">
        <v>2941</v>
      </c>
      <c r="D264" s="1" t="s">
        <v>2943</v>
      </c>
      <c r="E264" s="4" t="s">
        <v>2942</v>
      </c>
      <c r="F264" s="1" t="s">
        <v>603</v>
      </c>
      <c r="G264" s="10" t="s">
        <v>2944</v>
      </c>
      <c r="H264" s="15">
        <v>60000</v>
      </c>
      <c r="I264" s="2">
        <v>50000</v>
      </c>
      <c r="J264" s="192">
        <v>10000</v>
      </c>
      <c r="K264" s="1" t="s">
        <v>2945</v>
      </c>
      <c r="L264" s="11">
        <v>272000</v>
      </c>
      <c r="M264" s="11">
        <v>228571.42857142858</v>
      </c>
      <c r="N264" s="11">
        <v>43428.571428571428</v>
      </c>
      <c r="O264" s="11">
        <v>390000</v>
      </c>
      <c r="P264" s="11">
        <v>327731.09243697481</v>
      </c>
      <c r="Q264" s="11">
        <v>62268.907563025212</v>
      </c>
      <c r="R264" s="11">
        <v>18840.336134453784</v>
      </c>
      <c r="S264" s="11">
        <v>99159.66386554623</v>
      </c>
      <c r="T264" s="11"/>
    </row>
    <row r="265" spans="1:20" hidden="1" x14ac:dyDescent="0.25">
      <c r="A265" s="56">
        <v>44803</v>
      </c>
      <c r="C265" s="191" t="s">
        <v>2946</v>
      </c>
      <c r="D265" s="1" t="s">
        <v>2948</v>
      </c>
      <c r="E265" s="4" t="s">
        <v>2947</v>
      </c>
      <c r="F265" s="1" t="s">
        <v>16</v>
      </c>
      <c r="G265" s="10" t="s">
        <v>2949</v>
      </c>
      <c r="H265" s="15">
        <v>100000</v>
      </c>
      <c r="I265" s="2">
        <v>60000</v>
      </c>
      <c r="J265" s="192">
        <v>40000</v>
      </c>
      <c r="K265" s="1" t="s">
        <v>2950</v>
      </c>
      <c r="L265" s="11">
        <v>5400</v>
      </c>
      <c r="M265" s="11">
        <v>4537.8151260504201</v>
      </c>
      <c r="N265" s="11">
        <v>862.18487394957981</v>
      </c>
      <c r="O265" s="11">
        <v>13000</v>
      </c>
      <c r="P265" s="11">
        <v>10924.36974789916</v>
      </c>
      <c r="Q265" s="11">
        <v>2075.6302521008406</v>
      </c>
      <c r="R265" s="11">
        <v>1213.4453781512607</v>
      </c>
      <c r="S265" s="11">
        <v>6386.5546218487398</v>
      </c>
      <c r="T265" s="11"/>
    </row>
    <row r="266" spans="1:20" hidden="1" x14ac:dyDescent="0.25">
      <c r="A266" s="56">
        <v>44803</v>
      </c>
      <c r="B266" s="4" t="s">
        <v>2951</v>
      </c>
      <c r="C266" s="191" t="s">
        <v>2952</v>
      </c>
      <c r="D266" s="1" t="s">
        <v>2953</v>
      </c>
      <c r="E266" s="4" t="s">
        <v>59</v>
      </c>
      <c r="F266" s="1" t="s">
        <v>2446</v>
      </c>
      <c r="G266" s="10" t="s">
        <v>2954</v>
      </c>
      <c r="H266" s="15">
        <v>60000</v>
      </c>
      <c r="I266" s="2">
        <v>42000</v>
      </c>
      <c r="J266" s="192">
        <v>18000</v>
      </c>
      <c r="K266" s="1" t="s">
        <v>2955</v>
      </c>
      <c r="L266" s="11">
        <v>247000</v>
      </c>
      <c r="M266" s="11">
        <v>207563.02521008404</v>
      </c>
      <c r="N266" s="11">
        <v>39436.97478991597</v>
      </c>
      <c r="O266" s="11">
        <v>352000</v>
      </c>
      <c r="P266" s="11">
        <v>295798.31932773109</v>
      </c>
      <c r="Q266" s="11">
        <v>56201.680672268907</v>
      </c>
      <c r="R266" s="11">
        <v>16764.705882352937</v>
      </c>
      <c r="S266" s="11">
        <v>88235.294117647049</v>
      </c>
      <c r="T266" s="11"/>
    </row>
    <row r="267" spans="1:20" hidden="1" x14ac:dyDescent="0.25">
      <c r="A267" s="56">
        <v>44804</v>
      </c>
      <c r="B267" s="4" t="s">
        <v>2960</v>
      </c>
      <c r="C267" s="191" t="s">
        <v>2228</v>
      </c>
      <c r="D267" s="1" t="s">
        <v>2961</v>
      </c>
      <c r="E267" s="4" t="s">
        <v>168</v>
      </c>
      <c r="F267" s="1" t="s">
        <v>2446</v>
      </c>
      <c r="G267" s="10" t="s">
        <v>2986</v>
      </c>
      <c r="H267" s="15">
        <v>90000</v>
      </c>
      <c r="I267" s="2">
        <v>62999.999999999993</v>
      </c>
      <c r="J267" s="192">
        <v>27000.000000000007</v>
      </c>
      <c r="L267" s="11"/>
      <c r="M267" s="11"/>
      <c r="N267" s="11">
        <v>0</v>
      </c>
      <c r="O267" s="11"/>
      <c r="P267" s="11"/>
      <c r="Q267" s="11">
        <v>0</v>
      </c>
      <c r="R267" s="11">
        <v>0</v>
      </c>
      <c r="S267" s="11">
        <v>0</v>
      </c>
      <c r="T267" s="11"/>
    </row>
    <row r="268" spans="1:20" ht="45" x14ac:dyDescent="0.25">
      <c r="A268" s="56">
        <v>44804</v>
      </c>
      <c r="B268" s="4" t="s">
        <v>2960</v>
      </c>
      <c r="C268" s="191" t="s">
        <v>2228</v>
      </c>
      <c r="D268" s="1" t="s">
        <v>2961</v>
      </c>
      <c r="E268" s="4" t="s">
        <v>168</v>
      </c>
      <c r="F268" s="1" t="s">
        <v>10</v>
      </c>
      <c r="G268" s="10" t="s">
        <v>2962</v>
      </c>
      <c r="H268" s="15">
        <v>360000</v>
      </c>
      <c r="I268" s="2">
        <v>251999.99999999997</v>
      </c>
      <c r="J268" s="192">
        <v>108000.00000000003</v>
      </c>
      <c r="K268" s="1" t="s">
        <v>2963</v>
      </c>
      <c r="L268" s="11">
        <v>430000</v>
      </c>
      <c r="M268" s="11"/>
      <c r="N268" s="11">
        <v>0</v>
      </c>
      <c r="O268" s="11">
        <v>562500</v>
      </c>
      <c r="P268" s="11"/>
      <c r="Q268" s="11">
        <v>0</v>
      </c>
      <c r="R268" s="11">
        <v>0</v>
      </c>
      <c r="S268" s="11">
        <v>132500</v>
      </c>
      <c r="T268" s="11"/>
    </row>
    <row r="269" spans="1:20" ht="45" hidden="1" x14ac:dyDescent="0.25">
      <c r="A269" s="56">
        <v>44805</v>
      </c>
      <c r="B269" s="4" t="s">
        <v>2964</v>
      </c>
      <c r="C269" s="191" t="s">
        <v>2965</v>
      </c>
      <c r="D269" s="1" t="s">
        <v>2966</v>
      </c>
      <c r="E269" s="4" t="s">
        <v>2392</v>
      </c>
      <c r="F269" s="1" t="s">
        <v>2446</v>
      </c>
      <c r="G269" s="10" t="s">
        <v>2967</v>
      </c>
      <c r="H269" s="15">
        <v>90000</v>
      </c>
      <c r="I269" s="2">
        <v>62999.999999999993</v>
      </c>
      <c r="J269" s="192">
        <v>27000.000000000007</v>
      </c>
      <c r="K269" s="1" t="s">
        <v>2968</v>
      </c>
      <c r="L269" s="11">
        <v>18000</v>
      </c>
      <c r="M269" s="11">
        <v>15126.050420168069</v>
      </c>
      <c r="N269" s="11">
        <v>2873.9495798319331</v>
      </c>
      <c r="O269" s="11">
        <v>41600</v>
      </c>
      <c r="P269" s="11">
        <v>34957.983193277316</v>
      </c>
      <c r="Q269" s="11">
        <v>6642.0168067226905</v>
      </c>
      <c r="R269" s="11">
        <v>3768.0672268907574</v>
      </c>
      <c r="S269" s="11">
        <v>19831.932773109242</v>
      </c>
      <c r="T269" s="11"/>
    </row>
    <row r="270" spans="1:20" hidden="1" x14ac:dyDescent="0.25">
      <c r="A270" s="56">
        <v>44806</v>
      </c>
      <c r="B270" s="4" t="s">
        <v>2969</v>
      </c>
      <c r="C270" s="191" t="s">
        <v>2970</v>
      </c>
      <c r="D270" s="1" t="s">
        <v>1719</v>
      </c>
      <c r="E270" s="4" t="s">
        <v>2631</v>
      </c>
      <c r="F270" s="1" t="s">
        <v>603</v>
      </c>
      <c r="G270" s="10" t="s">
        <v>2598</v>
      </c>
      <c r="H270" s="15">
        <v>40000</v>
      </c>
      <c r="I270" s="2">
        <v>24000</v>
      </c>
      <c r="J270" s="192">
        <v>16000</v>
      </c>
      <c r="L270" s="11"/>
      <c r="M270" s="11">
        <v>0</v>
      </c>
      <c r="N270" s="11">
        <v>0</v>
      </c>
      <c r="O270" s="11"/>
      <c r="P270" s="11">
        <v>0</v>
      </c>
      <c r="Q270" s="11">
        <v>0</v>
      </c>
      <c r="R270" s="11">
        <v>0</v>
      </c>
      <c r="S270" s="11">
        <v>0</v>
      </c>
      <c r="T270" s="11"/>
    </row>
    <row r="271" spans="1:20" hidden="1" x14ac:dyDescent="0.25">
      <c r="A271" s="56">
        <v>44806</v>
      </c>
      <c r="B271" s="4" t="s">
        <v>2971</v>
      </c>
      <c r="C271" s="191" t="s">
        <v>720</v>
      </c>
      <c r="D271" s="1" t="s">
        <v>633</v>
      </c>
      <c r="E271" s="4" t="s">
        <v>240</v>
      </c>
      <c r="F271" s="1" t="s">
        <v>2446</v>
      </c>
      <c r="G271" s="10" t="s">
        <v>2972</v>
      </c>
      <c r="H271" s="15">
        <v>30000</v>
      </c>
      <c r="I271" s="2">
        <v>21000</v>
      </c>
      <c r="J271" s="192">
        <v>9000</v>
      </c>
      <c r="K271" s="1" t="s">
        <v>2973</v>
      </c>
      <c r="L271" s="11">
        <v>10000</v>
      </c>
      <c r="M271" s="11"/>
      <c r="N271" s="11">
        <v>0</v>
      </c>
      <c r="O271" s="11">
        <v>30000</v>
      </c>
      <c r="P271" s="11"/>
      <c r="Q271" s="11">
        <v>0</v>
      </c>
      <c r="R271" s="11">
        <v>0</v>
      </c>
      <c r="S271" s="11">
        <v>20000</v>
      </c>
      <c r="T271" s="11"/>
    </row>
    <row r="272" spans="1:20" ht="30" hidden="1" x14ac:dyDescent="0.25">
      <c r="A272" s="56">
        <v>44806</v>
      </c>
      <c r="B272" s="4" t="s">
        <v>2974</v>
      </c>
      <c r="C272" s="191" t="s">
        <v>2975</v>
      </c>
      <c r="D272" s="1" t="s">
        <v>2976</v>
      </c>
      <c r="E272" s="4" t="s">
        <v>59</v>
      </c>
      <c r="F272" s="1" t="s">
        <v>2446</v>
      </c>
      <c r="G272" s="10" t="s">
        <v>2977</v>
      </c>
      <c r="H272" s="15">
        <v>160000</v>
      </c>
      <c r="I272" s="2">
        <v>112000</v>
      </c>
      <c r="J272" s="192">
        <v>48000</v>
      </c>
      <c r="K272" s="1" t="s">
        <v>2978</v>
      </c>
      <c r="L272" s="11">
        <v>224000</v>
      </c>
      <c r="M272" s="11">
        <v>188235.29411764708</v>
      </c>
      <c r="N272" s="11">
        <v>35764.705882352944</v>
      </c>
      <c r="O272" s="11">
        <v>340000</v>
      </c>
      <c r="P272" s="11">
        <v>285714.28571428574</v>
      </c>
      <c r="Q272" s="11">
        <v>54285.71428571429</v>
      </c>
      <c r="R272" s="11">
        <v>18521.008403361346</v>
      </c>
      <c r="S272" s="11">
        <v>97478.991596638662</v>
      </c>
      <c r="T272" s="11"/>
    </row>
    <row r="273" spans="1:20" ht="30" hidden="1" x14ac:dyDescent="0.25">
      <c r="A273" s="56">
        <v>44806</v>
      </c>
      <c r="B273" s="4" t="s">
        <v>2981</v>
      </c>
      <c r="C273" s="191" t="s">
        <v>2979</v>
      </c>
      <c r="D273" s="1" t="s">
        <v>2980</v>
      </c>
      <c r="E273" s="4" t="s">
        <v>2856</v>
      </c>
      <c r="F273" s="1" t="s">
        <v>2446</v>
      </c>
      <c r="G273" s="10" t="s">
        <v>3228</v>
      </c>
      <c r="H273" s="15">
        <v>170000</v>
      </c>
      <c r="I273" s="2">
        <v>118999.99999999999</v>
      </c>
      <c r="J273" s="192">
        <v>51000.000000000015</v>
      </c>
      <c r="K273" s="1" t="s">
        <v>2983</v>
      </c>
      <c r="L273" s="11">
        <v>190000</v>
      </c>
      <c r="M273" s="11"/>
      <c r="N273" s="11"/>
      <c r="O273" s="11">
        <v>330000</v>
      </c>
      <c r="P273" s="11"/>
      <c r="Q273" s="11"/>
      <c r="R273" s="11"/>
      <c r="S273" s="11">
        <v>140000</v>
      </c>
      <c r="T273" s="11"/>
    </row>
    <row r="274" spans="1:20" hidden="1" x14ac:dyDescent="0.25">
      <c r="A274" s="56">
        <v>44806</v>
      </c>
      <c r="C274" s="191"/>
      <c r="E274" s="4" t="s">
        <v>566</v>
      </c>
      <c r="G274" s="10" t="s">
        <v>374</v>
      </c>
      <c r="I274" s="2">
        <v>200000</v>
      </c>
      <c r="J274" s="192">
        <v>-200000</v>
      </c>
      <c r="L274" s="11"/>
      <c r="M274" s="11">
        <v>0</v>
      </c>
      <c r="N274" s="11">
        <v>0</v>
      </c>
      <c r="O274" s="11"/>
      <c r="P274" s="11">
        <v>0</v>
      </c>
      <c r="Q274" s="11">
        <v>0</v>
      </c>
      <c r="R274" s="11">
        <v>0</v>
      </c>
      <c r="S274" s="11">
        <v>0</v>
      </c>
      <c r="T274" s="11"/>
    </row>
    <row r="275" spans="1:20" x14ac:dyDescent="0.25">
      <c r="A275" s="56">
        <v>44806</v>
      </c>
      <c r="B275" s="4" t="s">
        <v>2981</v>
      </c>
      <c r="C275" s="191" t="s">
        <v>2979</v>
      </c>
      <c r="D275" s="1" t="s">
        <v>2980</v>
      </c>
      <c r="E275" s="4" t="s">
        <v>2856</v>
      </c>
      <c r="F275" s="1" t="s">
        <v>10</v>
      </c>
      <c r="G275" s="10" t="s">
        <v>2982</v>
      </c>
      <c r="H275" s="15">
        <v>310000</v>
      </c>
      <c r="I275" s="2">
        <v>217000</v>
      </c>
      <c r="J275" s="192">
        <v>93000</v>
      </c>
      <c r="K275" s="1" t="s">
        <v>2984</v>
      </c>
      <c r="L275" s="11">
        <v>246000</v>
      </c>
      <c r="M275" s="11"/>
      <c r="N275" s="11"/>
      <c r="O275" s="11">
        <v>470000</v>
      </c>
      <c r="P275" s="11"/>
      <c r="Q275" s="11"/>
      <c r="R275" s="11"/>
      <c r="S275" s="11">
        <v>224000</v>
      </c>
      <c r="T275" s="11"/>
    </row>
    <row r="276" spans="1:20" hidden="1" x14ac:dyDescent="0.25">
      <c r="A276" s="56">
        <v>44807</v>
      </c>
      <c r="B276" s="4" t="s">
        <v>2987</v>
      </c>
      <c r="C276" s="191" t="s">
        <v>2988</v>
      </c>
      <c r="D276" s="1" t="s">
        <v>2989</v>
      </c>
      <c r="E276" s="4" t="s">
        <v>213</v>
      </c>
      <c r="F276" s="1" t="s">
        <v>2446</v>
      </c>
      <c r="G276" s="10" t="s">
        <v>2990</v>
      </c>
      <c r="H276" s="15">
        <v>50000</v>
      </c>
      <c r="I276" s="2">
        <v>35000</v>
      </c>
      <c r="J276" s="192">
        <v>15000</v>
      </c>
      <c r="K276" s="1" t="s">
        <v>2991</v>
      </c>
      <c r="L276" s="11">
        <v>10000</v>
      </c>
      <c r="M276" s="11">
        <v>8403.361344537816</v>
      </c>
      <c r="N276" s="11">
        <v>1596.6386554621849</v>
      </c>
      <c r="O276" s="11">
        <v>20000</v>
      </c>
      <c r="P276" s="11">
        <v>16806.722689075632</v>
      </c>
      <c r="Q276" s="11">
        <v>3193.2773109243699</v>
      </c>
      <c r="R276" s="11">
        <v>1596.6386554621849</v>
      </c>
      <c r="S276" s="11">
        <v>8403.3613445378141</v>
      </c>
      <c r="T276" s="11"/>
    </row>
    <row r="277" spans="1:20" hidden="1" x14ac:dyDescent="0.25">
      <c r="A277" s="56">
        <v>44807</v>
      </c>
      <c r="C277" s="191"/>
      <c r="D277" s="1" t="s">
        <v>2025</v>
      </c>
      <c r="E277" s="4"/>
      <c r="F277" s="1" t="s">
        <v>603</v>
      </c>
      <c r="G277" s="10" t="s">
        <v>1026</v>
      </c>
      <c r="I277" s="2">
        <v>20000</v>
      </c>
      <c r="J277" s="192">
        <v>-20000</v>
      </c>
      <c r="L277" s="11"/>
      <c r="M277" s="11">
        <v>0</v>
      </c>
      <c r="N277" s="11">
        <v>0</v>
      </c>
      <c r="O277" s="11"/>
      <c r="P277" s="11">
        <v>0</v>
      </c>
      <c r="Q277" s="11">
        <v>0</v>
      </c>
      <c r="R277" s="11">
        <v>0</v>
      </c>
      <c r="S277" s="11">
        <v>0</v>
      </c>
      <c r="T277" s="11"/>
    </row>
    <row r="278" spans="1:20" hidden="1" x14ac:dyDescent="0.25">
      <c r="A278" s="56">
        <v>44807</v>
      </c>
      <c r="B278" s="4" t="s">
        <v>1539</v>
      </c>
      <c r="C278" s="191" t="s">
        <v>2992</v>
      </c>
      <c r="D278" s="1" t="s">
        <v>2994</v>
      </c>
      <c r="E278" s="4" t="s">
        <v>2993</v>
      </c>
      <c r="F278" s="1" t="s">
        <v>2446</v>
      </c>
      <c r="G278" s="10" t="s">
        <v>2995</v>
      </c>
      <c r="H278" s="15">
        <v>80000</v>
      </c>
      <c r="I278" s="2">
        <v>56000</v>
      </c>
      <c r="J278" s="192">
        <v>24000</v>
      </c>
      <c r="K278" s="1" t="s">
        <v>2996</v>
      </c>
      <c r="L278" s="11">
        <v>500</v>
      </c>
      <c r="M278" s="11">
        <v>420.1680672268908</v>
      </c>
      <c r="N278" s="11">
        <v>79.831932773109259</v>
      </c>
      <c r="O278" s="11">
        <v>1000</v>
      </c>
      <c r="P278" s="11">
        <v>840.3361344537816</v>
      </c>
      <c r="Q278" s="11">
        <v>159.66386554621852</v>
      </c>
      <c r="R278" s="11">
        <v>79.831932773109259</v>
      </c>
      <c r="S278" s="11">
        <v>420.1680672268908</v>
      </c>
      <c r="T278" s="11"/>
    </row>
    <row r="279" spans="1:20" hidden="1" x14ac:dyDescent="0.25">
      <c r="A279" s="56"/>
      <c r="C279" s="191"/>
      <c r="E279" s="4" t="s">
        <v>59</v>
      </c>
      <c r="F279" s="1" t="s">
        <v>2446</v>
      </c>
      <c r="G279" s="10" t="s">
        <v>21</v>
      </c>
      <c r="H279" s="15">
        <v>10000</v>
      </c>
      <c r="I279" s="2">
        <v>7000</v>
      </c>
      <c r="J279" s="192">
        <v>3000</v>
      </c>
      <c r="L279" s="11"/>
      <c r="M279" s="11">
        <v>0</v>
      </c>
      <c r="N279" s="11">
        <v>0</v>
      </c>
      <c r="O279" s="11"/>
      <c r="P279" s="11">
        <v>0</v>
      </c>
      <c r="Q279" s="11">
        <v>0</v>
      </c>
      <c r="R279" s="11">
        <v>0</v>
      </c>
      <c r="S279" s="11">
        <v>0</v>
      </c>
      <c r="T279" s="11"/>
    </row>
    <row r="280" spans="1:20" hidden="1" x14ac:dyDescent="0.25">
      <c r="A280" s="56">
        <v>44807</v>
      </c>
      <c r="B280" s="4" t="s">
        <v>2997</v>
      </c>
      <c r="C280" s="191" t="s">
        <v>2998</v>
      </c>
      <c r="D280" s="1" t="s">
        <v>3000</v>
      </c>
      <c r="E280" s="4" t="s">
        <v>2999</v>
      </c>
      <c r="F280" s="1" t="s">
        <v>2446</v>
      </c>
      <c r="G280" s="10" t="s">
        <v>3001</v>
      </c>
      <c r="H280" s="15">
        <v>60000</v>
      </c>
      <c r="I280" s="2">
        <v>42000</v>
      </c>
      <c r="J280" s="192">
        <v>18000</v>
      </c>
      <c r="K280" s="1" t="s">
        <v>3002</v>
      </c>
      <c r="L280" s="11">
        <v>123000</v>
      </c>
      <c r="M280" s="11">
        <v>103361.34453781514</v>
      </c>
      <c r="N280" s="11">
        <v>19638.655462184877</v>
      </c>
      <c r="O280" s="11">
        <v>170000</v>
      </c>
      <c r="P280" s="11">
        <v>142857.14285714287</v>
      </c>
      <c r="Q280" s="11">
        <v>27142.857142857145</v>
      </c>
      <c r="R280" s="11">
        <v>7504.2016806722677</v>
      </c>
      <c r="S280" s="11">
        <v>39495.798319327732</v>
      </c>
      <c r="T280" s="11"/>
    </row>
    <row r="281" spans="1:20" hidden="1" x14ac:dyDescent="0.25">
      <c r="A281" s="56">
        <v>44807</v>
      </c>
      <c r="B281" s="4" t="s">
        <v>3003</v>
      </c>
      <c r="C281" s="191" t="s">
        <v>1702</v>
      </c>
      <c r="D281" s="1" t="s">
        <v>674</v>
      </c>
      <c r="E281" s="4" t="s">
        <v>3004</v>
      </c>
      <c r="F281" s="1" t="s">
        <v>603</v>
      </c>
      <c r="G281" s="10" t="s">
        <v>20</v>
      </c>
      <c r="H281" s="15">
        <v>40000</v>
      </c>
      <c r="I281" s="2">
        <v>24000</v>
      </c>
      <c r="J281" s="192">
        <v>16000</v>
      </c>
      <c r="K281" s="1" t="s">
        <v>1585</v>
      </c>
      <c r="L281" s="11">
        <v>126000</v>
      </c>
      <c r="M281" s="11">
        <v>105882.35294117648</v>
      </c>
      <c r="N281" s="11">
        <v>20117.647058823532</v>
      </c>
      <c r="O281" s="11">
        <v>185000</v>
      </c>
      <c r="P281" s="11">
        <v>155462.18487394959</v>
      </c>
      <c r="Q281" s="11">
        <v>29537.815126050424</v>
      </c>
      <c r="R281" s="11">
        <v>9420.1680672268922</v>
      </c>
      <c r="S281" s="11">
        <v>49579.831932773115</v>
      </c>
      <c r="T281" s="11"/>
    </row>
    <row r="282" spans="1:20" ht="30" hidden="1" x14ac:dyDescent="0.25">
      <c r="A282" s="56">
        <v>44808</v>
      </c>
      <c r="B282" s="4" t="s">
        <v>3009</v>
      </c>
      <c r="C282" s="191" t="s">
        <v>3005</v>
      </c>
      <c r="D282" s="1" t="s">
        <v>3006</v>
      </c>
      <c r="E282" s="4" t="s">
        <v>136</v>
      </c>
      <c r="F282" s="1" t="s">
        <v>2446</v>
      </c>
      <c r="G282" s="10" t="s">
        <v>3007</v>
      </c>
      <c r="H282" s="15">
        <v>100000</v>
      </c>
      <c r="I282" s="2">
        <v>40000</v>
      </c>
      <c r="J282" s="192">
        <v>30000</v>
      </c>
      <c r="K282" s="1" t="s">
        <v>3008</v>
      </c>
      <c r="L282" s="11">
        <v>408058</v>
      </c>
      <c r="M282" s="11">
        <v>342905.8823529412</v>
      </c>
      <c r="N282" s="11">
        <v>65152.117647058833</v>
      </c>
      <c r="O282" s="11">
        <v>700000</v>
      </c>
      <c r="P282" s="11">
        <v>588235.29411764711</v>
      </c>
      <c r="Q282" s="11">
        <v>111764.70588235295</v>
      </c>
      <c r="R282" s="11">
        <v>46612.588235294119</v>
      </c>
      <c r="S282" s="11">
        <v>245329.4117647059</v>
      </c>
      <c r="T282" s="11"/>
    </row>
    <row r="283" spans="1:20" hidden="1" x14ac:dyDescent="0.25">
      <c r="A283" s="56">
        <v>44809</v>
      </c>
      <c r="B283" s="4" t="s">
        <v>3010</v>
      </c>
      <c r="C283" s="191" t="s">
        <v>1702</v>
      </c>
      <c r="D283" s="1" t="s">
        <v>674</v>
      </c>
      <c r="E283" s="4" t="s">
        <v>574</v>
      </c>
      <c r="F283" s="1" t="s">
        <v>603</v>
      </c>
      <c r="G283" s="10" t="s">
        <v>3011</v>
      </c>
      <c r="H283" s="15">
        <v>80000</v>
      </c>
      <c r="I283" s="2">
        <v>48000</v>
      </c>
      <c r="J283" s="192">
        <v>32000</v>
      </c>
      <c r="K283" s="1" t="s">
        <v>3012</v>
      </c>
      <c r="L283" s="11">
        <v>90000</v>
      </c>
      <c r="M283" s="11">
        <v>75630.252100840342</v>
      </c>
      <c r="N283" s="11">
        <v>14369.747899159665</v>
      </c>
      <c r="O283" s="11">
        <v>180000</v>
      </c>
      <c r="P283" s="11">
        <v>151260.50420168068</v>
      </c>
      <c r="Q283" s="11">
        <v>28739.495798319331</v>
      </c>
      <c r="R283" s="11">
        <v>14369.747899159665</v>
      </c>
      <c r="S283" s="11">
        <v>75630.252100840327</v>
      </c>
      <c r="T283" s="11"/>
    </row>
    <row r="284" spans="1:20" hidden="1" x14ac:dyDescent="0.25">
      <c r="A284" s="56">
        <v>44809</v>
      </c>
      <c r="C284" s="191"/>
      <c r="D284" s="1" t="s">
        <v>3013</v>
      </c>
      <c r="E284" s="4" t="s">
        <v>48</v>
      </c>
      <c r="F284" s="1" t="s">
        <v>2446</v>
      </c>
      <c r="G284" s="10" t="s">
        <v>21</v>
      </c>
      <c r="H284" s="15">
        <v>10000</v>
      </c>
      <c r="I284" s="2">
        <v>7000</v>
      </c>
      <c r="J284" s="192">
        <v>3000</v>
      </c>
      <c r="L284" s="11"/>
      <c r="M284" s="11">
        <v>0</v>
      </c>
      <c r="N284" s="11">
        <v>0</v>
      </c>
      <c r="O284" s="11"/>
      <c r="P284" s="11">
        <v>0</v>
      </c>
      <c r="Q284" s="11">
        <v>0</v>
      </c>
      <c r="R284" s="11">
        <v>0</v>
      </c>
      <c r="S284" s="11">
        <v>0</v>
      </c>
      <c r="T284" s="11"/>
    </row>
    <row r="285" spans="1:20" hidden="1" x14ac:dyDescent="0.25">
      <c r="A285" s="56">
        <v>44809</v>
      </c>
      <c r="B285" s="4" t="s">
        <v>3014</v>
      </c>
      <c r="C285" s="191" t="s">
        <v>2946</v>
      </c>
      <c r="D285" s="1" t="s">
        <v>3016</v>
      </c>
      <c r="E285" s="4" t="s">
        <v>3015</v>
      </c>
      <c r="F285" s="1" t="s">
        <v>603</v>
      </c>
      <c r="G285" s="10" t="s">
        <v>3017</v>
      </c>
      <c r="H285" s="15">
        <v>110000</v>
      </c>
      <c r="I285" s="2">
        <v>66000</v>
      </c>
      <c r="J285" s="192">
        <v>44000</v>
      </c>
      <c r="L285" s="11"/>
      <c r="M285" s="11">
        <v>0</v>
      </c>
      <c r="N285" s="11">
        <v>0</v>
      </c>
      <c r="O285" s="11"/>
      <c r="P285" s="11">
        <v>0</v>
      </c>
      <c r="Q285" s="11">
        <v>0</v>
      </c>
      <c r="R285" s="11">
        <v>0</v>
      </c>
      <c r="S285" s="11">
        <v>0</v>
      </c>
      <c r="T285" s="11"/>
    </row>
    <row r="286" spans="1:20" hidden="1" x14ac:dyDescent="0.25">
      <c r="A286" s="56">
        <v>44809</v>
      </c>
      <c r="B286" s="4" t="s">
        <v>3014</v>
      </c>
      <c r="C286" s="191" t="s">
        <v>2946</v>
      </c>
      <c r="D286" s="1" t="s">
        <v>3019</v>
      </c>
      <c r="E286" s="4" t="s">
        <v>122</v>
      </c>
      <c r="F286" s="1" t="s">
        <v>603</v>
      </c>
      <c r="G286" s="10" t="s">
        <v>3018</v>
      </c>
      <c r="H286" s="15">
        <v>110000</v>
      </c>
      <c r="I286" s="2">
        <v>66000</v>
      </c>
      <c r="J286" s="192">
        <v>44000</v>
      </c>
      <c r="L286" s="11"/>
      <c r="M286" s="11">
        <v>0</v>
      </c>
      <c r="N286" s="11">
        <v>0</v>
      </c>
      <c r="O286" s="11"/>
      <c r="P286" s="11">
        <v>0</v>
      </c>
      <c r="Q286" s="11">
        <v>0</v>
      </c>
      <c r="R286" s="11">
        <v>0</v>
      </c>
      <c r="S286" s="11">
        <v>0</v>
      </c>
      <c r="T286" s="11"/>
    </row>
    <row r="287" spans="1:20" hidden="1" x14ac:dyDescent="0.25">
      <c r="A287" s="56">
        <v>44810</v>
      </c>
      <c r="B287" s="4" t="s">
        <v>3020</v>
      </c>
      <c r="C287" s="191" t="s">
        <v>3021</v>
      </c>
      <c r="D287" s="1" t="s">
        <v>3022</v>
      </c>
      <c r="E287" s="4" t="s">
        <v>122</v>
      </c>
      <c r="F287" s="1" t="s">
        <v>16</v>
      </c>
      <c r="G287" s="10" t="s">
        <v>74</v>
      </c>
      <c r="H287" s="15">
        <v>30000</v>
      </c>
      <c r="I287" s="2">
        <v>18000</v>
      </c>
      <c r="J287" s="192">
        <v>12000</v>
      </c>
      <c r="K287" s="1" t="s">
        <v>3023</v>
      </c>
      <c r="L287" s="11">
        <v>2000</v>
      </c>
      <c r="M287" s="11">
        <v>1680.6722689075632</v>
      </c>
      <c r="N287" s="11">
        <v>319.32773109243703</v>
      </c>
      <c r="O287" s="11">
        <v>3500</v>
      </c>
      <c r="P287" s="11">
        <v>2941.1764705882356</v>
      </c>
      <c r="Q287" s="11">
        <v>558.82352941176475</v>
      </c>
      <c r="R287" s="11">
        <v>239.49579831932772</v>
      </c>
      <c r="S287" s="11">
        <v>1260.5042016806724</v>
      </c>
      <c r="T287" s="11"/>
    </row>
    <row r="288" spans="1:20" hidden="1" x14ac:dyDescent="0.25">
      <c r="A288" s="56">
        <v>44811</v>
      </c>
      <c r="B288" s="4" t="s">
        <v>3027</v>
      </c>
      <c r="C288" s="191" t="s">
        <v>814</v>
      </c>
      <c r="D288" s="1" t="s">
        <v>816</v>
      </c>
      <c r="E288" s="4" t="s">
        <v>815</v>
      </c>
      <c r="F288" s="1" t="s">
        <v>603</v>
      </c>
      <c r="G288" s="10" t="s">
        <v>1157</v>
      </c>
      <c r="H288" s="15">
        <v>60000</v>
      </c>
      <c r="I288" s="2">
        <v>36000</v>
      </c>
      <c r="J288" s="192">
        <v>24000</v>
      </c>
      <c r="K288" s="1" t="s">
        <v>3028</v>
      </c>
      <c r="L288" s="11">
        <v>36000</v>
      </c>
      <c r="M288" s="11">
        <v>30252.100840336137</v>
      </c>
      <c r="N288" s="11">
        <v>5747.8991596638662</v>
      </c>
      <c r="O288" s="11">
        <v>50000</v>
      </c>
      <c r="P288" s="11">
        <v>42016.806722689078</v>
      </c>
      <c r="Q288" s="11">
        <v>7983.1932773109247</v>
      </c>
      <c r="R288" s="11">
        <v>2235.2941176470586</v>
      </c>
      <c r="S288" s="11">
        <v>11764.705882352944</v>
      </c>
      <c r="T288" s="11"/>
    </row>
    <row r="289" spans="1:20" hidden="1" x14ac:dyDescent="0.25">
      <c r="A289" s="56">
        <v>44811</v>
      </c>
      <c r="B289" s="4" t="s">
        <v>3029</v>
      </c>
      <c r="C289" s="191" t="s">
        <v>2141</v>
      </c>
      <c r="D289" s="1" t="s">
        <v>546</v>
      </c>
      <c r="E289" s="4" t="s">
        <v>574</v>
      </c>
      <c r="F289" s="1" t="s">
        <v>603</v>
      </c>
      <c r="G289" s="10" t="s">
        <v>3030</v>
      </c>
      <c r="H289" s="15">
        <v>50000</v>
      </c>
      <c r="I289" s="2">
        <v>30000</v>
      </c>
      <c r="J289" s="192">
        <v>20000</v>
      </c>
      <c r="L289" s="11"/>
      <c r="M289" s="11">
        <v>0</v>
      </c>
      <c r="N289" s="11">
        <v>0</v>
      </c>
      <c r="O289" s="11"/>
      <c r="P289" s="11">
        <v>0</v>
      </c>
      <c r="Q289" s="11">
        <v>0</v>
      </c>
      <c r="R289" s="11">
        <v>0</v>
      </c>
      <c r="S289" s="11">
        <v>0</v>
      </c>
      <c r="T289" s="11"/>
    </row>
    <row r="290" spans="1:20" hidden="1" x14ac:dyDescent="0.25">
      <c r="A290" s="56">
        <v>44811</v>
      </c>
      <c r="B290" s="4" t="s">
        <v>3031</v>
      </c>
      <c r="C290" s="191" t="s">
        <v>646</v>
      </c>
      <c r="D290" s="1" t="s">
        <v>1435</v>
      </c>
      <c r="E290" s="4" t="s">
        <v>1434</v>
      </c>
      <c r="F290" s="1" t="s">
        <v>2446</v>
      </c>
      <c r="G290" s="10" t="s">
        <v>2464</v>
      </c>
      <c r="H290" s="15">
        <v>300000</v>
      </c>
      <c r="I290" s="2">
        <v>210000</v>
      </c>
      <c r="J290" s="192">
        <v>90000</v>
      </c>
      <c r="L290" s="11"/>
      <c r="M290" s="11">
        <v>0</v>
      </c>
      <c r="N290" s="11">
        <v>0</v>
      </c>
      <c r="O290" s="11"/>
      <c r="P290" s="11">
        <v>0</v>
      </c>
      <c r="Q290" s="11">
        <v>0</v>
      </c>
      <c r="R290" s="11">
        <v>0</v>
      </c>
      <c r="S290" s="11">
        <v>0</v>
      </c>
      <c r="T290" s="11"/>
    </row>
    <row r="291" spans="1:20" ht="30" hidden="1" x14ac:dyDescent="0.25">
      <c r="A291" s="56">
        <v>44811</v>
      </c>
      <c r="B291" s="4" t="s">
        <v>3037</v>
      </c>
      <c r="C291" s="191" t="s">
        <v>3032</v>
      </c>
      <c r="D291" s="1" t="s">
        <v>3034</v>
      </c>
      <c r="E291" s="4" t="s">
        <v>3033</v>
      </c>
      <c r="F291" s="1" t="s">
        <v>2446</v>
      </c>
      <c r="G291" s="10" t="s">
        <v>3035</v>
      </c>
      <c r="H291" s="15">
        <v>350000</v>
      </c>
      <c r="I291" s="2">
        <v>244999.99999999997</v>
      </c>
      <c r="J291" s="192">
        <v>105000.00000000003</v>
      </c>
      <c r="K291" s="1" t="s">
        <v>3036</v>
      </c>
      <c r="L291" s="11">
        <v>1320000</v>
      </c>
      <c r="M291" s="11"/>
      <c r="N291" s="11">
        <v>0</v>
      </c>
      <c r="O291" s="11">
        <v>2016000</v>
      </c>
      <c r="P291" s="11"/>
      <c r="Q291" s="11">
        <v>0</v>
      </c>
      <c r="R291" s="11">
        <v>0</v>
      </c>
      <c r="S291" s="11">
        <v>696000</v>
      </c>
      <c r="T291" s="11"/>
    </row>
    <row r="292" spans="1:20" x14ac:dyDescent="0.25">
      <c r="A292" s="56">
        <v>44812</v>
      </c>
      <c r="B292" s="4" t="s">
        <v>3038</v>
      </c>
      <c r="C292" s="191" t="s">
        <v>3039</v>
      </c>
      <c r="D292" s="1" t="s">
        <v>3040</v>
      </c>
      <c r="E292" s="4" t="s">
        <v>1414</v>
      </c>
      <c r="F292" s="1" t="s">
        <v>10</v>
      </c>
      <c r="G292" s="10" t="s">
        <v>1407</v>
      </c>
      <c r="H292" s="15">
        <v>300000</v>
      </c>
      <c r="I292" s="2">
        <v>210000</v>
      </c>
      <c r="J292" s="192">
        <v>90000</v>
      </c>
      <c r="K292" s="1" t="s">
        <v>3041</v>
      </c>
      <c r="L292" s="11">
        <v>428000</v>
      </c>
      <c r="M292" s="11"/>
      <c r="N292" s="11">
        <v>0</v>
      </c>
      <c r="O292" s="11">
        <v>580000</v>
      </c>
      <c r="P292" s="11"/>
      <c r="Q292" s="11">
        <v>0</v>
      </c>
      <c r="R292" s="11">
        <v>0</v>
      </c>
      <c r="S292" s="11">
        <v>152000</v>
      </c>
      <c r="T292" s="11"/>
    </row>
    <row r="293" spans="1:20" hidden="1" x14ac:dyDescent="0.25">
      <c r="A293" s="56">
        <v>44812</v>
      </c>
      <c r="B293" s="4" t="s">
        <v>3042</v>
      </c>
      <c r="C293" s="191" t="s">
        <v>3043</v>
      </c>
      <c r="D293" s="1" t="s">
        <v>3044</v>
      </c>
      <c r="E293" s="4" t="s">
        <v>218</v>
      </c>
      <c r="F293" s="1" t="s">
        <v>16</v>
      </c>
      <c r="G293" s="10" t="s">
        <v>3045</v>
      </c>
      <c r="H293" s="15">
        <v>90000</v>
      </c>
      <c r="I293" s="2">
        <v>54000</v>
      </c>
      <c r="J293" s="192">
        <v>36000</v>
      </c>
      <c r="L293" s="11"/>
      <c r="M293" s="11">
        <v>0</v>
      </c>
      <c r="N293" s="11">
        <v>0</v>
      </c>
      <c r="O293" s="11"/>
      <c r="P293" s="11">
        <v>0</v>
      </c>
      <c r="Q293" s="11">
        <v>0</v>
      </c>
      <c r="R293" s="11">
        <v>0</v>
      </c>
      <c r="S293" s="11">
        <v>0</v>
      </c>
      <c r="T293" s="11"/>
    </row>
    <row r="294" spans="1:20" hidden="1" x14ac:dyDescent="0.25">
      <c r="A294" s="56">
        <v>44812</v>
      </c>
      <c r="C294" s="191"/>
      <c r="E294" s="4" t="s">
        <v>3046</v>
      </c>
      <c r="F294" s="1" t="s">
        <v>34</v>
      </c>
      <c r="G294" s="10" t="s">
        <v>3047</v>
      </c>
      <c r="H294" s="15">
        <v>20000</v>
      </c>
      <c r="I294" s="2">
        <v>12000</v>
      </c>
      <c r="J294" s="192">
        <v>8000</v>
      </c>
      <c r="L294" s="11"/>
      <c r="M294" s="11">
        <v>0</v>
      </c>
      <c r="N294" s="11">
        <v>0</v>
      </c>
      <c r="O294" s="11"/>
      <c r="P294" s="11">
        <v>0</v>
      </c>
      <c r="Q294" s="11">
        <v>0</v>
      </c>
      <c r="R294" s="11">
        <v>0</v>
      </c>
      <c r="S294" s="11">
        <v>0</v>
      </c>
      <c r="T294" s="11"/>
    </row>
    <row r="295" spans="1:20" hidden="1" x14ac:dyDescent="0.25">
      <c r="A295" s="56">
        <v>44812</v>
      </c>
      <c r="B295" s="4" t="s">
        <v>3049</v>
      </c>
      <c r="C295" s="191" t="s">
        <v>3048</v>
      </c>
      <c r="D295" s="1" t="s">
        <v>3050</v>
      </c>
      <c r="E295" s="4" t="s">
        <v>213</v>
      </c>
      <c r="F295" s="1" t="s">
        <v>2446</v>
      </c>
      <c r="G295" s="10" t="s">
        <v>3051</v>
      </c>
      <c r="H295" s="15">
        <v>60000</v>
      </c>
      <c r="I295" s="2">
        <v>42000</v>
      </c>
      <c r="J295" s="192">
        <v>18000</v>
      </c>
      <c r="K295" s="1" t="s">
        <v>3052</v>
      </c>
      <c r="L295" s="11">
        <v>96000</v>
      </c>
      <c r="M295" s="11">
        <v>80672.268907563033</v>
      </c>
      <c r="N295" s="11">
        <v>15327.731092436976</v>
      </c>
      <c r="O295" s="11">
        <v>170000</v>
      </c>
      <c r="P295" s="11">
        <v>142857.14285714287</v>
      </c>
      <c r="Q295" s="11">
        <v>27142.857142857145</v>
      </c>
      <c r="R295" s="11">
        <v>11815.126050420169</v>
      </c>
      <c r="S295" s="11">
        <v>62184.873949579836</v>
      </c>
      <c r="T295" s="11"/>
    </row>
    <row r="296" spans="1:20" x14ac:dyDescent="0.25">
      <c r="A296" s="56">
        <v>44812</v>
      </c>
      <c r="B296" s="4" t="s">
        <v>3053</v>
      </c>
      <c r="C296" s="191" t="s">
        <v>3054</v>
      </c>
      <c r="D296" s="1" t="s">
        <v>2173</v>
      </c>
      <c r="E296" s="4" t="s">
        <v>566</v>
      </c>
      <c r="F296" s="1" t="s">
        <v>10</v>
      </c>
      <c r="G296" s="10" t="s">
        <v>2183</v>
      </c>
      <c r="H296" s="15">
        <v>1000000</v>
      </c>
      <c r="I296" s="2">
        <v>500000</v>
      </c>
      <c r="J296" s="192">
        <v>300000</v>
      </c>
      <c r="K296" s="1" t="s">
        <v>3055</v>
      </c>
      <c r="L296" s="11">
        <v>2010000</v>
      </c>
      <c r="M296" s="11"/>
      <c r="N296" s="11">
        <v>0</v>
      </c>
      <c r="O296" s="11">
        <v>2638000</v>
      </c>
      <c r="P296" s="11"/>
      <c r="Q296" s="11">
        <v>0</v>
      </c>
      <c r="R296" s="11">
        <v>0</v>
      </c>
      <c r="S296" s="11">
        <v>628000</v>
      </c>
      <c r="T296" s="11"/>
    </row>
    <row r="297" spans="1:20" ht="30" hidden="1" x14ac:dyDescent="0.25">
      <c r="A297" s="56">
        <v>44810</v>
      </c>
      <c r="B297" s="4" t="s">
        <v>3024</v>
      </c>
      <c r="C297" s="191" t="s">
        <v>3025</v>
      </c>
      <c r="D297" s="1" t="s">
        <v>3026</v>
      </c>
      <c r="E297" s="4" t="s">
        <v>3070</v>
      </c>
      <c r="F297" s="1" t="s">
        <v>2446</v>
      </c>
      <c r="G297" s="10" t="s">
        <v>3056</v>
      </c>
      <c r="H297" s="15">
        <v>280000</v>
      </c>
      <c r="I297" s="2">
        <v>196000</v>
      </c>
      <c r="J297" s="192">
        <v>84000</v>
      </c>
      <c r="K297" s="1" t="s">
        <v>3057</v>
      </c>
      <c r="L297" s="11">
        <v>460000</v>
      </c>
      <c r="M297" s="11"/>
      <c r="N297" s="11">
        <v>0</v>
      </c>
      <c r="O297" s="11">
        <v>580000</v>
      </c>
      <c r="P297" s="11"/>
      <c r="Q297" s="11">
        <v>0</v>
      </c>
      <c r="R297" s="11">
        <v>0</v>
      </c>
      <c r="S297" s="11">
        <v>120000</v>
      </c>
      <c r="T297" s="11"/>
    </row>
    <row r="298" spans="1:20" hidden="1" x14ac:dyDescent="0.25">
      <c r="A298" s="56">
        <v>44813</v>
      </c>
      <c r="B298" s="4" t="s">
        <v>3058</v>
      </c>
      <c r="C298" s="191" t="s">
        <v>2522</v>
      </c>
      <c r="D298" s="1" t="s">
        <v>1971</v>
      </c>
      <c r="E298" s="4" t="s">
        <v>1970</v>
      </c>
      <c r="F298" s="1" t="s">
        <v>2446</v>
      </c>
      <c r="G298" s="10" t="s">
        <v>3059</v>
      </c>
      <c r="H298" s="15">
        <v>20000</v>
      </c>
      <c r="I298" s="2">
        <v>14000</v>
      </c>
      <c r="J298" s="192">
        <v>6000</v>
      </c>
      <c r="L298" s="11"/>
      <c r="M298" s="11">
        <v>0</v>
      </c>
      <c r="N298" s="11">
        <v>0</v>
      </c>
      <c r="O298" s="11"/>
      <c r="P298" s="11">
        <v>0</v>
      </c>
      <c r="Q298" s="11">
        <v>0</v>
      </c>
      <c r="R298" s="11">
        <v>0</v>
      </c>
      <c r="S298" s="11">
        <v>0</v>
      </c>
      <c r="T298" s="11"/>
    </row>
    <row r="299" spans="1:20" ht="30" hidden="1" x14ac:dyDescent="0.25">
      <c r="A299" s="56">
        <v>44813</v>
      </c>
      <c r="B299" s="4" t="s">
        <v>3060</v>
      </c>
      <c r="C299" s="191" t="s">
        <v>2649</v>
      </c>
      <c r="D299" s="1" t="s">
        <v>3061</v>
      </c>
      <c r="E299" s="4" t="s">
        <v>1865</v>
      </c>
      <c r="F299" s="1" t="s">
        <v>2446</v>
      </c>
      <c r="G299" s="10" t="s">
        <v>3062</v>
      </c>
      <c r="H299" s="15">
        <v>50000</v>
      </c>
      <c r="I299" s="2">
        <v>35000</v>
      </c>
      <c r="J299" s="192">
        <v>15000</v>
      </c>
      <c r="K299" s="1" t="s">
        <v>3063</v>
      </c>
      <c r="L299" s="11">
        <v>315000</v>
      </c>
      <c r="M299" s="11"/>
      <c r="N299" s="11">
        <v>0</v>
      </c>
      <c r="O299" s="11">
        <v>415000</v>
      </c>
      <c r="P299" s="11"/>
      <c r="Q299" s="11">
        <v>0</v>
      </c>
      <c r="R299" s="11">
        <v>0</v>
      </c>
      <c r="S299" s="11">
        <v>100000</v>
      </c>
      <c r="T299" s="11"/>
    </row>
    <row r="300" spans="1:20" x14ac:dyDescent="0.25">
      <c r="A300" s="56">
        <v>44813</v>
      </c>
      <c r="B300" s="4" t="s">
        <v>3064</v>
      </c>
      <c r="C300" s="191" t="s">
        <v>3065</v>
      </c>
      <c r="D300" s="1" t="s">
        <v>889</v>
      </c>
      <c r="E300" s="4"/>
      <c r="F300" s="1" t="s">
        <v>10</v>
      </c>
      <c r="G300" s="10" t="s">
        <v>3066</v>
      </c>
      <c r="H300" s="15">
        <v>60000</v>
      </c>
      <c r="I300" s="2">
        <v>42000</v>
      </c>
      <c r="J300" s="192">
        <v>18000</v>
      </c>
      <c r="K300" s="1" t="s">
        <v>3067</v>
      </c>
      <c r="L300" s="11">
        <v>42000</v>
      </c>
      <c r="M300" s="11">
        <v>35294.117647058825</v>
      </c>
      <c r="N300" s="11">
        <v>6705.8823529411766</v>
      </c>
      <c r="O300" s="11">
        <v>50000</v>
      </c>
      <c r="P300" s="11"/>
      <c r="Q300" s="11">
        <v>0</v>
      </c>
      <c r="R300" s="11"/>
      <c r="S300" s="11">
        <v>8000</v>
      </c>
      <c r="T300" s="11"/>
    </row>
    <row r="301" spans="1:20" hidden="1" x14ac:dyDescent="0.25">
      <c r="A301" s="56">
        <v>44813</v>
      </c>
      <c r="C301" s="191" t="s">
        <v>215</v>
      </c>
      <c r="E301" s="4" t="s">
        <v>1610</v>
      </c>
      <c r="F301" s="1" t="s">
        <v>603</v>
      </c>
      <c r="G301" s="10" t="s">
        <v>341</v>
      </c>
      <c r="H301" s="15">
        <v>10000</v>
      </c>
      <c r="I301" s="2">
        <v>6000</v>
      </c>
      <c r="J301" s="192">
        <v>4000</v>
      </c>
      <c r="L301" s="11"/>
      <c r="M301" s="11">
        <v>0</v>
      </c>
      <c r="N301" s="11">
        <v>0</v>
      </c>
      <c r="O301" s="11"/>
      <c r="P301" s="11">
        <v>0</v>
      </c>
      <c r="Q301" s="11">
        <v>0</v>
      </c>
      <c r="R301" s="11">
        <v>0</v>
      </c>
      <c r="S301" s="11">
        <v>0</v>
      </c>
      <c r="T301" s="11"/>
    </row>
    <row r="302" spans="1:20" hidden="1" x14ac:dyDescent="0.25">
      <c r="A302" s="56">
        <v>44813</v>
      </c>
      <c r="C302" s="191" t="s">
        <v>2761</v>
      </c>
      <c r="D302" s="1" t="s">
        <v>48</v>
      </c>
      <c r="E302" s="4" t="s">
        <v>2762</v>
      </c>
      <c r="F302" s="1" t="s">
        <v>2446</v>
      </c>
      <c r="G302" s="10" t="s">
        <v>3068</v>
      </c>
      <c r="H302" s="15">
        <v>40000</v>
      </c>
      <c r="I302" s="2">
        <v>28000</v>
      </c>
      <c r="J302" s="192">
        <v>12000</v>
      </c>
      <c r="L302" s="11"/>
      <c r="M302" s="11">
        <v>0</v>
      </c>
      <c r="N302" s="11">
        <v>0</v>
      </c>
      <c r="O302" s="11"/>
      <c r="P302" s="11">
        <v>0</v>
      </c>
      <c r="Q302" s="11">
        <v>0</v>
      </c>
      <c r="R302" s="11">
        <v>0</v>
      </c>
      <c r="S302" s="11">
        <v>0</v>
      </c>
      <c r="T302" s="11"/>
    </row>
    <row r="303" spans="1:20" hidden="1" x14ac:dyDescent="0.25">
      <c r="A303" s="56">
        <v>44814</v>
      </c>
      <c r="C303" s="191" t="s">
        <v>1646</v>
      </c>
      <c r="D303" s="1" t="s">
        <v>3071</v>
      </c>
      <c r="E303" s="4" t="s">
        <v>3072</v>
      </c>
      <c r="F303" s="1" t="s">
        <v>34</v>
      </c>
      <c r="G303" s="10" t="s">
        <v>502</v>
      </c>
      <c r="H303" s="15">
        <v>20000</v>
      </c>
      <c r="I303" s="2">
        <v>14000</v>
      </c>
      <c r="J303" s="192">
        <v>6000</v>
      </c>
      <c r="K303" s="1" t="s">
        <v>3073</v>
      </c>
      <c r="L303" s="11">
        <v>45000</v>
      </c>
      <c r="M303" s="11"/>
      <c r="N303" s="11">
        <v>0</v>
      </c>
      <c r="O303" s="11">
        <v>60000</v>
      </c>
      <c r="P303" s="11"/>
      <c r="Q303" s="11">
        <v>0</v>
      </c>
      <c r="R303" s="11">
        <v>0</v>
      </c>
      <c r="S303" s="11">
        <v>15000</v>
      </c>
      <c r="T303" s="11"/>
    </row>
    <row r="304" spans="1:20" hidden="1" x14ac:dyDescent="0.25">
      <c r="A304" s="56">
        <v>44814</v>
      </c>
      <c r="B304" s="4" t="s">
        <v>3074</v>
      </c>
      <c r="C304" s="191" t="s">
        <v>885</v>
      </c>
      <c r="D304" s="1" t="s">
        <v>403</v>
      </c>
      <c r="E304" s="4" t="s">
        <v>3075</v>
      </c>
      <c r="F304" s="1" t="s">
        <v>2446</v>
      </c>
      <c r="G304" s="10" t="s">
        <v>3076</v>
      </c>
      <c r="H304" s="15">
        <v>80000</v>
      </c>
      <c r="I304" s="2">
        <v>56000</v>
      </c>
      <c r="J304" s="192">
        <v>24000</v>
      </c>
      <c r="K304" s="1" t="s">
        <v>217</v>
      </c>
      <c r="L304" s="11">
        <v>134000</v>
      </c>
      <c r="M304" s="11">
        <v>112605.04201680672</v>
      </c>
      <c r="N304" s="11">
        <v>21394.957983193279</v>
      </c>
      <c r="O304" s="11">
        <v>190000</v>
      </c>
      <c r="P304" s="11">
        <v>159663.8655462185</v>
      </c>
      <c r="Q304" s="11">
        <v>30336.134453781517</v>
      </c>
      <c r="R304" s="11">
        <v>8941.1764705882379</v>
      </c>
      <c r="S304" s="11">
        <v>47058.823529411748</v>
      </c>
      <c r="T304" s="11"/>
    </row>
    <row r="305" spans="1:20" hidden="1" x14ac:dyDescent="0.25">
      <c r="A305" s="56">
        <v>44814</v>
      </c>
      <c r="C305" s="191"/>
      <c r="D305" s="1" t="s">
        <v>2842</v>
      </c>
      <c r="E305" s="4"/>
      <c r="F305" s="1" t="s">
        <v>2446</v>
      </c>
      <c r="G305" s="10" t="s">
        <v>21</v>
      </c>
      <c r="H305" s="15">
        <v>10000</v>
      </c>
      <c r="I305" s="2">
        <v>6000</v>
      </c>
      <c r="J305" s="192">
        <v>4000</v>
      </c>
      <c r="L305" s="11"/>
      <c r="M305" s="11">
        <v>0</v>
      </c>
      <c r="N305" s="11">
        <v>0</v>
      </c>
      <c r="O305" s="11"/>
      <c r="P305" s="11">
        <v>0</v>
      </c>
      <c r="Q305" s="11">
        <v>0</v>
      </c>
      <c r="R305" s="11">
        <v>0</v>
      </c>
      <c r="S305" s="11">
        <v>0</v>
      </c>
      <c r="T305" s="11"/>
    </row>
    <row r="306" spans="1:20" hidden="1" x14ac:dyDescent="0.25">
      <c r="A306" s="56">
        <v>44814</v>
      </c>
      <c r="C306" s="191"/>
      <c r="D306" s="1" t="s">
        <v>3077</v>
      </c>
      <c r="E306" s="4" t="s">
        <v>48</v>
      </c>
      <c r="F306" s="1" t="s">
        <v>2446</v>
      </c>
      <c r="G306" s="10" t="s">
        <v>21</v>
      </c>
      <c r="H306" s="15">
        <v>10000</v>
      </c>
      <c r="I306" s="2">
        <v>7000</v>
      </c>
      <c r="J306" s="192">
        <v>3000</v>
      </c>
      <c r="L306" s="11"/>
      <c r="M306" s="11">
        <v>0</v>
      </c>
      <c r="N306" s="11">
        <v>0</v>
      </c>
      <c r="O306" s="11"/>
      <c r="P306" s="11">
        <v>0</v>
      </c>
      <c r="Q306" s="11">
        <v>0</v>
      </c>
      <c r="R306" s="11">
        <v>0</v>
      </c>
      <c r="S306" s="11">
        <v>0</v>
      </c>
      <c r="T306" s="11"/>
    </row>
    <row r="307" spans="1:20" hidden="1" x14ac:dyDescent="0.25">
      <c r="A307" s="56">
        <v>44814</v>
      </c>
      <c r="C307" s="191"/>
      <c r="D307" s="1" t="s">
        <v>200</v>
      </c>
      <c r="E307" s="4"/>
      <c r="F307" s="1" t="s">
        <v>2446</v>
      </c>
      <c r="G307" s="10" t="s">
        <v>1373</v>
      </c>
      <c r="H307" s="15">
        <v>30000</v>
      </c>
      <c r="I307" s="2">
        <v>30000</v>
      </c>
      <c r="J307" s="192">
        <v>0</v>
      </c>
      <c r="L307" s="11"/>
      <c r="M307" s="11">
        <v>0</v>
      </c>
      <c r="N307" s="11">
        <v>0</v>
      </c>
      <c r="O307" s="11"/>
      <c r="P307" s="11">
        <v>0</v>
      </c>
      <c r="Q307" s="11">
        <v>0</v>
      </c>
      <c r="R307" s="11">
        <v>0</v>
      </c>
      <c r="S307" s="11">
        <v>0</v>
      </c>
      <c r="T307" s="11"/>
    </row>
    <row r="308" spans="1:20" hidden="1" x14ac:dyDescent="0.25">
      <c r="A308" s="56">
        <v>44816</v>
      </c>
      <c r="B308" s="4" t="s">
        <v>3078</v>
      </c>
      <c r="C308" s="191" t="s">
        <v>3079</v>
      </c>
      <c r="D308" s="1" t="s">
        <v>3081</v>
      </c>
      <c r="E308" s="4" t="s">
        <v>3080</v>
      </c>
      <c r="F308" s="1" t="s">
        <v>2446</v>
      </c>
      <c r="G308" s="10" t="s">
        <v>3082</v>
      </c>
      <c r="H308" s="15">
        <v>30000</v>
      </c>
      <c r="I308" s="2">
        <v>21000</v>
      </c>
      <c r="J308" s="192">
        <v>9000</v>
      </c>
      <c r="K308" s="1" t="s">
        <v>3083</v>
      </c>
      <c r="L308" s="11">
        <v>57000</v>
      </c>
      <c r="M308" s="11">
        <v>47899.159663865546</v>
      </c>
      <c r="N308" s="11">
        <v>9100.8403361344535</v>
      </c>
      <c r="O308" s="11">
        <v>80000</v>
      </c>
      <c r="P308" s="11"/>
      <c r="Q308" s="11">
        <v>0</v>
      </c>
      <c r="R308" s="11">
        <v>-9100.8403361344535</v>
      </c>
      <c r="S308" s="11">
        <v>32100.840336134454</v>
      </c>
      <c r="T308" s="11"/>
    </row>
    <row r="309" spans="1:20" ht="30" hidden="1" x14ac:dyDescent="0.25">
      <c r="A309" s="56">
        <v>44816</v>
      </c>
      <c r="B309" s="4" t="s">
        <v>3084</v>
      </c>
      <c r="C309" s="191" t="s">
        <v>3085</v>
      </c>
      <c r="D309" s="1" t="s">
        <v>3086</v>
      </c>
      <c r="E309" s="4" t="s">
        <v>168</v>
      </c>
      <c r="F309" s="1" t="s">
        <v>2446</v>
      </c>
      <c r="G309" s="10" t="s">
        <v>3087</v>
      </c>
      <c r="H309" s="15">
        <v>60000</v>
      </c>
      <c r="I309" s="2">
        <v>42000</v>
      </c>
      <c r="J309" s="192">
        <v>18000</v>
      </c>
      <c r="K309" s="1" t="s">
        <v>3088</v>
      </c>
      <c r="L309" s="11">
        <v>53000</v>
      </c>
      <c r="M309" s="11">
        <v>44537.815126050424</v>
      </c>
      <c r="N309" s="11">
        <v>8462.1848739495799</v>
      </c>
      <c r="O309" s="11">
        <v>60000</v>
      </c>
      <c r="P309" s="11">
        <v>50420.168067226892</v>
      </c>
      <c r="Q309" s="11">
        <v>9579.8319327731097</v>
      </c>
      <c r="R309" s="11">
        <v>1117.6470588235297</v>
      </c>
      <c r="S309" s="11">
        <v>5882.3529411764684</v>
      </c>
      <c r="T309" s="11"/>
    </row>
    <row r="310" spans="1:20" hidden="1" x14ac:dyDescent="0.25">
      <c r="A310" s="56">
        <v>44816</v>
      </c>
      <c r="C310" s="191"/>
      <c r="D310" s="1" t="s">
        <v>2948</v>
      </c>
      <c r="E310" s="4" t="s">
        <v>3089</v>
      </c>
      <c r="F310" s="1" t="s">
        <v>2446</v>
      </c>
      <c r="G310" s="10" t="s">
        <v>21</v>
      </c>
      <c r="H310" s="15">
        <v>10000</v>
      </c>
      <c r="I310" s="2">
        <v>7000</v>
      </c>
      <c r="J310" s="192">
        <v>3000</v>
      </c>
      <c r="L310" s="11"/>
      <c r="M310" s="11">
        <v>0</v>
      </c>
      <c r="N310" s="11">
        <v>0</v>
      </c>
      <c r="O310" s="11"/>
      <c r="P310" s="11">
        <v>0</v>
      </c>
      <c r="Q310" s="11">
        <v>0</v>
      </c>
      <c r="R310" s="11">
        <v>0</v>
      </c>
      <c r="S310" s="11">
        <v>0</v>
      </c>
      <c r="T310" s="11"/>
    </row>
    <row r="311" spans="1:20" hidden="1" x14ac:dyDescent="0.25">
      <c r="A311" s="56">
        <v>44816</v>
      </c>
      <c r="B311" s="4" t="s">
        <v>3090</v>
      </c>
      <c r="C311" s="191" t="s">
        <v>2965</v>
      </c>
      <c r="D311" s="1" t="s">
        <v>2966</v>
      </c>
      <c r="E311" s="4" t="s">
        <v>2392</v>
      </c>
      <c r="F311" s="1" t="s">
        <v>2446</v>
      </c>
      <c r="G311" s="10" t="s">
        <v>3091</v>
      </c>
      <c r="H311" s="15">
        <v>30000</v>
      </c>
      <c r="I311" s="2">
        <v>21000</v>
      </c>
      <c r="J311" s="192">
        <v>9000</v>
      </c>
      <c r="K311" s="1" t="s">
        <v>3092</v>
      </c>
      <c r="L311" s="11">
        <v>200000</v>
      </c>
      <c r="M311" s="11"/>
      <c r="N311" s="11">
        <v>0</v>
      </c>
      <c r="O311" s="11">
        <v>230000</v>
      </c>
      <c r="P311" s="11"/>
      <c r="Q311" s="11">
        <v>0</v>
      </c>
      <c r="R311" s="11">
        <v>0</v>
      </c>
      <c r="S311" s="11">
        <v>30000</v>
      </c>
      <c r="T311" s="11"/>
    </row>
    <row r="312" spans="1:20" hidden="1" x14ac:dyDescent="0.25">
      <c r="A312" s="56">
        <v>44816</v>
      </c>
      <c r="B312" s="4" t="s">
        <v>3093</v>
      </c>
      <c r="C312" s="191" t="s">
        <v>3094</v>
      </c>
      <c r="D312" s="1" t="s">
        <v>3095</v>
      </c>
      <c r="E312" s="4" t="s">
        <v>76</v>
      </c>
      <c r="F312" s="1" t="s">
        <v>2446</v>
      </c>
      <c r="G312" s="10" t="s">
        <v>3096</v>
      </c>
      <c r="H312" s="15">
        <v>80000</v>
      </c>
      <c r="I312" s="2">
        <v>56000</v>
      </c>
      <c r="J312" s="192">
        <v>24000</v>
      </c>
      <c r="K312" s="1" t="s">
        <v>2727</v>
      </c>
      <c r="L312" s="11">
        <v>85000</v>
      </c>
      <c r="M312" s="11"/>
      <c r="N312" s="11">
        <v>0</v>
      </c>
      <c r="O312" s="11">
        <v>130000</v>
      </c>
      <c r="P312" s="11"/>
      <c r="Q312" s="11">
        <v>0</v>
      </c>
      <c r="R312" s="11">
        <v>0</v>
      </c>
      <c r="S312" s="11">
        <v>45000</v>
      </c>
      <c r="T312" s="11"/>
    </row>
    <row r="313" spans="1:20" x14ac:dyDescent="0.25">
      <c r="A313" s="56">
        <v>44817</v>
      </c>
      <c r="B313" s="4" t="s">
        <v>3097</v>
      </c>
      <c r="C313" s="191" t="s">
        <v>3098</v>
      </c>
      <c r="D313" s="1" t="s">
        <v>3099</v>
      </c>
      <c r="E313" s="4" t="s">
        <v>815</v>
      </c>
      <c r="F313" s="1" t="s">
        <v>10</v>
      </c>
      <c r="G313" s="10" t="s">
        <v>3100</v>
      </c>
      <c r="H313" s="15">
        <v>50000</v>
      </c>
      <c r="I313" s="2">
        <v>35000</v>
      </c>
      <c r="J313" s="192">
        <v>15000</v>
      </c>
      <c r="K313" s="1" t="s">
        <v>3101</v>
      </c>
      <c r="L313" s="11">
        <v>80000</v>
      </c>
      <c r="M313" s="11">
        <v>67226.890756302528</v>
      </c>
      <c r="N313" s="11">
        <v>12773.10924369748</v>
      </c>
      <c r="O313" s="11">
        <v>70000</v>
      </c>
      <c r="P313" s="11">
        <v>58823.529411764706</v>
      </c>
      <c r="Q313" s="11">
        <v>11176.470588235294</v>
      </c>
      <c r="R313" s="11">
        <v>-1596.6386554621859</v>
      </c>
      <c r="S313" s="11">
        <v>-8403.3613445378141</v>
      </c>
      <c r="T313" s="11"/>
    </row>
    <row r="314" spans="1:20" x14ac:dyDescent="0.25">
      <c r="A314" s="56">
        <v>44817</v>
      </c>
      <c r="C314" s="191" t="s">
        <v>1702</v>
      </c>
      <c r="D314" s="1" t="s">
        <v>674</v>
      </c>
      <c r="E314" s="4" t="s">
        <v>545</v>
      </c>
      <c r="F314" s="1" t="s">
        <v>10</v>
      </c>
      <c r="G314" s="10" t="s">
        <v>3102</v>
      </c>
      <c r="H314" s="15">
        <v>20000</v>
      </c>
      <c r="I314" s="2">
        <v>14000</v>
      </c>
      <c r="J314" s="192">
        <v>6000</v>
      </c>
      <c r="L314" s="11"/>
      <c r="M314" s="11">
        <v>0</v>
      </c>
      <c r="N314" s="11">
        <v>0</v>
      </c>
      <c r="O314" s="11"/>
      <c r="P314" s="11">
        <v>0</v>
      </c>
      <c r="Q314" s="11">
        <v>0</v>
      </c>
      <c r="R314" s="11">
        <v>0</v>
      </c>
      <c r="S314" s="11">
        <v>0</v>
      </c>
      <c r="T314" s="11"/>
    </row>
    <row r="315" spans="1:20" hidden="1" x14ac:dyDescent="0.25">
      <c r="A315" s="56">
        <v>44817</v>
      </c>
      <c r="B315" s="4" t="s">
        <v>3105</v>
      </c>
      <c r="C315" s="191" t="s">
        <v>2912</v>
      </c>
      <c r="D315" s="1" t="s">
        <v>3103</v>
      </c>
      <c r="E315" s="4" t="s">
        <v>52</v>
      </c>
      <c r="F315" s="1" t="s">
        <v>2446</v>
      </c>
      <c r="G315" s="10" t="s">
        <v>2324</v>
      </c>
      <c r="H315" s="15">
        <v>60000</v>
      </c>
      <c r="I315" s="2">
        <v>42000</v>
      </c>
      <c r="J315" s="192">
        <v>18000</v>
      </c>
      <c r="K315" s="1" t="s">
        <v>3104</v>
      </c>
      <c r="L315" s="11">
        <v>26000</v>
      </c>
      <c r="M315" s="11">
        <v>21848.73949579832</v>
      </c>
      <c r="N315" s="11">
        <v>4151.2605042016812</v>
      </c>
      <c r="O315" s="11">
        <v>47000</v>
      </c>
      <c r="P315" s="11">
        <v>39495.798319327732</v>
      </c>
      <c r="Q315" s="11">
        <v>7504.2016806722695</v>
      </c>
      <c r="R315" s="11">
        <v>3352.9411764705883</v>
      </c>
      <c r="S315" s="11">
        <v>17647.058823529413</v>
      </c>
      <c r="T315" s="11"/>
    </row>
    <row r="316" spans="1:20" hidden="1" x14ac:dyDescent="0.25">
      <c r="A316" s="56">
        <v>44817</v>
      </c>
      <c r="C316" s="191"/>
      <c r="D316" s="1" t="s">
        <v>3106</v>
      </c>
      <c r="E316" s="4" t="s">
        <v>815</v>
      </c>
      <c r="F316" s="1" t="s">
        <v>2446</v>
      </c>
      <c r="G316" s="10" t="s">
        <v>341</v>
      </c>
      <c r="H316" s="15">
        <v>10000</v>
      </c>
      <c r="I316" s="2">
        <v>7000</v>
      </c>
      <c r="J316" s="192">
        <v>3000</v>
      </c>
      <c r="L316" s="11"/>
      <c r="M316" s="11">
        <v>0</v>
      </c>
      <c r="N316" s="11">
        <v>0</v>
      </c>
      <c r="O316" s="11"/>
      <c r="P316" s="11">
        <v>0</v>
      </c>
      <c r="Q316" s="11">
        <v>0</v>
      </c>
      <c r="R316" s="11">
        <v>0</v>
      </c>
      <c r="S316" s="11">
        <v>0</v>
      </c>
      <c r="T316" s="11"/>
    </row>
    <row r="317" spans="1:20" x14ac:dyDescent="0.25">
      <c r="A317" s="56">
        <v>44817</v>
      </c>
      <c r="C317" s="191" t="s">
        <v>3085</v>
      </c>
      <c r="D317" s="1" t="s">
        <v>3107</v>
      </c>
      <c r="E317" s="4" t="s">
        <v>168</v>
      </c>
      <c r="F317" s="1" t="s">
        <v>10</v>
      </c>
      <c r="G317" s="10" t="s">
        <v>3108</v>
      </c>
      <c r="H317" s="15">
        <v>250000</v>
      </c>
      <c r="I317" s="2">
        <v>175000</v>
      </c>
      <c r="J317" s="192">
        <v>75000</v>
      </c>
      <c r="K317" s="1" t="s">
        <v>447</v>
      </c>
      <c r="L317" s="11">
        <v>260000</v>
      </c>
      <c r="M317" s="11">
        <v>218487.3949579832</v>
      </c>
      <c r="N317" s="11">
        <v>41512.60504201681</v>
      </c>
      <c r="O317" s="11">
        <v>350000</v>
      </c>
      <c r="P317" s="11">
        <v>294117.64705882355</v>
      </c>
      <c r="Q317" s="11">
        <v>55882.352941176476</v>
      </c>
      <c r="R317" s="11">
        <v>14369.747899159665</v>
      </c>
      <c r="S317" s="11">
        <v>75630.252100840327</v>
      </c>
      <c r="T317" s="11"/>
    </row>
    <row r="318" spans="1:20" hidden="1" x14ac:dyDescent="0.25">
      <c r="A318" s="56">
        <v>44818</v>
      </c>
      <c r="B318" s="4" t="s">
        <v>3109</v>
      </c>
      <c r="C318" s="191" t="s">
        <v>3110</v>
      </c>
      <c r="D318" s="1" t="s">
        <v>3111</v>
      </c>
      <c r="E318" s="4" t="s">
        <v>1947</v>
      </c>
      <c r="F318" s="1" t="s">
        <v>2446</v>
      </c>
      <c r="G318" s="10" t="s">
        <v>206</v>
      </c>
      <c r="H318" s="15">
        <v>50000</v>
      </c>
      <c r="I318" s="2">
        <v>35000</v>
      </c>
      <c r="J318" s="192">
        <v>15000</v>
      </c>
      <c r="L318" s="11"/>
      <c r="M318" s="11">
        <v>0</v>
      </c>
      <c r="N318" s="11">
        <v>0</v>
      </c>
      <c r="O318" s="11"/>
      <c r="P318" s="11">
        <v>0</v>
      </c>
      <c r="Q318" s="11">
        <v>0</v>
      </c>
      <c r="R318" s="11">
        <v>0</v>
      </c>
      <c r="S318" s="11">
        <v>0</v>
      </c>
      <c r="T318" s="11"/>
    </row>
    <row r="319" spans="1:20" x14ac:dyDescent="0.25">
      <c r="A319" s="56">
        <v>44818</v>
      </c>
      <c r="B319" s="4" t="s">
        <v>3112</v>
      </c>
      <c r="C319" s="191" t="s">
        <v>3113</v>
      </c>
      <c r="D319" s="1" t="s">
        <v>3114</v>
      </c>
      <c r="E319" s="4" t="s">
        <v>54</v>
      </c>
      <c r="F319" s="1" t="s">
        <v>10</v>
      </c>
      <c r="G319" s="10" t="s">
        <v>3115</v>
      </c>
      <c r="H319" s="15">
        <v>60000</v>
      </c>
      <c r="I319" s="2">
        <v>42000</v>
      </c>
      <c r="J319" s="192">
        <v>18000</v>
      </c>
      <c r="L319" s="11"/>
      <c r="M319" s="11">
        <v>0</v>
      </c>
      <c r="N319" s="11">
        <v>0</v>
      </c>
      <c r="O319" s="11"/>
      <c r="P319" s="11">
        <v>0</v>
      </c>
      <c r="Q319" s="11">
        <v>0</v>
      </c>
      <c r="R319" s="11">
        <v>0</v>
      </c>
      <c r="S319" s="11">
        <v>0</v>
      </c>
      <c r="T319" s="11"/>
    </row>
    <row r="320" spans="1:20" ht="45" hidden="1" x14ac:dyDescent="0.25">
      <c r="A320" s="56">
        <v>44818</v>
      </c>
      <c r="B320" s="4" t="s">
        <v>3121</v>
      </c>
      <c r="C320" s="191" t="s">
        <v>3122</v>
      </c>
      <c r="D320" s="1" t="s">
        <v>3123</v>
      </c>
      <c r="E320" s="4" t="s">
        <v>268</v>
      </c>
      <c r="F320" s="1" t="s">
        <v>2446</v>
      </c>
      <c r="G320" s="10" t="s">
        <v>3124</v>
      </c>
      <c r="H320" s="15">
        <v>430000</v>
      </c>
      <c r="I320" s="2">
        <v>301000</v>
      </c>
      <c r="J320" s="192">
        <v>129000</v>
      </c>
      <c r="L320" s="11"/>
      <c r="M320" s="11"/>
      <c r="N320" s="11">
        <v>0</v>
      </c>
      <c r="O320" s="11"/>
      <c r="P320" s="11"/>
      <c r="Q320" s="11"/>
      <c r="R320" s="11"/>
      <c r="S320" s="11">
        <v>0</v>
      </c>
      <c r="T320" s="11"/>
    </row>
    <row r="321" spans="1:20" ht="45" x14ac:dyDescent="0.25">
      <c r="A321" s="56">
        <v>44818</v>
      </c>
      <c r="B321" s="4" t="s">
        <v>3121</v>
      </c>
      <c r="C321" s="191" t="s">
        <v>3122</v>
      </c>
      <c r="D321" s="1" t="s">
        <v>3123</v>
      </c>
      <c r="E321" s="4" t="s">
        <v>268</v>
      </c>
      <c r="F321" s="1" t="s">
        <v>10</v>
      </c>
      <c r="G321" s="10" t="s">
        <v>3124</v>
      </c>
      <c r="H321" s="15">
        <v>300000</v>
      </c>
      <c r="I321" s="2">
        <v>210000</v>
      </c>
      <c r="J321" s="192">
        <v>90000</v>
      </c>
      <c r="K321" s="1" t="s">
        <v>3124</v>
      </c>
      <c r="L321" s="11">
        <v>815000</v>
      </c>
      <c r="M321" s="11"/>
      <c r="N321" s="11">
        <v>0</v>
      </c>
      <c r="O321" s="11">
        <v>1135000</v>
      </c>
      <c r="P321" s="11"/>
      <c r="Q321" s="11"/>
      <c r="R321" s="11"/>
      <c r="S321" s="11">
        <v>320000</v>
      </c>
      <c r="T321" s="11"/>
    </row>
    <row r="322" spans="1:20" ht="30" hidden="1" x14ac:dyDescent="0.25">
      <c r="A322" s="56">
        <v>44818</v>
      </c>
      <c r="B322" s="4" t="s">
        <v>3128</v>
      </c>
      <c r="C322" s="191" t="s">
        <v>3125</v>
      </c>
      <c r="D322" s="1" t="s">
        <v>3126</v>
      </c>
      <c r="E322" s="4" t="s">
        <v>2168</v>
      </c>
      <c r="F322" s="1" t="s">
        <v>2446</v>
      </c>
      <c r="G322" s="10" t="s">
        <v>3127</v>
      </c>
      <c r="H322" s="15">
        <v>160000</v>
      </c>
      <c r="I322" s="2">
        <v>112000</v>
      </c>
      <c r="J322" s="192">
        <v>48000</v>
      </c>
      <c r="K322" s="1" t="s">
        <v>3129</v>
      </c>
      <c r="L322" s="11">
        <v>1010000</v>
      </c>
      <c r="M322" s="11">
        <v>848739.49579831935</v>
      </c>
      <c r="N322" s="11">
        <v>161260.50420168068</v>
      </c>
      <c r="O322" s="11">
        <v>1270000</v>
      </c>
      <c r="P322" s="11">
        <v>1067226.8907563025</v>
      </c>
      <c r="Q322" s="11">
        <v>202773.10924369749</v>
      </c>
      <c r="R322" s="11">
        <v>41512.605042016803</v>
      </c>
      <c r="S322" s="11">
        <v>218487.39495798317</v>
      </c>
      <c r="T322" s="11"/>
    </row>
    <row r="323" spans="1:20" hidden="1" x14ac:dyDescent="0.25">
      <c r="A323" s="56">
        <v>44819</v>
      </c>
      <c r="B323" s="4" t="s">
        <v>3116</v>
      </c>
      <c r="C323" s="191" t="s">
        <v>3117</v>
      </c>
      <c r="D323" s="1" t="s">
        <v>3118</v>
      </c>
      <c r="E323" s="4" t="s">
        <v>122</v>
      </c>
      <c r="F323" s="1" t="s">
        <v>2446</v>
      </c>
      <c r="G323" s="10" t="s">
        <v>3119</v>
      </c>
      <c r="H323" s="15">
        <v>90000</v>
      </c>
      <c r="I323" s="2">
        <v>62999.999999999993</v>
      </c>
      <c r="J323" s="192">
        <v>27000.000000000007</v>
      </c>
      <c r="K323" s="1" t="s">
        <v>3120</v>
      </c>
      <c r="L323" s="11">
        <v>100000</v>
      </c>
      <c r="M323" s="11"/>
      <c r="N323" s="11">
        <v>0</v>
      </c>
      <c r="O323" s="11">
        <v>140000</v>
      </c>
      <c r="P323" s="11"/>
      <c r="Q323" s="11">
        <v>0</v>
      </c>
      <c r="R323" s="11">
        <v>0</v>
      </c>
      <c r="S323" s="11">
        <v>40000</v>
      </c>
      <c r="T323" s="11"/>
    </row>
    <row r="324" spans="1:20" hidden="1" x14ac:dyDescent="0.25">
      <c r="A324" s="56">
        <v>44819</v>
      </c>
      <c r="C324" s="191"/>
      <c r="D324" s="1" t="s">
        <v>3130</v>
      </c>
      <c r="E324" s="4"/>
      <c r="F324" s="1" t="s">
        <v>34</v>
      </c>
      <c r="G324" s="10" t="s">
        <v>138</v>
      </c>
      <c r="H324" s="15">
        <v>50000</v>
      </c>
      <c r="I324" s="2">
        <v>35000</v>
      </c>
      <c r="J324" s="192">
        <v>15000</v>
      </c>
      <c r="L324" s="11"/>
      <c r="M324" s="11">
        <v>0</v>
      </c>
      <c r="N324" s="11">
        <v>0</v>
      </c>
      <c r="O324" s="11"/>
      <c r="P324" s="11">
        <v>0</v>
      </c>
      <c r="Q324" s="11">
        <v>0</v>
      </c>
      <c r="R324" s="11">
        <v>0</v>
      </c>
      <c r="S324" s="11">
        <v>0</v>
      </c>
      <c r="T324" s="11"/>
    </row>
    <row r="325" spans="1:20" hidden="1" x14ac:dyDescent="0.25">
      <c r="A325" s="56">
        <v>44819</v>
      </c>
      <c r="B325" s="4" t="s">
        <v>3131</v>
      </c>
      <c r="C325" s="191" t="s">
        <v>2556</v>
      </c>
      <c r="D325" s="1" t="s">
        <v>223</v>
      </c>
      <c r="E325" s="4" t="s">
        <v>84</v>
      </c>
      <c r="F325" s="1" t="s">
        <v>2446</v>
      </c>
      <c r="G325" s="10" t="s">
        <v>3132</v>
      </c>
      <c r="H325" s="15">
        <v>40000</v>
      </c>
      <c r="I325" s="2">
        <v>28000</v>
      </c>
      <c r="J325" s="192">
        <v>12000</v>
      </c>
      <c r="L325" s="11"/>
      <c r="M325" s="11">
        <v>0</v>
      </c>
      <c r="N325" s="11">
        <v>0</v>
      </c>
      <c r="O325" s="11"/>
      <c r="P325" s="11">
        <v>0</v>
      </c>
      <c r="Q325" s="11">
        <v>0</v>
      </c>
      <c r="R325" s="11">
        <v>0</v>
      </c>
      <c r="S325" s="11">
        <v>0</v>
      </c>
      <c r="T325" s="11"/>
    </row>
    <row r="326" spans="1:20" hidden="1" x14ac:dyDescent="0.25">
      <c r="A326" s="56">
        <v>44819</v>
      </c>
      <c r="B326" s="4" t="s">
        <v>3133</v>
      </c>
      <c r="C326" s="191" t="s">
        <v>3134</v>
      </c>
      <c r="D326" s="1" t="s">
        <v>3136</v>
      </c>
      <c r="E326" s="4" t="s">
        <v>3135</v>
      </c>
      <c r="F326" s="1" t="s">
        <v>2446</v>
      </c>
      <c r="G326" s="10" t="s">
        <v>3137</v>
      </c>
      <c r="H326" s="15">
        <v>30000</v>
      </c>
      <c r="I326" s="2">
        <v>21000</v>
      </c>
      <c r="J326" s="192">
        <v>9000</v>
      </c>
      <c r="K326" s="1" t="s">
        <v>71</v>
      </c>
      <c r="L326" s="11">
        <v>120000</v>
      </c>
      <c r="M326" s="11">
        <v>100840.33613445378</v>
      </c>
      <c r="N326" s="11">
        <v>19159.663865546219</v>
      </c>
      <c r="O326" s="11">
        <v>150000</v>
      </c>
      <c r="P326" s="11">
        <v>126050.42016806723</v>
      </c>
      <c r="Q326" s="11">
        <v>23949.579831932773</v>
      </c>
      <c r="R326" s="11">
        <v>4789.9159663865539</v>
      </c>
      <c r="S326" s="11">
        <v>25210.084033613442</v>
      </c>
      <c r="T326" s="11"/>
    </row>
    <row r="327" spans="1:20" ht="45" hidden="1" x14ac:dyDescent="0.25">
      <c r="A327" s="56">
        <v>44819</v>
      </c>
      <c r="B327" s="4" t="s">
        <v>3138</v>
      </c>
      <c r="C327" s="191" t="s">
        <v>3140</v>
      </c>
      <c r="D327" s="1" t="s">
        <v>3141</v>
      </c>
      <c r="E327" s="4" t="s">
        <v>213</v>
      </c>
      <c r="F327" s="1" t="s">
        <v>2446</v>
      </c>
      <c r="G327" s="10" t="s">
        <v>3139</v>
      </c>
      <c r="H327" s="15">
        <v>100000</v>
      </c>
      <c r="I327" s="2">
        <v>70000</v>
      </c>
      <c r="J327" s="192">
        <v>30000</v>
      </c>
      <c r="L327" s="11"/>
      <c r="M327" s="11">
        <v>0</v>
      </c>
      <c r="N327" s="11">
        <v>0</v>
      </c>
      <c r="O327" s="11"/>
      <c r="P327" s="11">
        <v>0</v>
      </c>
      <c r="Q327" s="11">
        <v>0</v>
      </c>
      <c r="R327" s="11">
        <v>0</v>
      </c>
      <c r="S327" s="11">
        <v>0</v>
      </c>
      <c r="T327" s="11"/>
    </row>
    <row r="328" spans="1:20" hidden="1" x14ac:dyDescent="0.25">
      <c r="A328" s="56">
        <v>44820</v>
      </c>
      <c r="C328" s="191"/>
      <c r="D328" s="1" t="s">
        <v>3142</v>
      </c>
      <c r="E328" s="4"/>
      <c r="F328" s="1" t="s">
        <v>34</v>
      </c>
      <c r="G328" s="10" t="s">
        <v>3143</v>
      </c>
      <c r="H328" s="15">
        <v>60000</v>
      </c>
      <c r="J328" s="192">
        <v>60000</v>
      </c>
      <c r="L328" s="11"/>
      <c r="M328" s="11">
        <v>0</v>
      </c>
      <c r="N328" s="11">
        <v>0</v>
      </c>
      <c r="O328" s="11"/>
      <c r="P328" s="11">
        <v>0</v>
      </c>
      <c r="Q328" s="11">
        <v>0</v>
      </c>
      <c r="R328" s="11">
        <v>0</v>
      </c>
      <c r="S328" s="11">
        <v>0</v>
      </c>
      <c r="T328" s="11"/>
    </row>
    <row r="329" spans="1:20" hidden="1" x14ac:dyDescent="0.25">
      <c r="A329" s="56">
        <v>44820</v>
      </c>
      <c r="B329" s="4" t="s">
        <v>3145</v>
      </c>
      <c r="C329" s="191"/>
      <c r="D329" s="1" t="s">
        <v>3144</v>
      </c>
      <c r="E329" s="4"/>
      <c r="F329" s="1" t="s">
        <v>34</v>
      </c>
      <c r="G329" s="10" t="s">
        <v>206</v>
      </c>
      <c r="H329" s="15">
        <v>40000</v>
      </c>
      <c r="J329" s="192">
        <v>40000</v>
      </c>
      <c r="L329" s="11"/>
      <c r="M329" s="11">
        <v>0</v>
      </c>
      <c r="N329" s="11">
        <v>0</v>
      </c>
      <c r="O329" s="11"/>
      <c r="P329" s="11">
        <v>0</v>
      </c>
      <c r="Q329" s="11">
        <v>0</v>
      </c>
      <c r="R329" s="11">
        <v>0</v>
      </c>
      <c r="S329" s="11">
        <v>0</v>
      </c>
      <c r="T329" s="11"/>
    </row>
    <row r="330" spans="1:20" ht="30" hidden="1" x14ac:dyDescent="0.25">
      <c r="A330" s="56">
        <v>44820</v>
      </c>
      <c r="B330" s="4" t="s">
        <v>3169</v>
      </c>
      <c r="C330" s="191" t="s">
        <v>3146</v>
      </c>
      <c r="D330" s="1" t="s">
        <v>3147</v>
      </c>
      <c r="E330" s="4" t="s">
        <v>52</v>
      </c>
      <c r="F330" s="1" t="s">
        <v>2446</v>
      </c>
      <c r="G330" s="10" t="s">
        <v>3148</v>
      </c>
      <c r="H330" s="15">
        <v>150000</v>
      </c>
      <c r="I330" s="2">
        <v>105000</v>
      </c>
      <c r="J330" s="192">
        <v>45000</v>
      </c>
      <c r="K330" s="1" t="s">
        <v>3149</v>
      </c>
      <c r="L330" s="11">
        <v>530000</v>
      </c>
      <c r="M330" s="11">
        <v>151260.5</v>
      </c>
      <c r="N330" s="11">
        <v>28739.494999999999</v>
      </c>
      <c r="O330" s="11">
        <v>780000</v>
      </c>
      <c r="P330" s="11">
        <v>235294.11</v>
      </c>
      <c r="Q330" s="11">
        <v>44705.880899999996</v>
      </c>
      <c r="R330" s="11">
        <v>15966.385899999997</v>
      </c>
      <c r="S330" s="11">
        <v>234033.61410000001</v>
      </c>
      <c r="T330" s="11"/>
    </row>
    <row r="331" spans="1:20" ht="30" hidden="1" x14ac:dyDescent="0.25">
      <c r="A331" s="56">
        <v>44820</v>
      </c>
      <c r="B331" s="4" t="s">
        <v>3150</v>
      </c>
      <c r="C331" s="191" t="s">
        <v>3151</v>
      </c>
      <c r="D331" s="1" t="s">
        <v>3152</v>
      </c>
      <c r="E331" s="4" t="s">
        <v>688</v>
      </c>
      <c r="F331" s="1" t="s">
        <v>2446</v>
      </c>
      <c r="G331" s="10" t="s">
        <v>3153</v>
      </c>
      <c r="H331" s="15">
        <v>180000</v>
      </c>
      <c r="I331" s="2">
        <v>125999.99999999999</v>
      </c>
      <c r="J331" s="192">
        <v>54000.000000000015</v>
      </c>
      <c r="K331" s="1" t="s">
        <v>3154</v>
      </c>
      <c r="L331" s="11">
        <v>150000</v>
      </c>
      <c r="M331" s="11">
        <v>126050.42016806723</v>
      </c>
      <c r="N331" s="11">
        <v>23949.579831932773</v>
      </c>
      <c r="O331" s="11">
        <v>200000</v>
      </c>
      <c r="P331" s="11">
        <v>168067.22689075631</v>
      </c>
      <c r="Q331" s="11">
        <v>31932.773109243699</v>
      </c>
      <c r="R331" s="11">
        <v>7983.1932773109256</v>
      </c>
      <c r="S331" s="11">
        <v>42016.806722689071</v>
      </c>
      <c r="T331" s="11"/>
    </row>
    <row r="332" spans="1:20" x14ac:dyDescent="0.25">
      <c r="A332" s="56">
        <v>44820</v>
      </c>
      <c r="B332" s="4" t="s">
        <v>1678</v>
      </c>
      <c r="C332" s="191" t="s">
        <v>3155</v>
      </c>
      <c r="D332" s="1" t="s">
        <v>3156</v>
      </c>
      <c r="E332" s="4" t="s">
        <v>46</v>
      </c>
      <c r="F332" s="1" t="s">
        <v>10</v>
      </c>
      <c r="G332" s="10" t="s">
        <v>3157</v>
      </c>
      <c r="H332" s="15">
        <v>160000</v>
      </c>
      <c r="I332" s="2">
        <v>112000</v>
      </c>
      <c r="J332" s="192">
        <v>48000</v>
      </c>
      <c r="K332" s="1" t="s">
        <v>3158</v>
      </c>
      <c r="L332" s="11">
        <v>515000</v>
      </c>
      <c r="M332" s="11"/>
      <c r="N332" s="11">
        <v>0</v>
      </c>
      <c r="O332" s="11">
        <v>643000</v>
      </c>
      <c r="P332" s="11"/>
      <c r="Q332" s="11">
        <v>0</v>
      </c>
      <c r="R332" s="11">
        <v>0</v>
      </c>
      <c r="S332" s="11">
        <v>128000</v>
      </c>
      <c r="T332" s="11"/>
    </row>
    <row r="333" spans="1:20" ht="30" x14ac:dyDescent="0.25">
      <c r="A333" s="56">
        <v>44820</v>
      </c>
      <c r="B333" s="4" t="s">
        <v>3166</v>
      </c>
      <c r="C333" s="191" t="s">
        <v>2840</v>
      </c>
      <c r="D333" s="1" t="s">
        <v>3159</v>
      </c>
      <c r="E333" s="4" t="s">
        <v>76</v>
      </c>
      <c r="F333" s="1" t="s">
        <v>10</v>
      </c>
      <c r="G333" s="10" t="s">
        <v>3160</v>
      </c>
      <c r="H333" s="15">
        <v>150000</v>
      </c>
      <c r="I333" s="2">
        <v>105000</v>
      </c>
      <c r="J333" s="192">
        <v>45000</v>
      </c>
      <c r="K333" s="1" t="s">
        <v>3161</v>
      </c>
      <c r="L333" s="11">
        <v>235000</v>
      </c>
      <c r="M333" s="11"/>
      <c r="N333" s="11">
        <v>0</v>
      </c>
      <c r="O333" s="11">
        <v>340000</v>
      </c>
      <c r="P333" s="11">
        <v>285714.28571428574</v>
      </c>
      <c r="Q333" s="11">
        <v>54285.71428571429</v>
      </c>
      <c r="R333" s="11">
        <v>54285.71428571429</v>
      </c>
      <c r="S333" s="11">
        <v>50714.285714285681</v>
      </c>
      <c r="T333" s="11"/>
    </row>
    <row r="334" spans="1:20" hidden="1" x14ac:dyDescent="0.25">
      <c r="A334" s="56">
        <v>44820</v>
      </c>
      <c r="B334" s="4" t="s">
        <v>3167</v>
      </c>
      <c r="C334" s="191" t="s">
        <v>2827</v>
      </c>
      <c r="D334" s="1" t="s">
        <v>3163</v>
      </c>
      <c r="E334" s="4" t="s">
        <v>3162</v>
      </c>
      <c r="F334" s="1" t="s">
        <v>2446</v>
      </c>
      <c r="G334" s="10" t="s">
        <v>2934</v>
      </c>
      <c r="H334" s="15">
        <v>350000</v>
      </c>
      <c r="I334" s="2">
        <v>244999.99999999997</v>
      </c>
      <c r="J334" s="192">
        <v>105000.00000000003</v>
      </c>
      <c r="L334" s="11"/>
      <c r="M334" s="11">
        <v>0</v>
      </c>
      <c r="N334" s="11">
        <v>0</v>
      </c>
      <c r="O334" s="11"/>
      <c r="P334" s="11">
        <v>0</v>
      </c>
      <c r="Q334" s="11">
        <v>0</v>
      </c>
      <c r="R334" s="11">
        <v>0</v>
      </c>
      <c r="S334" s="11">
        <v>0</v>
      </c>
      <c r="T334" s="11"/>
    </row>
    <row r="335" spans="1:20" x14ac:dyDescent="0.25">
      <c r="A335" s="56">
        <v>44820</v>
      </c>
      <c r="B335" s="4" t="s">
        <v>3168</v>
      </c>
      <c r="C335" s="191" t="s">
        <v>1958</v>
      </c>
      <c r="D335" s="1" t="s">
        <v>1959</v>
      </c>
      <c r="E335" s="4" t="s">
        <v>521</v>
      </c>
      <c r="F335" s="1" t="s">
        <v>10</v>
      </c>
      <c r="G335" s="10" t="s">
        <v>3165</v>
      </c>
      <c r="H335" s="15">
        <v>160000</v>
      </c>
      <c r="I335" s="2">
        <v>112000</v>
      </c>
      <c r="J335" s="192">
        <v>48000</v>
      </c>
      <c r="L335" s="11"/>
      <c r="M335" s="11">
        <v>0</v>
      </c>
      <c r="N335" s="11">
        <v>0</v>
      </c>
      <c r="O335" s="11"/>
      <c r="P335" s="11">
        <v>0</v>
      </c>
      <c r="Q335" s="11">
        <v>0</v>
      </c>
      <c r="R335" s="11">
        <v>0</v>
      </c>
      <c r="S335" s="11">
        <v>0</v>
      </c>
      <c r="T335" s="11"/>
    </row>
    <row r="336" spans="1:20" ht="30" hidden="1" x14ac:dyDescent="0.25">
      <c r="A336" s="56">
        <v>44821</v>
      </c>
      <c r="B336" s="4" t="s">
        <v>3170</v>
      </c>
      <c r="C336" s="191" t="s">
        <v>1527</v>
      </c>
      <c r="D336" s="1" t="s">
        <v>1528</v>
      </c>
      <c r="E336" s="4" t="s">
        <v>385</v>
      </c>
      <c r="F336" s="1" t="s">
        <v>2446</v>
      </c>
      <c r="G336" s="10" t="s">
        <v>3171</v>
      </c>
      <c r="H336" s="15">
        <v>150000</v>
      </c>
      <c r="I336" s="2">
        <v>105000</v>
      </c>
      <c r="J336" s="192">
        <v>45000</v>
      </c>
      <c r="K336" s="1" t="s">
        <v>3172</v>
      </c>
      <c r="L336" s="11">
        <v>208000</v>
      </c>
      <c r="M336" s="11">
        <v>174789.91596638656</v>
      </c>
      <c r="N336" s="11">
        <v>33210.08403361345</v>
      </c>
      <c r="O336" s="11">
        <v>309000</v>
      </c>
      <c r="P336" s="11">
        <v>259663.8655462185</v>
      </c>
      <c r="Q336" s="11">
        <v>49336.134453781517</v>
      </c>
      <c r="R336" s="11">
        <v>16126.050420168067</v>
      </c>
      <c r="S336" s="11">
        <v>84873.94957983194</v>
      </c>
      <c r="T336" s="11"/>
    </row>
    <row r="337" spans="1:20" x14ac:dyDescent="0.25">
      <c r="A337" s="56">
        <v>44821</v>
      </c>
      <c r="B337" s="4" t="s">
        <v>1690</v>
      </c>
      <c r="C337" s="191" t="s">
        <v>3155</v>
      </c>
      <c r="D337" s="1" t="s">
        <v>3156</v>
      </c>
      <c r="E337" s="4" t="s">
        <v>46</v>
      </c>
      <c r="F337" s="1" t="s">
        <v>10</v>
      </c>
      <c r="G337" s="10" t="s">
        <v>3173</v>
      </c>
      <c r="H337" s="15">
        <v>50000</v>
      </c>
      <c r="I337" s="2">
        <v>35000</v>
      </c>
      <c r="J337" s="192">
        <v>15000</v>
      </c>
      <c r="K337" s="1" t="s">
        <v>3174</v>
      </c>
      <c r="L337" s="11">
        <v>340000</v>
      </c>
      <c r="M337" s="11"/>
      <c r="N337" s="11">
        <v>0</v>
      </c>
      <c r="O337" s="11">
        <v>440000</v>
      </c>
      <c r="P337" s="11">
        <v>369747.89915966388</v>
      </c>
      <c r="Q337" s="11"/>
      <c r="R337" s="11">
        <v>0</v>
      </c>
      <c r="S337" s="11">
        <v>100000</v>
      </c>
      <c r="T337" s="11"/>
    </row>
    <row r="338" spans="1:20" hidden="1" x14ac:dyDescent="0.25">
      <c r="A338" s="56">
        <v>44821</v>
      </c>
      <c r="C338" s="191" t="s">
        <v>2351</v>
      </c>
      <c r="D338" s="1" t="s">
        <v>404</v>
      </c>
      <c r="E338" s="4"/>
      <c r="F338" s="1" t="s">
        <v>2446</v>
      </c>
      <c r="G338" s="10" t="s">
        <v>341</v>
      </c>
      <c r="H338" s="15">
        <v>10000</v>
      </c>
      <c r="I338" s="2">
        <v>7000</v>
      </c>
      <c r="J338" s="192">
        <v>3000</v>
      </c>
      <c r="L338" s="11"/>
      <c r="M338" s="11">
        <v>0</v>
      </c>
      <c r="N338" s="11">
        <v>0</v>
      </c>
      <c r="O338" s="11"/>
      <c r="P338" s="11">
        <v>0</v>
      </c>
      <c r="Q338" s="11">
        <v>0</v>
      </c>
      <c r="R338" s="11">
        <v>0</v>
      </c>
      <c r="S338" s="11">
        <v>0</v>
      </c>
      <c r="T338" s="11"/>
    </row>
    <row r="339" spans="1:20" hidden="1" x14ac:dyDescent="0.25">
      <c r="A339" s="56">
        <v>44821</v>
      </c>
      <c r="C339" s="191"/>
      <c r="D339" s="1" t="s">
        <v>3175</v>
      </c>
      <c r="E339" s="4" t="s">
        <v>540</v>
      </c>
      <c r="F339" s="1" t="s">
        <v>34</v>
      </c>
      <c r="G339" s="10" t="s">
        <v>3176</v>
      </c>
      <c r="H339" s="15">
        <v>40000</v>
      </c>
      <c r="I339" s="2">
        <v>28000</v>
      </c>
      <c r="J339" s="192">
        <v>12000</v>
      </c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1:20" hidden="1" x14ac:dyDescent="0.25">
      <c r="A340" s="56">
        <v>44820</v>
      </c>
      <c r="B340" s="4" t="s">
        <v>25</v>
      </c>
      <c r="C340" s="191"/>
      <c r="D340" s="1" t="s">
        <v>3177</v>
      </c>
      <c r="E340" s="4" t="s">
        <v>136</v>
      </c>
      <c r="F340" s="1" t="s">
        <v>2446</v>
      </c>
      <c r="G340" s="10" t="s">
        <v>3178</v>
      </c>
      <c r="H340" s="15">
        <v>50000</v>
      </c>
      <c r="I340" s="2">
        <v>35000</v>
      </c>
      <c r="J340" s="192">
        <v>15000</v>
      </c>
      <c r="K340" s="1" t="s">
        <v>3179</v>
      </c>
      <c r="L340" s="11">
        <v>39532</v>
      </c>
      <c r="M340" s="11">
        <v>33220.168067226892</v>
      </c>
      <c r="N340" s="11">
        <v>6311.8319327731097</v>
      </c>
      <c r="O340" s="11">
        <v>60000</v>
      </c>
      <c r="P340" s="11"/>
      <c r="Q340" s="11">
        <v>0</v>
      </c>
      <c r="R340" s="11">
        <v>-6311.8319327731097</v>
      </c>
      <c r="S340" s="11">
        <v>26779.831932773108</v>
      </c>
      <c r="T340" s="11" t="s">
        <v>25</v>
      </c>
    </row>
    <row r="341" spans="1:20" x14ac:dyDescent="0.25">
      <c r="A341" s="56">
        <v>44823</v>
      </c>
      <c r="B341" s="4" t="s">
        <v>3180</v>
      </c>
      <c r="C341" s="191" t="s">
        <v>3181</v>
      </c>
      <c r="D341" s="1" t="s">
        <v>396</v>
      </c>
      <c r="E341" s="4" t="s">
        <v>815</v>
      </c>
      <c r="F341" s="1" t="s">
        <v>10</v>
      </c>
      <c r="G341" s="10" t="s">
        <v>3182</v>
      </c>
      <c r="H341" s="15">
        <v>50000</v>
      </c>
      <c r="I341" s="2">
        <v>35000</v>
      </c>
      <c r="J341" s="192">
        <v>15000</v>
      </c>
      <c r="L341" s="11"/>
      <c r="M341" s="11">
        <v>0</v>
      </c>
      <c r="N341" s="11">
        <v>0</v>
      </c>
      <c r="O341" s="11"/>
      <c r="P341" s="11">
        <v>0</v>
      </c>
      <c r="Q341" s="11">
        <v>0</v>
      </c>
      <c r="R341" s="11">
        <v>0</v>
      </c>
      <c r="S341" s="11">
        <v>0</v>
      </c>
      <c r="T341" s="11"/>
    </row>
    <row r="342" spans="1:20" hidden="1" x14ac:dyDescent="0.25">
      <c r="A342" s="56">
        <v>44823</v>
      </c>
      <c r="B342" s="4" t="s">
        <v>3183</v>
      </c>
      <c r="C342" s="191" t="s">
        <v>1417</v>
      </c>
      <c r="D342" s="1" t="s">
        <v>1419</v>
      </c>
      <c r="E342" s="4" t="s">
        <v>3184</v>
      </c>
      <c r="F342" s="1" t="s">
        <v>2446</v>
      </c>
      <c r="G342" s="10" t="s">
        <v>3185</v>
      </c>
      <c r="H342" s="15">
        <v>50000</v>
      </c>
      <c r="I342" s="2">
        <v>35000</v>
      </c>
      <c r="J342" s="192">
        <v>15000</v>
      </c>
      <c r="K342" s="1" t="s">
        <v>3186</v>
      </c>
      <c r="L342" s="11">
        <v>50000</v>
      </c>
      <c r="M342" s="11">
        <v>42016.806722689078</v>
      </c>
      <c r="N342" s="11">
        <v>7983.1932773109247</v>
      </c>
      <c r="O342" s="11">
        <v>76000</v>
      </c>
      <c r="P342" s="11">
        <v>63865.546218487398</v>
      </c>
      <c r="Q342" s="11">
        <v>12134.453781512606</v>
      </c>
      <c r="R342" s="11">
        <v>4151.2605042016812</v>
      </c>
      <c r="S342" s="11">
        <v>21848.73949579832</v>
      </c>
      <c r="T342" s="11"/>
    </row>
    <row r="343" spans="1:20" hidden="1" x14ac:dyDescent="0.25">
      <c r="A343" s="56">
        <v>44823</v>
      </c>
      <c r="C343" s="191"/>
      <c r="D343" s="1" t="s">
        <v>3187</v>
      </c>
      <c r="E343" s="4" t="s">
        <v>815</v>
      </c>
      <c r="F343" s="1" t="s">
        <v>2446</v>
      </c>
      <c r="G343" s="10" t="s">
        <v>341</v>
      </c>
      <c r="H343" s="15">
        <v>5000</v>
      </c>
      <c r="I343" s="2">
        <v>3500</v>
      </c>
      <c r="J343" s="192">
        <v>1500</v>
      </c>
      <c r="L343" s="11"/>
      <c r="M343" s="11">
        <v>0</v>
      </c>
      <c r="N343" s="11">
        <v>0</v>
      </c>
      <c r="O343" s="11"/>
      <c r="P343" s="11">
        <v>0</v>
      </c>
      <c r="Q343" s="11">
        <v>0</v>
      </c>
      <c r="R343" s="11">
        <v>0</v>
      </c>
      <c r="S343" s="11">
        <v>0</v>
      </c>
      <c r="T343" s="11"/>
    </row>
    <row r="344" spans="1:20" hidden="1" x14ac:dyDescent="0.25">
      <c r="A344" s="56">
        <v>44823</v>
      </c>
      <c r="B344" s="4" t="s">
        <v>3188</v>
      </c>
      <c r="C344" s="191" t="s">
        <v>2979</v>
      </c>
      <c r="D344" s="1" t="s">
        <v>2980</v>
      </c>
      <c r="E344" s="4" t="s">
        <v>2856</v>
      </c>
      <c r="F344" s="1" t="s">
        <v>2446</v>
      </c>
      <c r="G344" s="10" t="s">
        <v>3189</v>
      </c>
      <c r="H344" s="15">
        <v>400000</v>
      </c>
      <c r="I344" s="2">
        <v>280000</v>
      </c>
      <c r="J344" s="192">
        <v>120000</v>
      </c>
      <c r="K344" s="1" t="s">
        <v>3262</v>
      </c>
      <c r="L344" s="11">
        <v>1648000</v>
      </c>
      <c r="M344" s="11">
        <v>1384873.9495798319</v>
      </c>
      <c r="N344" s="11">
        <v>263126.05042016809</v>
      </c>
      <c r="O344" s="11">
        <v>2187000</v>
      </c>
      <c r="P344" s="11">
        <v>1837815.1260504203</v>
      </c>
      <c r="Q344" s="11">
        <v>349184.87394957989</v>
      </c>
      <c r="R344" s="11">
        <v>86058.823529411806</v>
      </c>
      <c r="S344" s="11">
        <v>452941.17647058819</v>
      </c>
      <c r="T344" s="11"/>
    </row>
    <row r="345" spans="1:20" x14ac:dyDescent="0.25">
      <c r="A345" s="56">
        <v>44824</v>
      </c>
      <c r="C345" s="191"/>
      <c r="D345" s="1" t="s">
        <v>3194</v>
      </c>
      <c r="E345" s="4" t="s">
        <v>200</v>
      </c>
      <c r="F345" s="1" t="s">
        <v>10</v>
      </c>
      <c r="G345" s="10" t="s">
        <v>3195</v>
      </c>
      <c r="H345" s="15">
        <v>50000</v>
      </c>
      <c r="I345" s="2">
        <v>35000</v>
      </c>
      <c r="J345" s="192">
        <v>15000</v>
      </c>
      <c r="L345" s="11"/>
      <c r="M345" s="11">
        <v>0</v>
      </c>
      <c r="N345" s="11">
        <v>0</v>
      </c>
      <c r="O345" s="11"/>
      <c r="P345" s="11">
        <v>0</v>
      </c>
      <c r="Q345" s="11">
        <v>0</v>
      </c>
      <c r="R345" s="11">
        <v>0</v>
      </c>
      <c r="S345" s="11">
        <v>0</v>
      </c>
      <c r="T345" s="11"/>
    </row>
    <row r="346" spans="1:20" hidden="1" x14ac:dyDescent="0.25">
      <c r="A346" s="56">
        <v>44824</v>
      </c>
      <c r="B346" s="4" t="s">
        <v>3196</v>
      </c>
      <c r="C346" s="191" t="s">
        <v>3197</v>
      </c>
      <c r="D346" s="1" t="s">
        <v>3198</v>
      </c>
      <c r="E346" s="4" t="s">
        <v>218</v>
      </c>
      <c r="F346" s="1" t="s">
        <v>2446</v>
      </c>
      <c r="G346" s="10" t="s">
        <v>3199</v>
      </c>
      <c r="H346" s="15">
        <v>50000</v>
      </c>
      <c r="I346" s="2">
        <v>35000</v>
      </c>
      <c r="J346" s="192">
        <v>15000</v>
      </c>
      <c r="K346" s="1" t="s">
        <v>3200</v>
      </c>
      <c r="L346" s="11">
        <v>60000</v>
      </c>
      <c r="M346" s="11">
        <v>50420.168067226892</v>
      </c>
      <c r="N346" s="11">
        <v>9579.8319327731097</v>
      </c>
      <c r="O346" s="11">
        <v>90000</v>
      </c>
      <c r="P346" s="11">
        <v>75630.252100840342</v>
      </c>
      <c r="Q346" s="11">
        <v>14369.747899159665</v>
      </c>
      <c r="R346" s="11">
        <v>4789.9159663865557</v>
      </c>
      <c r="S346" s="11">
        <v>25210.084033613442</v>
      </c>
      <c r="T346" s="11"/>
    </row>
    <row r="347" spans="1:20" x14ac:dyDescent="0.25">
      <c r="A347" s="56">
        <v>44824</v>
      </c>
      <c r="B347" s="4" t="s">
        <v>3196</v>
      </c>
      <c r="C347" s="191" t="s">
        <v>3197</v>
      </c>
      <c r="D347" s="1" t="s">
        <v>3198</v>
      </c>
      <c r="E347" s="4" t="s">
        <v>218</v>
      </c>
      <c r="F347" s="1" t="s">
        <v>10</v>
      </c>
      <c r="G347" s="10" t="s">
        <v>434</v>
      </c>
      <c r="H347" s="15">
        <v>80000</v>
      </c>
      <c r="I347" s="2">
        <v>56000</v>
      </c>
      <c r="J347" s="192">
        <v>24000</v>
      </c>
      <c r="L347" s="11"/>
      <c r="M347" s="11">
        <v>0</v>
      </c>
      <c r="N347" s="11">
        <v>0</v>
      </c>
      <c r="O347" s="11"/>
      <c r="P347" s="11">
        <v>0</v>
      </c>
      <c r="Q347" s="11">
        <v>0</v>
      </c>
      <c r="R347" s="11">
        <v>0</v>
      </c>
      <c r="S347" s="11">
        <v>0</v>
      </c>
      <c r="T347" s="11"/>
    </row>
    <row r="348" spans="1:20" hidden="1" x14ac:dyDescent="0.25">
      <c r="A348" s="56">
        <v>44824</v>
      </c>
      <c r="B348" s="4" t="s">
        <v>3196</v>
      </c>
      <c r="C348" s="191" t="s">
        <v>3197</v>
      </c>
      <c r="D348" s="1" t="s">
        <v>3198</v>
      </c>
      <c r="E348" s="4" t="s">
        <v>218</v>
      </c>
      <c r="F348" s="1" t="s">
        <v>16</v>
      </c>
      <c r="G348" s="10" t="s">
        <v>3201</v>
      </c>
      <c r="H348" s="15">
        <v>150000</v>
      </c>
      <c r="I348" s="2">
        <v>150000</v>
      </c>
      <c r="J348" s="192">
        <v>0</v>
      </c>
      <c r="K348" s="1" t="s">
        <v>3202</v>
      </c>
      <c r="L348" s="11">
        <v>26500</v>
      </c>
      <c r="M348" s="11">
        <v>22268.907563025212</v>
      </c>
      <c r="N348" s="11">
        <v>4231.09243697479</v>
      </c>
      <c r="O348" s="11">
        <v>141000</v>
      </c>
      <c r="P348" s="11">
        <v>118487.3949579832</v>
      </c>
      <c r="Q348" s="11">
        <v>22512.605042016807</v>
      </c>
      <c r="R348" s="11">
        <v>18281.512605042015</v>
      </c>
      <c r="S348" s="11">
        <v>96218.487394957978</v>
      </c>
      <c r="T348" s="11"/>
    </row>
    <row r="349" spans="1:20" hidden="1" x14ac:dyDescent="0.25">
      <c r="A349" s="56">
        <v>44824</v>
      </c>
      <c r="B349" s="4" t="s">
        <v>3203</v>
      </c>
      <c r="C349" s="191" t="s">
        <v>3204</v>
      </c>
      <c r="D349" s="1" t="s">
        <v>3205</v>
      </c>
      <c r="E349" s="4" t="s">
        <v>240</v>
      </c>
      <c r="F349" s="1" t="s">
        <v>2446</v>
      </c>
      <c r="G349" s="10" t="s">
        <v>3206</v>
      </c>
      <c r="H349" s="15">
        <v>40000</v>
      </c>
      <c r="I349" s="2">
        <v>28000</v>
      </c>
      <c r="J349" s="192">
        <v>12000</v>
      </c>
      <c r="K349" s="1" t="s">
        <v>3207</v>
      </c>
      <c r="L349" s="11">
        <v>10000</v>
      </c>
      <c r="M349" s="11"/>
      <c r="N349" s="11">
        <v>0</v>
      </c>
      <c r="O349" s="11">
        <v>17000</v>
      </c>
      <c r="P349" s="11">
        <v>14285.714285714286</v>
      </c>
      <c r="Q349" s="11">
        <v>2714.2857142857142</v>
      </c>
      <c r="R349" s="11">
        <v>2714.2857142857142</v>
      </c>
      <c r="S349" s="11">
        <v>4285.7142857142862</v>
      </c>
      <c r="T349" s="11"/>
    </row>
    <row r="350" spans="1:20" hidden="1" x14ac:dyDescent="0.25">
      <c r="A350" s="56">
        <v>44824</v>
      </c>
      <c r="C350" s="191"/>
      <c r="D350" s="1" t="s">
        <v>1435</v>
      </c>
      <c r="E350" s="4" t="s">
        <v>1434</v>
      </c>
      <c r="F350" s="1" t="s">
        <v>2446</v>
      </c>
      <c r="G350" s="10" t="s">
        <v>2231</v>
      </c>
      <c r="H350" s="15">
        <v>20000</v>
      </c>
      <c r="I350" s="2">
        <v>12000</v>
      </c>
      <c r="J350" s="192">
        <v>8000</v>
      </c>
      <c r="L350" s="11"/>
      <c r="M350" s="11">
        <v>0</v>
      </c>
      <c r="N350" s="11">
        <v>0</v>
      </c>
      <c r="O350" s="11"/>
      <c r="P350" s="11">
        <v>0</v>
      </c>
      <c r="Q350" s="11">
        <v>0</v>
      </c>
      <c r="R350" s="11">
        <v>0</v>
      </c>
      <c r="S350" s="11">
        <v>0</v>
      </c>
      <c r="T350" s="11"/>
    </row>
    <row r="351" spans="1:20" hidden="1" x14ac:dyDescent="0.25">
      <c r="A351" s="56">
        <v>44824</v>
      </c>
      <c r="B351" s="4" t="s">
        <v>3190</v>
      </c>
      <c r="C351" s="191" t="s">
        <v>3191</v>
      </c>
      <c r="D351" s="1" t="s">
        <v>3192</v>
      </c>
      <c r="E351" s="4" t="s">
        <v>989</v>
      </c>
      <c r="F351" s="1" t="s">
        <v>2446</v>
      </c>
      <c r="G351" s="10" t="s">
        <v>3193</v>
      </c>
      <c r="H351" s="15">
        <v>50000</v>
      </c>
      <c r="I351" s="2">
        <v>35000</v>
      </c>
      <c r="J351" s="192">
        <v>15000</v>
      </c>
      <c r="L351" s="11"/>
      <c r="M351" s="11">
        <v>0</v>
      </c>
      <c r="N351" s="11">
        <v>0</v>
      </c>
      <c r="O351" s="11"/>
      <c r="P351" s="11">
        <v>0</v>
      </c>
      <c r="Q351" s="11">
        <v>0</v>
      </c>
      <c r="R351" s="11">
        <v>0</v>
      </c>
      <c r="S351" s="11">
        <v>0</v>
      </c>
      <c r="T351" s="11"/>
    </row>
    <row r="352" spans="1:20" hidden="1" x14ac:dyDescent="0.25">
      <c r="A352" s="56">
        <v>44825</v>
      </c>
      <c r="B352" s="4" t="s">
        <v>3208</v>
      </c>
      <c r="C352" s="191" t="s">
        <v>3209</v>
      </c>
      <c r="D352" s="1" t="s">
        <v>3210</v>
      </c>
      <c r="E352" s="4" t="s">
        <v>688</v>
      </c>
      <c r="F352" s="1" t="s">
        <v>2446</v>
      </c>
      <c r="G352" s="10" t="s">
        <v>3211</v>
      </c>
      <c r="H352" s="15">
        <v>35000</v>
      </c>
      <c r="I352" s="2">
        <v>32000</v>
      </c>
      <c r="J352" s="192">
        <v>3000</v>
      </c>
      <c r="L352" s="11"/>
      <c r="M352" s="11">
        <v>0</v>
      </c>
      <c r="N352" s="11">
        <v>0</v>
      </c>
      <c r="O352" s="11"/>
      <c r="P352" s="11">
        <v>0</v>
      </c>
      <c r="Q352" s="11">
        <v>0</v>
      </c>
      <c r="R352" s="11">
        <v>0</v>
      </c>
      <c r="S352" s="11">
        <v>0</v>
      </c>
      <c r="T352" s="11"/>
    </row>
    <row r="353" spans="1:20" hidden="1" x14ac:dyDescent="0.25">
      <c r="A353" s="56">
        <v>44825</v>
      </c>
      <c r="B353" s="4" t="s">
        <v>3212</v>
      </c>
      <c r="C353" s="191" t="s">
        <v>3213</v>
      </c>
      <c r="D353" s="1" t="s">
        <v>3214</v>
      </c>
      <c r="E353" s="4" t="s">
        <v>1196</v>
      </c>
      <c r="F353" s="1" t="s">
        <v>2446</v>
      </c>
      <c r="G353" s="10" t="s">
        <v>3216</v>
      </c>
      <c r="H353" s="15">
        <v>55000</v>
      </c>
      <c r="I353" s="2">
        <v>38500</v>
      </c>
      <c r="J353" s="192">
        <v>16500</v>
      </c>
      <c r="K353" s="1" t="s">
        <v>3215</v>
      </c>
      <c r="L353" s="11">
        <v>85000</v>
      </c>
      <c r="M353" s="11">
        <v>71428.571428571435</v>
      </c>
      <c r="N353" s="11">
        <v>13571.428571428572</v>
      </c>
      <c r="O353" s="11">
        <v>117000</v>
      </c>
      <c r="P353" s="11">
        <v>98319.327731092446</v>
      </c>
      <c r="Q353" s="11">
        <v>18680.672268907565</v>
      </c>
      <c r="R353" s="11">
        <v>5109.2436974789925</v>
      </c>
      <c r="S353" s="11">
        <v>26890.756302521011</v>
      </c>
      <c r="T353" s="11"/>
    </row>
    <row r="354" spans="1:20" hidden="1" x14ac:dyDescent="0.25">
      <c r="A354" s="56">
        <v>44825</v>
      </c>
      <c r="C354" s="191"/>
      <c r="D354" s="1" t="s">
        <v>3217</v>
      </c>
      <c r="E354" s="4" t="s">
        <v>889</v>
      </c>
      <c r="F354" s="1" t="s">
        <v>2446</v>
      </c>
      <c r="G354" s="10" t="s">
        <v>3218</v>
      </c>
      <c r="H354" s="15">
        <v>40000</v>
      </c>
      <c r="I354" s="2">
        <v>28000</v>
      </c>
      <c r="J354" s="192">
        <v>12000</v>
      </c>
      <c r="L354" s="11"/>
      <c r="M354" s="11">
        <v>0</v>
      </c>
      <c r="N354" s="11">
        <v>0</v>
      </c>
      <c r="O354" s="11"/>
      <c r="P354" s="11">
        <v>0</v>
      </c>
      <c r="Q354" s="11">
        <v>0</v>
      </c>
      <c r="R354" s="11">
        <v>0</v>
      </c>
      <c r="S354" s="11">
        <v>0</v>
      </c>
      <c r="T354" s="11"/>
    </row>
    <row r="355" spans="1:20" hidden="1" x14ac:dyDescent="0.25">
      <c r="A355" s="56">
        <v>44825</v>
      </c>
      <c r="B355" s="4" t="s">
        <v>3220</v>
      </c>
      <c r="C355" s="191" t="s">
        <v>3219</v>
      </c>
      <c r="D355" s="1" t="s">
        <v>1693</v>
      </c>
      <c r="E355" s="4" t="s">
        <v>540</v>
      </c>
      <c r="F355" s="1" t="s">
        <v>2446</v>
      </c>
      <c r="G355" s="10" t="s">
        <v>3227</v>
      </c>
      <c r="H355" s="15">
        <v>100000</v>
      </c>
      <c r="I355" s="2">
        <v>70000</v>
      </c>
      <c r="J355" s="192">
        <v>30000</v>
      </c>
      <c r="L355" s="11"/>
      <c r="M355" s="11">
        <v>0</v>
      </c>
      <c r="N355" s="11">
        <v>0</v>
      </c>
      <c r="O355" s="11"/>
      <c r="P355" s="11">
        <v>0</v>
      </c>
      <c r="Q355" s="11">
        <v>0</v>
      </c>
      <c r="R355" s="11">
        <v>0</v>
      </c>
      <c r="S355" s="11">
        <v>0</v>
      </c>
      <c r="T355" s="11"/>
    </row>
    <row r="356" spans="1:20" hidden="1" x14ac:dyDescent="0.25">
      <c r="A356" s="56">
        <v>44825</v>
      </c>
      <c r="B356" s="4" t="s">
        <v>3225</v>
      </c>
      <c r="C356" s="191" t="s">
        <v>3221</v>
      </c>
      <c r="D356" s="1" t="s">
        <v>3222</v>
      </c>
      <c r="E356" s="4" t="s">
        <v>136</v>
      </c>
      <c r="F356" s="1" t="s">
        <v>2446</v>
      </c>
      <c r="G356" s="10" t="s">
        <v>3223</v>
      </c>
      <c r="H356" s="15">
        <v>60000</v>
      </c>
      <c r="I356" s="2">
        <v>42000</v>
      </c>
      <c r="J356" s="192">
        <v>18000</v>
      </c>
      <c r="K356" s="1" t="s">
        <v>3224</v>
      </c>
      <c r="L356" s="11">
        <v>132000</v>
      </c>
      <c r="M356" s="11">
        <v>110924.36974789917</v>
      </c>
      <c r="N356" s="11">
        <v>21075.630252100844</v>
      </c>
      <c r="O356" s="11">
        <v>175000</v>
      </c>
      <c r="P356" s="11">
        <v>147058.82352941178</v>
      </c>
      <c r="Q356" s="11">
        <v>27941.176470588238</v>
      </c>
      <c r="R356" s="11">
        <v>6865.5462184873941</v>
      </c>
      <c r="S356" s="11">
        <v>36134.453781512595</v>
      </c>
      <c r="T356" s="11"/>
    </row>
    <row r="357" spans="1:20" x14ac:dyDescent="0.25">
      <c r="A357" s="56">
        <v>44825</v>
      </c>
      <c r="C357" s="191"/>
      <c r="D357" s="1" t="s">
        <v>3226</v>
      </c>
      <c r="E357" s="4" t="s">
        <v>65</v>
      </c>
      <c r="F357" s="1" t="s">
        <v>10</v>
      </c>
      <c r="G357" s="10" t="s">
        <v>2183</v>
      </c>
      <c r="H357" s="15">
        <v>500000</v>
      </c>
      <c r="I357" s="2">
        <v>350000</v>
      </c>
      <c r="J357" s="192">
        <v>150000</v>
      </c>
      <c r="L357" s="11"/>
      <c r="M357" s="11">
        <v>0</v>
      </c>
      <c r="N357" s="11">
        <v>0</v>
      </c>
      <c r="O357" s="11"/>
      <c r="P357" s="11">
        <v>0</v>
      </c>
      <c r="Q357" s="11">
        <v>0</v>
      </c>
      <c r="R357" s="11">
        <v>0</v>
      </c>
      <c r="S357" s="11">
        <v>0</v>
      </c>
      <c r="T357" s="11"/>
    </row>
    <row r="358" spans="1:20" hidden="1" x14ac:dyDescent="0.25">
      <c r="A358" s="56">
        <v>44827</v>
      </c>
      <c r="B358" s="4" t="s">
        <v>3229</v>
      </c>
      <c r="C358" s="191" t="s">
        <v>3230</v>
      </c>
      <c r="D358" s="1" t="s">
        <v>3231</v>
      </c>
      <c r="E358" s="4" t="s">
        <v>76</v>
      </c>
      <c r="F358" s="1" t="s">
        <v>2446</v>
      </c>
      <c r="G358" s="10" t="s">
        <v>3232</v>
      </c>
      <c r="H358" s="15">
        <v>100000</v>
      </c>
      <c r="I358" s="2">
        <v>70000</v>
      </c>
      <c r="J358" s="192">
        <v>30000</v>
      </c>
      <c r="K358" s="1" t="s">
        <v>57</v>
      </c>
      <c r="L358" s="11">
        <v>24000</v>
      </c>
      <c r="M358" s="11">
        <v>20168.067226890758</v>
      </c>
      <c r="N358" s="11">
        <v>3831.932773109244</v>
      </c>
      <c r="O358" s="11">
        <v>35000</v>
      </c>
      <c r="P358" s="11">
        <v>29411.764705882353</v>
      </c>
      <c r="Q358" s="11">
        <v>5588.2352941176468</v>
      </c>
      <c r="R358" s="11">
        <v>1756.3025210084029</v>
      </c>
      <c r="S358" s="11">
        <v>9243.6974789915985</v>
      </c>
      <c r="T358" s="11"/>
    </row>
    <row r="359" spans="1:20" hidden="1" x14ac:dyDescent="0.25">
      <c r="A359" s="56">
        <v>44827</v>
      </c>
      <c r="B359" s="4" t="s">
        <v>3233</v>
      </c>
      <c r="C359" s="191" t="s">
        <v>3234</v>
      </c>
      <c r="D359" s="1" t="s">
        <v>3235</v>
      </c>
      <c r="E359" s="4" t="s">
        <v>704</v>
      </c>
      <c r="F359" s="1" t="s">
        <v>2446</v>
      </c>
      <c r="G359" s="10" t="s">
        <v>3236</v>
      </c>
      <c r="H359" s="15">
        <v>60000</v>
      </c>
      <c r="I359" s="2">
        <v>42000</v>
      </c>
      <c r="J359" s="192">
        <v>18000</v>
      </c>
      <c r="K359" s="1" t="s">
        <v>3237</v>
      </c>
      <c r="L359" s="11">
        <v>6400</v>
      </c>
      <c r="M359" s="11">
        <v>5378.1512605042017</v>
      </c>
      <c r="N359" s="11">
        <v>1021.8487394957983</v>
      </c>
      <c r="O359" s="11">
        <v>15000</v>
      </c>
      <c r="P359" s="11">
        <v>12605.042016806723</v>
      </c>
      <c r="Q359" s="11">
        <v>2394.9579831932774</v>
      </c>
      <c r="R359" s="11">
        <v>1373.1092436974791</v>
      </c>
      <c r="S359" s="11">
        <v>7226.8907563025205</v>
      </c>
      <c r="T359" s="11"/>
    </row>
    <row r="360" spans="1:20" x14ac:dyDescent="0.25">
      <c r="A360" s="56">
        <v>44827</v>
      </c>
      <c r="B360" s="4" t="s">
        <v>3233</v>
      </c>
      <c r="C360" s="191" t="s">
        <v>3234</v>
      </c>
      <c r="D360" s="1" t="s">
        <v>3235</v>
      </c>
      <c r="E360" s="4" t="s">
        <v>704</v>
      </c>
      <c r="F360" s="1" t="s">
        <v>10</v>
      </c>
      <c r="G360" s="10" t="s">
        <v>3108</v>
      </c>
      <c r="H360" s="15">
        <v>160000</v>
      </c>
      <c r="I360" s="2">
        <v>112000</v>
      </c>
      <c r="J360" s="192">
        <v>48000</v>
      </c>
      <c r="L360" s="11"/>
      <c r="M360" s="11">
        <v>0</v>
      </c>
      <c r="N360" s="11">
        <v>0</v>
      </c>
      <c r="O360" s="11"/>
      <c r="P360" s="11">
        <v>0</v>
      </c>
      <c r="Q360" s="11">
        <v>0</v>
      </c>
      <c r="R360" s="11">
        <v>0</v>
      </c>
      <c r="S360" s="11">
        <v>0</v>
      </c>
      <c r="T360" s="11"/>
    </row>
    <row r="361" spans="1:20" ht="30" hidden="1" x14ac:dyDescent="0.25">
      <c r="A361" s="56">
        <v>44827</v>
      </c>
      <c r="B361" s="4" t="s">
        <v>3238</v>
      </c>
      <c r="C361" s="191" t="s">
        <v>1278</v>
      </c>
      <c r="D361" s="1" t="s">
        <v>386</v>
      </c>
      <c r="E361" s="4" t="s">
        <v>46</v>
      </c>
      <c r="F361" s="1" t="s">
        <v>34</v>
      </c>
      <c r="G361" s="10" t="s">
        <v>3239</v>
      </c>
      <c r="H361" s="15">
        <v>50000</v>
      </c>
      <c r="I361" s="2">
        <v>35000</v>
      </c>
      <c r="J361" s="192">
        <v>15000</v>
      </c>
      <c r="K361" s="1" t="s">
        <v>3240</v>
      </c>
      <c r="L361" s="11">
        <v>36900</v>
      </c>
      <c r="M361" s="11">
        <v>31008.403361344539</v>
      </c>
      <c r="N361" s="11">
        <v>5891.5966386554628</v>
      </c>
      <c r="O361" s="11">
        <v>76000</v>
      </c>
      <c r="P361" s="11">
        <v>63865.546218487398</v>
      </c>
      <c r="Q361" s="11">
        <v>12134.453781512606</v>
      </c>
      <c r="R361" s="11">
        <v>6242.8571428571431</v>
      </c>
      <c r="S361" s="11">
        <v>32857.142857142855</v>
      </c>
      <c r="T361" s="11"/>
    </row>
    <row r="362" spans="1:20" hidden="1" x14ac:dyDescent="0.25">
      <c r="A362" s="56">
        <v>44827</v>
      </c>
      <c r="C362" s="191" t="s">
        <v>3241</v>
      </c>
      <c r="D362" s="1" t="s">
        <v>3242</v>
      </c>
      <c r="E362" s="4" t="s">
        <v>3243</v>
      </c>
      <c r="F362" s="1" t="s">
        <v>2446</v>
      </c>
      <c r="G362" s="10" t="s">
        <v>3244</v>
      </c>
      <c r="H362" s="15">
        <v>90000</v>
      </c>
      <c r="I362" s="2">
        <v>62999.999999999993</v>
      </c>
      <c r="J362" s="192">
        <v>27000.000000000007</v>
      </c>
      <c r="L362" s="11"/>
      <c r="M362" s="11">
        <v>0</v>
      </c>
      <c r="N362" s="11">
        <v>0</v>
      </c>
      <c r="O362" s="11"/>
      <c r="P362" s="11">
        <v>0</v>
      </c>
      <c r="Q362" s="11">
        <v>0</v>
      </c>
      <c r="R362" s="11">
        <v>0</v>
      </c>
      <c r="S362" s="11">
        <v>0</v>
      </c>
      <c r="T362" s="11"/>
    </row>
    <row r="363" spans="1:20" x14ac:dyDescent="0.25">
      <c r="A363" s="56">
        <v>44827</v>
      </c>
      <c r="B363" s="4" t="s">
        <v>3245</v>
      </c>
      <c r="C363" s="191" t="s">
        <v>3098</v>
      </c>
      <c r="D363" s="1" t="s">
        <v>3099</v>
      </c>
      <c r="E363" s="4" t="s">
        <v>3246</v>
      </c>
      <c r="F363" s="1" t="s">
        <v>10</v>
      </c>
      <c r="G363" s="10" t="s">
        <v>3108</v>
      </c>
      <c r="H363" s="15">
        <v>250000</v>
      </c>
      <c r="I363" s="2">
        <v>175000</v>
      </c>
      <c r="J363" s="192">
        <v>75000</v>
      </c>
      <c r="K363" s="1" t="s">
        <v>3247</v>
      </c>
      <c r="L363" s="11">
        <v>310000</v>
      </c>
      <c r="M363" s="11">
        <v>260504.20168067227</v>
      </c>
      <c r="N363" s="11">
        <v>49495.798319327732</v>
      </c>
      <c r="O363" s="11">
        <v>420000</v>
      </c>
      <c r="P363" s="11">
        <v>352941.17647058825</v>
      </c>
      <c r="Q363" s="11">
        <v>67058.823529411762</v>
      </c>
      <c r="R363" s="11">
        <v>17563.02521008403</v>
      </c>
      <c r="S363" s="11">
        <v>92436.974789915956</v>
      </c>
      <c r="T363" s="11"/>
    </row>
    <row r="364" spans="1:20" hidden="1" x14ac:dyDescent="0.25">
      <c r="A364" s="56">
        <v>44827</v>
      </c>
      <c r="C364" s="191" t="s">
        <v>1144</v>
      </c>
      <c r="D364" s="1" t="s">
        <v>1629</v>
      </c>
      <c r="E364" s="4" t="s">
        <v>122</v>
      </c>
      <c r="F364" s="1" t="s">
        <v>2446</v>
      </c>
      <c r="G364" s="10" t="s">
        <v>1074</v>
      </c>
      <c r="H364" s="15">
        <v>30000</v>
      </c>
      <c r="I364" s="2">
        <v>21000</v>
      </c>
      <c r="J364" s="192">
        <v>9000</v>
      </c>
      <c r="L364" s="11"/>
      <c r="M364" s="11">
        <v>0</v>
      </c>
      <c r="N364" s="11">
        <v>0</v>
      </c>
      <c r="O364" s="11"/>
      <c r="P364" s="11">
        <v>0</v>
      </c>
      <c r="Q364" s="11">
        <v>0</v>
      </c>
      <c r="R364" s="11">
        <v>0</v>
      </c>
      <c r="S364" s="11">
        <v>0</v>
      </c>
      <c r="T364" s="11"/>
    </row>
    <row r="365" spans="1:20" x14ac:dyDescent="0.25">
      <c r="A365" s="56">
        <v>44827</v>
      </c>
      <c r="B365" s="4" t="s">
        <v>3248</v>
      </c>
      <c r="C365" s="191" t="s">
        <v>1988</v>
      </c>
      <c r="D365" s="1" t="s">
        <v>1987</v>
      </c>
      <c r="E365" s="4" t="s">
        <v>122</v>
      </c>
      <c r="F365" s="1" t="s">
        <v>10</v>
      </c>
      <c r="G365" s="10" t="s">
        <v>3249</v>
      </c>
      <c r="H365" s="15">
        <v>120000</v>
      </c>
      <c r="I365" s="2">
        <v>84000</v>
      </c>
      <c r="J365" s="192">
        <v>36000</v>
      </c>
      <c r="K365" s="1" t="s">
        <v>3250</v>
      </c>
      <c r="L365" s="11">
        <v>362500</v>
      </c>
      <c r="M365" s="11">
        <v>16806.72</v>
      </c>
      <c r="N365" s="11">
        <v>3193.2768000000001</v>
      </c>
      <c r="O365" s="11">
        <v>480000</v>
      </c>
      <c r="P365" s="11">
        <v>403361.34453781514</v>
      </c>
      <c r="Q365" s="11">
        <v>76638.655462184877</v>
      </c>
      <c r="R365" s="11">
        <v>73445.37866218487</v>
      </c>
      <c r="S365" s="11">
        <v>44054.62133781513</v>
      </c>
      <c r="T365" s="11"/>
    </row>
    <row r="366" spans="1:20" ht="30" hidden="1" x14ac:dyDescent="0.25">
      <c r="A366" s="56">
        <v>44827</v>
      </c>
      <c r="B366" s="4" t="s">
        <v>3251</v>
      </c>
      <c r="C366" s="191" t="s">
        <v>3252</v>
      </c>
      <c r="D366" s="1" t="s">
        <v>3111</v>
      </c>
      <c r="E366" s="4" t="s">
        <v>1947</v>
      </c>
      <c r="F366" s="1" t="s">
        <v>2446</v>
      </c>
      <c r="G366" s="10" t="s">
        <v>3253</v>
      </c>
      <c r="H366" s="15">
        <v>230000</v>
      </c>
      <c r="I366" s="2">
        <v>161000</v>
      </c>
      <c r="J366" s="192">
        <v>69000</v>
      </c>
      <c r="K366" s="1" t="s">
        <v>3254</v>
      </c>
      <c r="L366" s="11">
        <v>336490</v>
      </c>
      <c r="M366" s="11">
        <v>282764.70588235295</v>
      </c>
      <c r="N366" s="11">
        <v>53725.294117647063</v>
      </c>
      <c r="O366" s="11">
        <v>557000</v>
      </c>
      <c r="P366" s="11">
        <v>468067.22689075634</v>
      </c>
      <c r="Q366" s="11">
        <v>88932.773109243702</v>
      </c>
      <c r="R366" s="11">
        <v>35207.478991596639</v>
      </c>
      <c r="S366" s="11">
        <v>185302.52100840339</v>
      </c>
      <c r="T366" s="11"/>
    </row>
    <row r="367" spans="1:20" hidden="1" x14ac:dyDescent="0.25">
      <c r="A367" s="56">
        <v>44828</v>
      </c>
      <c r="B367" s="4" t="s">
        <v>3256</v>
      </c>
      <c r="C367" s="191" t="s">
        <v>3257</v>
      </c>
      <c r="D367" s="1" t="s">
        <v>3258</v>
      </c>
      <c r="E367" s="4" t="s">
        <v>3259</v>
      </c>
      <c r="F367" s="1" t="s">
        <v>2446</v>
      </c>
      <c r="G367" s="10" t="s">
        <v>3260</v>
      </c>
      <c r="H367" s="15">
        <v>80000</v>
      </c>
      <c r="I367" s="2">
        <v>56000</v>
      </c>
      <c r="J367" s="192">
        <v>24000</v>
      </c>
      <c r="K367" s="1" t="s">
        <v>3261</v>
      </c>
      <c r="L367" s="11">
        <v>175000</v>
      </c>
      <c r="M367" s="11">
        <v>147058.82352941178</v>
      </c>
      <c r="N367" s="11">
        <v>27941.176470588238</v>
      </c>
      <c r="O367" s="11">
        <v>225000</v>
      </c>
      <c r="P367" s="11">
        <v>189075.63025210085</v>
      </c>
      <c r="Q367" s="11">
        <v>35924.36974789916</v>
      </c>
      <c r="R367" s="11">
        <v>7983.193277310922</v>
      </c>
      <c r="S367" s="11">
        <v>42016.806722689071</v>
      </c>
      <c r="T367" s="11"/>
    </row>
    <row r="368" spans="1:20" hidden="1" x14ac:dyDescent="0.25">
      <c r="A368" s="56">
        <v>44828</v>
      </c>
      <c r="C368" s="191"/>
      <c r="D368" s="1" t="s">
        <v>3144</v>
      </c>
      <c r="E368" s="4" t="s">
        <v>704</v>
      </c>
      <c r="F368" s="1" t="s">
        <v>2446</v>
      </c>
      <c r="G368" s="10" t="s">
        <v>844</v>
      </c>
      <c r="H368" s="15">
        <v>40000</v>
      </c>
      <c r="I368" s="2">
        <v>28000</v>
      </c>
      <c r="J368" s="192">
        <v>12000</v>
      </c>
      <c r="L368" s="11"/>
      <c r="M368" s="11">
        <v>0</v>
      </c>
      <c r="N368" s="11">
        <v>0</v>
      </c>
      <c r="O368" s="11"/>
      <c r="P368" s="11">
        <v>0</v>
      </c>
      <c r="Q368" s="11">
        <v>0</v>
      </c>
      <c r="R368" s="11">
        <v>0</v>
      </c>
      <c r="S368" s="11">
        <v>0</v>
      </c>
      <c r="T368" s="11"/>
    </row>
    <row r="369" spans="1:20" hidden="1" x14ac:dyDescent="0.25">
      <c r="A369" s="56">
        <v>44828</v>
      </c>
      <c r="C369" s="191" t="s">
        <v>3085</v>
      </c>
      <c r="D369" s="1" t="s">
        <v>3107</v>
      </c>
      <c r="E369" s="4" t="s">
        <v>168</v>
      </c>
      <c r="F369" s="1" t="s">
        <v>2446</v>
      </c>
      <c r="G369" s="10" t="s">
        <v>3185</v>
      </c>
      <c r="H369" s="15">
        <v>50000</v>
      </c>
      <c r="I369" s="2">
        <v>35000</v>
      </c>
      <c r="J369" s="192">
        <v>15000</v>
      </c>
      <c r="L369" s="11">
        <v>44000</v>
      </c>
      <c r="M369" s="11">
        <v>36974.789915966387</v>
      </c>
      <c r="N369" s="11">
        <v>7025.2100840336134</v>
      </c>
      <c r="O369" s="11">
        <v>60000</v>
      </c>
      <c r="P369" s="11">
        <v>50420.168067226892</v>
      </c>
      <c r="Q369" s="11">
        <v>9579.8319327731097</v>
      </c>
      <c r="R369" s="11">
        <v>2554.6218487394963</v>
      </c>
      <c r="S369" s="11">
        <v>13445.378151260506</v>
      </c>
      <c r="T369" s="11"/>
    </row>
    <row r="370" spans="1:20" x14ac:dyDescent="0.25">
      <c r="A370" s="56">
        <v>44828</v>
      </c>
      <c r="B370" s="4" t="s">
        <v>3263</v>
      </c>
      <c r="C370" s="191" t="s">
        <v>703</v>
      </c>
      <c r="D370" s="1" t="s">
        <v>705</v>
      </c>
      <c r="E370" s="4" t="s">
        <v>704</v>
      </c>
      <c r="F370" s="1" t="s">
        <v>10</v>
      </c>
      <c r="G370" s="10" t="s">
        <v>3264</v>
      </c>
      <c r="H370" s="15">
        <v>40000</v>
      </c>
      <c r="I370" s="2">
        <v>28000</v>
      </c>
      <c r="J370" s="192">
        <v>12000</v>
      </c>
      <c r="K370" s="1" t="s">
        <v>3265</v>
      </c>
      <c r="L370" s="11">
        <v>86500</v>
      </c>
      <c r="M370" s="11">
        <v>72689.075630252104</v>
      </c>
      <c r="N370" s="11">
        <v>13810.9243697479</v>
      </c>
      <c r="O370" s="11">
        <v>107000</v>
      </c>
      <c r="P370" s="11">
        <v>89915.966386554632</v>
      </c>
      <c r="Q370" s="11">
        <v>17084.033613445379</v>
      </c>
      <c r="R370" s="11">
        <v>3273.1092436974795</v>
      </c>
      <c r="S370" s="11">
        <v>17226.890756302513</v>
      </c>
      <c r="T370" s="11"/>
    </row>
    <row r="371" spans="1:20" x14ac:dyDescent="0.25">
      <c r="A371" s="56">
        <v>44830</v>
      </c>
      <c r="B371" s="4" t="s">
        <v>3266</v>
      </c>
      <c r="C371" s="191" t="s">
        <v>3267</v>
      </c>
      <c r="D371" s="1" t="s">
        <v>3283</v>
      </c>
      <c r="E371" s="4" t="s">
        <v>3269</v>
      </c>
      <c r="F371" s="1" t="s">
        <v>10</v>
      </c>
      <c r="G371" s="10" t="s">
        <v>2183</v>
      </c>
      <c r="H371" s="15">
        <v>700000</v>
      </c>
      <c r="I371" s="2">
        <v>489999.99999999994</v>
      </c>
      <c r="J371" s="192">
        <v>210000.00000000006</v>
      </c>
      <c r="K371" s="1" t="s">
        <v>3270</v>
      </c>
      <c r="L371" s="11">
        <v>750000</v>
      </c>
      <c r="M371" s="11">
        <v>630252.10084033618</v>
      </c>
      <c r="N371" s="11">
        <v>119747.89915966388</v>
      </c>
      <c r="O371" s="11">
        <v>1122500</v>
      </c>
      <c r="P371" s="11">
        <v>943277.31092436984</v>
      </c>
      <c r="Q371" s="11">
        <v>179222.68907563027</v>
      </c>
      <c r="R371" s="11">
        <v>59474.789915966394</v>
      </c>
      <c r="S371" s="11">
        <v>313025.21008403366</v>
      </c>
      <c r="T371" s="11"/>
    </row>
    <row r="372" spans="1:20" hidden="1" x14ac:dyDescent="0.25">
      <c r="A372" s="56">
        <v>44830</v>
      </c>
      <c r="B372" s="4" t="s">
        <v>3266</v>
      </c>
      <c r="C372" s="191" t="s">
        <v>3267</v>
      </c>
      <c r="D372" s="1" t="s">
        <v>3268</v>
      </c>
      <c r="E372" s="4" t="s">
        <v>3269</v>
      </c>
      <c r="F372" s="1" t="s">
        <v>2446</v>
      </c>
      <c r="G372" s="10" t="s">
        <v>3272</v>
      </c>
      <c r="H372" s="15">
        <v>60000</v>
      </c>
      <c r="J372" s="192">
        <v>60000</v>
      </c>
      <c r="K372" s="1" t="s">
        <v>3271</v>
      </c>
      <c r="L372" s="11">
        <v>56282</v>
      </c>
      <c r="M372" s="11">
        <v>47295.798319327732</v>
      </c>
      <c r="N372" s="11">
        <v>8986.2016806722695</v>
      </c>
      <c r="O372" s="11">
        <v>105000</v>
      </c>
      <c r="P372" s="11">
        <v>88235.294117647063</v>
      </c>
      <c r="Q372" s="11">
        <v>16764.705882352941</v>
      </c>
      <c r="R372" s="11">
        <v>7778.504201680671</v>
      </c>
      <c r="S372" s="11">
        <v>40939.495798319331</v>
      </c>
      <c r="T372" s="11"/>
    </row>
    <row r="373" spans="1:20" hidden="1" x14ac:dyDescent="0.25">
      <c r="A373" s="56">
        <v>44830</v>
      </c>
      <c r="B373" s="4" t="s">
        <v>3273</v>
      </c>
      <c r="C373" s="191" t="s">
        <v>2141</v>
      </c>
      <c r="D373" s="1" t="s">
        <v>546</v>
      </c>
      <c r="E373" s="4" t="s">
        <v>574</v>
      </c>
      <c r="F373" s="1" t="s">
        <v>2446</v>
      </c>
      <c r="G373" s="10" t="s">
        <v>3274</v>
      </c>
      <c r="H373" s="15">
        <v>30000</v>
      </c>
      <c r="I373" s="2">
        <v>21000</v>
      </c>
      <c r="J373" s="192">
        <v>9000</v>
      </c>
      <c r="K373" s="1" t="s">
        <v>2938</v>
      </c>
      <c r="L373" s="11">
        <v>70000</v>
      </c>
      <c r="M373" s="11">
        <v>58823.529411764706</v>
      </c>
      <c r="N373" s="11">
        <v>11176.470588235294</v>
      </c>
      <c r="O373" s="11">
        <v>100000</v>
      </c>
      <c r="P373" s="11">
        <v>84033.613445378156</v>
      </c>
      <c r="Q373" s="11"/>
      <c r="R373" s="11"/>
      <c r="S373" s="11">
        <v>30000</v>
      </c>
      <c r="T373" s="11"/>
    </row>
    <row r="374" spans="1:20" hidden="1" x14ac:dyDescent="0.25">
      <c r="A374" s="56">
        <v>44831</v>
      </c>
      <c r="B374" s="4" t="s">
        <v>3275</v>
      </c>
      <c r="C374" s="191"/>
      <c r="D374" s="1" t="s">
        <v>3276</v>
      </c>
      <c r="E374" s="4" t="s">
        <v>2193</v>
      </c>
      <c r="F374" s="1" t="s">
        <v>2446</v>
      </c>
      <c r="G374" s="10" t="s">
        <v>744</v>
      </c>
      <c r="H374" s="15">
        <v>30000</v>
      </c>
      <c r="I374" s="2">
        <v>21000</v>
      </c>
      <c r="J374" s="192">
        <v>9000</v>
      </c>
      <c r="K374" s="1" t="s">
        <v>3277</v>
      </c>
      <c r="L374" s="11">
        <v>44000</v>
      </c>
      <c r="M374" s="11">
        <v>36974.789915966387</v>
      </c>
      <c r="N374" s="11">
        <v>7025.2100840336134</v>
      </c>
      <c r="O374" s="11">
        <v>60000</v>
      </c>
      <c r="P374" s="11"/>
      <c r="Q374" s="11">
        <v>0</v>
      </c>
      <c r="R374" s="11">
        <v>-7025.2100840336134</v>
      </c>
      <c r="S374" s="11">
        <v>23025.210084033613</v>
      </c>
      <c r="T374" s="11"/>
    </row>
    <row r="375" spans="1:20" ht="30" hidden="1" x14ac:dyDescent="0.25">
      <c r="A375" s="56">
        <v>44832</v>
      </c>
      <c r="B375" s="4" t="s">
        <v>3278</v>
      </c>
      <c r="C375" s="191" t="s">
        <v>3279</v>
      </c>
      <c r="D375" s="1" t="s">
        <v>3280</v>
      </c>
      <c r="E375" s="4" t="s">
        <v>1907</v>
      </c>
      <c r="F375" s="1" t="s">
        <v>2446</v>
      </c>
      <c r="G375" s="10" t="s">
        <v>3281</v>
      </c>
      <c r="H375" s="15">
        <v>30000</v>
      </c>
      <c r="I375" s="2">
        <v>21000</v>
      </c>
      <c r="J375" s="192">
        <v>9000</v>
      </c>
      <c r="K375" s="1" t="s">
        <v>3073</v>
      </c>
      <c r="L375" s="11">
        <v>20000</v>
      </c>
      <c r="M375" s="11"/>
      <c r="N375" s="11">
        <v>0</v>
      </c>
      <c r="O375" s="11">
        <v>35000</v>
      </c>
      <c r="P375" s="11"/>
      <c r="Q375" s="11">
        <v>0</v>
      </c>
      <c r="R375" s="11">
        <v>0</v>
      </c>
      <c r="S375" s="11">
        <v>15000</v>
      </c>
      <c r="T375" s="11"/>
    </row>
    <row r="376" spans="1:20" hidden="1" x14ac:dyDescent="0.25">
      <c r="A376" s="56">
        <v>44832</v>
      </c>
      <c r="C376" s="191" t="s">
        <v>1278</v>
      </c>
      <c r="D376" s="1" t="s">
        <v>380</v>
      </c>
      <c r="E376" s="4" t="s">
        <v>59</v>
      </c>
      <c r="F376" s="1" t="s">
        <v>2446</v>
      </c>
      <c r="G376" s="10" t="s">
        <v>3282</v>
      </c>
      <c r="H376" s="15">
        <v>25000</v>
      </c>
      <c r="I376" s="2">
        <v>17500</v>
      </c>
      <c r="J376" s="192">
        <v>7500</v>
      </c>
      <c r="L376" s="11"/>
      <c r="M376" s="11">
        <v>0</v>
      </c>
      <c r="N376" s="11">
        <v>0</v>
      </c>
      <c r="O376" s="11"/>
      <c r="P376" s="11">
        <v>0</v>
      </c>
      <c r="Q376" s="11">
        <v>0</v>
      </c>
      <c r="R376" s="11">
        <v>0</v>
      </c>
      <c r="S376" s="11">
        <v>0</v>
      </c>
      <c r="T376" s="11"/>
    </row>
    <row r="377" spans="1:20" x14ac:dyDescent="0.25">
      <c r="A377" s="56">
        <v>44833</v>
      </c>
      <c r="C377" s="191"/>
      <c r="D377" s="1" t="s">
        <v>3284</v>
      </c>
      <c r="E377" s="4" t="s">
        <v>435</v>
      </c>
      <c r="F377" s="1" t="s">
        <v>10</v>
      </c>
      <c r="G377" s="10" t="s">
        <v>3285</v>
      </c>
      <c r="H377" s="15">
        <v>180000</v>
      </c>
      <c r="I377" s="2">
        <v>125999.99999999999</v>
      </c>
      <c r="J377" s="192">
        <v>54000.000000000015</v>
      </c>
      <c r="L377" s="11"/>
      <c r="M377" s="11">
        <v>0</v>
      </c>
      <c r="N377" s="11">
        <v>0</v>
      </c>
      <c r="O377" s="11"/>
      <c r="P377" s="11">
        <v>0</v>
      </c>
      <c r="Q377" s="11">
        <v>0</v>
      </c>
      <c r="R377" s="11">
        <v>0</v>
      </c>
      <c r="S377" s="11">
        <v>0</v>
      </c>
      <c r="T377" s="11"/>
    </row>
    <row r="378" spans="1:20" x14ac:dyDescent="0.25">
      <c r="A378" s="56">
        <v>44833</v>
      </c>
      <c r="C378" s="191" t="s">
        <v>3325</v>
      </c>
      <c r="D378" s="1" t="s">
        <v>3286</v>
      </c>
      <c r="E378" s="4" t="s">
        <v>3135</v>
      </c>
      <c r="F378" s="1" t="s">
        <v>10</v>
      </c>
      <c r="G378" s="10" t="s">
        <v>2183</v>
      </c>
      <c r="H378" s="15">
        <v>1000000</v>
      </c>
      <c r="I378" s="2">
        <v>700000</v>
      </c>
      <c r="J378" s="192">
        <v>300000</v>
      </c>
      <c r="K378" s="1" t="s">
        <v>3849</v>
      </c>
      <c r="L378" s="11">
        <v>1715000</v>
      </c>
      <c r="M378" s="11"/>
      <c r="N378" s="11">
        <v>0</v>
      </c>
      <c r="O378" s="11">
        <v>2224000</v>
      </c>
      <c r="P378" s="11"/>
      <c r="Q378" s="11">
        <v>0</v>
      </c>
      <c r="R378" s="11">
        <v>0</v>
      </c>
      <c r="S378" s="11">
        <v>509000</v>
      </c>
      <c r="T378" s="11"/>
    </row>
    <row r="379" spans="1:20" ht="30" hidden="1" x14ac:dyDescent="0.25">
      <c r="A379" s="56">
        <v>44833</v>
      </c>
      <c r="B379" s="4" t="s">
        <v>3290</v>
      </c>
      <c r="C379" s="191" t="s">
        <v>3287</v>
      </c>
      <c r="D379" s="1" t="s">
        <v>3288</v>
      </c>
      <c r="E379" s="4" t="s">
        <v>311</v>
      </c>
      <c r="F379" s="1" t="s">
        <v>2446</v>
      </c>
      <c r="G379" s="10" t="s">
        <v>3289</v>
      </c>
      <c r="H379" s="15">
        <v>180000</v>
      </c>
      <c r="I379" s="2">
        <v>125999.99999999999</v>
      </c>
      <c r="J379" s="192">
        <v>54000.000000000015</v>
      </c>
      <c r="K379" s="1" t="s">
        <v>3291</v>
      </c>
      <c r="L379" s="11">
        <v>618000</v>
      </c>
      <c r="M379" s="11">
        <v>519327.731092437</v>
      </c>
      <c r="N379" s="11">
        <v>98672.268907563033</v>
      </c>
      <c r="O379" s="11">
        <v>835000</v>
      </c>
      <c r="P379" s="11">
        <v>701680.67226890754</v>
      </c>
      <c r="Q379" s="11">
        <v>133319.32773109243</v>
      </c>
      <c r="R379" s="11">
        <v>34647.058823529398</v>
      </c>
      <c r="S379" s="11">
        <v>182352.9411764706</v>
      </c>
      <c r="T379" s="11"/>
    </row>
    <row r="380" spans="1:20" ht="45" hidden="1" x14ac:dyDescent="0.25">
      <c r="A380" s="56">
        <v>44833</v>
      </c>
      <c r="B380" s="4" t="s">
        <v>3292</v>
      </c>
      <c r="C380" s="191" t="s">
        <v>1278</v>
      </c>
      <c r="D380" s="1" t="s">
        <v>3293</v>
      </c>
      <c r="E380" s="4" t="s">
        <v>28</v>
      </c>
      <c r="F380" s="1" t="s">
        <v>2446</v>
      </c>
      <c r="G380" s="10" t="s">
        <v>3294</v>
      </c>
      <c r="H380" s="15">
        <v>420000</v>
      </c>
      <c r="I380" s="2">
        <v>294000</v>
      </c>
      <c r="J380" s="192">
        <v>126000</v>
      </c>
      <c r="K380" s="1" t="s">
        <v>3295</v>
      </c>
      <c r="L380" s="11">
        <v>610480.51500000001</v>
      </c>
      <c r="M380" s="11">
        <v>513008.83613445383</v>
      </c>
      <c r="N380" s="11">
        <v>97471.67886554623</v>
      </c>
      <c r="O380" s="11">
        <v>1101500</v>
      </c>
      <c r="P380" s="11">
        <v>925630.25210084033</v>
      </c>
      <c r="Q380" s="11">
        <v>175869.74789915967</v>
      </c>
      <c r="R380" s="11">
        <v>78398.069033613443</v>
      </c>
      <c r="S380" s="11">
        <v>412621.41596638656</v>
      </c>
      <c r="T380" s="11"/>
    </row>
    <row r="381" spans="1:20" ht="45" hidden="1" x14ac:dyDescent="0.25">
      <c r="A381" s="56">
        <v>44834</v>
      </c>
      <c r="B381" s="4" t="s">
        <v>3316</v>
      </c>
      <c r="C381" s="191" t="s">
        <v>3296</v>
      </c>
      <c r="D381" s="1" t="s">
        <v>3297</v>
      </c>
      <c r="E381" s="4" t="s">
        <v>385</v>
      </c>
      <c r="F381" s="1" t="s">
        <v>2446</v>
      </c>
      <c r="G381" s="10" t="s">
        <v>3298</v>
      </c>
      <c r="H381" s="15">
        <v>450000</v>
      </c>
      <c r="I381" s="2">
        <v>315000</v>
      </c>
      <c r="J381" s="192">
        <v>135000</v>
      </c>
      <c r="K381" s="1" t="s">
        <v>3319</v>
      </c>
      <c r="L381" s="11">
        <v>1051600</v>
      </c>
      <c r="M381" s="11">
        <v>883697.47899159673</v>
      </c>
      <c r="N381" s="11">
        <v>167902.52100840339</v>
      </c>
      <c r="O381" s="11">
        <v>1426700</v>
      </c>
      <c r="P381" s="11">
        <v>1198907.5630252101</v>
      </c>
      <c r="Q381" s="11">
        <v>227792.43697478992</v>
      </c>
      <c r="R381" s="11">
        <v>59889.915966386528</v>
      </c>
      <c r="S381" s="11">
        <v>315210.08403361356</v>
      </c>
      <c r="T381" s="11"/>
    </row>
    <row r="382" spans="1:20" ht="45" hidden="1" x14ac:dyDescent="0.25">
      <c r="A382" s="56">
        <v>44834</v>
      </c>
      <c r="B382" s="4" t="s">
        <v>3317</v>
      </c>
      <c r="C382" s="191" t="s">
        <v>3299</v>
      </c>
      <c r="D382" s="1" t="s">
        <v>3300</v>
      </c>
      <c r="E382" s="4" t="s">
        <v>975</v>
      </c>
      <c r="F382" s="1" t="s">
        <v>2446</v>
      </c>
      <c r="G382" s="10" t="s">
        <v>3301</v>
      </c>
      <c r="H382" s="15">
        <v>320000</v>
      </c>
      <c r="I382" s="2">
        <v>224000</v>
      </c>
      <c r="J382" s="192">
        <v>96000</v>
      </c>
      <c r="K382" s="1" t="s">
        <v>3302</v>
      </c>
      <c r="L382" s="11">
        <v>734000</v>
      </c>
      <c r="M382" s="11">
        <v>616806.72268907563</v>
      </c>
      <c r="N382" s="11">
        <v>117193.27731092437</v>
      </c>
      <c r="O382" s="11">
        <v>966000</v>
      </c>
      <c r="P382" s="11">
        <v>811764.70588235301</v>
      </c>
      <c r="Q382" s="11">
        <v>154235.29411764708</v>
      </c>
      <c r="R382" s="11">
        <v>37042.016806722706</v>
      </c>
      <c r="S382" s="11">
        <v>194957.98319327726</v>
      </c>
      <c r="T382" s="11"/>
    </row>
    <row r="383" spans="1:20" hidden="1" x14ac:dyDescent="0.25">
      <c r="A383" s="56">
        <v>44834</v>
      </c>
      <c r="C383" s="191" t="s">
        <v>3305</v>
      </c>
      <c r="E383" s="4"/>
      <c r="F383" s="1" t="s">
        <v>34</v>
      </c>
      <c r="G383" s="10" t="s">
        <v>341</v>
      </c>
      <c r="H383" s="15">
        <v>10000</v>
      </c>
      <c r="J383" s="192">
        <v>10000</v>
      </c>
      <c r="L383" s="11"/>
      <c r="M383" s="11">
        <v>0</v>
      </c>
      <c r="N383" s="11">
        <v>0</v>
      </c>
      <c r="O383" s="11"/>
      <c r="P383" s="11">
        <v>0</v>
      </c>
      <c r="Q383" s="11">
        <v>0</v>
      </c>
      <c r="R383" s="11">
        <v>0</v>
      </c>
      <c r="S383" s="11">
        <v>0</v>
      </c>
      <c r="T383" s="11"/>
    </row>
    <row r="384" spans="1:20" ht="16.5" hidden="1" customHeight="1" x14ac:dyDescent="0.25">
      <c r="A384" s="56">
        <v>44834</v>
      </c>
      <c r="C384" s="191" t="s">
        <v>3313</v>
      </c>
      <c r="D384" s="1" t="s">
        <v>3314</v>
      </c>
      <c r="E384" s="4" t="s">
        <v>59</v>
      </c>
      <c r="F384" s="1" t="s">
        <v>16</v>
      </c>
      <c r="G384" s="10" t="s">
        <v>3315</v>
      </c>
      <c r="H384" s="15">
        <v>30000</v>
      </c>
      <c r="I384" s="2">
        <v>20000</v>
      </c>
      <c r="J384" s="192">
        <v>10000</v>
      </c>
      <c r="L384" s="11"/>
      <c r="M384" s="11">
        <v>0</v>
      </c>
      <c r="N384" s="11">
        <v>0</v>
      </c>
      <c r="O384" s="11"/>
      <c r="P384" s="11">
        <v>0</v>
      </c>
      <c r="Q384" s="11">
        <v>0</v>
      </c>
      <c r="R384" s="11">
        <v>0</v>
      </c>
      <c r="S384" s="11">
        <v>0</v>
      </c>
      <c r="T384" s="11"/>
    </row>
    <row r="385" spans="1:20" hidden="1" x14ac:dyDescent="0.25">
      <c r="A385" s="56">
        <v>44835</v>
      </c>
      <c r="C385" s="191"/>
      <c r="D385" s="1" t="s">
        <v>3103</v>
      </c>
      <c r="E385" s="4" t="s">
        <v>59</v>
      </c>
      <c r="F385" s="1" t="s">
        <v>2446</v>
      </c>
      <c r="G385" s="134" t="s">
        <v>341</v>
      </c>
      <c r="H385" s="15">
        <v>10000</v>
      </c>
      <c r="I385" s="2">
        <v>7000</v>
      </c>
      <c r="J385" s="192">
        <v>3000</v>
      </c>
      <c r="L385" s="11"/>
      <c r="M385" s="11">
        <v>0</v>
      </c>
      <c r="N385" s="11">
        <v>0</v>
      </c>
      <c r="O385" s="11"/>
      <c r="P385" s="11">
        <v>0</v>
      </c>
      <c r="Q385" s="11">
        <v>0</v>
      </c>
      <c r="R385" s="11">
        <v>0</v>
      </c>
      <c r="S385" s="11">
        <v>0</v>
      </c>
    </row>
    <row r="386" spans="1:20" hidden="1" x14ac:dyDescent="0.25">
      <c r="A386" s="56">
        <v>44835</v>
      </c>
      <c r="C386" s="191"/>
      <c r="E386" s="4"/>
      <c r="F386" s="1" t="s">
        <v>2446</v>
      </c>
      <c r="G386" s="10" t="s">
        <v>138</v>
      </c>
      <c r="H386" s="15">
        <v>60000</v>
      </c>
      <c r="I386" s="2">
        <v>42000</v>
      </c>
      <c r="J386" s="192">
        <v>18000</v>
      </c>
      <c r="L386" s="11"/>
      <c r="M386" s="11">
        <v>0</v>
      </c>
      <c r="N386" s="11">
        <v>0</v>
      </c>
      <c r="O386" s="11"/>
      <c r="P386" s="11">
        <v>0</v>
      </c>
      <c r="Q386" s="11">
        <v>0</v>
      </c>
      <c r="R386" s="11">
        <v>0</v>
      </c>
      <c r="S386" s="11">
        <v>0</v>
      </c>
      <c r="T386" s="11"/>
    </row>
    <row r="387" spans="1:20" hidden="1" x14ac:dyDescent="0.25">
      <c r="A387" s="56">
        <v>44835</v>
      </c>
      <c r="B387" s="4" t="s">
        <v>3307</v>
      </c>
      <c r="C387" s="191" t="s">
        <v>3308</v>
      </c>
      <c r="D387" s="1" t="s">
        <v>3306</v>
      </c>
      <c r="E387" s="4" t="s">
        <v>704</v>
      </c>
      <c r="F387" s="1" t="s">
        <v>2446</v>
      </c>
      <c r="G387" s="10" t="s">
        <v>20</v>
      </c>
      <c r="H387" s="15">
        <v>30000</v>
      </c>
      <c r="I387" s="2">
        <v>21000</v>
      </c>
      <c r="J387" s="192">
        <v>9000</v>
      </c>
      <c r="K387" s="1" t="s">
        <v>71</v>
      </c>
      <c r="L387" s="11">
        <v>140000</v>
      </c>
      <c r="M387" s="11">
        <v>117647.05882352941</v>
      </c>
      <c r="N387" s="11">
        <v>22352.941176470587</v>
      </c>
      <c r="O387" s="11">
        <v>195000</v>
      </c>
      <c r="P387" s="11">
        <v>163865.5462184874</v>
      </c>
      <c r="Q387" s="11">
        <v>31134.453781512606</v>
      </c>
      <c r="R387" s="11">
        <v>8781.5126050420185</v>
      </c>
      <c r="S387" s="11">
        <v>46218.487394957978</v>
      </c>
      <c r="T387" s="11"/>
    </row>
    <row r="388" spans="1:20" hidden="1" x14ac:dyDescent="0.25">
      <c r="A388" s="56">
        <v>44835</v>
      </c>
      <c r="B388" s="4" t="s">
        <v>3309</v>
      </c>
      <c r="C388" s="191" t="s">
        <v>3310</v>
      </c>
      <c r="D388" s="1" t="s">
        <v>3311</v>
      </c>
      <c r="E388" s="4" t="s">
        <v>3312</v>
      </c>
      <c r="F388" s="1" t="s">
        <v>2446</v>
      </c>
      <c r="G388" s="10" t="s">
        <v>2598</v>
      </c>
      <c r="H388" s="15">
        <v>30000</v>
      </c>
      <c r="I388" s="2">
        <v>21000</v>
      </c>
      <c r="J388" s="192">
        <v>9000</v>
      </c>
      <c r="K388" s="1" t="s">
        <v>1307</v>
      </c>
      <c r="L388" s="11">
        <v>92000</v>
      </c>
      <c r="M388" s="11">
        <v>77310.924369747896</v>
      </c>
      <c r="N388" s="11">
        <v>14689.0756302521</v>
      </c>
      <c r="O388" s="11">
        <v>125000</v>
      </c>
      <c r="P388" s="11">
        <v>105042.01680672269</v>
      </c>
      <c r="Q388" s="11">
        <v>19957.983193277312</v>
      </c>
      <c r="R388" s="11">
        <v>5268.9075630252119</v>
      </c>
      <c r="S388" s="11">
        <v>27731.092436974781</v>
      </c>
      <c r="T388" s="11"/>
    </row>
    <row r="389" spans="1:20" hidden="1" x14ac:dyDescent="0.25">
      <c r="A389" s="56">
        <v>44835</v>
      </c>
      <c r="B389" s="4" t="s">
        <v>3317</v>
      </c>
      <c r="C389" s="191" t="s">
        <v>3296</v>
      </c>
      <c r="D389" s="1" t="s">
        <v>3297</v>
      </c>
      <c r="E389" s="4" t="s">
        <v>385</v>
      </c>
      <c r="F389" s="1" t="s">
        <v>2446</v>
      </c>
      <c r="G389" s="10" t="s">
        <v>3318</v>
      </c>
      <c r="H389" s="15">
        <v>100000</v>
      </c>
      <c r="I389" s="2">
        <v>70000</v>
      </c>
      <c r="J389" s="192">
        <v>30000</v>
      </c>
      <c r="L389" s="11"/>
      <c r="M389" s="11">
        <v>0</v>
      </c>
      <c r="N389" s="11">
        <v>0</v>
      </c>
      <c r="O389" s="11"/>
      <c r="P389" s="11">
        <v>0</v>
      </c>
      <c r="Q389" s="11">
        <v>0</v>
      </c>
      <c r="R389" s="11">
        <v>0</v>
      </c>
      <c r="S389" s="11">
        <v>0</v>
      </c>
      <c r="T389" s="11"/>
    </row>
    <row r="390" spans="1:20" hidden="1" x14ac:dyDescent="0.25">
      <c r="A390" s="56">
        <v>44837</v>
      </c>
      <c r="C390" s="191"/>
      <c r="D390" s="1" t="s">
        <v>3326</v>
      </c>
      <c r="E390" s="4" t="s">
        <v>3046</v>
      </c>
      <c r="F390" s="1" t="s">
        <v>2446</v>
      </c>
      <c r="G390" s="10" t="s">
        <v>341</v>
      </c>
      <c r="H390" s="15">
        <v>10000</v>
      </c>
      <c r="I390" s="2">
        <v>7000</v>
      </c>
      <c r="J390" s="192">
        <v>3000</v>
      </c>
      <c r="L390" s="11"/>
      <c r="M390" s="11">
        <v>0</v>
      </c>
      <c r="N390" s="11">
        <v>0</v>
      </c>
      <c r="O390" s="11"/>
      <c r="P390" s="11">
        <v>0</v>
      </c>
      <c r="Q390" s="11">
        <v>0</v>
      </c>
      <c r="R390" s="11">
        <v>0</v>
      </c>
      <c r="S390" s="11">
        <v>0</v>
      </c>
      <c r="T390" s="11"/>
    </row>
    <row r="391" spans="1:20" hidden="1" x14ac:dyDescent="0.25">
      <c r="A391" s="56">
        <v>44837</v>
      </c>
      <c r="B391" s="4" t="s">
        <v>3327</v>
      </c>
      <c r="C391" s="191" t="s">
        <v>3328</v>
      </c>
      <c r="D391" s="1" t="s">
        <v>3205</v>
      </c>
      <c r="E391" s="4" t="s">
        <v>240</v>
      </c>
      <c r="F391" s="1" t="s">
        <v>2446</v>
      </c>
      <c r="G391" s="10" t="s">
        <v>3329</v>
      </c>
      <c r="H391" s="15">
        <v>50000</v>
      </c>
      <c r="I391" s="2">
        <v>35000</v>
      </c>
      <c r="J391" s="192">
        <v>15000</v>
      </c>
      <c r="K391" s="1" t="s">
        <v>3330</v>
      </c>
      <c r="L391" s="11">
        <v>23600</v>
      </c>
      <c r="M391" s="11">
        <v>19831.932773109245</v>
      </c>
      <c r="N391" s="11">
        <v>3768.0672268907565</v>
      </c>
      <c r="O391" s="11">
        <v>46000</v>
      </c>
      <c r="P391" s="11">
        <v>38655.462184873948</v>
      </c>
      <c r="Q391" s="11">
        <v>7344.5378151260502</v>
      </c>
      <c r="R391" s="11">
        <v>3576.4705882352937</v>
      </c>
      <c r="S391" s="11">
        <v>18823.529411764706</v>
      </c>
      <c r="T391" s="11"/>
    </row>
    <row r="392" spans="1:20" hidden="1" x14ac:dyDescent="0.25">
      <c r="A392" s="56">
        <v>44837</v>
      </c>
      <c r="B392" s="4" t="s">
        <v>3331</v>
      </c>
      <c r="C392" s="191" t="s">
        <v>1399</v>
      </c>
      <c r="D392" s="1" t="s">
        <v>963</v>
      </c>
      <c r="E392" s="4" t="s">
        <v>962</v>
      </c>
      <c r="F392" s="1" t="s">
        <v>2446</v>
      </c>
      <c r="G392" s="10" t="s">
        <v>2619</v>
      </c>
      <c r="H392" s="15">
        <v>50000</v>
      </c>
      <c r="I392" s="2">
        <v>35000</v>
      </c>
      <c r="J392" s="192">
        <v>15000</v>
      </c>
      <c r="K392" s="1" t="s">
        <v>3332</v>
      </c>
      <c r="L392" s="11">
        <v>330000</v>
      </c>
      <c r="M392" s="11"/>
      <c r="N392" s="11">
        <v>0</v>
      </c>
      <c r="O392" s="11">
        <v>430000</v>
      </c>
      <c r="P392" s="11">
        <v>361344.53781512607</v>
      </c>
      <c r="Q392" s="11">
        <v>68655.462184873948</v>
      </c>
      <c r="R392" s="11">
        <v>68655.462184873948</v>
      </c>
      <c r="S392" s="11">
        <v>31344.537815126067</v>
      </c>
      <c r="T392" s="11"/>
    </row>
    <row r="393" spans="1:20" hidden="1" x14ac:dyDescent="0.25">
      <c r="A393" s="56">
        <v>44838</v>
      </c>
      <c r="B393" s="4" t="s">
        <v>3333</v>
      </c>
      <c r="C393" s="191" t="s">
        <v>3334</v>
      </c>
      <c r="D393" s="1" t="s">
        <v>3335</v>
      </c>
      <c r="E393" s="4" t="s">
        <v>122</v>
      </c>
      <c r="F393" s="1" t="s">
        <v>2446</v>
      </c>
      <c r="G393" s="10" t="s">
        <v>3211</v>
      </c>
      <c r="H393" s="15">
        <v>50000</v>
      </c>
      <c r="I393" s="2">
        <v>35000</v>
      </c>
      <c r="J393" s="192">
        <v>15000</v>
      </c>
      <c r="K393" s="1" t="s">
        <v>3336</v>
      </c>
      <c r="L393" s="11">
        <v>90000</v>
      </c>
      <c r="M393" s="11">
        <v>75630.252100840342</v>
      </c>
      <c r="N393" s="11">
        <v>14369.747899159665</v>
      </c>
      <c r="O393" s="11">
        <v>115000</v>
      </c>
      <c r="P393" s="11">
        <v>96638.655462184877</v>
      </c>
      <c r="Q393" s="11">
        <v>18361.344537815126</v>
      </c>
      <c r="R393" s="11">
        <v>3991.596638655461</v>
      </c>
      <c r="S393" s="11">
        <v>21008.403361344535</v>
      </c>
      <c r="T393" s="11"/>
    </row>
    <row r="394" spans="1:20" hidden="1" x14ac:dyDescent="0.25">
      <c r="A394" s="56">
        <v>44838</v>
      </c>
      <c r="B394" s="4" t="s">
        <v>3337</v>
      </c>
      <c r="C394" s="191" t="s">
        <v>3338</v>
      </c>
      <c r="D394" s="1" t="s">
        <v>387</v>
      </c>
      <c r="E394" s="4" t="s">
        <v>688</v>
      </c>
      <c r="F394" s="1" t="s">
        <v>2446</v>
      </c>
      <c r="G394" s="10" t="s">
        <v>3339</v>
      </c>
      <c r="H394" s="15">
        <v>200000</v>
      </c>
      <c r="I394" s="2">
        <v>140000</v>
      </c>
      <c r="J394" s="192">
        <v>60000</v>
      </c>
      <c r="L394" s="11"/>
      <c r="M394" s="11">
        <v>0</v>
      </c>
      <c r="N394" s="11">
        <v>0</v>
      </c>
      <c r="O394" s="11"/>
      <c r="P394" s="11">
        <v>0</v>
      </c>
      <c r="Q394" s="11">
        <v>0</v>
      </c>
      <c r="R394" s="11">
        <v>0</v>
      </c>
      <c r="S394" s="11">
        <v>0</v>
      </c>
      <c r="T394" s="11"/>
    </row>
    <row r="395" spans="1:20" hidden="1" x14ac:dyDescent="0.25">
      <c r="A395" s="56">
        <v>44838</v>
      </c>
      <c r="B395" s="4" t="s">
        <v>3340</v>
      </c>
      <c r="C395" s="191" t="s">
        <v>3341</v>
      </c>
      <c r="D395" s="1" t="s">
        <v>3342</v>
      </c>
      <c r="E395" s="4" t="s">
        <v>76</v>
      </c>
      <c r="F395" s="1" t="s">
        <v>2446</v>
      </c>
      <c r="G395" s="10" t="s">
        <v>3343</v>
      </c>
      <c r="H395" s="15">
        <v>80000</v>
      </c>
      <c r="I395" s="2">
        <v>56000</v>
      </c>
      <c r="J395" s="192">
        <v>24000</v>
      </c>
      <c r="K395" s="1" t="s">
        <v>3344</v>
      </c>
      <c r="L395" s="11">
        <v>18000</v>
      </c>
      <c r="M395" s="11">
        <v>15126.050420168069</v>
      </c>
      <c r="N395" s="11">
        <v>2873.9495798319331</v>
      </c>
      <c r="O395" s="11">
        <v>110000</v>
      </c>
      <c r="P395" s="11">
        <v>92436.97478991597</v>
      </c>
      <c r="Q395" s="11">
        <v>17563.025210084033</v>
      </c>
      <c r="R395" s="11">
        <v>14689.0756302521</v>
      </c>
      <c r="S395" s="11">
        <v>77310.924369747896</v>
      </c>
      <c r="T395" s="11"/>
    </row>
    <row r="396" spans="1:20" hidden="1" x14ac:dyDescent="0.25">
      <c r="A396" s="56">
        <v>44838</v>
      </c>
      <c r="B396" s="4" t="s">
        <v>3345</v>
      </c>
      <c r="C396" s="191" t="s">
        <v>3346</v>
      </c>
      <c r="D396" s="1" t="s">
        <v>2966</v>
      </c>
      <c r="E396" s="4" t="s">
        <v>2392</v>
      </c>
      <c r="F396" s="1" t="s">
        <v>2446</v>
      </c>
      <c r="G396" s="10" t="s">
        <v>3347</v>
      </c>
      <c r="H396" s="15">
        <v>30000</v>
      </c>
      <c r="I396" s="2">
        <v>21000</v>
      </c>
      <c r="J396" s="192">
        <v>9000</v>
      </c>
      <c r="L396" s="11"/>
      <c r="M396" s="11">
        <v>0</v>
      </c>
      <c r="N396" s="11">
        <v>0</v>
      </c>
      <c r="O396" s="11"/>
      <c r="P396" s="11">
        <v>0</v>
      </c>
      <c r="Q396" s="11">
        <v>0</v>
      </c>
      <c r="R396" s="11">
        <v>0</v>
      </c>
      <c r="S396" s="11">
        <v>0</v>
      </c>
      <c r="T396" s="11"/>
    </row>
    <row r="397" spans="1:20" x14ac:dyDescent="0.25">
      <c r="A397" s="56">
        <v>44838</v>
      </c>
      <c r="B397" s="4" t="s">
        <v>3345</v>
      </c>
      <c r="C397" s="191" t="s">
        <v>3346</v>
      </c>
      <c r="D397" s="1" t="s">
        <v>2966</v>
      </c>
      <c r="E397" s="4" t="s">
        <v>2392</v>
      </c>
      <c r="F397" s="1" t="s">
        <v>10</v>
      </c>
      <c r="G397" s="10" t="s">
        <v>3348</v>
      </c>
      <c r="H397" s="15">
        <v>80000</v>
      </c>
      <c r="I397" s="2">
        <v>56000</v>
      </c>
      <c r="J397" s="192">
        <v>24000</v>
      </c>
      <c r="L397" s="11"/>
      <c r="M397" s="11">
        <v>0</v>
      </c>
      <c r="N397" s="11">
        <v>0</v>
      </c>
      <c r="O397" s="11"/>
      <c r="P397" s="11">
        <v>0</v>
      </c>
      <c r="Q397" s="11">
        <v>0</v>
      </c>
      <c r="R397" s="11">
        <v>0</v>
      </c>
      <c r="S397" s="11">
        <v>0</v>
      </c>
      <c r="T397" s="11"/>
    </row>
    <row r="398" spans="1:20" hidden="1" x14ac:dyDescent="0.25">
      <c r="A398" s="56">
        <v>44838</v>
      </c>
      <c r="B398" s="4" t="s">
        <v>3345</v>
      </c>
      <c r="C398" s="191" t="s">
        <v>3346</v>
      </c>
      <c r="D398" s="1" t="s">
        <v>2966</v>
      </c>
      <c r="E398" s="4" t="s">
        <v>2392</v>
      </c>
      <c r="F398" s="1" t="s">
        <v>16</v>
      </c>
      <c r="G398" s="10" t="s">
        <v>3349</v>
      </c>
      <c r="H398" s="15">
        <v>70000</v>
      </c>
      <c r="I398" s="2">
        <v>70000</v>
      </c>
      <c r="J398" s="192" t="s">
        <v>655</v>
      </c>
      <c r="L398" s="11"/>
      <c r="M398" s="11">
        <v>0</v>
      </c>
      <c r="N398" s="11">
        <v>0</v>
      </c>
      <c r="O398" s="11"/>
      <c r="P398" s="11">
        <v>0</v>
      </c>
      <c r="Q398" s="11">
        <v>0</v>
      </c>
      <c r="R398" s="11">
        <v>0</v>
      </c>
      <c r="S398" s="11">
        <v>0</v>
      </c>
      <c r="T398" s="11"/>
    </row>
    <row r="399" spans="1:20" hidden="1" x14ac:dyDescent="0.25">
      <c r="A399" s="56">
        <v>44839</v>
      </c>
      <c r="B399" s="4" t="s">
        <v>3350</v>
      </c>
      <c r="C399" s="191" t="s">
        <v>1399</v>
      </c>
      <c r="D399" s="1" t="s">
        <v>963</v>
      </c>
      <c r="E399" s="4" t="s">
        <v>962</v>
      </c>
      <c r="F399" s="1" t="s">
        <v>2446</v>
      </c>
      <c r="G399" s="10" t="s">
        <v>3351</v>
      </c>
      <c r="H399" s="15">
        <v>200000</v>
      </c>
      <c r="I399" s="2">
        <v>140000</v>
      </c>
      <c r="J399" s="192">
        <v>60000</v>
      </c>
      <c r="K399" s="1" t="s">
        <v>3352</v>
      </c>
      <c r="L399" s="11">
        <v>5000</v>
      </c>
      <c r="M399" s="11">
        <v>4201.680672268908</v>
      </c>
      <c r="N399" s="11">
        <v>798.31932773109247</v>
      </c>
      <c r="O399" s="11">
        <v>20000</v>
      </c>
      <c r="P399" s="11">
        <v>16806.722689075632</v>
      </c>
      <c r="Q399" s="11">
        <v>3193.2773109243699</v>
      </c>
      <c r="R399" s="11">
        <v>2394.9579831932774</v>
      </c>
      <c r="S399" s="11">
        <v>12605.042016806723</v>
      </c>
      <c r="T399" s="11"/>
    </row>
    <row r="400" spans="1:20" hidden="1" x14ac:dyDescent="0.25">
      <c r="A400" s="56">
        <v>44839</v>
      </c>
      <c r="B400" s="4" t="s">
        <v>3353</v>
      </c>
      <c r="C400" s="191" t="s">
        <v>3354</v>
      </c>
      <c r="D400" s="1" t="s">
        <v>3355</v>
      </c>
      <c r="E400" s="4" t="s">
        <v>3356</v>
      </c>
      <c r="F400" s="1" t="s">
        <v>2446</v>
      </c>
      <c r="G400" s="10" t="s">
        <v>3357</v>
      </c>
      <c r="H400" s="15">
        <v>40000</v>
      </c>
      <c r="I400" s="2">
        <v>28000</v>
      </c>
      <c r="J400" s="192">
        <v>12000</v>
      </c>
      <c r="K400" s="1" t="s">
        <v>3358</v>
      </c>
      <c r="L400" s="11">
        <v>157000</v>
      </c>
      <c r="M400" s="11">
        <v>131932.77310924372</v>
      </c>
      <c r="N400" s="11">
        <v>25067.226890756305</v>
      </c>
      <c r="O400" s="11">
        <v>210000</v>
      </c>
      <c r="P400" s="11">
        <v>176470.58823529413</v>
      </c>
      <c r="Q400" s="11">
        <v>33529.411764705881</v>
      </c>
      <c r="R400" s="11">
        <v>8462.1848739495763</v>
      </c>
      <c r="S400" s="11">
        <v>44537.815126050438</v>
      </c>
      <c r="T400" s="11"/>
    </row>
    <row r="401" spans="1:20" hidden="1" x14ac:dyDescent="0.25">
      <c r="A401" s="56">
        <v>44839</v>
      </c>
      <c r="C401" s="191"/>
      <c r="D401" s="1" t="s">
        <v>3359</v>
      </c>
      <c r="E401" s="4" t="s">
        <v>3360</v>
      </c>
      <c r="F401" s="1" t="s">
        <v>34</v>
      </c>
      <c r="G401" s="10" t="s">
        <v>434</v>
      </c>
      <c r="H401" s="15">
        <v>30000</v>
      </c>
      <c r="J401" s="192">
        <v>30000</v>
      </c>
      <c r="L401" s="11"/>
      <c r="M401" s="11">
        <v>0</v>
      </c>
      <c r="N401" s="11">
        <v>0</v>
      </c>
      <c r="O401" s="11"/>
      <c r="P401" s="11">
        <v>0</v>
      </c>
      <c r="Q401" s="11">
        <v>0</v>
      </c>
      <c r="R401" s="11">
        <v>0</v>
      </c>
      <c r="S401" s="11">
        <v>0</v>
      </c>
      <c r="T401" s="11"/>
    </row>
    <row r="402" spans="1:20" hidden="1" x14ac:dyDescent="0.25">
      <c r="A402" s="56">
        <v>44840</v>
      </c>
      <c r="C402" s="191" t="s">
        <v>3313</v>
      </c>
      <c r="D402" s="1" t="s">
        <v>3361</v>
      </c>
      <c r="E402" s="4" t="s">
        <v>59</v>
      </c>
      <c r="F402" s="1" t="s">
        <v>34</v>
      </c>
      <c r="G402" s="10" t="s">
        <v>341</v>
      </c>
      <c r="H402" s="15">
        <v>10000</v>
      </c>
      <c r="J402" s="192">
        <v>10000</v>
      </c>
      <c r="L402" s="11"/>
      <c r="M402" s="11">
        <v>0</v>
      </c>
      <c r="N402" s="11">
        <v>0</v>
      </c>
      <c r="O402" s="11"/>
      <c r="P402" s="11">
        <v>0</v>
      </c>
      <c r="Q402" s="11">
        <v>0</v>
      </c>
      <c r="R402" s="11">
        <v>0</v>
      </c>
      <c r="S402" s="11">
        <v>0</v>
      </c>
      <c r="T402" s="11"/>
    </row>
    <row r="403" spans="1:20" hidden="1" x14ac:dyDescent="0.25">
      <c r="A403" s="56">
        <v>44840</v>
      </c>
      <c r="C403" s="191" t="s">
        <v>3362</v>
      </c>
      <c r="E403" s="4" t="s">
        <v>521</v>
      </c>
      <c r="F403" s="1" t="s">
        <v>2446</v>
      </c>
      <c r="G403" s="10" t="s">
        <v>3363</v>
      </c>
      <c r="H403" s="15">
        <v>30000</v>
      </c>
      <c r="I403" s="2">
        <v>30000</v>
      </c>
      <c r="J403" s="192">
        <v>0</v>
      </c>
      <c r="L403" s="11"/>
      <c r="M403" s="11">
        <v>0</v>
      </c>
      <c r="N403" s="11">
        <v>0</v>
      </c>
      <c r="O403" s="11"/>
      <c r="P403" s="11">
        <v>0</v>
      </c>
      <c r="Q403" s="11">
        <v>0</v>
      </c>
      <c r="R403" s="11">
        <v>0</v>
      </c>
      <c r="S403" s="11">
        <v>0</v>
      </c>
      <c r="T403" s="11"/>
    </row>
    <row r="404" spans="1:20" x14ac:dyDescent="0.25">
      <c r="A404" s="56">
        <v>44840</v>
      </c>
      <c r="C404" s="191"/>
      <c r="D404" s="1" t="s">
        <v>3364</v>
      </c>
      <c r="E404" s="4" t="s">
        <v>3365</v>
      </c>
      <c r="F404" s="1" t="s">
        <v>10</v>
      </c>
      <c r="G404" s="10" t="s">
        <v>3366</v>
      </c>
      <c r="H404" s="15">
        <v>20000</v>
      </c>
      <c r="I404" s="2">
        <v>14000</v>
      </c>
      <c r="J404" s="192">
        <v>6000</v>
      </c>
      <c r="L404" s="11"/>
      <c r="M404" s="11">
        <v>0</v>
      </c>
      <c r="N404" s="11">
        <v>0</v>
      </c>
      <c r="O404" s="11"/>
      <c r="P404" s="11">
        <v>0</v>
      </c>
      <c r="Q404" s="11">
        <v>0</v>
      </c>
      <c r="R404" s="11">
        <v>0</v>
      </c>
      <c r="S404" s="11">
        <v>0</v>
      </c>
      <c r="T404" s="11"/>
    </row>
    <row r="405" spans="1:20" hidden="1" x14ac:dyDescent="0.25">
      <c r="A405" s="56">
        <v>44840</v>
      </c>
      <c r="B405" s="4" t="s">
        <v>3368</v>
      </c>
      <c r="C405" s="191" t="s">
        <v>3367</v>
      </c>
      <c r="D405" s="1" t="s">
        <v>3369</v>
      </c>
      <c r="E405" s="4" t="s">
        <v>1414</v>
      </c>
      <c r="F405" s="1" t="s">
        <v>2446</v>
      </c>
      <c r="G405" s="10" t="s">
        <v>1976</v>
      </c>
      <c r="H405" s="15">
        <v>120000</v>
      </c>
      <c r="I405" s="2">
        <v>84000</v>
      </c>
      <c r="J405" s="192">
        <v>36000</v>
      </c>
      <c r="L405" s="11"/>
      <c r="M405" s="11">
        <v>0</v>
      </c>
      <c r="N405" s="11">
        <v>0</v>
      </c>
      <c r="O405" s="11"/>
      <c r="P405" s="11">
        <v>0</v>
      </c>
      <c r="Q405" s="11">
        <v>0</v>
      </c>
      <c r="R405" s="11">
        <v>0</v>
      </c>
      <c r="S405" s="11">
        <v>0</v>
      </c>
      <c r="T405" s="11"/>
    </row>
    <row r="406" spans="1:20" hidden="1" x14ac:dyDescent="0.25">
      <c r="A406" s="56">
        <v>44840</v>
      </c>
      <c r="C406" s="191" t="s">
        <v>3370</v>
      </c>
      <c r="D406" s="1" t="s">
        <v>3371</v>
      </c>
      <c r="E406" s="4" t="s">
        <v>1922</v>
      </c>
      <c r="F406" s="1" t="s">
        <v>2446</v>
      </c>
      <c r="G406" s="10" t="s">
        <v>2111</v>
      </c>
      <c r="H406" s="15">
        <v>20000</v>
      </c>
      <c r="I406" s="2">
        <v>14000</v>
      </c>
      <c r="J406" s="192">
        <v>6000</v>
      </c>
      <c r="L406" s="11"/>
      <c r="M406" s="11">
        <v>0</v>
      </c>
      <c r="N406" s="11">
        <v>0</v>
      </c>
      <c r="O406" s="11"/>
      <c r="P406" s="11">
        <v>0</v>
      </c>
      <c r="Q406" s="11">
        <v>0</v>
      </c>
      <c r="R406" s="11">
        <v>0</v>
      </c>
      <c r="S406" s="11">
        <v>0</v>
      </c>
      <c r="T406" s="11"/>
    </row>
    <row r="407" spans="1:20" ht="30" hidden="1" x14ac:dyDescent="0.25">
      <c r="A407" s="56">
        <v>44840</v>
      </c>
      <c r="B407" s="4" t="s">
        <v>3372</v>
      </c>
      <c r="C407" s="191" t="s">
        <v>598</v>
      </c>
      <c r="D407" s="1" t="s">
        <v>3373</v>
      </c>
      <c r="E407" s="4" t="s">
        <v>1414</v>
      </c>
      <c r="F407" s="1" t="s">
        <v>2446</v>
      </c>
      <c r="G407" s="10" t="s">
        <v>3391</v>
      </c>
      <c r="H407" s="15">
        <v>260000</v>
      </c>
      <c r="I407" s="2">
        <v>182000</v>
      </c>
      <c r="J407" s="192">
        <v>78000</v>
      </c>
      <c r="L407" s="11"/>
      <c r="M407" s="11">
        <v>0</v>
      </c>
      <c r="N407" s="11">
        <v>0</v>
      </c>
      <c r="O407" s="11"/>
      <c r="P407" s="11">
        <v>0</v>
      </c>
      <c r="Q407" s="11">
        <v>0</v>
      </c>
      <c r="R407" s="11">
        <v>0</v>
      </c>
      <c r="S407" s="11">
        <v>0</v>
      </c>
      <c r="T407" s="11"/>
    </row>
    <row r="408" spans="1:20" hidden="1" x14ac:dyDescent="0.25">
      <c r="A408" s="56">
        <v>44840</v>
      </c>
      <c r="B408" s="4" t="s">
        <v>3374</v>
      </c>
      <c r="C408" s="191" t="s">
        <v>3299</v>
      </c>
      <c r="D408" s="1" t="s">
        <v>3300</v>
      </c>
      <c r="E408" s="4" t="s">
        <v>3375</v>
      </c>
      <c r="F408" s="1" t="s">
        <v>2446</v>
      </c>
      <c r="G408" s="10" t="s">
        <v>3376</v>
      </c>
      <c r="H408" s="15">
        <v>50000</v>
      </c>
      <c r="I408" s="2">
        <v>35000</v>
      </c>
      <c r="J408" s="192">
        <v>15000</v>
      </c>
      <c r="K408" s="1" t="s">
        <v>3377</v>
      </c>
      <c r="L408" s="11">
        <v>120000</v>
      </c>
      <c r="M408" s="11">
        <v>100840.33613445378</v>
      </c>
      <c r="N408" s="11">
        <v>19159.663865546219</v>
      </c>
      <c r="O408" s="11">
        <v>156000</v>
      </c>
      <c r="P408" s="11">
        <v>131092.43697478992</v>
      </c>
      <c r="Q408" s="11">
        <v>24907.563025210085</v>
      </c>
      <c r="R408" s="11">
        <v>5747.8991596638662</v>
      </c>
      <c r="S408" s="11">
        <v>30252.100840336134</v>
      </c>
      <c r="T408" s="11"/>
    </row>
    <row r="409" spans="1:20" ht="30" x14ac:dyDescent="0.25">
      <c r="A409" s="56">
        <v>44840</v>
      </c>
      <c r="B409" s="4" t="s">
        <v>1867</v>
      </c>
      <c r="C409" s="191" t="s">
        <v>3381</v>
      </c>
      <c r="D409" s="1" t="s">
        <v>3378</v>
      </c>
      <c r="E409" s="4" t="s">
        <v>1865</v>
      </c>
      <c r="F409" s="1" t="s">
        <v>10</v>
      </c>
      <c r="G409" s="10" t="s">
        <v>3379</v>
      </c>
      <c r="H409" s="15">
        <v>250000</v>
      </c>
      <c r="I409" s="2">
        <v>175000</v>
      </c>
      <c r="J409" s="192">
        <v>75000</v>
      </c>
      <c r="L409" s="11"/>
      <c r="M409" s="11">
        <v>0</v>
      </c>
      <c r="N409" s="11">
        <v>0</v>
      </c>
      <c r="O409" s="11"/>
      <c r="P409" s="11">
        <v>0</v>
      </c>
      <c r="Q409" s="11">
        <v>0</v>
      </c>
      <c r="R409" s="11">
        <v>0</v>
      </c>
      <c r="S409" s="11">
        <v>0</v>
      </c>
      <c r="T409" s="11"/>
    </row>
    <row r="410" spans="1:20" x14ac:dyDescent="0.25">
      <c r="A410" s="56">
        <v>44840</v>
      </c>
      <c r="B410" s="4" t="s">
        <v>3380</v>
      </c>
      <c r="C410" s="191" t="s">
        <v>3382</v>
      </c>
      <c r="D410" s="1" t="s">
        <v>3383</v>
      </c>
      <c r="E410" s="4" t="s">
        <v>815</v>
      </c>
      <c r="F410" s="1" t="s">
        <v>10</v>
      </c>
      <c r="G410" s="10" t="s">
        <v>3384</v>
      </c>
      <c r="H410" s="15">
        <v>500000</v>
      </c>
      <c r="I410" s="2">
        <v>350000</v>
      </c>
      <c r="J410" s="192">
        <v>150000</v>
      </c>
      <c r="K410" s="1" t="s">
        <v>3387</v>
      </c>
      <c r="L410" s="11">
        <v>713500</v>
      </c>
      <c r="M410" s="11">
        <v>599579.83193277312</v>
      </c>
      <c r="N410" s="11">
        <v>113920.1680672269</v>
      </c>
      <c r="O410" s="11">
        <v>1013000</v>
      </c>
      <c r="P410" s="11">
        <v>851260.50420168065</v>
      </c>
      <c r="Q410" s="11">
        <v>161739.49579831932</v>
      </c>
      <c r="R410" s="11">
        <v>47819.327731092417</v>
      </c>
      <c r="S410" s="11">
        <v>251680.67226890754</v>
      </c>
      <c r="T410" s="11"/>
    </row>
    <row r="411" spans="1:20" ht="30" hidden="1" x14ac:dyDescent="0.25">
      <c r="A411" s="56">
        <v>44840</v>
      </c>
      <c r="B411" s="4" t="s">
        <v>3380</v>
      </c>
      <c r="C411" s="191" t="s">
        <v>3382</v>
      </c>
      <c r="D411" s="1" t="s">
        <v>3383</v>
      </c>
      <c r="E411" s="4" t="s">
        <v>815</v>
      </c>
      <c r="F411" s="1" t="s">
        <v>2446</v>
      </c>
      <c r="G411" s="10" t="s">
        <v>3385</v>
      </c>
      <c r="H411" s="15">
        <v>320000</v>
      </c>
      <c r="I411" s="2">
        <v>224000</v>
      </c>
      <c r="J411" s="192">
        <v>96000</v>
      </c>
      <c r="L411" s="11"/>
      <c r="M411" s="11">
        <v>0</v>
      </c>
      <c r="N411" s="11">
        <v>0</v>
      </c>
      <c r="O411" s="11"/>
      <c r="P411" s="11">
        <v>0</v>
      </c>
      <c r="Q411" s="11">
        <v>0</v>
      </c>
      <c r="R411" s="11">
        <v>0</v>
      </c>
      <c r="S411" s="11">
        <v>0</v>
      </c>
      <c r="T411" s="11"/>
    </row>
    <row r="412" spans="1:20" hidden="1" x14ac:dyDescent="0.25">
      <c r="A412" s="56">
        <v>44840</v>
      </c>
      <c r="B412" s="4" t="s">
        <v>3380</v>
      </c>
      <c r="C412" s="191" t="s">
        <v>3382</v>
      </c>
      <c r="D412" s="1" t="s">
        <v>3383</v>
      </c>
      <c r="E412" s="4" t="s">
        <v>815</v>
      </c>
      <c r="G412" s="10" t="s">
        <v>3386</v>
      </c>
      <c r="H412" s="15">
        <v>220000</v>
      </c>
      <c r="I412" s="2">
        <v>135000</v>
      </c>
      <c r="J412" s="192">
        <v>85000</v>
      </c>
      <c r="K412" s="1" t="s">
        <v>3388</v>
      </c>
      <c r="L412" s="11"/>
      <c r="M412" s="11"/>
      <c r="N412" s="11">
        <v>0</v>
      </c>
      <c r="O412" s="11"/>
      <c r="P412" s="11">
        <v>0</v>
      </c>
      <c r="Q412" s="11">
        <v>0</v>
      </c>
      <c r="R412" s="11">
        <v>0</v>
      </c>
      <c r="S412" s="11">
        <v>0</v>
      </c>
      <c r="T412" s="11"/>
    </row>
    <row r="413" spans="1:20" hidden="1" x14ac:dyDescent="0.25">
      <c r="A413" s="56">
        <v>44840</v>
      </c>
      <c r="B413" s="4" t="s">
        <v>3389</v>
      </c>
      <c r="C413" s="191" t="s">
        <v>2531</v>
      </c>
      <c r="D413" s="1" t="s">
        <v>2609</v>
      </c>
      <c r="E413" s="4" t="s">
        <v>1077</v>
      </c>
      <c r="F413" s="1" t="s">
        <v>2446</v>
      </c>
      <c r="G413" s="10" t="s">
        <v>338</v>
      </c>
      <c r="H413" s="15">
        <v>130000</v>
      </c>
      <c r="I413" s="2">
        <v>91000</v>
      </c>
      <c r="J413" s="192">
        <v>39000</v>
      </c>
      <c r="K413" s="1" t="s">
        <v>3390</v>
      </c>
      <c r="L413" s="11">
        <v>40000</v>
      </c>
      <c r="M413" s="11">
        <v>33613.445378151264</v>
      </c>
      <c r="N413" s="11">
        <v>6386.5546218487398</v>
      </c>
      <c r="O413" s="11">
        <v>52000</v>
      </c>
      <c r="P413" s="11"/>
      <c r="Q413" s="11"/>
      <c r="R413" s="11"/>
      <c r="S413" s="11">
        <v>12000</v>
      </c>
      <c r="T413" s="11"/>
    </row>
    <row r="414" spans="1:20" x14ac:dyDescent="0.25">
      <c r="A414" s="56">
        <v>44841</v>
      </c>
      <c r="C414" s="191" t="s">
        <v>3392</v>
      </c>
      <c r="D414" s="1" t="s">
        <v>3099</v>
      </c>
      <c r="E414" s="4" t="s">
        <v>815</v>
      </c>
      <c r="F414" s="1" t="s">
        <v>10</v>
      </c>
      <c r="G414" s="10" t="s">
        <v>3393</v>
      </c>
      <c r="H414" s="15">
        <v>100000</v>
      </c>
      <c r="I414" s="2">
        <v>100000</v>
      </c>
      <c r="J414" s="192">
        <v>0</v>
      </c>
      <c r="L414" s="11"/>
      <c r="M414" s="11">
        <v>0</v>
      </c>
      <c r="N414" s="11">
        <v>0</v>
      </c>
      <c r="O414" s="11"/>
      <c r="P414" s="11">
        <v>0</v>
      </c>
      <c r="Q414" s="11">
        <v>0</v>
      </c>
      <c r="R414" s="11">
        <v>0</v>
      </c>
      <c r="S414" s="11">
        <v>0</v>
      </c>
      <c r="T414" s="11"/>
    </row>
    <row r="415" spans="1:20" x14ac:dyDescent="0.25">
      <c r="A415" s="56">
        <v>44841</v>
      </c>
      <c r="B415" s="4" t="s">
        <v>3395</v>
      </c>
      <c r="C415" s="191" t="s">
        <v>3394</v>
      </c>
      <c r="D415" s="1" t="s">
        <v>2335</v>
      </c>
      <c r="E415" s="4" t="s">
        <v>1414</v>
      </c>
      <c r="F415" s="1" t="s">
        <v>10</v>
      </c>
      <c r="G415" s="10" t="s">
        <v>3396</v>
      </c>
      <c r="H415" s="15">
        <v>30000</v>
      </c>
      <c r="I415" s="2">
        <v>21000</v>
      </c>
      <c r="J415" s="192">
        <v>9000</v>
      </c>
      <c r="K415" s="1" t="s">
        <v>3397</v>
      </c>
      <c r="L415" s="11">
        <v>60000</v>
      </c>
      <c r="M415" s="11"/>
      <c r="N415" s="11">
        <v>0</v>
      </c>
      <c r="O415" s="11">
        <v>90000</v>
      </c>
      <c r="P415" s="11"/>
      <c r="Q415" s="11">
        <v>0</v>
      </c>
      <c r="R415" s="11">
        <v>0</v>
      </c>
      <c r="S415" s="11">
        <v>30000</v>
      </c>
      <c r="T415" s="11"/>
    </row>
    <row r="416" spans="1:20" hidden="1" x14ac:dyDescent="0.25">
      <c r="A416" s="56">
        <v>44842</v>
      </c>
      <c r="B416" s="4" t="s">
        <v>3399</v>
      </c>
      <c r="C416" s="191" t="s">
        <v>2037</v>
      </c>
      <c r="D416" s="1" t="s">
        <v>3400</v>
      </c>
      <c r="E416" s="4" t="s">
        <v>1077</v>
      </c>
      <c r="F416" s="1" t="s">
        <v>2446</v>
      </c>
      <c r="G416" s="10" t="s">
        <v>3401</v>
      </c>
      <c r="H416" s="15">
        <v>60000</v>
      </c>
      <c r="I416" s="2">
        <v>42000</v>
      </c>
      <c r="J416" s="192">
        <v>18000</v>
      </c>
      <c r="K416" s="1" t="s">
        <v>3402</v>
      </c>
      <c r="L416" s="11">
        <v>90000</v>
      </c>
      <c r="M416" s="11">
        <v>75630.252100840342</v>
      </c>
      <c r="N416" s="11">
        <v>14369.747899159665</v>
      </c>
      <c r="O416" s="11">
        <v>120000</v>
      </c>
      <c r="P416" s="11">
        <v>100840.33613445378</v>
      </c>
      <c r="Q416" s="11">
        <v>19159.663865546219</v>
      </c>
      <c r="R416" s="11">
        <v>4789.9159663865539</v>
      </c>
      <c r="S416" s="11">
        <v>25210.084033613442</v>
      </c>
      <c r="T416" s="11"/>
    </row>
    <row r="417" spans="1:20" hidden="1" x14ac:dyDescent="0.25">
      <c r="A417" s="56">
        <v>44842</v>
      </c>
      <c r="C417" s="191"/>
      <c r="D417" s="1" t="s">
        <v>3403</v>
      </c>
      <c r="E417" s="4" t="s">
        <v>1434</v>
      </c>
      <c r="F417" s="1" t="s">
        <v>2446</v>
      </c>
      <c r="G417" s="10" t="s">
        <v>3505</v>
      </c>
      <c r="H417" s="15">
        <v>30000</v>
      </c>
      <c r="I417" s="2">
        <v>21000</v>
      </c>
      <c r="J417" s="192">
        <v>9000</v>
      </c>
      <c r="L417" s="11"/>
      <c r="M417" s="11">
        <v>0</v>
      </c>
      <c r="N417" s="11">
        <v>0</v>
      </c>
      <c r="O417" s="11"/>
      <c r="P417" s="11">
        <v>0</v>
      </c>
      <c r="Q417" s="11">
        <v>0</v>
      </c>
      <c r="R417" s="11">
        <v>0</v>
      </c>
      <c r="S417" s="11">
        <v>0</v>
      </c>
      <c r="T417" s="11"/>
    </row>
    <row r="418" spans="1:20" hidden="1" x14ac:dyDescent="0.25">
      <c r="A418" s="56">
        <v>44842</v>
      </c>
      <c r="C418" s="191"/>
      <c r="D418" s="1" t="s">
        <v>3404</v>
      </c>
      <c r="E418" s="4" t="s">
        <v>3046</v>
      </c>
      <c r="F418" s="1" t="s">
        <v>2446</v>
      </c>
      <c r="G418" s="10" t="s">
        <v>341</v>
      </c>
      <c r="H418" s="15">
        <v>10000</v>
      </c>
      <c r="I418" s="2">
        <v>7000</v>
      </c>
      <c r="J418" s="192">
        <v>3000</v>
      </c>
      <c r="L418" s="11"/>
      <c r="M418" s="11">
        <v>0</v>
      </c>
      <c r="N418" s="11">
        <v>0</v>
      </c>
      <c r="O418" s="11"/>
      <c r="P418" s="11">
        <v>0</v>
      </c>
      <c r="Q418" s="11">
        <v>0</v>
      </c>
      <c r="R418" s="11">
        <v>0</v>
      </c>
      <c r="S418" s="11">
        <v>0</v>
      </c>
      <c r="T418" s="11"/>
    </row>
    <row r="419" spans="1:20" hidden="1" x14ac:dyDescent="0.25">
      <c r="A419" s="56">
        <v>44842</v>
      </c>
      <c r="B419" s="4" t="s">
        <v>1892</v>
      </c>
      <c r="C419" s="191" t="s">
        <v>3405</v>
      </c>
      <c r="D419" s="1" t="s">
        <v>3406</v>
      </c>
      <c r="E419" s="4" t="s">
        <v>48</v>
      </c>
      <c r="F419" s="1" t="s">
        <v>2446</v>
      </c>
      <c r="G419" s="10" t="s">
        <v>3407</v>
      </c>
      <c r="H419" s="15">
        <v>40000</v>
      </c>
      <c r="I419" s="2">
        <v>28000</v>
      </c>
      <c r="J419" s="192">
        <v>12000</v>
      </c>
      <c r="L419" s="11"/>
      <c r="M419" s="11">
        <v>0</v>
      </c>
      <c r="N419" s="11">
        <v>0</v>
      </c>
      <c r="O419" s="11"/>
      <c r="P419" s="11">
        <v>0</v>
      </c>
      <c r="Q419" s="11">
        <v>0</v>
      </c>
      <c r="R419" s="11">
        <v>0</v>
      </c>
      <c r="S419" s="11">
        <v>0</v>
      </c>
      <c r="T419" s="11"/>
    </row>
    <row r="420" spans="1:20" hidden="1" x14ac:dyDescent="0.25">
      <c r="A420" s="56">
        <v>44842</v>
      </c>
      <c r="B420" s="4" t="s">
        <v>3408</v>
      </c>
      <c r="C420" s="191" t="s">
        <v>3409</v>
      </c>
      <c r="D420" s="1" t="s">
        <v>3410</v>
      </c>
      <c r="E420" s="4" t="s">
        <v>64</v>
      </c>
      <c r="F420" s="1" t="s">
        <v>2446</v>
      </c>
      <c r="G420" s="10" t="s">
        <v>3411</v>
      </c>
      <c r="H420" s="15">
        <v>30000</v>
      </c>
      <c r="I420" s="2">
        <v>21000</v>
      </c>
      <c r="J420" s="192">
        <v>9000</v>
      </c>
      <c r="K420" s="1" t="s">
        <v>3412</v>
      </c>
      <c r="L420" s="11">
        <v>20000</v>
      </c>
      <c r="M420" s="11"/>
      <c r="N420" s="11">
        <v>0</v>
      </c>
      <c r="O420" s="11">
        <v>40000</v>
      </c>
      <c r="P420" s="11"/>
      <c r="Q420" s="11">
        <v>0</v>
      </c>
      <c r="R420" s="11">
        <v>0</v>
      </c>
      <c r="S420" s="11">
        <v>20000</v>
      </c>
      <c r="T420" s="11"/>
    </row>
    <row r="421" spans="1:20" hidden="1" x14ac:dyDescent="0.25">
      <c r="A421" s="56">
        <v>44842</v>
      </c>
      <c r="B421" s="4" t="s">
        <v>3413</v>
      </c>
      <c r="C421" s="191" t="s">
        <v>3414</v>
      </c>
      <c r="D421" s="1" t="s">
        <v>3415</v>
      </c>
      <c r="E421" s="4" t="s">
        <v>200</v>
      </c>
      <c r="F421" s="1" t="s">
        <v>2446</v>
      </c>
      <c r="G421" s="10" t="s">
        <v>3416</v>
      </c>
      <c r="H421" s="15">
        <v>100000</v>
      </c>
      <c r="I421" s="2">
        <v>70000</v>
      </c>
      <c r="J421" s="192">
        <v>30000</v>
      </c>
      <c r="K421" s="1" t="s">
        <v>3417</v>
      </c>
      <c r="L421" s="11">
        <v>6336</v>
      </c>
      <c r="M421" s="11">
        <v>5324.3697478991598</v>
      </c>
      <c r="N421" s="11">
        <v>1011.6302521008404</v>
      </c>
      <c r="O421" s="11">
        <v>15000</v>
      </c>
      <c r="P421" s="11"/>
      <c r="Q421" s="11">
        <v>0</v>
      </c>
      <c r="R421" s="11">
        <v>-1011.6302521008404</v>
      </c>
      <c r="S421" s="11">
        <v>9675.6302521008402</v>
      </c>
      <c r="T421" s="11"/>
    </row>
    <row r="422" spans="1:20" hidden="1" x14ac:dyDescent="0.25">
      <c r="A422" s="56">
        <v>44842</v>
      </c>
      <c r="B422" s="4" t="s">
        <v>3413</v>
      </c>
      <c r="C422" s="191" t="s">
        <v>3414</v>
      </c>
      <c r="D422" s="1" t="s">
        <v>3415</v>
      </c>
      <c r="E422" s="4" t="s">
        <v>200</v>
      </c>
      <c r="F422" s="1" t="s">
        <v>34</v>
      </c>
      <c r="G422" s="10" t="s">
        <v>138</v>
      </c>
      <c r="H422" s="15">
        <v>50000</v>
      </c>
      <c r="J422" s="192">
        <v>50000</v>
      </c>
      <c r="L422" s="11"/>
      <c r="M422" s="11">
        <v>0</v>
      </c>
      <c r="N422" s="11">
        <v>0</v>
      </c>
      <c r="O422" s="11"/>
      <c r="P422" s="11">
        <v>0</v>
      </c>
      <c r="Q422" s="11">
        <v>0</v>
      </c>
      <c r="R422" s="11">
        <v>0</v>
      </c>
      <c r="S422" s="11">
        <v>0</v>
      </c>
      <c r="T422" s="11"/>
    </row>
    <row r="423" spans="1:20" hidden="1" x14ac:dyDescent="0.25">
      <c r="A423" s="56">
        <v>44842</v>
      </c>
      <c r="B423" s="4" t="s">
        <v>3418</v>
      </c>
      <c r="C423" s="191" t="s">
        <v>3419</v>
      </c>
      <c r="D423" s="1" t="s">
        <v>3420</v>
      </c>
      <c r="E423" s="4" t="s">
        <v>3421</v>
      </c>
      <c r="F423" s="1" t="s">
        <v>2446</v>
      </c>
      <c r="G423" s="10" t="s">
        <v>3422</v>
      </c>
      <c r="H423" s="15">
        <v>60000</v>
      </c>
      <c r="I423" s="2">
        <v>42000</v>
      </c>
      <c r="J423" s="192">
        <v>18000</v>
      </c>
      <c r="K423" s="1" t="s">
        <v>3423</v>
      </c>
      <c r="L423" s="11">
        <v>282000</v>
      </c>
      <c r="M423" s="11">
        <v>236974.78991596639</v>
      </c>
      <c r="N423" s="11">
        <v>45025.210084033613</v>
      </c>
      <c r="O423" s="11"/>
      <c r="P423" s="11">
        <v>0</v>
      </c>
      <c r="Q423" s="11">
        <v>0</v>
      </c>
      <c r="R423" s="11">
        <v>-45025.210084033613</v>
      </c>
      <c r="S423" s="11">
        <v>-236974.78991596639</v>
      </c>
      <c r="T423" s="11"/>
    </row>
    <row r="424" spans="1:20" ht="30" hidden="1" x14ac:dyDescent="0.25">
      <c r="A424" s="56">
        <v>44844</v>
      </c>
      <c r="B424" s="4" t="s">
        <v>3424</v>
      </c>
      <c r="C424" s="191" t="s">
        <v>3425</v>
      </c>
      <c r="D424" s="1" t="s">
        <v>3426</v>
      </c>
      <c r="E424" s="4" t="s">
        <v>1077</v>
      </c>
      <c r="F424" s="1" t="s">
        <v>2446</v>
      </c>
      <c r="G424" s="10" t="s">
        <v>3427</v>
      </c>
      <c r="H424" s="15">
        <v>130000</v>
      </c>
      <c r="I424" s="2">
        <v>91000</v>
      </c>
      <c r="J424" s="192">
        <v>39000</v>
      </c>
      <c r="K424" s="1" t="s">
        <v>3428</v>
      </c>
      <c r="L424" s="11">
        <v>436642.38</v>
      </c>
      <c r="M424" s="11">
        <v>366926.36974789918</v>
      </c>
      <c r="N424" s="11">
        <v>69716.010252100852</v>
      </c>
      <c r="O424" s="11">
        <v>590000</v>
      </c>
      <c r="P424" s="11">
        <v>495798.31932773109</v>
      </c>
      <c r="Q424" s="11">
        <v>94201.680672268907</v>
      </c>
      <c r="R424" s="11">
        <v>24485.670420168055</v>
      </c>
      <c r="S424" s="11">
        <v>128871.94957983191</v>
      </c>
      <c r="T424" s="11"/>
    </row>
    <row r="425" spans="1:20" hidden="1" x14ac:dyDescent="0.25">
      <c r="A425" s="56">
        <v>44844</v>
      </c>
      <c r="B425" s="4" t="s">
        <v>3429</v>
      </c>
      <c r="C425" s="191" t="s">
        <v>3430</v>
      </c>
      <c r="D425" s="1" t="s">
        <v>3431</v>
      </c>
      <c r="E425" s="4" t="s">
        <v>168</v>
      </c>
      <c r="F425" s="1" t="s">
        <v>2446</v>
      </c>
      <c r="G425" s="10" t="s">
        <v>3432</v>
      </c>
      <c r="H425" s="15">
        <v>155000</v>
      </c>
      <c r="I425" s="2">
        <v>108500</v>
      </c>
      <c r="J425" s="192">
        <v>46500</v>
      </c>
      <c r="K425" s="1" t="s">
        <v>3433</v>
      </c>
      <c r="L425" s="11">
        <v>217400</v>
      </c>
      <c r="M425" s="11">
        <v>182689.0756302521</v>
      </c>
      <c r="N425" s="11">
        <v>34710.924369747903</v>
      </c>
      <c r="O425" s="11">
        <v>301000</v>
      </c>
      <c r="P425" s="11">
        <v>252941.17647058825</v>
      </c>
      <c r="Q425" s="11">
        <v>48058.823529411769</v>
      </c>
      <c r="R425" s="11">
        <v>13347.899159663866</v>
      </c>
      <c r="S425" s="11">
        <v>70252.100840336119</v>
      </c>
      <c r="T425" s="11"/>
    </row>
    <row r="426" spans="1:20" hidden="1" x14ac:dyDescent="0.25">
      <c r="A426" s="56">
        <v>44844</v>
      </c>
      <c r="B426" s="4" t="s">
        <v>3434</v>
      </c>
      <c r="C426" s="191" t="s">
        <v>2037</v>
      </c>
      <c r="D426" s="1" t="s">
        <v>3400</v>
      </c>
      <c r="E426" s="4" t="s">
        <v>1077</v>
      </c>
      <c r="F426" s="1" t="s">
        <v>2446</v>
      </c>
      <c r="G426" s="10" t="s">
        <v>3435</v>
      </c>
      <c r="H426" s="15">
        <v>150000</v>
      </c>
      <c r="I426" s="2">
        <v>105000</v>
      </c>
      <c r="J426" s="192">
        <v>45000</v>
      </c>
      <c r="L426" s="11"/>
      <c r="M426" s="11">
        <v>0</v>
      </c>
      <c r="N426" s="11">
        <v>0</v>
      </c>
      <c r="O426" s="11"/>
      <c r="P426" s="11">
        <v>0</v>
      </c>
      <c r="Q426" s="11">
        <v>0</v>
      </c>
      <c r="R426" s="11">
        <v>0</v>
      </c>
      <c r="S426" s="11">
        <v>0</v>
      </c>
      <c r="T426" s="11"/>
    </row>
    <row r="427" spans="1:20" hidden="1" x14ac:dyDescent="0.25">
      <c r="A427" s="56">
        <v>44844</v>
      </c>
      <c r="C427" s="191" t="s">
        <v>215</v>
      </c>
      <c r="D427" s="1" t="s">
        <v>1610</v>
      </c>
      <c r="E427" s="4"/>
      <c r="F427" s="1" t="s">
        <v>2446</v>
      </c>
      <c r="G427" s="10" t="s">
        <v>3436</v>
      </c>
      <c r="H427" s="15">
        <v>37000</v>
      </c>
      <c r="I427" s="2">
        <v>25900</v>
      </c>
      <c r="J427" s="192">
        <v>11100</v>
      </c>
      <c r="L427" s="11"/>
      <c r="M427" s="11">
        <v>0</v>
      </c>
      <c r="N427" s="11">
        <v>0</v>
      </c>
      <c r="O427" s="11"/>
      <c r="P427" s="11">
        <v>0</v>
      </c>
      <c r="Q427" s="11">
        <v>0</v>
      </c>
      <c r="R427" s="11">
        <v>0</v>
      </c>
      <c r="S427" s="11">
        <v>0</v>
      </c>
      <c r="T427" s="11"/>
    </row>
    <row r="428" spans="1:20" hidden="1" x14ac:dyDescent="0.25">
      <c r="A428" s="56">
        <v>44844</v>
      </c>
      <c r="C428" s="191"/>
      <c r="D428" s="1" t="s">
        <v>3258</v>
      </c>
      <c r="E428" s="4" t="s">
        <v>2720</v>
      </c>
      <c r="F428" s="1" t="s">
        <v>3437</v>
      </c>
      <c r="G428" s="10" t="s">
        <v>3438</v>
      </c>
      <c r="H428" s="15">
        <v>30000</v>
      </c>
      <c r="I428" s="2">
        <v>15000</v>
      </c>
      <c r="J428" s="192">
        <v>15000</v>
      </c>
      <c r="L428" s="11"/>
      <c r="M428" s="11">
        <v>0</v>
      </c>
      <c r="N428" s="11">
        <v>0</v>
      </c>
      <c r="O428" s="11"/>
      <c r="P428" s="11">
        <v>0</v>
      </c>
      <c r="Q428" s="11">
        <v>0</v>
      </c>
      <c r="R428" s="11">
        <v>0</v>
      </c>
      <c r="S428" s="11">
        <v>0</v>
      </c>
      <c r="T428" s="11"/>
    </row>
    <row r="429" spans="1:20" hidden="1" x14ac:dyDescent="0.25">
      <c r="A429" s="56">
        <v>44845</v>
      </c>
      <c r="C429" s="191"/>
      <c r="D429" s="1" t="s">
        <v>3439</v>
      </c>
      <c r="E429" s="4" t="s">
        <v>2720</v>
      </c>
      <c r="F429" s="1" t="s">
        <v>2446</v>
      </c>
      <c r="G429" s="10" t="s">
        <v>565</v>
      </c>
      <c r="H429" s="15">
        <v>15000</v>
      </c>
      <c r="I429" s="2">
        <v>10500</v>
      </c>
      <c r="J429" s="192">
        <v>4500</v>
      </c>
      <c r="K429" s="1" t="s">
        <v>230</v>
      </c>
      <c r="L429" s="11">
        <v>20000</v>
      </c>
      <c r="M429" s="11"/>
      <c r="N429" s="11">
        <v>0</v>
      </c>
      <c r="O429" s="11">
        <v>40000</v>
      </c>
      <c r="P429" s="11"/>
      <c r="Q429" s="11">
        <v>0</v>
      </c>
      <c r="R429" s="11">
        <v>0</v>
      </c>
      <c r="S429" s="11">
        <v>20000</v>
      </c>
      <c r="T429" s="11"/>
    </row>
    <row r="430" spans="1:20" hidden="1" x14ac:dyDescent="0.25">
      <c r="A430" s="56">
        <v>44845</v>
      </c>
      <c r="B430" s="4" t="s">
        <v>3440</v>
      </c>
      <c r="C430" s="191" t="s">
        <v>3441</v>
      </c>
      <c r="D430" s="1" t="s">
        <v>3442</v>
      </c>
      <c r="E430" s="4" t="s">
        <v>52</v>
      </c>
      <c r="F430" s="1" t="s">
        <v>2446</v>
      </c>
      <c r="G430" s="10" t="s">
        <v>3443</v>
      </c>
      <c r="H430" s="15">
        <v>35000</v>
      </c>
      <c r="I430" s="2">
        <v>24500</v>
      </c>
      <c r="J430" s="192">
        <v>10500</v>
      </c>
      <c r="K430" s="1" t="s">
        <v>3444</v>
      </c>
      <c r="L430" s="11">
        <v>83000</v>
      </c>
      <c r="M430" s="11">
        <v>69747.899159663866</v>
      </c>
      <c r="N430" s="11">
        <v>13252.100840336134</v>
      </c>
      <c r="O430" s="11">
        <v>125000</v>
      </c>
      <c r="P430" s="11">
        <v>105042.01680672269</v>
      </c>
      <c r="Q430" s="11">
        <v>19957.983193277312</v>
      </c>
      <c r="R430" s="11">
        <v>6705.8823529411784</v>
      </c>
      <c r="S430" s="11">
        <v>35294.117647058825</v>
      </c>
      <c r="T430" s="11"/>
    </row>
    <row r="431" spans="1:20" hidden="1" x14ac:dyDescent="0.25">
      <c r="A431" s="56">
        <v>44845</v>
      </c>
      <c r="B431" s="4" t="s">
        <v>3446</v>
      </c>
      <c r="C431" s="191" t="s">
        <v>3445</v>
      </c>
      <c r="D431" s="1" t="s">
        <v>3447</v>
      </c>
      <c r="E431" s="4" t="s">
        <v>435</v>
      </c>
      <c r="F431" s="1" t="s">
        <v>2446</v>
      </c>
      <c r="G431" s="10" t="s">
        <v>3448</v>
      </c>
      <c r="H431" s="15">
        <v>60000</v>
      </c>
      <c r="I431" s="2">
        <v>42000</v>
      </c>
      <c r="J431" s="192">
        <v>18000</v>
      </c>
      <c r="L431" s="11"/>
      <c r="M431" s="11">
        <v>0</v>
      </c>
      <c r="N431" s="11">
        <v>0</v>
      </c>
      <c r="O431" s="11"/>
      <c r="P431" s="11">
        <v>0</v>
      </c>
      <c r="Q431" s="11">
        <v>0</v>
      </c>
      <c r="R431" s="11">
        <v>0</v>
      </c>
      <c r="S431" s="11">
        <v>0</v>
      </c>
      <c r="T431" s="11"/>
    </row>
    <row r="432" spans="1:20" hidden="1" x14ac:dyDescent="0.25">
      <c r="A432" s="56">
        <v>44845</v>
      </c>
      <c r="C432" s="191"/>
      <c r="D432" s="1" t="s">
        <v>3449</v>
      </c>
      <c r="E432" s="4" t="s">
        <v>122</v>
      </c>
      <c r="F432" s="1" t="s">
        <v>3437</v>
      </c>
      <c r="G432" s="10" t="s">
        <v>3438</v>
      </c>
      <c r="H432" s="15">
        <v>55000</v>
      </c>
      <c r="I432" s="2">
        <v>27500</v>
      </c>
      <c r="J432" s="192">
        <v>27500</v>
      </c>
      <c r="L432" s="11"/>
      <c r="M432" s="11">
        <v>0</v>
      </c>
      <c r="N432" s="11">
        <v>0</v>
      </c>
      <c r="O432" s="11"/>
      <c r="P432" s="11">
        <v>0</v>
      </c>
      <c r="Q432" s="11">
        <v>0</v>
      </c>
      <c r="R432" s="11">
        <v>0</v>
      </c>
      <c r="S432" s="11">
        <v>0</v>
      </c>
      <c r="T432" s="11"/>
    </row>
    <row r="433" spans="1:20" hidden="1" x14ac:dyDescent="0.25">
      <c r="A433" s="56">
        <v>44845</v>
      </c>
      <c r="B433" s="4" t="s">
        <v>3450</v>
      </c>
      <c r="C433" s="191" t="s">
        <v>3451</v>
      </c>
      <c r="D433" s="1" t="s">
        <v>3452</v>
      </c>
      <c r="E433" s="4" t="s">
        <v>1077</v>
      </c>
      <c r="F433" s="1" t="s">
        <v>2446</v>
      </c>
      <c r="G433" s="10" t="s">
        <v>3453</v>
      </c>
      <c r="H433" s="15">
        <v>60000</v>
      </c>
      <c r="I433" s="2">
        <v>42000</v>
      </c>
      <c r="J433" s="192">
        <v>18000</v>
      </c>
      <c r="K433" s="1" t="s">
        <v>3454</v>
      </c>
      <c r="L433" s="11">
        <v>110000</v>
      </c>
      <c r="M433" s="11">
        <v>92436.97478991597</v>
      </c>
      <c r="N433" s="11">
        <v>17563.025210084033</v>
      </c>
      <c r="O433" s="11">
        <v>140000</v>
      </c>
      <c r="P433" s="11">
        <v>117647.05882352941</v>
      </c>
      <c r="Q433" s="11">
        <v>22352.941176470587</v>
      </c>
      <c r="R433" s="11">
        <v>4789.9159663865539</v>
      </c>
      <c r="S433" s="11">
        <v>25210.084033613442</v>
      </c>
      <c r="T433" s="11"/>
    </row>
    <row r="434" spans="1:20" hidden="1" x14ac:dyDescent="0.25">
      <c r="A434" s="56">
        <v>44846</v>
      </c>
      <c r="B434" s="4" t="s">
        <v>3455</v>
      </c>
      <c r="C434" s="191" t="s">
        <v>3456</v>
      </c>
      <c r="D434" s="1" t="s">
        <v>3457</v>
      </c>
      <c r="E434" s="4" t="s">
        <v>637</v>
      </c>
      <c r="F434" s="1" t="s">
        <v>2446</v>
      </c>
      <c r="G434" s="10" t="s">
        <v>3458</v>
      </c>
      <c r="H434" s="15">
        <v>110000</v>
      </c>
      <c r="I434" s="2">
        <v>77000</v>
      </c>
      <c r="J434" s="192">
        <v>33000</v>
      </c>
      <c r="L434" s="11"/>
      <c r="M434" s="11">
        <v>0</v>
      </c>
      <c r="N434" s="11">
        <v>0</v>
      </c>
      <c r="O434" s="11"/>
      <c r="P434" s="11">
        <v>0</v>
      </c>
      <c r="Q434" s="11">
        <v>0</v>
      </c>
      <c r="R434" s="11">
        <v>0</v>
      </c>
      <c r="S434" s="11">
        <v>0</v>
      </c>
      <c r="T434" s="11"/>
    </row>
    <row r="435" spans="1:20" hidden="1" x14ac:dyDescent="0.25">
      <c r="A435" s="56">
        <v>44846</v>
      </c>
      <c r="C435" s="191"/>
      <c r="D435" s="1" t="s">
        <v>3459</v>
      </c>
      <c r="E435" s="4" t="s">
        <v>3460</v>
      </c>
      <c r="F435" s="1" t="s">
        <v>3437</v>
      </c>
      <c r="G435" s="10" t="s">
        <v>3461</v>
      </c>
      <c r="H435" s="15">
        <v>110000</v>
      </c>
      <c r="I435" s="2">
        <v>55000</v>
      </c>
      <c r="J435" s="192">
        <v>55000</v>
      </c>
      <c r="L435" s="11"/>
      <c r="M435" s="11">
        <v>0</v>
      </c>
      <c r="N435" s="11">
        <v>0</v>
      </c>
      <c r="O435" s="11"/>
      <c r="P435" s="11">
        <v>0</v>
      </c>
      <c r="Q435" s="11">
        <v>0</v>
      </c>
      <c r="R435" s="11">
        <v>0</v>
      </c>
      <c r="S435" s="11">
        <v>0</v>
      </c>
      <c r="T435" s="11"/>
    </row>
    <row r="436" spans="1:20" hidden="1" x14ac:dyDescent="0.25">
      <c r="A436" s="56">
        <v>44846</v>
      </c>
      <c r="B436" s="4" t="s">
        <v>3462</v>
      </c>
      <c r="C436" s="191" t="s">
        <v>3463</v>
      </c>
      <c r="D436" s="1" t="s">
        <v>3464</v>
      </c>
      <c r="E436" s="4" t="s">
        <v>240</v>
      </c>
      <c r="F436" s="1" t="s">
        <v>16</v>
      </c>
      <c r="G436" s="10" t="s">
        <v>3465</v>
      </c>
      <c r="H436" s="15">
        <v>80000</v>
      </c>
      <c r="I436" s="2">
        <v>60000</v>
      </c>
      <c r="J436" s="192">
        <v>20000</v>
      </c>
      <c r="K436" s="1" t="s">
        <v>3466</v>
      </c>
      <c r="L436" s="11">
        <v>21000</v>
      </c>
      <c r="M436" s="11">
        <v>17647.058823529413</v>
      </c>
      <c r="N436" s="11">
        <v>3352.9411764705883</v>
      </c>
      <c r="O436" s="11">
        <v>28000</v>
      </c>
      <c r="P436" s="11">
        <v>23529.411764705885</v>
      </c>
      <c r="Q436" s="11">
        <v>4470.588235294118</v>
      </c>
      <c r="R436" s="11">
        <v>1117.6470588235297</v>
      </c>
      <c r="S436" s="11">
        <v>5882.3529411764684</v>
      </c>
      <c r="T436" s="11"/>
    </row>
    <row r="437" spans="1:20" hidden="1" x14ac:dyDescent="0.25">
      <c r="A437" s="56">
        <v>44847</v>
      </c>
      <c r="C437" s="191"/>
      <c r="D437" s="1" t="s">
        <v>3467</v>
      </c>
      <c r="E437" s="4" t="s">
        <v>2006</v>
      </c>
      <c r="F437" s="1" t="s">
        <v>3437</v>
      </c>
      <c r="G437" s="10" t="s">
        <v>3468</v>
      </c>
      <c r="H437" s="15">
        <v>230000</v>
      </c>
      <c r="I437" s="2">
        <v>115000</v>
      </c>
      <c r="J437" s="192">
        <v>115000</v>
      </c>
      <c r="L437" s="11"/>
      <c r="M437" s="11">
        <v>0</v>
      </c>
      <c r="N437" s="11">
        <v>0</v>
      </c>
      <c r="O437" s="11"/>
      <c r="P437" s="11">
        <v>0</v>
      </c>
      <c r="Q437" s="11">
        <v>0</v>
      </c>
      <c r="R437" s="11">
        <v>0</v>
      </c>
      <c r="S437" s="11">
        <v>0</v>
      </c>
      <c r="T437" s="11"/>
    </row>
    <row r="438" spans="1:20" hidden="1" x14ac:dyDescent="0.25">
      <c r="A438" s="56">
        <v>44847</v>
      </c>
      <c r="C438" s="191"/>
      <c r="D438" s="1" t="s">
        <v>3469</v>
      </c>
      <c r="E438" s="4" t="s">
        <v>84</v>
      </c>
      <c r="F438" s="1" t="s">
        <v>2446</v>
      </c>
      <c r="G438" s="10" t="s">
        <v>21</v>
      </c>
      <c r="H438" s="15">
        <v>10000</v>
      </c>
      <c r="I438" s="2">
        <v>7000</v>
      </c>
      <c r="J438" s="192">
        <v>3000</v>
      </c>
      <c r="L438" s="11"/>
      <c r="M438" s="11">
        <v>0</v>
      </c>
      <c r="N438" s="11">
        <v>0</v>
      </c>
      <c r="O438" s="11"/>
      <c r="P438" s="11">
        <v>0</v>
      </c>
      <c r="Q438" s="11">
        <v>0</v>
      </c>
      <c r="R438" s="11">
        <v>0</v>
      </c>
      <c r="S438" s="11">
        <v>0</v>
      </c>
      <c r="T438" s="11"/>
    </row>
    <row r="439" spans="1:20" hidden="1" x14ac:dyDescent="0.25">
      <c r="A439" s="56">
        <v>44847</v>
      </c>
      <c r="C439" s="191"/>
      <c r="D439" s="1" t="s">
        <v>1389</v>
      </c>
      <c r="E439" s="4" t="s">
        <v>1077</v>
      </c>
      <c r="F439" s="1" t="s">
        <v>2446</v>
      </c>
      <c r="G439" s="10" t="s">
        <v>3470</v>
      </c>
      <c r="H439" s="15">
        <v>30000</v>
      </c>
      <c r="I439" s="2">
        <v>21000</v>
      </c>
      <c r="J439" s="192">
        <v>9000</v>
      </c>
      <c r="L439" s="11"/>
      <c r="M439" s="11">
        <v>0</v>
      </c>
      <c r="N439" s="11">
        <v>0</v>
      </c>
      <c r="O439" s="11"/>
      <c r="P439" s="11">
        <v>0</v>
      </c>
      <c r="Q439" s="11">
        <v>0</v>
      </c>
      <c r="R439" s="11">
        <v>0</v>
      </c>
      <c r="S439" s="11">
        <v>0</v>
      </c>
      <c r="T439" s="11"/>
    </row>
    <row r="440" spans="1:20" hidden="1" x14ac:dyDescent="0.25">
      <c r="A440" s="56">
        <v>44847</v>
      </c>
      <c r="C440" s="191"/>
      <c r="D440" s="1" t="s">
        <v>3288</v>
      </c>
      <c r="E440" s="4" t="s">
        <v>1414</v>
      </c>
      <c r="F440" s="1" t="s">
        <v>34</v>
      </c>
      <c r="G440" s="10" t="s">
        <v>138</v>
      </c>
      <c r="H440" s="15">
        <v>50000</v>
      </c>
      <c r="J440" s="192">
        <v>50000</v>
      </c>
      <c r="L440" s="11"/>
      <c r="M440" s="11">
        <v>0</v>
      </c>
      <c r="N440" s="11">
        <v>0</v>
      </c>
      <c r="O440" s="11"/>
      <c r="P440" s="11">
        <v>0</v>
      </c>
      <c r="Q440" s="11">
        <v>0</v>
      </c>
      <c r="R440" s="11">
        <v>0</v>
      </c>
      <c r="S440" s="11">
        <v>0</v>
      </c>
      <c r="T440" s="11"/>
    </row>
    <row r="441" spans="1:20" hidden="1" x14ac:dyDescent="0.25">
      <c r="A441" s="56">
        <v>44847</v>
      </c>
      <c r="C441" s="191"/>
      <c r="D441" s="1" t="s">
        <v>3471</v>
      </c>
      <c r="E441" s="4" t="s">
        <v>1756</v>
      </c>
      <c r="F441" s="1" t="s">
        <v>2446</v>
      </c>
      <c r="G441" s="10" t="s">
        <v>3472</v>
      </c>
      <c r="H441" s="15">
        <v>30000</v>
      </c>
      <c r="I441" s="2">
        <v>21000</v>
      </c>
      <c r="J441" s="192">
        <v>9000</v>
      </c>
      <c r="L441" s="11"/>
      <c r="M441" s="11">
        <v>0</v>
      </c>
      <c r="N441" s="11">
        <v>0</v>
      </c>
      <c r="O441" s="11"/>
      <c r="P441" s="11">
        <v>0</v>
      </c>
      <c r="Q441" s="11">
        <v>0</v>
      </c>
      <c r="R441" s="11">
        <v>0</v>
      </c>
      <c r="S441" s="11">
        <v>0</v>
      </c>
      <c r="T441" s="11"/>
    </row>
    <row r="442" spans="1:20" hidden="1" x14ac:dyDescent="0.25">
      <c r="A442" s="56">
        <v>44847</v>
      </c>
      <c r="B442" s="4" t="s">
        <v>3474</v>
      </c>
      <c r="C442" s="191" t="s">
        <v>3473</v>
      </c>
      <c r="D442" s="1" t="s">
        <v>3475</v>
      </c>
      <c r="E442" s="4" t="s">
        <v>637</v>
      </c>
      <c r="F442" s="1" t="s">
        <v>2446</v>
      </c>
      <c r="G442" s="10" t="s">
        <v>2645</v>
      </c>
      <c r="H442" s="15">
        <v>30000</v>
      </c>
      <c r="I442" s="2">
        <v>21000</v>
      </c>
      <c r="J442" s="192">
        <v>9000</v>
      </c>
      <c r="K442" s="1" t="s">
        <v>2727</v>
      </c>
      <c r="L442" s="11">
        <v>118000</v>
      </c>
      <c r="M442" s="11">
        <v>99159.663865546216</v>
      </c>
      <c r="N442" s="11">
        <v>18840.336134453781</v>
      </c>
      <c r="O442" s="11">
        <v>165000</v>
      </c>
      <c r="P442" s="11">
        <v>138655.46218487396</v>
      </c>
      <c r="Q442" s="11">
        <v>26344.537815126052</v>
      </c>
      <c r="R442" s="11">
        <v>7504.2016806722713</v>
      </c>
      <c r="S442" s="11">
        <v>39495.798319327732</v>
      </c>
      <c r="T442" s="11"/>
    </row>
    <row r="443" spans="1:20" hidden="1" x14ac:dyDescent="0.25">
      <c r="A443" s="56">
        <v>44847</v>
      </c>
      <c r="C443" s="191"/>
      <c r="D443" s="1" t="s">
        <v>3476</v>
      </c>
      <c r="E443" s="4" t="s">
        <v>136</v>
      </c>
      <c r="F443" s="1" t="s">
        <v>3437</v>
      </c>
      <c r="G443" s="10" t="s">
        <v>3477</v>
      </c>
      <c r="H443" s="15">
        <v>30000</v>
      </c>
      <c r="I443" s="2">
        <v>15000</v>
      </c>
      <c r="J443" s="192">
        <v>15000</v>
      </c>
      <c r="L443" s="11"/>
      <c r="M443" s="11">
        <v>0</v>
      </c>
      <c r="N443" s="11">
        <v>0</v>
      </c>
      <c r="O443" s="11"/>
      <c r="P443" s="11">
        <v>0</v>
      </c>
      <c r="Q443" s="11">
        <v>0</v>
      </c>
      <c r="R443" s="11">
        <v>0</v>
      </c>
      <c r="S443" s="11">
        <v>0</v>
      </c>
      <c r="T443" s="11"/>
    </row>
    <row r="444" spans="1:20" hidden="1" x14ac:dyDescent="0.25">
      <c r="A444" s="56">
        <v>44847</v>
      </c>
      <c r="C444" s="191"/>
      <c r="D444" s="1" t="s">
        <v>3478</v>
      </c>
      <c r="E444" s="4" t="s">
        <v>815</v>
      </c>
      <c r="F444" s="1" t="s">
        <v>3437</v>
      </c>
      <c r="G444" s="10" t="s">
        <v>3479</v>
      </c>
      <c r="H444" s="15">
        <v>40000</v>
      </c>
      <c r="I444" s="2">
        <v>20000</v>
      </c>
      <c r="J444" s="192">
        <v>20000</v>
      </c>
      <c r="L444" s="11"/>
      <c r="M444" s="11">
        <v>0</v>
      </c>
      <c r="N444" s="11">
        <v>0</v>
      </c>
      <c r="O444" s="11"/>
      <c r="P444" s="11">
        <v>0</v>
      </c>
      <c r="Q444" s="11">
        <v>0</v>
      </c>
      <c r="R444" s="11">
        <v>0</v>
      </c>
      <c r="S444" s="11">
        <v>0</v>
      </c>
      <c r="T444" s="11"/>
    </row>
    <row r="445" spans="1:20" hidden="1" x14ac:dyDescent="0.25">
      <c r="A445" s="56">
        <v>44847</v>
      </c>
      <c r="B445" s="4" t="s">
        <v>1950</v>
      </c>
      <c r="C445" s="191" t="s">
        <v>3480</v>
      </c>
      <c r="D445" s="1" t="s">
        <v>3481</v>
      </c>
      <c r="E445" s="4" t="s">
        <v>3482</v>
      </c>
      <c r="F445" s="1" t="s">
        <v>2446</v>
      </c>
      <c r="G445" s="10" t="s">
        <v>752</v>
      </c>
      <c r="H445" s="15">
        <v>35000</v>
      </c>
      <c r="I445" s="2">
        <v>24500</v>
      </c>
      <c r="J445" s="192">
        <v>10500</v>
      </c>
      <c r="L445" s="11"/>
      <c r="M445" s="11">
        <v>0</v>
      </c>
      <c r="N445" s="11">
        <v>0</v>
      </c>
      <c r="O445" s="11"/>
      <c r="P445" s="11">
        <v>0</v>
      </c>
      <c r="Q445" s="11">
        <v>0</v>
      </c>
      <c r="R445" s="11">
        <v>0</v>
      </c>
      <c r="S445" s="11">
        <v>0</v>
      </c>
      <c r="T445" s="11"/>
    </row>
    <row r="446" spans="1:20" hidden="1" x14ac:dyDescent="0.25">
      <c r="A446" s="56">
        <v>44847</v>
      </c>
      <c r="B446" s="4" t="s">
        <v>3483</v>
      </c>
      <c r="C446" s="191" t="s">
        <v>3484</v>
      </c>
      <c r="D446" s="1" t="s">
        <v>3485</v>
      </c>
      <c r="E446" s="4" t="s">
        <v>213</v>
      </c>
      <c r="F446" s="1" t="s">
        <v>2446</v>
      </c>
      <c r="G446" s="10" t="s">
        <v>3486</v>
      </c>
      <c r="H446" s="15">
        <v>60000</v>
      </c>
      <c r="I446" s="2">
        <v>42000</v>
      </c>
      <c r="J446" s="192">
        <v>18000</v>
      </c>
      <c r="K446" s="1" t="s">
        <v>2727</v>
      </c>
      <c r="L446" s="11">
        <v>85000</v>
      </c>
      <c r="M446" s="11">
        <v>71428.571428571435</v>
      </c>
      <c r="N446" s="11">
        <v>13571.428571428572</v>
      </c>
      <c r="O446" s="11">
        <v>120000</v>
      </c>
      <c r="P446" s="11">
        <v>100840.33613445378</v>
      </c>
      <c r="Q446" s="11">
        <v>19159.663865546219</v>
      </c>
      <c r="R446" s="11">
        <v>5588.2352941176468</v>
      </c>
      <c r="S446" s="11">
        <v>29411.76470588235</v>
      </c>
      <c r="T446" s="11"/>
    </row>
    <row r="447" spans="1:20" hidden="1" x14ac:dyDescent="0.25">
      <c r="A447" s="56">
        <v>44847</v>
      </c>
      <c r="B447" s="4" t="s">
        <v>3488</v>
      </c>
      <c r="C447" s="191"/>
      <c r="D447" s="1" t="s">
        <v>3487</v>
      </c>
      <c r="E447" s="4" t="s">
        <v>136</v>
      </c>
      <c r="F447" s="1" t="s">
        <v>2446</v>
      </c>
      <c r="G447" s="10" t="s">
        <v>138</v>
      </c>
      <c r="H447" s="15">
        <v>50000</v>
      </c>
      <c r="I447" s="2">
        <v>35000</v>
      </c>
      <c r="J447" s="192">
        <v>15000</v>
      </c>
      <c r="L447" s="11"/>
      <c r="M447" s="11">
        <v>0</v>
      </c>
      <c r="N447" s="11">
        <v>0</v>
      </c>
      <c r="O447" s="11"/>
      <c r="P447" s="11">
        <v>0</v>
      </c>
      <c r="Q447" s="11">
        <v>0</v>
      </c>
      <c r="R447" s="11">
        <v>0</v>
      </c>
      <c r="S447" s="11">
        <v>0</v>
      </c>
      <c r="T447" s="11"/>
    </row>
    <row r="448" spans="1:20" x14ac:dyDescent="0.25">
      <c r="A448" s="56">
        <v>44847</v>
      </c>
      <c r="B448" s="4" t="s">
        <v>3489</v>
      </c>
      <c r="C448" s="191" t="s">
        <v>3490</v>
      </c>
      <c r="D448" s="1" t="s">
        <v>3491</v>
      </c>
      <c r="E448" s="4" t="s">
        <v>385</v>
      </c>
      <c r="F448" s="1" t="s">
        <v>10</v>
      </c>
      <c r="G448" s="10" t="s">
        <v>3492</v>
      </c>
      <c r="H448" s="15">
        <v>30000</v>
      </c>
      <c r="I448" s="2">
        <v>21000</v>
      </c>
      <c r="J448" s="192">
        <v>9000</v>
      </c>
      <c r="K448" s="1" t="s">
        <v>3493</v>
      </c>
      <c r="L448" s="11">
        <v>70000</v>
      </c>
      <c r="M448" s="11">
        <v>58823.529411764706</v>
      </c>
      <c r="N448" s="11">
        <v>11176.470588235294</v>
      </c>
      <c r="O448" s="11">
        <v>150000</v>
      </c>
      <c r="P448" s="11">
        <v>126050.42016806723</v>
      </c>
      <c r="Q448" s="11">
        <v>23949.579831932773</v>
      </c>
      <c r="R448" s="11">
        <v>12773.10924369748</v>
      </c>
      <c r="S448" s="11">
        <v>67226.890756302513</v>
      </c>
      <c r="T448" s="11"/>
    </row>
    <row r="449" spans="1:20" hidden="1" x14ac:dyDescent="0.25">
      <c r="A449" s="56">
        <v>44848</v>
      </c>
      <c r="B449" s="4" t="s">
        <v>3494</v>
      </c>
      <c r="C449" s="191" t="s">
        <v>2360</v>
      </c>
      <c r="D449" s="1" t="s">
        <v>3495</v>
      </c>
      <c r="E449" s="4" t="s">
        <v>540</v>
      </c>
      <c r="F449" s="1" t="s">
        <v>2446</v>
      </c>
      <c r="G449" s="10" t="s">
        <v>1518</v>
      </c>
      <c r="H449" s="15">
        <v>30000</v>
      </c>
      <c r="I449" s="2">
        <v>21000</v>
      </c>
      <c r="J449" s="192">
        <v>9000</v>
      </c>
      <c r="L449" s="11"/>
      <c r="M449" s="11">
        <v>0</v>
      </c>
      <c r="N449" s="11">
        <v>0</v>
      </c>
      <c r="O449" s="11"/>
      <c r="P449" s="11">
        <v>0</v>
      </c>
      <c r="Q449" s="11">
        <v>0</v>
      </c>
      <c r="R449" s="11">
        <v>0</v>
      </c>
      <c r="S449" s="11">
        <v>0</v>
      </c>
      <c r="T449" s="11"/>
    </row>
    <row r="450" spans="1:20" hidden="1" x14ac:dyDescent="0.25">
      <c r="A450" s="56">
        <v>44848</v>
      </c>
      <c r="B450" s="4" t="s">
        <v>3496</v>
      </c>
      <c r="C450" s="191" t="s">
        <v>3497</v>
      </c>
      <c r="D450" s="1" t="s">
        <v>3498</v>
      </c>
      <c r="E450" s="4" t="s">
        <v>52</v>
      </c>
      <c r="F450" s="1" t="s">
        <v>2446</v>
      </c>
      <c r="G450" s="10" t="s">
        <v>3499</v>
      </c>
      <c r="H450" s="15">
        <v>30000</v>
      </c>
      <c r="I450" s="2">
        <v>21000</v>
      </c>
      <c r="J450" s="192">
        <v>9000</v>
      </c>
      <c r="K450" s="1" t="s">
        <v>3500</v>
      </c>
      <c r="L450" s="11">
        <v>27000</v>
      </c>
      <c r="M450" s="11">
        <v>22689.0756302521</v>
      </c>
      <c r="N450" s="11">
        <v>4310.9243697478987</v>
      </c>
      <c r="O450" s="11">
        <v>40000</v>
      </c>
      <c r="P450" s="11">
        <v>33613.445378151264</v>
      </c>
      <c r="Q450" s="11">
        <v>6386.5546218487398</v>
      </c>
      <c r="R450" s="11">
        <v>2075.6302521008411</v>
      </c>
      <c r="S450" s="11">
        <v>10924.36974789916</v>
      </c>
      <c r="T450" s="11"/>
    </row>
    <row r="451" spans="1:20" hidden="1" x14ac:dyDescent="0.25">
      <c r="A451" s="56">
        <v>44848</v>
      </c>
      <c r="C451" s="191"/>
      <c r="D451" s="1" t="s">
        <v>3501</v>
      </c>
      <c r="E451" s="4" t="s">
        <v>200</v>
      </c>
      <c r="F451" s="1" t="s">
        <v>2446</v>
      </c>
      <c r="G451" s="10" t="s">
        <v>138</v>
      </c>
      <c r="H451" s="15">
        <v>60000</v>
      </c>
      <c r="I451" s="2">
        <v>42000</v>
      </c>
      <c r="J451" s="192">
        <v>18000</v>
      </c>
      <c r="L451" s="11"/>
      <c r="M451" s="11">
        <v>0</v>
      </c>
      <c r="N451" s="11">
        <v>0</v>
      </c>
      <c r="O451" s="11"/>
      <c r="P451" s="11">
        <v>0</v>
      </c>
      <c r="Q451" s="11">
        <v>0</v>
      </c>
      <c r="R451" s="11">
        <v>0</v>
      </c>
      <c r="S451" s="11">
        <v>0</v>
      </c>
      <c r="T451" s="11"/>
    </row>
    <row r="452" spans="1:20" hidden="1" x14ac:dyDescent="0.25">
      <c r="A452" s="56">
        <v>44848</v>
      </c>
      <c r="C452" s="191"/>
      <c r="D452" s="1" t="s">
        <v>3502</v>
      </c>
      <c r="E452" s="4" t="s">
        <v>168</v>
      </c>
      <c r="F452" s="1" t="s">
        <v>3437</v>
      </c>
      <c r="G452" s="10" t="s">
        <v>3461</v>
      </c>
      <c r="H452" s="15">
        <v>80000</v>
      </c>
      <c r="I452" s="2">
        <v>40000</v>
      </c>
      <c r="J452" s="192">
        <v>40000</v>
      </c>
      <c r="L452" s="11"/>
      <c r="M452" s="11">
        <v>0</v>
      </c>
      <c r="N452" s="11">
        <v>0</v>
      </c>
      <c r="O452" s="11"/>
      <c r="P452" s="11">
        <v>0</v>
      </c>
      <c r="Q452" s="11">
        <v>0</v>
      </c>
      <c r="R452" s="11">
        <v>0</v>
      </c>
      <c r="S452" s="11">
        <v>0</v>
      </c>
      <c r="T452" s="11"/>
    </row>
    <row r="453" spans="1:20" hidden="1" x14ac:dyDescent="0.25">
      <c r="A453" s="56">
        <v>44848</v>
      </c>
      <c r="C453" s="191"/>
      <c r="D453" s="1" t="s">
        <v>3504</v>
      </c>
      <c r="E453" s="4" t="s">
        <v>3503</v>
      </c>
      <c r="F453" s="1" t="s">
        <v>3437</v>
      </c>
      <c r="G453" s="10" t="s">
        <v>1794</v>
      </c>
      <c r="H453" s="15">
        <v>30000</v>
      </c>
      <c r="I453" s="2">
        <v>15000</v>
      </c>
      <c r="J453" s="192">
        <v>15000</v>
      </c>
      <c r="L453" s="11"/>
      <c r="M453" s="11">
        <v>0</v>
      </c>
      <c r="N453" s="11">
        <v>0</v>
      </c>
      <c r="O453" s="11"/>
      <c r="P453" s="11">
        <v>0</v>
      </c>
      <c r="Q453" s="11">
        <v>0</v>
      </c>
      <c r="R453" s="11">
        <v>0</v>
      </c>
      <c r="S453" s="11">
        <v>0</v>
      </c>
      <c r="T453" s="11"/>
    </row>
    <row r="454" spans="1:20" x14ac:dyDescent="0.25">
      <c r="A454" s="56">
        <v>44848</v>
      </c>
      <c r="B454" s="4" t="s">
        <v>3562</v>
      </c>
      <c r="C454" s="191" t="s">
        <v>1238</v>
      </c>
      <c r="D454" s="1" t="s">
        <v>3506</v>
      </c>
      <c r="E454" s="4" t="s">
        <v>3365</v>
      </c>
      <c r="F454" s="1" t="s">
        <v>10</v>
      </c>
      <c r="G454" s="10" t="s">
        <v>338</v>
      </c>
      <c r="H454" s="15">
        <v>300000</v>
      </c>
      <c r="I454" s="2">
        <v>210000</v>
      </c>
      <c r="J454" s="192">
        <v>90000</v>
      </c>
      <c r="K454" s="1" t="s">
        <v>3565</v>
      </c>
      <c r="L454" s="11">
        <v>391000</v>
      </c>
      <c r="M454" s="11"/>
      <c r="N454" s="11">
        <v>0</v>
      </c>
      <c r="O454" s="11">
        <v>552000</v>
      </c>
      <c r="P454" s="11">
        <v>463865.54621848743</v>
      </c>
      <c r="Q454" s="11">
        <v>88134.45378151261</v>
      </c>
      <c r="R454" s="11">
        <v>88134.45378151261</v>
      </c>
      <c r="S454" s="11">
        <v>72865.546218487376</v>
      </c>
      <c r="T454" s="11"/>
    </row>
    <row r="455" spans="1:20" x14ac:dyDescent="0.25">
      <c r="A455" s="56">
        <v>44848</v>
      </c>
      <c r="B455" s="4" t="s">
        <v>3510</v>
      </c>
      <c r="C455" s="191" t="s">
        <v>3509</v>
      </c>
      <c r="D455" s="1" t="s">
        <v>3501</v>
      </c>
      <c r="E455" s="4" t="s">
        <v>200</v>
      </c>
      <c r="F455" s="1" t="s">
        <v>10</v>
      </c>
      <c r="G455" s="10" t="s">
        <v>338</v>
      </c>
      <c r="H455" s="15">
        <v>220000</v>
      </c>
      <c r="I455" s="2">
        <v>154000</v>
      </c>
      <c r="J455" s="192">
        <v>66000</v>
      </c>
      <c r="K455" s="1" t="s">
        <v>3390</v>
      </c>
      <c r="L455" s="11">
        <v>120000</v>
      </c>
      <c r="M455" s="11">
        <v>100840.33613445378</v>
      </c>
      <c r="N455" s="11">
        <v>19159.663865546219</v>
      </c>
      <c r="O455" s="11">
        <v>150000</v>
      </c>
      <c r="P455" s="11">
        <v>126050.42016806723</v>
      </c>
      <c r="Q455" s="11">
        <v>23949.579831932773</v>
      </c>
      <c r="R455" s="11">
        <v>4789.9159663865539</v>
      </c>
      <c r="S455" s="11">
        <v>25210.084033613442</v>
      </c>
      <c r="T455" s="11"/>
    </row>
    <row r="456" spans="1:20" hidden="1" x14ac:dyDescent="0.25">
      <c r="A456" s="56">
        <v>44849</v>
      </c>
      <c r="C456" s="191"/>
      <c r="E456" s="4" t="s">
        <v>815</v>
      </c>
      <c r="F456" s="1" t="s">
        <v>3437</v>
      </c>
      <c r="G456" s="10" t="s">
        <v>3511</v>
      </c>
      <c r="H456" s="15">
        <v>40000</v>
      </c>
      <c r="I456" s="2">
        <v>20000</v>
      </c>
      <c r="J456" s="192">
        <v>20000</v>
      </c>
      <c r="L456" s="11"/>
      <c r="M456" s="11">
        <v>0</v>
      </c>
      <c r="N456" s="11">
        <v>0</v>
      </c>
      <c r="O456" s="11"/>
      <c r="P456" s="11">
        <v>0</v>
      </c>
      <c r="Q456" s="11">
        <v>0</v>
      </c>
      <c r="R456" s="11">
        <v>0</v>
      </c>
      <c r="S456" s="11">
        <v>0</v>
      </c>
      <c r="T456" s="11"/>
    </row>
    <row r="457" spans="1:20" hidden="1" x14ac:dyDescent="0.25">
      <c r="A457" s="56">
        <v>44849</v>
      </c>
      <c r="B457" s="4" t="s">
        <v>1977</v>
      </c>
      <c r="C457" s="191"/>
      <c r="D457" s="1" t="s">
        <v>3512</v>
      </c>
      <c r="E457" s="4" t="s">
        <v>899</v>
      </c>
      <c r="F457" s="1" t="s">
        <v>2446</v>
      </c>
      <c r="G457" s="10" t="s">
        <v>3513</v>
      </c>
      <c r="H457" s="15">
        <v>60000</v>
      </c>
      <c r="I457" s="2">
        <v>42000</v>
      </c>
      <c r="J457" s="192">
        <v>18000</v>
      </c>
      <c r="L457" s="11"/>
      <c r="M457" s="11">
        <v>0</v>
      </c>
      <c r="N457" s="11">
        <v>0</v>
      </c>
      <c r="O457" s="11"/>
      <c r="P457" s="11">
        <v>0</v>
      </c>
      <c r="Q457" s="11">
        <v>0</v>
      </c>
      <c r="R457" s="11">
        <v>0</v>
      </c>
      <c r="S457" s="11">
        <v>0</v>
      </c>
      <c r="T457" s="11"/>
    </row>
    <row r="458" spans="1:20" hidden="1" x14ac:dyDescent="0.25">
      <c r="A458" s="56">
        <v>44849</v>
      </c>
      <c r="C458" s="191"/>
      <c r="D458" s="1" t="s">
        <v>3514</v>
      </c>
      <c r="E458" s="4" t="s">
        <v>385</v>
      </c>
      <c r="F458" s="1" t="s">
        <v>2446</v>
      </c>
      <c r="G458" s="10" t="s">
        <v>3515</v>
      </c>
      <c r="H458" s="15">
        <v>60000</v>
      </c>
      <c r="I458" s="2">
        <v>42000</v>
      </c>
      <c r="J458" s="192">
        <v>18000</v>
      </c>
      <c r="K458" s="1" t="s">
        <v>3516</v>
      </c>
      <c r="L458" s="11">
        <v>70000</v>
      </c>
      <c r="M458" s="11">
        <v>58823.529411764706</v>
      </c>
      <c r="N458" s="11">
        <v>11176.470588235294</v>
      </c>
      <c r="O458" s="11">
        <v>90000</v>
      </c>
      <c r="P458" s="11">
        <v>75630.252100840342</v>
      </c>
      <c r="Q458" s="11">
        <v>14369.747899159665</v>
      </c>
      <c r="R458" s="11">
        <v>3193.2773109243717</v>
      </c>
      <c r="S458" s="11">
        <v>16806.722689075628</v>
      </c>
      <c r="T458" s="11"/>
    </row>
    <row r="459" spans="1:20" hidden="1" x14ac:dyDescent="0.25">
      <c r="A459" s="56">
        <v>44849</v>
      </c>
      <c r="C459" s="191"/>
      <c r="E459" s="4"/>
      <c r="F459" s="1" t="s">
        <v>3437</v>
      </c>
      <c r="G459" s="10" t="s">
        <v>3517</v>
      </c>
      <c r="H459" s="15">
        <v>30000</v>
      </c>
      <c r="I459" s="2">
        <v>15000</v>
      </c>
      <c r="J459" s="192">
        <v>15000</v>
      </c>
      <c r="L459" s="11"/>
      <c r="M459" s="11">
        <v>0</v>
      </c>
      <c r="N459" s="11">
        <v>0</v>
      </c>
      <c r="O459" s="11"/>
      <c r="P459" s="11">
        <v>0</v>
      </c>
      <c r="Q459" s="11">
        <v>0</v>
      </c>
      <c r="R459" s="11">
        <v>0</v>
      </c>
      <c r="S459" s="11">
        <v>0</v>
      </c>
      <c r="T459" s="11"/>
    </row>
    <row r="460" spans="1:20" hidden="1" x14ac:dyDescent="0.25">
      <c r="A460" s="56">
        <v>44852</v>
      </c>
      <c r="C460" s="191"/>
      <c r="D460" s="1" t="s">
        <v>3518</v>
      </c>
      <c r="E460" s="4" t="s">
        <v>450</v>
      </c>
      <c r="F460" s="1" t="s">
        <v>2446</v>
      </c>
      <c r="G460" s="10" t="s">
        <v>341</v>
      </c>
      <c r="H460" s="15">
        <v>10000</v>
      </c>
      <c r="I460" s="2">
        <v>7000</v>
      </c>
      <c r="J460" s="192">
        <v>3000</v>
      </c>
      <c r="L460" s="11"/>
      <c r="M460" s="11">
        <v>0</v>
      </c>
      <c r="N460" s="11">
        <v>0</v>
      </c>
      <c r="O460" s="11"/>
      <c r="P460" s="11">
        <v>0</v>
      </c>
      <c r="Q460" s="11">
        <v>0</v>
      </c>
      <c r="R460" s="11">
        <v>0</v>
      </c>
      <c r="S460" s="11">
        <v>0</v>
      </c>
      <c r="T460" s="11"/>
    </row>
    <row r="461" spans="1:20" hidden="1" x14ac:dyDescent="0.25">
      <c r="A461" s="56">
        <v>44852</v>
      </c>
      <c r="C461" s="191"/>
      <c r="D461" s="1" t="s">
        <v>1517</v>
      </c>
      <c r="E461" s="4" t="s">
        <v>240</v>
      </c>
      <c r="F461" s="1" t="s">
        <v>2446</v>
      </c>
      <c r="G461" s="10" t="s">
        <v>3569</v>
      </c>
      <c r="H461" s="15">
        <v>50000</v>
      </c>
      <c r="I461" s="2">
        <v>35000</v>
      </c>
      <c r="J461" s="192">
        <v>15000</v>
      </c>
      <c r="L461" s="11"/>
      <c r="M461" s="11">
        <v>0</v>
      </c>
      <c r="N461" s="11">
        <v>0</v>
      </c>
      <c r="O461" s="11"/>
      <c r="P461" s="11">
        <v>0</v>
      </c>
      <c r="Q461" s="11">
        <v>0</v>
      </c>
      <c r="R461" s="11">
        <v>0</v>
      </c>
      <c r="S461" s="11">
        <v>0</v>
      </c>
      <c r="T461" s="11"/>
    </row>
    <row r="462" spans="1:20" hidden="1" x14ac:dyDescent="0.25">
      <c r="A462" s="56">
        <v>44852</v>
      </c>
      <c r="C462" s="191"/>
      <c r="D462" s="1" t="s">
        <v>3519</v>
      </c>
      <c r="E462" s="4" t="s">
        <v>3570</v>
      </c>
      <c r="F462" s="1" t="s">
        <v>2446</v>
      </c>
      <c r="G462" s="10" t="s">
        <v>329</v>
      </c>
      <c r="H462" s="15">
        <v>50000</v>
      </c>
      <c r="I462" s="2">
        <v>35000</v>
      </c>
      <c r="J462" s="192">
        <v>15000</v>
      </c>
      <c r="K462" s="1" t="s">
        <v>3520</v>
      </c>
      <c r="L462" s="11">
        <v>9800</v>
      </c>
      <c r="M462" s="11">
        <v>8235.2941176470595</v>
      </c>
      <c r="N462" s="11">
        <v>1564.7058823529412</v>
      </c>
      <c r="O462" s="11">
        <v>20000</v>
      </c>
      <c r="P462" s="11">
        <v>16806.722689075632</v>
      </c>
      <c r="Q462" s="11">
        <v>3193.2773109243699</v>
      </c>
      <c r="R462" s="11">
        <v>1628.5714285714287</v>
      </c>
      <c r="S462" s="11">
        <v>8571.4285714285706</v>
      </c>
      <c r="T462" s="11"/>
    </row>
    <row r="463" spans="1:20" x14ac:dyDescent="0.25">
      <c r="A463" s="56">
        <v>44852</v>
      </c>
      <c r="B463" s="4" t="s">
        <v>3523</v>
      </c>
      <c r="C463" s="191" t="s">
        <v>3522</v>
      </c>
      <c r="D463" s="1" t="s">
        <v>3521</v>
      </c>
      <c r="E463" s="4" t="s">
        <v>2355</v>
      </c>
      <c r="F463" s="1" t="s">
        <v>10</v>
      </c>
      <c r="G463" s="10" t="s">
        <v>338</v>
      </c>
      <c r="H463" s="15">
        <v>180000</v>
      </c>
      <c r="I463" s="2">
        <v>125999.99999999999</v>
      </c>
      <c r="J463" s="192">
        <v>54000.000000000015</v>
      </c>
      <c r="L463" s="11"/>
      <c r="M463" s="11">
        <v>0</v>
      </c>
      <c r="N463" s="11">
        <v>0</v>
      </c>
      <c r="O463" s="11"/>
      <c r="P463" s="11">
        <v>0</v>
      </c>
      <c r="Q463" s="11">
        <v>0</v>
      </c>
      <c r="R463" s="11">
        <v>0</v>
      </c>
      <c r="S463" s="11">
        <v>0</v>
      </c>
      <c r="T463" s="11"/>
    </row>
    <row r="464" spans="1:20" hidden="1" x14ac:dyDescent="0.25">
      <c r="A464" s="56">
        <v>44852</v>
      </c>
      <c r="C464" s="191"/>
      <c r="D464" s="1" t="s">
        <v>2676</v>
      </c>
      <c r="E464" s="4" t="s">
        <v>59</v>
      </c>
      <c r="F464" s="1" t="s">
        <v>2446</v>
      </c>
      <c r="G464" s="10" t="s">
        <v>341</v>
      </c>
      <c r="H464" s="15">
        <v>5000</v>
      </c>
      <c r="I464" s="2">
        <v>5000</v>
      </c>
      <c r="J464" s="192">
        <v>0</v>
      </c>
      <c r="L464" s="11"/>
      <c r="M464" s="11">
        <v>0</v>
      </c>
      <c r="N464" s="11">
        <v>0</v>
      </c>
      <c r="O464" s="11"/>
      <c r="P464" s="11">
        <v>0</v>
      </c>
      <c r="Q464" s="11">
        <v>0</v>
      </c>
      <c r="R464" s="11">
        <v>0</v>
      </c>
      <c r="S464" s="11">
        <v>0</v>
      </c>
      <c r="T464" s="11"/>
    </row>
    <row r="465" spans="1:20" x14ac:dyDescent="0.25">
      <c r="A465" s="56">
        <v>44852</v>
      </c>
      <c r="B465" s="4" t="s">
        <v>3527</v>
      </c>
      <c r="C465" s="191" t="s">
        <v>3526</v>
      </c>
      <c r="D465" s="1" t="s">
        <v>3156</v>
      </c>
      <c r="E465" s="4" t="s">
        <v>1077</v>
      </c>
      <c r="F465" s="1" t="s">
        <v>10</v>
      </c>
      <c r="G465" s="10" t="s">
        <v>3524</v>
      </c>
      <c r="H465" s="15">
        <v>30000</v>
      </c>
      <c r="I465" s="2">
        <v>21000</v>
      </c>
      <c r="J465" s="192">
        <v>9000</v>
      </c>
      <c r="K465" s="1" t="s">
        <v>3525</v>
      </c>
      <c r="L465" s="11">
        <v>100000</v>
      </c>
      <c r="M465" s="11"/>
      <c r="N465" s="11">
        <v>0</v>
      </c>
      <c r="O465" s="11">
        <v>130000</v>
      </c>
      <c r="P465" s="11"/>
      <c r="Q465" s="11">
        <v>0</v>
      </c>
      <c r="R465" s="11">
        <v>0</v>
      </c>
      <c r="S465" s="11">
        <v>30000</v>
      </c>
      <c r="T465" s="11"/>
    </row>
    <row r="466" spans="1:20" hidden="1" x14ac:dyDescent="0.25">
      <c r="A466" s="56">
        <v>44852</v>
      </c>
      <c r="C466" s="191" t="s">
        <v>3528</v>
      </c>
      <c r="D466" s="1" t="s">
        <v>3529</v>
      </c>
      <c r="E466" s="4" t="s">
        <v>385</v>
      </c>
      <c r="F466" s="1" t="s">
        <v>2446</v>
      </c>
      <c r="G466" s="10" t="s">
        <v>3530</v>
      </c>
      <c r="H466" s="15">
        <v>30000</v>
      </c>
      <c r="I466" s="2">
        <v>21000</v>
      </c>
      <c r="J466" s="192">
        <v>9000</v>
      </c>
      <c r="L466" s="11"/>
      <c r="M466" s="11">
        <v>0</v>
      </c>
      <c r="N466" s="11">
        <v>0</v>
      </c>
      <c r="O466" s="11"/>
      <c r="P466" s="11">
        <v>0</v>
      </c>
      <c r="Q466" s="11">
        <v>0</v>
      </c>
      <c r="R466" s="11">
        <v>0</v>
      </c>
      <c r="S466" s="11">
        <v>0</v>
      </c>
      <c r="T466" s="11"/>
    </row>
    <row r="467" spans="1:20" hidden="1" x14ac:dyDescent="0.25">
      <c r="A467" s="56">
        <v>44853</v>
      </c>
      <c r="B467" s="4" t="s">
        <v>1982</v>
      </c>
      <c r="C467" s="191" t="s">
        <v>3531</v>
      </c>
      <c r="D467" s="1" t="s">
        <v>3532</v>
      </c>
      <c r="E467" s="4" t="s">
        <v>895</v>
      </c>
      <c r="F467" s="1" t="s">
        <v>2446</v>
      </c>
      <c r="G467" s="10" t="s">
        <v>3533</v>
      </c>
      <c r="H467" s="15">
        <v>300000</v>
      </c>
      <c r="I467" s="2">
        <v>210000</v>
      </c>
      <c r="J467" s="192">
        <v>90000</v>
      </c>
      <c r="K467" s="1" t="s">
        <v>3534</v>
      </c>
      <c r="L467" s="11">
        <v>31000</v>
      </c>
      <c r="M467" s="11"/>
      <c r="N467" s="11">
        <v>0</v>
      </c>
      <c r="O467" s="11">
        <v>42000</v>
      </c>
      <c r="P467" s="11"/>
      <c r="Q467" s="11">
        <v>0</v>
      </c>
      <c r="R467" s="11">
        <v>0</v>
      </c>
      <c r="S467" s="11">
        <v>11000</v>
      </c>
      <c r="T467" s="11"/>
    </row>
    <row r="468" spans="1:20" hidden="1" x14ac:dyDescent="0.25">
      <c r="A468" s="56">
        <v>44853</v>
      </c>
      <c r="B468" s="4" t="s">
        <v>3535</v>
      </c>
      <c r="C468" s="191" t="s">
        <v>3536</v>
      </c>
      <c r="D468" s="1" t="s">
        <v>3537</v>
      </c>
      <c r="E468" s="4" t="s">
        <v>48</v>
      </c>
      <c r="F468" s="1" t="s">
        <v>3437</v>
      </c>
      <c r="G468" s="10" t="s">
        <v>3538</v>
      </c>
      <c r="H468" s="15">
        <v>70000</v>
      </c>
      <c r="I468" s="2">
        <v>35000</v>
      </c>
      <c r="J468" s="192">
        <v>35000</v>
      </c>
      <c r="L468" s="11"/>
      <c r="M468" s="11">
        <v>0</v>
      </c>
      <c r="N468" s="11">
        <v>0</v>
      </c>
      <c r="O468" s="11"/>
      <c r="P468" s="11">
        <v>0</v>
      </c>
      <c r="Q468" s="11">
        <v>0</v>
      </c>
      <c r="R468" s="11">
        <v>0</v>
      </c>
      <c r="S468" s="11">
        <v>0</v>
      </c>
      <c r="T468" s="11"/>
    </row>
    <row r="469" spans="1:20" x14ac:dyDescent="0.25">
      <c r="A469" s="56">
        <v>44853</v>
      </c>
      <c r="B469" s="4" t="s">
        <v>3539</v>
      </c>
      <c r="C469" s="191" t="s">
        <v>3540</v>
      </c>
      <c r="D469" s="1" t="s">
        <v>3541</v>
      </c>
      <c r="E469" s="4"/>
      <c r="F469" s="1" t="s">
        <v>10</v>
      </c>
      <c r="G469" s="10" t="s">
        <v>429</v>
      </c>
      <c r="H469" s="15">
        <v>140000</v>
      </c>
      <c r="I469" s="2">
        <v>98000</v>
      </c>
      <c r="J469" s="192">
        <v>42000</v>
      </c>
      <c r="K469" s="1" t="s">
        <v>3542</v>
      </c>
      <c r="L469" s="11">
        <v>70000</v>
      </c>
      <c r="M469" s="11">
        <v>58823.529411764706</v>
      </c>
      <c r="N469" s="11">
        <v>11176.470588235294</v>
      </c>
      <c r="O469" s="11">
        <v>110000</v>
      </c>
      <c r="P469" s="11">
        <v>92436.97478991597</v>
      </c>
      <c r="Q469" s="11">
        <v>17563.025210084033</v>
      </c>
      <c r="R469" s="11">
        <v>6386.5546218487398</v>
      </c>
      <c r="S469" s="11">
        <v>33613.445378151257</v>
      </c>
      <c r="T469" s="11"/>
    </row>
    <row r="470" spans="1:20" hidden="1" x14ac:dyDescent="0.25">
      <c r="A470" s="56">
        <v>44853</v>
      </c>
      <c r="C470" s="191"/>
      <c r="E470" s="4" t="s">
        <v>815</v>
      </c>
      <c r="F470" s="1" t="s">
        <v>3437</v>
      </c>
      <c r="G470" s="10" t="s">
        <v>3538</v>
      </c>
      <c r="H470" s="15">
        <v>30000</v>
      </c>
      <c r="I470" s="2">
        <v>15000</v>
      </c>
      <c r="J470" s="192">
        <v>15000</v>
      </c>
      <c r="L470" s="11"/>
      <c r="M470" s="11">
        <v>0</v>
      </c>
      <c r="N470" s="11">
        <v>0</v>
      </c>
      <c r="O470" s="11"/>
      <c r="P470" s="11">
        <v>0</v>
      </c>
      <c r="Q470" s="11">
        <v>0</v>
      </c>
      <c r="R470" s="11">
        <v>0</v>
      </c>
      <c r="S470" s="11">
        <v>0</v>
      </c>
      <c r="T470" s="11"/>
    </row>
    <row r="471" spans="1:20" hidden="1" x14ac:dyDescent="0.25">
      <c r="A471" s="56">
        <v>44854</v>
      </c>
      <c r="C471" s="191"/>
      <c r="E471" s="4" t="s">
        <v>1077</v>
      </c>
      <c r="F471" s="1" t="s">
        <v>2446</v>
      </c>
      <c r="G471" s="10" t="s">
        <v>3543</v>
      </c>
      <c r="H471" s="15">
        <v>40000</v>
      </c>
      <c r="I471" s="2">
        <v>28000</v>
      </c>
      <c r="J471" s="192">
        <v>12000</v>
      </c>
      <c r="K471" s="1" t="s">
        <v>2529</v>
      </c>
      <c r="L471" s="11">
        <v>5000</v>
      </c>
      <c r="M471" s="11">
        <v>4201.680672268908</v>
      </c>
      <c r="N471" s="11">
        <v>798.31932773109247</v>
      </c>
      <c r="O471" s="11">
        <v>10000</v>
      </c>
      <c r="P471" s="11"/>
      <c r="Q471" s="11">
        <v>0</v>
      </c>
      <c r="R471" s="11">
        <v>-798.31932773109247</v>
      </c>
      <c r="S471" s="11">
        <v>5798.3193277310929</v>
      </c>
      <c r="T471" s="11"/>
    </row>
    <row r="472" spans="1:20" hidden="1" x14ac:dyDescent="0.25">
      <c r="A472" s="56">
        <v>44854</v>
      </c>
      <c r="C472" s="191"/>
      <c r="D472" s="1" t="s">
        <v>3544</v>
      </c>
      <c r="E472" s="4" t="s">
        <v>3545</v>
      </c>
      <c r="F472" s="1" t="s">
        <v>3437</v>
      </c>
      <c r="G472" s="10" t="s">
        <v>3546</v>
      </c>
      <c r="H472" s="15">
        <v>90000</v>
      </c>
      <c r="I472" s="2">
        <v>45000</v>
      </c>
      <c r="J472" s="192">
        <v>45000</v>
      </c>
      <c r="L472" s="11"/>
      <c r="M472" s="11">
        <v>0</v>
      </c>
      <c r="N472" s="11">
        <v>0</v>
      </c>
      <c r="O472" s="11"/>
      <c r="P472" s="11">
        <v>0</v>
      </c>
      <c r="Q472" s="11">
        <v>0</v>
      </c>
      <c r="R472" s="11">
        <v>0</v>
      </c>
      <c r="S472" s="11">
        <v>0</v>
      </c>
      <c r="T472" s="11"/>
    </row>
    <row r="473" spans="1:20" hidden="1" x14ac:dyDescent="0.25">
      <c r="A473" s="56">
        <v>44854</v>
      </c>
      <c r="B473" s="4" t="s">
        <v>3547</v>
      </c>
      <c r="C473" s="191" t="s">
        <v>2769</v>
      </c>
      <c r="D473" s="1" t="s">
        <v>2770</v>
      </c>
      <c r="E473" s="4" t="s">
        <v>2392</v>
      </c>
      <c r="F473" s="1" t="s">
        <v>2446</v>
      </c>
      <c r="G473" s="10" t="s">
        <v>429</v>
      </c>
      <c r="H473" s="15">
        <v>200000</v>
      </c>
      <c r="I473" s="2">
        <v>140000</v>
      </c>
      <c r="J473" s="192">
        <v>60000</v>
      </c>
      <c r="K473" s="1" t="s">
        <v>3548</v>
      </c>
      <c r="L473" s="11">
        <v>115000</v>
      </c>
      <c r="M473" s="11">
        <v>96638.655462184877</v>
      </c>
      <c r="N473" s="11">
        <v>18361.344537815126</v>
      </c>
      <c r="O473" s="11">
        <v>281400</v>
      </c>
      <c r="P473" s="11">
        <v>236470.58823529413</v>
      </c>
      <c r="Q473" s="11">
        <v>44929.411764705881</v>
      </c>
      <c r="R473" s="11">
        <v>26568.067226890755</v>
      </c>
      <c r="S473" s="11">
        <v>139831.93277310923</v>
      </c>
      <c r="T473" s="11"/>
    </row>
    <row r="474" spans="1:20" ht="30" hidden="1" x14ac:dyDescent="0.25">
      <c r="A474" s="56">
        <v>44855</v>
      </c>
      <c r="B474" s="4" t="s">
        <v>3549</v>
      </c>
      <c r="C474" s="191" t="s">
        <v>1278</v>
      </c>
      <c r="D474" s="1" t="s">
        <v>386</v>
      </c>
      <c r="E474" s="4" t="s">
        <v>3550</v>
      </c>
      <c r="F474" s="1" t="s">
        <v>2446</v>
      </c>
      <c r="G474" s="10" t="s">
        <v>3551</v>
      </c>
      <c r="H474" s="15">
        <v>70000</v>
      </c>
      <c r="I474" s="2">
        <v>49000</v>
      </c>
      <c r="J474" s="192">
        <v>21000</v>
      </c>
      <c r="K474" s="1" t="s">
        <v>3553</v>
      </c>
      <c r="L474" s="11">
        <v>225000</v>
      </c>
      <c r="M474" s="11">
        <v>189075.63025210085</v>
      </c>
      <c r="N474" s="11">
        <v>35924.36974789916</v>
      </c>
      <c r="O474" s="11">
        <v>566000</v>
      </c>
      <c r="P474" s="11">
        <v>475630.25210084039</v>
      </c>
      <c r="Q474" s="11">
        <v>90369.747899159673</v>
      </c>
      <c r="R474" s="11">
        <v>54445.378151260513</v>
      </c>
      <c r="S474" s="11">
        <v>286554.62184873951</v>
      </c>
      <c r="T474" s="11"/>
    </row>
    <row r="475" spans="1:20" hidden="1" x14ac:dyDescent="0.25">
      <c r="A475" s="56">
        <v>44855</v>
      </c>
      <c r="B475" s="4" t="s">
        <v>3549</v>
      </c>
      <c r="C475" s="191" t="s">
        <v>1278</v>
      </c>
      <c r="D475" s="1" t="s">
        <v>380</v>
      </c>
      <c r="E475" s="4" t="s">
        <v>59</v>
      </c>
      <c r="F475" s="1" t="s">
        <v>2446</v>
      </c>
      <c r="G475" s="10" t="s">
        <v>3552</v>
      </c>
      <c r="H475" s="15">
        <v>100000</v>
      </c>
      <c r="I475" s="2">
        <v>70000</v>
      </c>
      <c r="J475" s="192">
        <v>30000</v>
      </c>
      <c r="K475" s="1" t="s">
        <v>2973</v>
      </c>
      <c r="L475" s="11"/>
      <c r="M475" s="11">
        <v>0</v>
      </c>
      <c r="N475" s="11">
        <v>0</v>
      </c>
      <c r="O475" s="11"/>
      <c r="P475" s="11">
        <v>0</v>
      </c>
      <c r="Q475" s="11">
        <v>0</v>
      </c>
      <c r="R475" s="11">
        <v>0</v>
      </c>
      <c r="S475" s="11">
        <v>0</v>
      </c>
      <c r="T475" s="11"/>
    </row>
    <row r="476" spans="1:20" ht="30" hidden="1" x14ac:dyDescent="0.25">
      <c r="A476" s="56">
        <v>44855</v>
      </c>
      <c r="B476" s="4" t="s">
        <v>3562</v>
      </c>
      <c r="C476" s="191" t="s">
        <v>1238</v>
      </c>
      <c r="D476" s="1" t="s">
        <v>3506</v>
      </c>
      <c r="E476" s="4" t="s">
        <v>3365</v>
      </c>
      <c r="F476" s="1" t="s">
        <v>2446</v>
      </c>
      <c r="G476" s="10" t="s">
        <v>3561</v>
      </c>
      <c r="H476" s="15">
        <v>140000</v>
      </c>
      <c r="I476" s="2">
        <v>98000</v>
      </c>
      <c r="J476" s="192">
        <v>42000</v>
      </c>
      <c r="K476" s="1" t="s">
        <v>3564</v>
      </c>
      <c r="L476" s="11">
        <v>186000</v>
      </c>
      <c r="M476" s="11">
        <v>156302.52100840336</v>
      </c>
      <c r="N476" s="11">
        <v>29697.478991596639</v>
      </c>
      <c r="O476" s="11">
        <v>308000</v>
      </c>
      <c r="P476" s="11">
        <v>258823.52941176473</v>
      </c>
      <c r="Q476" s="11">
        <v>49176.470588235301</v>
      </c>
      <c r="R476" s="11">
        <v>19478.991596638662</v>
      </c>
      <c r="S476" s="11">
        <v>102521.00840336134</v>
      </c>
      <c r="T476" s="11"/>
    </row>
    <row r="477" spans="1:20" hidden="1" x14ac:dyDescent="0.25">
      <c r="A477" s="56">
        <v>44855</v>
      </c>
      <c r="B477" s="4" t="s">
        <v>3554</v>
      </c>
      <c r="C477" s="191" t="s">
        <v>3555</v>
      </c>
      <c r="D477" s="1" t="s">
        <v>3556</v>
      </c>
      <c r="E477" s="4" t="s">
        <v>540</v>
      </c>
      <c r="F477" s="1" t="s">
        <v>2446</v>
      </c>
      <c r="G477" s="10" t="s">
        <v>3557</v>
      </c>
      <c r="H477" s="15">
        <v>50000</v>
      </c>
      <c r="I477" s="2">
        <v>35000</v>
      </c>
      <c r="J477" s="192">
        <v>15000</v>
      </c>
      <c r="K477" s="1" t="s">
        <v>3558</v>
      </c>
      <c r="L477" s="11">
        <v>30000</v>
      </c>
      <c r="M477" s="11">
        <v>25210.084033613446</v>
      </c>
      <c r="N477" s="11">
        <v>4789.9159663865548</v>
      </c>
      <c r="O477" s="11">
        <v>100000</v>
      </c>
      <c r="P477" s="11">
        <v>84033.613445378156</v>
      </c>
      <c r="Q477" s="11">
        <v>15966.386554621849</v>
      </c>
      <c r="R477" s="11">
        <v>11176.470588235294</v>
      </c>
      <c r="S477" s="11">
        <v>58823.529411764706</v>
      </c>
      <c r="T477" s="11"/>
    </row>
    <row r="478" spans="1:20" hidden="1" x14ac:dyDescent="0.25">
      <c r="A478" s="56">
        <v>44855</v>
      </c>
      <c r="C478" s="191"/>
      <c r="D478" s="1" t="s">
        <v>3559</v>
      </c>
      <c r="E478" s="4" t="s">
        <v>566</v>
      </c>
      <c r="F478" s="1" t="s">
        <v>3437</v>
      </c>
      <c r="G478" s="10" t="s">
        <v>3560</v>
      </c>
      <c r="H478" s="15">
        <v>70000</v>
      </c>
      <c r="I478" s="2">
        <v>35000</v>
      </c>
      <c r="J478" s="192">
        <v>35000</v>
      </c>
      <c r="L478" s="11"/>
      <c r="M478" s="11">
        <v>0</v>
      </c>
      <c r="N478" s="11">
        <v>0</v>
      </c>
      <c r="O478" s="11"/>
      <c r="P478" s="11">
        <v>0</v>
      </c>
      <c r="Q478" s="11">
        <v>0</v>
      </c>
      <c r="R478" s="11">
        <v>0</v>
      </c>
      <c r="S478" s="11">
        <v>0</v>
      </c>
      <c r="T478" s="11"/>
    </row>
    <row r="479" spans="1:20" ht="30" hidden="1" x14ac:dyDescent="0.25">
      <c r="A479" s="56">
        <v>44855</v>
      </c>
      <c r="B479" s="4" t="s">
        <v>3562</v>
      </c>
      <c r="C479" s="191" t="s">
        <v>1238</v>
      </c>
      <c r="D479" s="1" t="s">
        <v>3506</v>
      </c>
      <c r="E479" s="4" t="s">
        <v>3365</v>
      </c>
      <c r="F479" s="1" t="s">
        <v>3437</v>
      </c>
      <c r="G479" s="10" t="s">
        <v>3563</v>
      </c>
      <c r="H479" s="15">
        <v>140000</v>
      </c>
      <c r="I479" s="2">
        <v>70000</v>
      </c>
      <c r="J479" s="192">
        <v>70000</v>
      </c>
      <c r="L479" s="11"/>
      <c r="M479" s="11">
        <v>0</v>
      </c>
      <c r="N479" s="11">
        <v>0</v>
      </c>
      <c r="O479" s="11"/>
      <c r="P479" s="11">
        <v>0</v>
      </c>
      <c r="Q479" s="11">
        <v>0</v>
      </c>
      <c r="R479" s="11">
        <v>0</v>
      </c>
      <c r="S479" s="11">
        <v>0</v>
      </c>
      <c r="T479" s="11"/>
    </row>
    <row r="480" spans="1:20" hidden="1" x14ac:dyDescent="0.25">
      <c r="A480" s="56">
        <v>44855</v>
      </c>
      <c r="B480" s="4" t="s">
        <v>3582</v>
      </c>
      <c r="C480" s="191" t="s">
        <v>3583</v>
      </c>
      <c r="D480" s="1" t="s">
        <v>3566</v>
      </c>
      <c r="E480" s="4" t="s">
        <v>3375</v>
      </c>
      <c r="F480" s="1" t="s">
        <v>2446</v>
      </c>
      <c r="G480" s="10" t="s">
        <v>3567</v>
      </c>
      <c r="H480" s="15">
        <v>60000</v>
      </c>
      <c r="I480" s="2">
        <v>63000</v>
      </c>
      <c r="J480" s="192"/>
      <c r="K480" s="1" t="s">
        <v>2553</v>
      </c>
      <c r="L480" s="11"/>
      <c r="M480" s="11">
        <v>0</v>
      </c>
      <c r="N480" s="11">
        <v>0</v>
      </c>
      <c r="O480" s="11"/>
      <c r="P480" s="11">
        <v>0</v>
      </c>
      <c r="Q480" s="11">
        <v>0</v>
      </c>
      <c r="R480" s="11">
        <v>0</v>
      </c>
      <c r="S480" s="11">
        <v>0</v>
      </c>
      <c r="T480" s="11"/>
    </row>
    <row r="481" spans="1:20" x14ac:dyDescent="0.25">
      <c r="A481" s="56">
        <v>44855</v>
      </c>
      <c r="C481" s="191"/>
      <c r="E481" s="4"/>
      <c r="F481" s="1" t="s">
        <v>10</v>
      </c>
      <c r="G481" s="10" t="s">
        <v>3571</v>
      </c>
      <c r="H481" s="15">
        <v>20000</v>
      </c>
      <c r="I481" s="2">
        <v>14000</v>
      </c>
      <c r="J481" s="192">
        <v>6000</v>
      </c>
      <c r="L481" s="11"/>
      <c r="M481" s="11">
        <v>0</v>
      </c>
      <c r="N481" s="11">
        <v>0</v>
      </c>
      <c r="O481" s="11"/>
      <c r="P481" s="11">
        <v>0</v>
      </c>
      <c r="Q481" s="11">
        <v>0</v>
      </c>
      <c r="R481" s="11">
        <v>0</v>
      </c>
      <c r="S481" s="11">
        <v>0</v>
      </c>
      <c r="T481" s="11"/>
    </row>
    <row r="482" spans="1:20" hidden="1" x14ac:dyDescent="0.25">
      <c r="A482" s="56">
        <v>44856</v>
      </c>
      <c r="C482" s="191"/>
      <c r="D482" s="1" t="s">
        <v>3573</v>
      </c>
      <c r="E482" s="4" t="s">
        <v>3545</v>
      </c>
      <c r="F482" s="1" t="s">
        <v>3437</v>
      </c>
      <c r="G482" s="10" t="s">
        <v>3538</v>
      </c>
      <c r="H482" s="15">
        <v>50000</v>
      </c>
      <c r="I482" s="2">
        <v>25000</v>
      </c>
      <c r="J482" s="192">
        <v>25000</v>
      </c>
      <c r="L482" s="11"/>
      <c r="M482" s="11">
        <v>0</v>
      </c>
      <c r="N482" s="11">
        <v>0</v>
      </c>
      <c r="O482" s="11"/>
      <c r="P482" s="11">
        <v>0</v>
      </c>
      <c r="Q482" s="11">
        <v>0</v>
      </c>
      <c r="R482" s="11">
        <v>0</v>
      </c>
      <c r="S482" s="11">
        <v>0</v>
      </c>
      <c r="T482" s="11"/>
    </row>
    <row r="483" spans="1:20" hidden="1" x14ac:dyDescent="0.25">
      <c r="A483" s="56">
        <v>44856</v>
      </c>
      <c r="B483" s="4" t="s">
        <v>1989</v>
      </c>
      <c r="C483" s="191" t="s">
        <v>3574</v>
      </c>
      <c r="D483" s="1" t="s">
        <v>3575</v>
      </c>
      <c r="E483" s="4" t="s">
        <v>1872</v>
      </c>
      <c r="F483" s="1" t="s">
        <v>2446</v>
      </c>
      <c r="G483" s="10" t="s">
        <v>3576</v>
      </c>
      <c r="H483" s="15">
        <v>70000</v>
      </c>
      <c r="I483" s="2">
        <v>49000</v>
      </c>
      <c r="J483" s="192">
        <v>21000</v>
      </c>
      <c r="L483" s="11"/>
      <c r="M483" s="11">
        <v>0</v>
      </c>
      <c r="N483" s="11">
        <v>0</v>
      </c>
      <c r="O483" s="11"/>
      <c r="P483" s="11">
        <v>0</v>
      </c>
      <c r="Q483" s="11">
        <v>0</v>
      </c>
      <c r="R483" s="11">
        <v>0</v>
      </c>
      <c r="S483" s="11">
        <v>0</v>
      </c>
      <c r="T483" s="11"/>
    </row>
    <row r="484" spans="1:20" hidden="1" x14ac:dyDescent="0.25">
      <c r="A484" s="56">
        <v>44856</v>
      </c>
      <c r="B484" s="4" t="s">
        <v>1989</v>
      </c>
      <c r="C484" s="191" t="s">
        <v>3574</v>
      </c>
      <c r="D484" s="1" t="s">
        <v>3575</v>
      </c>
      <c r="E484" s="4" t="s">
        <v>1872</v>
      </c>
      <c r="F484" s="1" t="s">
        <v>3437</v>
      </c>
      <c r="G484" s="10" t="s">
        <v>3577</v>
      </c>
      <c r="H484" s="15">
        <v>25000</v>
      </c>
      <c r="I484" s="2">
        <v>12500</v>
      </c>
      <c r="J484" s="192">
        <v>12500</v>
      </c>
      <c r="L484" s="11"/>
      <c r="M484" s="11">
        <v>0</v>
      </c>
      <c r="N484" s="11">
        <v>0</v>
      </c>
      <c r="O484" s="11"/>
      <c r="P484" s="11">
        <v>0</v>
      </c>
      <c r="Q484" s="11">
        <v>0</v>
      </c>
      <c r="R484" s="11">
        <v>0</v>
      </c>
      <c r="S484" s="11">
        <v>0</v>
      </c>
      <c r="T484" s="11"/>
    </row>
    <row r="485" spans="1:20" hidden="1" x14ac:dyDescent="0.25">
      <c r="A485" s="56">
        <v>44856</v>
      </c>
      <c r="B485" s="4" t="s">
        <v>3578</v>
      </c>
      <c r="C485" s="191" t="s">
        <v>3579</v>
      </c>
      <c r="D485" s="1" t="s">
        <v>3580</v>
      </c>
      <c r="E485" s="4" t="s">
        <v>574</v>
      </c>
      <c r="F485" s="1" t="s">
        <v>2446</v>
      </c>
      <c r="G485" s="10" t="s">
        <v>3581</v>
      </c>
      <c r="H485" s="15">
        <v>130000</v>
      </c>
      <c r="I485" s="2">
        <v>91000</v>
      </c>
      <c r="J485" s="192">
        <v>39000</v>
      </c>
      <c r="L485" s="11"/>
      <c r="M485" s="11">
        <v>0</v>
      </c>
      <c r="N485" s="11">
        <v>0</v>
      </c>
      <c r="O485" s="11"/>
      <c r="P485" s="11">
        <v>0</v>
      </c>
      <c r="Q485" s="11">
        <v>0</v>
      </c>
      <c r="R485" s="11">
        <v>0</v>
      </c>
      <c r="S485" s="11">
        <v>0</v>
      </c>
      <c r="T485" s="11"/>
    </row>
    <row r="486" spans="1:20" ht="30" hidden="1" x14ac:dyDescent="0.25">
      <c r="A486" s="56">
        <v>44856</v>
      </c>
      <c r="B486" s="4" t="s">
        <v>3585</v>
      </c>
      <c r="C486" s="191" t="s">
        <v>3584</v>
      </c>
      <c r="D486" s="1" t="s">
        <v>442</v>
      </c>
      <c r="E486" s="4" t="s">
        <v>3586</v>
      </c>
      <c r="F486" s="1" t="s">
        <v>16</v>
      </c>
      <c r="G486" s="10" t="s">
        <v>3587</v>
      </c>
      <c r="H486" s="15">
        <v>200000</v>
      </c>
      <c r="I486" s="2">
        <v>200000</v>
      </c>
      <c r="J486" s="192">
        <v>0</v>
      </c>
      <c r="K486" s="1" t="s">
        <v>3588</v>
      </c>
      <c r="L486" s="11">
        <v>49450</v>
      </c>
      <c r="M486" s="11">
        <v>41554.621848739494</v>
      </c>
      <c r="N486" s="11">
        <v>7895.3781512605037</v>
      </c>
      <c r="O486" s="11">
        <v>73500</v>
      </c>
      <c r="P486" s="11">
        <v>61764.705882352944</v>
      </c>
      <c r="Q486" s="11">
        <v>11735.294117647059</v>
      </c>
      <c r="R486" s="11">
        <v>3839.9159663865557</v>
      </c>
      <c r="S486" s="11">
        <v>20210.084033613442</v>
      </c>
      <c r="T486" s="11"/>
    </row>
    <row r="487" spans="1:20" hidden="1" x14ac:dyDescent="0.25">
      <c r="A487" s="56">
        <v>44858</v>
      </c>
      <c r="C487" s="191"/>
      <c r="D487" s="1" t="s">
        <v>3589</v>
      </c>
      <c r="E487" s="4"/>
      <c r="F487" s="1" t="s">
        <v>3437</v>
      </c>
      <c r="G487" s="10" t="s">
        <v>3590</v>
      </c>
      <c r="H487" s="15">
        <v>100000</v>
      </c>
      <c r="I487" s="2">
        <v>50000</v>
      </c>
      <c r="J487" s="192">
        <v>50000</v>
      </c>
      <c r="L487" s="11"/>
      <c r="M487" s="11">
        <v>0</v>
      </c>
      <c r="N487" s="11">
        <v>0</v>
      </c>
      <c r="O487" s="11"/>
      <c r="P487" s="11">
        <v>0</v>
      </c>
      <c r="Q487" s="11">
        <v>0</v>
      </c>
      <c r="R487" s="11">
        <v>0</v>
      </c>
      <c r="S487" s="11">
        <v>0</v>
      </c>
      <c r="T487" s="11"/>
    </row>
    <row r="488" spans="1:20" hidden="1" x14ac:dyDescent="0.25">
      <c r="A488" s="56">
        <v>44858</v>
      </c>
      <c r="C488" s="191"/>
      <c r="E488" s="4"/>
      <c r="F488" s="1" t="s">
        <v>2446</v>
      </c>
      <c r="G488" s="10" t="s">
        <v>174</v>
      </c>
      <c r="H488" s="15">
        <v>40000</v>
      </c>
      <c r="I488" s="2">
        <v>28000</v>
      </c>
      <c r="J488" s="192">
        <v>12000</v>
      </c>
      <c r="L488" s="11"/>
      <c r="M488" s="11">
        <v>0</v>
      </c>
      <c r="N488" s="11">
        <v>0</v>
      </c>
      <c r="O488" s="11"/>
      <c r="P488" s="11">
        <v>0</v>
      </c>
      <c r="Q488" s="11">
        <v>0</v>
      </c>
      <c r="R488" s="11">
        <v>0</v>
      </c>
      <c r="S488" s="11">
        <v>0</v>
      </c>
      <c r="T488" s="11"/>
    </row>
    <row r="489" spans="1:20" hidden="1" x14ac:dyDescent="0.25">
      <c r="A489" s="56">
        <v>44858</v>
      </c>
      <c r="C489" s="191"/>
      <c r="D489" s="1" t="s">
        <v>1288</v>
      </c>
      <c r="E489" s="4" t="s">
        <v>59</v>
      </c>
      <c r="F489" s="1" t="s">
        <v>2446</v>
      </c>
      <c r="G489" s="10" t="s">
        <v>3591</v>
      </c>
      <c r="H489" s="15">
        <v>40000</v>
      </c>
      <c r="I489" s="2">
        <v>28000</v>
      </c>
      <c r="J489" s="192">
        <v>12000</v>
      </c>
      <c r="L489" s="11"/>
      <c r="M489" s="11">
        <v>0</v>
      </c>
      <c r="N489" s="11">
        <v>0</v>
      </c>
      <c r="O489" s="11"/>
      <c r="P489" s="11">
        <v>0</v>
      </c>
      <c r="Q489" s="11">
        <v>0</v>
      </c>
      <c r="R489" s="11">
        <v>0</v>
      </c>
      <c r="S489" s="11">
        <v>0</v>
      </c>
      <c r="T489" s="11"/>
    </row>
    <row r="490" spans="1:20" ht="30" hidden="1" x14ac:dyDescent="0.25">
      <c r="A490" s="56">
        <v>44859</v>
      </c>
      <c r="B490" s="4" t="s">
        <v>3593</v>
      </c>
      <c r="C490" s="191" t="s">
        <v>3592</v>
      </c>
      <c r="D490" s="1" t="s">
        <v>3594</v>
      </c>
      <c r="E490" s="4" t="s">
        <v>3595</v>
      </c>
      <c r="F490" s="1" t="s">
        <v>2446</v>
      </c>
      <c r="G490" s="10" t="s">
        <v>3597</v>
      </c>
      <c r="H490" s="15">
        <v>100000</v>
      </c>
      <c r="I490" s="2">
        <v>70000</v>
      </c>
      <c r="J490" s="192">
        <v>30000</v>
      </c>
      <c r="K490" s="1" t="s">
        <v>3596</v>
      </c>
      <c r="L490" s="11">
        <v>187000</v>
      </c>
      <c r="M490" s="11">
        <v>157142.85714285716</v>
      </c>
      <c r="N490" s="11">
        <v>29857.142857142862</v>
      </c>
      <c r="O490" s="11">
        <v>258000</v>
      </c>
      <c r="P490" s="11">
        <v>216806.72268907563</v>
      </c>
      <c r="Q490" s="11">
        <v>41193.277310924372</v>
      </c>
      <c r="R490" s="11">
        <v>11336.134453781509</v>
      </c>
      <c r="S490" s="11">
        <v>59663.865546218498</v>
      </c>
      <c r="T490" s="11"/>
    </row>
    <row r="491" spans="1:20" x14ac:dyDescent="0.25">
      <c r="A491" s="56">
        <v>44859</v>
      </c>
      <c r="B491" s="4" t="s">
        <v>3598</v>
      </c>
      <c r="C491" s="191" t="s">
        <v>3599</v>
      </c>
      <c r="D491" s="1" t="s">
        <v>44</v>
      </c>
      <c r="E491" s="4" t="s">
        <v>3595</v>
      </c>
      <c r="F491" s="1" t="s">
        <v>10</v>
      </c>
      <c r="G491" s="10" t="s">
        <v>3600</v>
      </c>
      <c r="H491" s="15">
        <v>500000</v>
      </c>
      <c r="I491" s="2">
        <v>350000</v>
      </c>
      <c r="J491" s="192">
        <v>150000</v>
      </c>
      <c r="L491" s="11"/>
      <c r="M491" s="11">
        <v>0</v>
      </c>
      <c r="N491" s="11">
        <v>0</v>
      </c>
      <c r="O491" s="11"/>
      <c r="P491" s="11">
        <v>0</v>
      </c>
      <c r="Q491" s="11">
        <v>0</v>
      </c>
      <c r="R491" s="11">
        <v>0</v>
      </c>
      <c r="S491" s="11">
        <v>0</v>
      </c>
      <c r="T491" s="11"/>
    </row>
    <row r="492" spans="1:20" hidden="1" x14ac:dyDescent="0.25">
      <c r="A492" s="56">
        <v>44859</v>
      </c>
      <c r="B492" s="4" t="s">
        <v>3601</v>
      </c>
      <c r="C492" s="191" t="s">
        <v>3602</v>
      </c>
      <c r="D492" s="1" t="s">
        <v>3603</v>
      </c>
      <c r="E492" s="4" t="s">
        <v>3162</v>
      </c>
      <c r="F492" s="1" t="s">
        <v>2446</v>
      </c>
      <c r="G492" s="10" t="s">
        <v>2715</v>
      </c>
      <c r="H492" s="15">
        <v>80000</v>
      </c>
      <c r="I492" s="2">
        <v>56000</v>
      </c>
      <c r="J492" s="192">
        <v>24000</v>
      </c>
      <c r="K492" s="1" t="s">
        <v>3604</v>
      </c>
      <c r="L492" s="11">
        <v>280000</v>
      </c>
      <c r="M492" s="11">
        <v>235294.11764705883</v>
      </c>
      <c r="N492" s="11">
        <v>44705.882352941175</v>
      </c>
      <c r="O492" s="11">
        <v>400000</v>
      </c>
      <c r="P492" s="11">
        <v>336134.45378151262</v>
      </c>
      <c r="Q492" s="11">
        <v>63865.546218487398</v>
      </c>
      <c r="R492" s="11">
        <v>19159.663865546223</v>
      </c>
      <c r="S492" s="11">
        <v>100840.33613445377</v>
      </c>
      <c r="T492" s="11"/>
    </row>
    <row r="493" spans="1:20" hidden="1" x14ac:dyDescent="0.25">
      <c r="A493" s="56">
        <v>44859</v>
      </c>
      <c r="C493" s="191"/>
      <c r="D493" s="1" t="s">
        <v>236</v>
      </c>
      <c r="E493" s="4"/>
      <c r="F493" s="1" t="s">
        <v>2446</v>
      </c>
      <c r="G493" s="10" t="s">
        <v>341</v>
      </c>
      <c r="H493" s="15">
        <v>10000</v>
      </c>
      <c r="I493" s="2">
        <v>7000</v>
      </c>
      <c r="J493" s="192">
        <v>3000</v>
      </c>
      <c r="L493" s="11"/>
      <c r="M493" s="11">
        <v>0</v>
      </c>
      <c r="N493" s="11">
        <v>0</v>
      </c>
      <c r="O493" s="11"/>
      <c r="P493" s="11">
        <v>0</v>
      </c>
      <c r="Q493" s="11">
        <v>0</v>
      </c>
      <c r="R493" s="11">
        <v>0</v>
      </c>
      <c r="S493" s="11">
        <v>0</v>
      </c>
      <c r="T493" s="11"/>
    </row>
    <row r="494" spans="1:20" hidden="1" x14ac:dyDescent="0.25">
      <c r="A494" s="56">
        <v>44859</v>
      </c>
      <c r="C494" s="191"/>
      <c r="D494" s="1" t="s">
        <v>3605</v>
      </c>
      <c r="E494" s="4" t="s">
        <v>3595</v>
      </c>
      <c r="F494" s="1" t="s">
        <v>3437</v>
      </c>
      <c r="G494" s="10" t="s">
        <v>3538</v>
      </c>
      <c r="H494" s="15">
        <v>50000</v>
      </c>
      <c r="I494" s="2">
        <v>25000</v>
      </c>
      <c r="J494" s="192">
        <v>25000</v>
      </c>
      <c r="L494" s="11"/>
      <c r="M494" s="11">
        <v>0</v>
      </c>
      <c r="N494" s="11">
        <v>0</v>
      </c>
      <c r="O494" s="11"/>
      <c r="P494" s="11">
        <v>0</v>
      </c>
      <c r="Q494" s="11">
        <v>0</v>
      </c>
      <c r="R494" s="11">
        <v>0</v>
      </c>
      <c r="S494" s="11">
        <v>0</v>
      </c>
      <c r="T494" s="11"/>
    </row>
    <row r="495" spans="1:20" hidden="1" x14ac:dyDescent="0.25">
      <c r="A495" s="56">
        <v>44859</v>
      </c>
      <c r="C495" s="191"/>
      <c r="D495" s="1" t="s">
        <v>3606</v>
      </c>
      <c r="E495" s="4" t="s">
        <v>2137</v>
      </c>
      <c r="F495" s="1" t="s">
        <v>3437</v>
      </c>
      <c r="G495" s="10" t="s">
        <v>3607</v>
      </c>
      <c r="H495" s="15">
        <v>50000</v>
      </c>
      <c r="I495" s="2">
        <v>25000</v>
      </c>
      <c r="J495" s="192">
        <v>25000</v>
      </c>
      <c r="L495" s="11"/>
      <c r="M495" s="11">
        <v>0</v>
      </c>
      <c r="N495" s="11">
        <v>0</v>
      </c>
      <c r="O495" s="11"/>
      <c r="P495" s="11">
        <v>0</v>
      </c>
      <c r="Q495" s="11">
        <v>0</v>
      </c>
      <c r="R495" s="11">
        <v>0</v>
      </c>
      <c r="S495" s="11">
        <v>0</v>
      </c>
      <c r="T495" s="11"/>
    </row>
    <row r="496" spans="1:20" hidden="1" x14ac:dyDescent="0.25">
      <c r="A496" s="56">
        <v>44860</v>
      </c>
      <c r="B496" s="4" t="s">
        <v>3608</v>
      </c>
      <c r="C496" s="191" t="s">
        <v>3609</v>
      </c>
      <c r="D496" s="1" t="s">
        <v>3610</v>
      </c>
      <c r="E496" s="4" t="s">
        <v>540</v>
      </c>
      <c r="F496" s="1" t="s">
        <v>3437</v>
      </c>
      <c r="G496" s="10" t="s">
        <v>3538</v>
      </c>
      <c r="H496" s="15">
        <v>70000</v>
      </c>
      <c r="I496" s="2">
        <v>35000</v>
      </c>
      <c r="J496" s="192">
        <v>35000</v>
      </c>
      <c r="L496" s="11"/>
      <c r="M496" s="11">
        <v>0</v>
      </c>
      <c r="N496" s="11">
        <v>0</v>
      </c>
      <c r="O496" s="11"/>
      <c r="P496" s="11">
        <v>0</v>
      </c>
      <c r="Q496" s="11">
        <v>0</v>
      </c>
      <c r="R496" s="11">
        <v>0</v>
      </c>
      <c r="S496" s="11">
        <v>0</v>
      </c>
      <c r="T496" s="11"/>
    </row>
    <row r="497" spans="1:20" hidden="1" x14ac:dyDescent="0.25">
      <c r="A497" s="56">
        <v>44860</v>
      </c>
      <c r="B497" s="4" t="s">
        <v>3617</v>
      </c>
      <c r="C497" s="191" t="s">
        <v>3612</v>
      </c>
      <c r="D497" s="1" t="s">
        <v>3613</v>
      </c>
      <c r="E497" s="4" t="s">
        <v>688</v>
      </c>
      <c r="F497" s="1" t="s">
        <v>2446</v>
      </c>
      <c r="G497" s="10" t="s">
        <v>3211</v>
      </c>
      <c r="H497" s="15">
        <v>40000</v>
      </c>
      <c r="I497" s="2">
        <v>28000</v>
      </c>
      <c r="J497" s="192">
        <v>12000</v>
      </c>
      <c r="K497" s="1" t="s">
        <v>3336</v>
      </c>
      <c r="L497" s="11">
        <v>60000</v>
      </c>
      <c r="M497" s="11">
        <v>50420.168067226892</v>
      </c>
      <c r="N497" s="11">
        <v>9579.8319327731097</v>
      </c>
      <c r="O497" s="11">
        <v>75000</v>
      </c>
      <c r="P497" s="11">
        <v>63025.210084033613</v>
      </c>
      <c r="Q497" s="11">
        <v>11974.789915966387</v>
      </c>
      <c r="R497" s="11">
        <v>2394.957983193277</v>
      </c>
      <c r="S497" s="11">
        <v>12605.042016806721</v>
      </c>
      <c r="T497" s="11"/>
    </row>
    <row r="498" spans="1:20" hidden="1" x14ac:dyDescent="0.25">
      <c r="A498" s="56">
        <v>44860</v>
      </c>
      <c r="B498" s="4" t="s">
        <v>3611</v>
      </c>
      <c r="C498" s="191" t="s">
        <v>3614</v>
      </c>
      <c r="D498" s="1" t="s">
        <v>3615</v>
      </c>
      <c r="E498" s="4" t="s">
        <v>3595</v>
      </c>
      <c r="F498" s="1" t="s">
        <v>3437</v>
      </c>
      <c r="G498" s="10" t="s">
        <v>3616</v>
      </c>
      <c r="H498" s="15">
        <v>70000</v>
      </c>
      <c r="I498" s="2">
        <v>35000</v>
      </c>
      <c r="J498" s="192">
        <v>35000</v>
      </c>
      <c r="L498" s="11"/>
      <c r="M498" s="11">
        <v>0</v>
      </c>
      <c r="N498" s="11">
        <v>0</v>
      </c>
      <c r="O498" s="11"/>
      <c r="P498" s="11">
        <v>0</v>
      </c>
      <c r="Q498" s="11">
        <v>0</v>
      </c>
      <c r="R498" s="11">
        <v>0</v>
      </c>
      <c r="S498" s="11">
        <v>0</v>
      </c>
      <c r="T498" s="11"/>
    </row>
    <row r="499" spans="1:20" hidden="1" x14ac:dyDescent="0.25">
      <c r="A499" s="56">
        <v>44860</v>
      </c>
      <c r="B499" s="4" t="s">
        <v>3620</v>
      </c>
      <c r="C499" s="191" t="s">
        <v>3618</v>
      </c>
      <c r="D499" s="1" t="s">
        <v>3619</v>
      </c>
      <c r="E499" s="4" t="s">
        <v>48</v>
      </c>
      <c r="G499" s="10" t="s">
        <v>3621</v>
      </c>
      <c r="H499" s="15">
        <v>80000</v>
      </c>
      <c r="I499" s="2">
        <v>56000</v>
      </c>
      <c r="J499" s="192">
        <v>24000</v>
      </c>
      <c r="L499" s="11"/>
      <c r="M499" s="11">
        <v>0</v>
      </c>
      <c r="N499" s="11">
        <v>0</v>
      </c>
      <c r="O499" s="11"/>
      <c r="P499" s="11">
        <v>0</v>
      </c>
      <c r="Q499" s="11">
        <v>0</v>
      </c>
      <c r="R499" s="11">
        <v>0</v>
      </c>
      <c r="S499" s="11">
        <v>0</v>
      </c>
      <c r="T499" s="11"/>
    </row>
    <row r="500" spans="1:20" hidden="1" x14ac:dyDescent="0.25">
      <c r="A500" s="56">
        <v>44860</v>
      </c>
      <c r="B500" s="4" t="s">
        <v>3625</v>
      </c>
      <c r="C500" s="191" t="s">
        <v>3622</v>
      </c>
      <c r="D500" s="1" t="s">
        <v>3623</v>
      </c>
      <c r="E500" s="4" t="s">
        <v>48</v>
      </c>
      <c r="F500" s="1" t="s">
        <v>2446</v>
      </c>
      <c r="G500" s="10" t="s">
        <v>3624</v>
      </c>
      <c r="H500" s="15">
        <v>15000</v>
      </c>
      <c r="I500" s="2">
        <v>10500</v>
      </c>
      <c r="J500" s="192">
        <v>4500</v>
      </c>
      <c r="L500" s="11"/>
      <c r="M500" s="11">
        <v>0</v>
      </c>
      <c r="N500" s="11">
        <v>0</v>
      </c>
      <c r="O500" s="11"/>
      <c r="P500" s="11">
        <v>0</v>
      </c>
      <c r="Q500" s="11">
        <v>0</v>
      </c>
      <c r="R500" s="11">
        <v>0</v>
      </c>
      <c r="S500" s="11">
        <v>0</v>
      </c>
      <c r="T500" s="11"/>
    </row>
    <row r="501" spans="1:20" hidden="1" x14ac:dyDescent="0.25">
      <c r="A501" s="56">
        <v>44860</v>
      </c>
      <c r="C501" s="191"/>
      <c r="D501" s="1" t="s">
        <v>3626</v>
      </c>
      <c r="E501" s="4"/>
      <c r="F501" s="1" t="s">
        <v>2446</v>
      </c>
      <c r="G501" s="10" t="s">
        <v>3627</v>
      </c>
      <c r="H501" s="15">
        <v>60000</v>
      </c>
      <c r="I501" s="2">
        <v>42000</v>
      </c>
      <c r="J501" s="192">
        <v>18000</v>
      </c>
      <c r="K501" s="1" t="s">
        <v>997</v>
      </c>
      <c r="L501" s="11"/>
      <c r="M501" s="11">
        <v>0</v>
      </c>
      <c r="N501" s="11">
        <v>0</v>
      </c>
      <c r="O501" s="11"/>
      <c r="P501" s="11">
        <v>0</v>
      </c>
      <c r="Q501" s="11">
        <v>0</v>
      </c>
      <c r="R501" s="11">
        <v>0</v>
      </c>
      <c r="S501" s="11">
        <v>0</v>
      </c>
      <c r="T501" s="11"/>
    </row>
    <row r="502" spans="1:20" hidden="1" x14ac:dyDescent="0.25">
      <c r="A502" s="56">
        <v>44861</v>
      </c>
      <c r="C502" s="191" t="s">
        <v>215</v>
      </c>
      <c r="D502" s="1" t="s">
        <v>1610</v>
      </c>
      <c r="E502" s="4" t="s">
        <v>3365</v>
      </c>
      <c r="F502" s="1" t="s">
        <v>2446</v>
      </c>
      <c r="G502" s="10" t="s">
        <v>341</v>
      </c>
      <c r="H502" s="15">
        <v>8000</v>
      </c>
      <c r="I502" s="2">
        <v>5600</v>
      </c>
      <c r="J502" s="192">
        <v>2400</v>
      </c>
      <c r="L502" s="11"/>
      <c r="M502" s="11">
        <v>0</v>
      </c>
      <c r="N502" s="11">
        <v>0</v>
      </c>
      <c r="O502" s="11"/>
      <c r="P502" s="11">
        <v>0</v>
      </c>
      <c r="Q502" s="11">
        <v>0</v>
      </c>
      <c r="R502" s="11">
        <v>0</v>
      </c>
      <c r="S502" s="11">
        <v>0</v>
      </c>
      <c r="T502" s="11"/>
    </row>
    <row r="503" spans="1:20" hidden="1" x14ac:dyDescent="0.25">
      <c r="A503" s="56">
        <v>44861</v>
      </c>
      <c r="C503" s="191" t="s">
        <v>3629</v>
      </c>
      <c r="D503" s="1" t="s">
        <v>3378</v>
      </c>
      <c r="E503" s="4" t="s">
        <v>1865</v>
      </c>
      <c r="F503" s="1" t="s">
        <v>3437</v>
      </c>
      <c r="G503" s="10" t="s">
        <v>3616</v>
      </c>
      <c r="H503" s="15">
        <v>90000</v>
      </c>
      <c r="I503" s="2">
        <v>45000</v>
      </c>
      <c r="J503" s="192">
        <v>45000</v>
      </c>
      <c r="L503" s="11"/>
      <c r="M503" s="11">
        <v>0</v>
      </c>
      <c r="N503" s="11">
        <v>0</v>
      </c>
      <c r="O503" s="11"/>
      <c r="P503" s="11">
        <v>0</v>
      </c>
      <c r="Q503" s="11">
        <v>0</v>
      </c>
      <c r="R503" s="11">
        <v>0</v>
      </c>
      <c r="S503" s="11">
        <v>0</v>
      </c>
      <c r="T503" s="11"/>
    </row>
    <row r="504" spans="1:20" hidden="1" x14ac:dyDescent="0.25">
      <c r="A504" s="56">
        <v>44861</v>
      </c>
      <c r="C504" s="191"/>
      <c r="D504" s="1" t="s">
        <v>3630</v>
      </c>
      <c r="E504" s="4" t="s">
        <v>3631</v>
      </c>
      <c r="F504" s="1" t="s">
        <v>2446</v>
      </c>
      <c r="G504" s="10" t="s">
        <v>3632</v>
      </c>
      <c r="H504" s="15">
        <v>80000</v>
      </c>
      <c r="I504" s="2">
        <v>56000</v>
      </c>
      <c r="J504" s="192">
        <v>24000</v>
      </c>
      <c r="L504" s="11"/>
      <c r="M504" s="11">
        <v>0</v>
      </c>
      <c r="N504" s="11">
        <v>0</v>
      </c>
      <c r="O504" s="11"/>
      <c r="P504" s="11">
        <v>0</v>
      </c>
      <c r="Q504" s="11">
        <v>0</v>
      </c>
      <c r="R504" s="11">
        <v>0</v>
      </c>
      <c r="S504" s="11">
        <v>0</v>
      </c>
      <c r="T504" s="11"/>
    </row>
    <row r="505" spans="1:20" hidden="1" x14ac:dyDescent="0.25">
      <c r="A505" s="56">
        <v>44861</v>
      </c>
      <c r="C505" s="191" t="s">
        <v>3633</v>
      </c>
      <c r="D505" s="1" t="s">
        <v>3634</v>
      </c>
      <c r="E505" s="4" t="s">
        <v>439</v>
      </c>
      <c r="F505" s="1" t="s">
        <v>2446</v>
      </c>
      <c r="G505" s="10" t="s">
        <v>2934</v>
      </c>
      <c r="H505" s="15">
        <v>200000</v>
      </c>
      <c r="I505" s="2">
        <v>140000</v>
      </c>
      <c r="J505" s="192">
        <v>60000</v>
      </c>
      <c r="L505" s="11"/>
      <c r="M505" s="11">
        <v>0</v>
      </c>
      <c r="N505" s="11">
        <v>0</v>
      </c>
      <c r="O505" s="11"/>
      <c r="P505" s="11">
        <v>0</v>
      </c>
      <c r="Q505" s="11">
        <v>0</v>
      </c>
      <c r="R505" s="11">
        <v>0</v>
      </c>
      <c r="S505" s="11">
        <v>0</v>
      </c>
      <c r="T505" s="11"/>
    </row>
    <row r="506" spans="1:20" hidden="1" x14ac:dyDescent="0.25">
      <c r="A506" s="56">
        <v>44861</v>
      </c>
      <c r="C506" s="191" t="s">
        <v>3635</v>
      </c>
      <c r="D506" s="1" t="s">
        <v>3636</v>
      </c>
      <c r="E506" s="4" t="s">
        <v>2392</v>
      </c>
      <c r="F506" s="1" t="s">
        <v>2446</v>
      </c>
      <c r="G506" s="10" t="s">
        <v>341</v>
      </c>
      <c r="H506" s="15">
        <v>10000</v>
      </c>
      <c r="I506" s="2">
        <v>7000</v>
      </c>
      <c r="J506" s="192">
        <v>3000</v>
      </c>
      <c r="L506" s="11"/>
      <c r="M506" s="11">
        <v>0</v>
      </c>
      <c r="N506" s="11">
        <v>0</v>
      </c>
      <c r="O506" s="11"/>
      <c r="P506" s="11">
        <v>0</v>
      </c>
      <c r="Q506" s="11">
        <v>0</v>
      </c>
      <c r="R506" s="11">
        <v>0</v>
      </c>
      <c r="S506" s="11">
        <v>0</v>
      </c>
      <c r="T506" s="11"/>
    </row>
    <row r="507" spans="1:20" hidden="1" x14ac:dyDescent="0.25">
      <c r="A507" s="56">
        <v>44862</v>
      </c>
      <c r="B507" s="4" t="s">
        <v>3644</v>
      </c>
      <c r="C507" s="191" t="s">
        <v>3637</v>
      </c>
      <c r="D507" s="1" t="s">
        <v>3638</v>
      </c>
      <c r="E507" s="4" t="s">
        <v>59</v>
      </c>
      <c r="F507" s="1" t="s">
        <v>2446</v>
      </c>
      <c r="G507" s="10" t="s">
        <v>3639</v>
      </c>
      <c r="H507" s="15">
        <v>15000</v>
      </c>
      <c r="I507" s="2">
        <v>10500</v>
      </c>
      <c r="J507" s="192">
        <v>4500</v>
      </c>
      <c r="L507" s="11"/>
      <c r="M507" s="11">
        <v>0</v>
      </c>
      <c r="N507" s="11">
        <v>0</v>
      </c>
      <c r="O507" s="11"/>
      <c r="P507" s="11">
        <v>0</v>
      </c>
      <c r="Q507" s="11">
        <v>0</v>
      </c>
      <c r="R507" s="11">
        <v>0</v>
      </c>
      <c r="S507" s="11">
        <v>0</v>
      </c>
      <c r="T507" s="11"/>
    </row>
    <row r="508" spans="1:20" hidden="1" x14ac:dyDescent="0.25">
      <c r="A508" s="56">
        <v>44862</v>
      </c>
      <c r="B508" s="4" t="s">
        <v>3643</v>
      </c>
      <c r="C508" s="191" t="s">
        <v>3640</v>
      </c>
      <c r="D508" s="1" t="s">
        <v>3641</v>
      </c>
      <c r="E508" s="4" t="s">
        <v>2285</v>
      </c>
      <c r="F508" s="1" t="s">
        <v>2446</v>
      </c>
      <c r="G508" s="10" t="s">
        <v>3642</v>
      </c>
      <c r="H508" s="15">
        <v>100000</v>
      </c>
      <c r="I508" s="2">
        <v>70000</v>
      </c>
      <c r="J508" s="192">
        <v>30000</v>
      </c>
      <c r="L508" s="11"/>
      <c r="M508" s="11">
        <v>0</v>
      </c>
      <c r="N508" s="11">
        <v>0</v>
      </c>
      <c r="O508" s="11"/>
      <c r="P508" s="11">
        <v>0</v>
      </c>
      <c r="Q508" s="11">
        <v>0</v>
      </c>
      <c r="R508" s="11">
        <v>0</v>
      </c>
      <c r="S508" s="11">
        <v>0</v>
      </c>
      <c r="T508" s="11"/>
    </row>
    <row r="509" spans="1:20" hidden="1" x14ac:dyDescent="0.25">
      <c r="A509" s="56">
        <v>44862</v>
      </c>
      <c r="B509" s="4" t="s">
        <v>2066</v>
      </c>
      <c r="C509" s="191" t="s">
        <v>2090</v>
      </c>
      <c r="D509" s="1" t="s">
        <v>3645</v>
      </c>
      <c r="E509" s="4" t="s">
        <v>46</v>
      </c>
      <c r="F509" s="1" t="s">
        <v>2446</v>
      </c>
      <c r="G509" s="10" t="s">
        <v>3647</v>
      </c>
      <c r="H509" s="15">
        <v>100000</v>
      </c>
      <c r="I509" s="2">
        <v>70000</v>
      </c>
      <c r="J509" s="192">
        <v>30000</v>
      </c>
      <c r="K509" s="1" t="s">
        <v>3646</v>
      </c>
      <c r="L509" s="11">
        <v>7540</v>
      </c>
      <c r="M509" s="11">
        <v>6336.134453781513</v>
      </c>
      <c r="N509" s="11">
        <v>1203.8655462184875</v>
      </c>
      <c r="O509" s="11">
        <v>17000</v>
      </c>
      <c r="P509" s="11">
        <v>14285.714285714286</v>
      </c>
      <c r="Q509" s="11">
        <v>2714.2857142857142</v>
      </c>
      <c r="R509" s="11">
        <v>1510.4201680672268</v>
      </c>
      <c r="S509" s="11">
        <v>7949.5798319327732</v>
      </c>
      <c r="T509" s="11"/>
    </row>
    <row r="510" spans="1:20" hidden="1" x14ac:dyDescent="0.25">
      <c r="A510" s="56">
        <v>44862</v>
      </c>
      <c r="B510" s="4" t="s">
        <v>2076</v>
      </c>
      <c r="C510" s="191" t="s">
        <v>1653</v>
      </c>
      <c r="D510" s="1" t="s">
        <v>1655</v>
      </c>
      <c r="E510" s="4" t="s">
        <v>1654</v>
      </c>
      <c r="F510" s="1" t="s">
        <v>2446</v>
      </c>
      <c r="G510" s="10" t="s">
        <v>1683</v>
      </c>
      <c r="H510" s="15">
        <v>250000</v>
      </c>
      <c r="I510" s="2">
        <v>175000</v>
      </c>
      <c r="J510" s="192">
        <v>75000</v>
      </c>
      <c r="K510" s="1" t="s">
        <v>1684</v>
      </c>
      <c r="L510" s="11">
        <v>1160000</v>
      </c>
      <c r="M510" s="11"/>
      <c r="N510" s="11">
        <v>0</v>
      </c>
      <c r="O510" s="11">
        <v>1280000</v>
      </c>
      <c r="P510" s="11"/>
      <c r="Q510" s="11">
        <v>0</v>
      </c>
      <c r="R510" s="11">
        <v>0</v>
      </c>
      <c r="S510" s="11">
        <v>120000</v>
      </c>
      <c r="T510" s="11"/>
    </row>
    <row r="511" spans="1:20" hidden="1" x14ac:dyDescent="0.25">
      <c r="A511" s="56">
        <v>44862</v>
      </c>
      <c r="C511" s="191"/>
      <c r="D511" s="1" t="s">
        <v>3648</v>
      </c>
      <c r="E511" s="4" t="s">
        <v>122</v>
      </c>
      <c r="F511" s="1" t="s">
        <v>34</v>
      </c>
      <c r="G511" s="10" t="s">
        <v>3649</v>
      </c>
      <c r="H511" s="15">
        <v>30000</v>
      </c>
      <c r="I511" s="2">
        <v>21000</v>
      </c>
      <c r="J511" s="192">
        <v>9000</v>
      </c>
      <c r="L511" s="11"/>
      <c r="M511" s="11">
        <v>0</v>
      </c>
      <c r="N511" s="11">
        <v>0</v>
      </c>
      <c r="O511" s="11"/>
      <c r="P511" s="11">
        <v>0</v>
      </c>
      <c r="Q511" s="11">
        <v>0</v>
      </c>
      <c r="R511" s="11">
        <v>0</v>
      </c>
      <c r="S511" s="11">
        <v>0</v>
      </c>
      <c r="T511" s="11"/>
    </row>
    <row r="512" spans="1:20" hidden="1" x14ac:dyDescent="0.25">
      <c r="A512" s="56">
        <v>44863</v>
      </c>
      <c r="C512" s="191"/>
      <c r="D512" s="1" t="s">
        <v>2205</v>
      </c>
      <c r="E512" s="4" t="s">
        <v>3631</v>
      </c>
      <c r="F512" s="1" t="s">
        <v>2446</v>
      </c>
      <c r="G512" s="10" t="s">
        <v>3652</v>
      </c>
      <c r="H512" s="15">
        <v>80000</v>
      </c>
      <c r="I512" s="2">
        <v>56000</v>
      </c>
      <c r="J512" s="192">
        <v>24000</v>
      </c>
      <c r="L512" s="11"/>
      <c r="M512" s="11">
        <v>0</v>
      </c>
      <c r="N512" s="11">
        <v>0</v>
      </c>
      <c r="O512" s="11"/>
      <c r="P512" s="11">
        <v>0</v>
      </c>
      <c r="Q512" s="11">
        <v>0</v>
      </c>
      <c r="R512" s="11">
        <v>0</v>
      </c>
      <c r="S512" s="11">
        <v>0</v>
      </c>
      <c r="T512" s="11"/>
    </row>
    <row r="513" spans="1:20" hidden="1" x14ac:dyDescent="0.25">
      <c r="A513" s="56">
        <v>44863</v>
      </c>
      <c r="C513" s="191" t="s">
        <v>1278</v>
      </c>
      <c r="D513" s="1" t="s">
        <v>380</v>
      </c>
      <c r="E513" s="4" t="s">
        <v>59</v>
      </c>
      <c r="F513" s="1" t="s">
        <v>2446</v>
      </c>
      <c r="G513" s="10" t="s">
        <v>437</v>
      </c>
      <c r="H513" s="15">
        <v>20000</v>
      </c>
      <c r="I513" s="2">
        <v>14000</v>
      </c>
      <c r="J513" s="192">
        <v>6000</v>
      </c>
      <c r="L513" s="11"/>
      <c r="M513" s="11">
        <v>0</v>
      </c>
      <c r="N513" s="11">
        <v>0</v>
      </c>
      <c r="O513" s="11"/>
      <c r="P513" s="11">
        <v>0</v>
      </c>
      <c r="Q513" s="11">
        <v>0</v>
      </c>
      <c r="R513" s="11">
        <v>0</v>
      </c>
      <c r="S513" s="11">
        <v>0</v>
      </c>
      <c r="T513" s="11"/>
    </row>
    <row r="514" spans="1:20" hidden="1" x14ac:dyDescent="0.25">
      <c r="A514" s="56">
        <v>44863</v>
      </c>
      <c r="C514" s="191" t="s">
        <v>615</v>
      </c>
      <c r="D514" s="1" t="s">
        <v>616</v>
      </c>
      <c r="E514" s="4" t="s">
        <v>385</v>
      </c>
      <c r="F514" s="1" t="s">
        <v>2446</v>
      </c>
      <c r="G514" s="10" t="s">
        <v>3653</v>
      </c>
      <c r="H514" s="15">
        <v>80000</v>
      </c>
      <c r="I514" s="2">
        <v>56000</v>
      </c>
      <c r="J514" s="192">
        <v>24000</v>
      </c>
      <c r="L514" s="11"/>
      <c r="M514" s="11">
        <v>0</v>
      </c>
      <c r="N514" s="11">
        <v>0</v>
      </c>
      <c r="O514" s="11"/>
      <c r="P514" s="11">
        <v>0</v>
      </c>
      <c r="Q514" s="11">
        <v>0</v>
      </c>
      <c r="R514" s="11">
        <v>0</v>
      </c>
      <c r="S514" s="11">
        <v>0</v>
      </c>
      <c r="T514" s="11"/>
    </row>
    <row r="515" spans="1:20" hidden="1" x14ac:dyDescent="0.25">
      <c r="A515" s="56">
        <v>44863</v>
      </c>
      <c r="C515" s="191"/>
      <c r="D515" s="1" t="s">
        <v>3658</v>
      </c>
      <c r="E515" s="4"/>
      <c r="F515" s="1" t="s">
        <v>3437</v>
      </c>
      <c r="G515" s="10" t="s">
        <v>3716</v>
      </c>
      <c r="H515" s="15">
        <v>35000</v>
      </c>
      <c r="I515" s="2">
        <v>17500</v>
      </c>
      <c r="J515" s="192">
        <v>17500</v>
      </c>
      <c r="L515" s="11"/>
      <c r="M515" s="11">
        <v>0</v>
      </c>
      <c r="N515" s="11">
        <v>0</v>
      </c>
      <c r="O515" s="11"/>
      <c r="P515" s="11">
        <v>0</v>
      </c>
      <c r="Q515" s="11">
        <v>0</v>
      </c>
      <c r="R515" s="11">
        <v>0</v>
      </c>
      <c r="S515" s="11">
        <v>0</v>
      </c>
      <c r="T515" s="11"/>
    </row>
    <row r="516" spans="1:20" hidden="1" x14ac:dyDescent="0.25">
      <c r="A516" s="56">
        <v>44863</v>
      </c>
      <c r="C516" s="191"/>
      <c r="D516" s="1" t="s">
        <v>3659</v>
      </c>
      <c r="E516" s="4" t="s">
        <v>76</v>
      </c>
      <c r="F516" s="1" t="s">
        <v>3437</v>
      </c>
      <c r="G516" s="10" t="s">
        <v>3660</v>
      </c>
      <c r="H516" s="15">
        <v>60000</v>
      </c>
      <c r="I516" s="2">
        <v>30000</v>
      </c>
      <c r="J516" s="192">
        <v>30000</v>
      </c>
      <c r="L516" s="11"/>
      <c r="M516" s="11">
        <v>0</v>
      </c>
      <c r="N516" s="11">
        <v>0</v>
      </c>
      <c r="O516" s="11"/>
      <c r="P516" s="11">
        <v>0</v>
      </c>
      <c r="Q516" s="11">
        <v>0</v>
      </c>
      <c r="R516" s="11">
        <v>0</v>
      </c>
      <c r="S516" s="11">
        <v>0</v>
      </c>
      <c r="T516" s="11"/>
    </row>
    <row r="517" spans="1:20" hidden="1" x14ac:dyDescent="0.25">
      <c r="A517" s="56">
        <v>44863</v>
      </c>
      <c r="C517" s="191" t="s">
        <v>3661</v>
      </c>
      <c r="D517" s="1" t="s">
        <v>3662</v>
      </c>
      <c r="E517" s="4" t="s">
        <v>3663</v>
      </c>
      <c r="F517" s="1" t="s">
        <v>2446</v>
      </c>
      <c r="G517" s="10" t="s">
        <v>3664</v>
      </c>
      <c r="H517" s="15">
        <v>40000</v>
      </c>
      <c r="I517" s="2">
        <v>28000</v>
      </c>
      <c r="J517" s="192">
        <v>12000</v>
      </c>
      <c r="K517" s="1" t="s">
        <v>3665</v>
      </c>
      <c r="L517" s="11">
        <v>22600</v>
      </c>
      <c r="M517" s="11">
        <v>6386.55</v>
      </c>
      <c r="N517" s="11">
        <v>1213.4445000000001</v>
      </c>
      <c r="O517" s="11">
        <v>50000</v>
      </c>
      <c r="P517" s="11"/>
      <c r="Q517" s="11">
        <v>0</v>
      </c>
      <c r="R517" s="11">
        <v>-1213.4445000000001</v>
      </c>
      <c r="S517" s="11">
        <v>28613.444500000001</v>
      </c>
      <c r="T517" s="11"/>
    </row>
    <row r="518" spans="1:20" hidden="1" x14ac:dyDescent="0.25">
      <c r="A518" s="56">
        <v>44864</v>
      </c>
      <c r="B518" s="4" t="s">
        <v>3654</v>
      </c>
      <c r="C518" s="191" t="s">
        <v>3655</v>
      </c>
      <c r="D518" s="1" t="s">
        <v>3656</v>
      </c>
      <c r="E518" s="4" t="s">
        <v>1203</v>
      </c>
      <c r="F518" s="1" t="s">
        <v>2446</v>
      </c>
      <c r="G518" s="10" t="s">
        <v>3729</v>
      </c>
      <c r="H518" s="15">
        <v>170000</v>
      </c>
      <c r="I518" s="2">
        <v>118999.99999999999</v>
      </c>
      <c r="J518" s="192">
        <v>51000.000000000015</v>
      </c>
      <c r="K518" s="1" t="s">
        <v>3657</v>
      </c>
      <c r="L518" s="11"/>
      <c r="M518" s="11">
        <v>0</v>
      </c>
      <c r="N518" s="11">
        <v>0</v>
      </c>
      <c r="O518" s="11">
        <v>329000</v>
      </c>
      <c r="P518" s="11">
        <v>276470.58823529416</v>
      </c>
      <c r="Q518" s="11">
        <v>52529.411764705888</v>
      </c>
      <c r="R518" s="11">
        <v>52529.411764705888</v>
      </c>
      <c r="S518" s="11">
        <v>276470.5882352941</v>
      </c>
      <c r="T518" s="11"/>
    </row>
    <row r="519" spans="1:20" ht="30" hidden="1" x14ac:dyDescent="0.25">
      <c r="A519" s="56">
        <v>44865</v>
      </c>
      <c r="B519" s="4" t="s">
        <v>3667</v>
      </c>
      <c r="C519" s="191" t="s">
        <v>3668</v>
      </c>
      <c r="D519" s="1" t="s">
        <v>2728</v>
      </c>
      <c r="E519" s="4" t="s">
        <v>3669</v>
      </c>
      <c r="F519" s="1" t="s">
        <v>2446</v>
      </c>
      <c r="G519" s="10" t="s">
        <v>3670</v>
      </c>
      <c r="H519" s="15">
        <v>180000</v>
      </c>
      <c r="I519" s="2">
        <v>125999.99999999999</v>
      </c>
      <c r="J519" s="192">
        <v>54000.000000000015</v>
      </c>
      <c r="L519" s="11"/>
      <c r="M519" s="11">
        <v>0</v>
      </c>
      <c r="N519" s="11">
        <v>0</v>
      </c>
      <c r="O519" s="11"/>
      <c r="P519" s="11">
        <v>0</v>
      </c>
      <c r="Q519" s="11">
        <v>0</v>
      </c>
      <c r="R519" s="11">
        <v>0</v>
      </c>
      <c r="S519" s="11">
        <v>0</v>
      </c>
      <c r="T519" s="11"/>
    </row>
    <row r="520" spans="1:20" hidden="1" x14ac:dyDescent="0.25">
      <c r="A520" s="56">
        <v>44865</v>
      </c>
      <c r="C520" s="191" t="s">
        <v>3668</v>
      </c>
      <c r="D520" s="1" t="s">
        <v>2728</v>
      </c>
      <c r="E520" s="4" t="s">
        <v>3669</v>
      </c>
      <c r="F520" s="1" t="s">
        <v>3437</v>
      </c>
      <c r="G520" s="10" t="s">
        <v>3616</v>
      </c>
      <c r="H520" s="15">
        <v>70000</v>
      </c>
      <c r="I520" s="2">
        <v>35000</v>
      </c>
      <c r="J520" s="192">
        <v>35000</v>
      </c>
      <c r="L520" s="11">
        <v>2635000</v>
      </c>
      <c r="M520" s="11"/>
      <c r="N520" s="11">
        <v>0</v>
      </c>
      <c r="O520" s="11">
        <v>3040000</v>
      </c>
      <c r="P520" s="11">
        <v>2554621.848739496</v>
      </c>
      <c r="Q520" s="11">
        <v>485378.15126050427</v>
      </c>
      <c r="R520" s="11">
        <v>485378.15126050427</v>
      </c>
      <c r="S520" s="11">
        <v>-80378.151260504499</v>
      </c>
      <c r="T520" s="11"/>
    </row>
    <row r="521" spans="1:20" hidden="1" x14ac:dyDescent="0.25">
      <c r="A521" s="56">
        <v>44865</v>
      </c>
      <c r="C521" s="191"/>
      <c r="E521" s="4"/>
      <c r="F521" s="1" t="s">
        <v>34</v>
      </c>
      <c r="G521" s="10" t="s">
        <v>3671</v>
      </c>
      <c r="H521" s="15">
        <v>20000</v>
      </c>
      <c r="I521" s="2">
        <v>14000</v>
      </c>
      <c r="J521" s="192">
        <v>6000</v>
      </c>
      <c r="L521" s="11"/>
      <c r="M521" s="11">
        <v>0</v>
      </c>
      <c r="N521" s="11">
        <v>0</v>
      </c>
      <c r="O521" s="11"/>
      <c r="P521" s="11">
        <v>0</v>
      </c>
      <c r="Q521" s="11">
        <v>0</v>
      </c>
      <c r="R521" s="11">
        <v>0</v>
      </c>
      <c r="S521" s="11">
        <v>0</v>
      </c>
      <c r="T521" s="11"/>
    </row>
    <row r="522" spans="1:20" hidden="1" x14ac:dyDescent="0.25">
      <c r="A522" s="56">
        <v>44865</v>
      </c>
      <c r="B522" s="4" t="s">
        <v>3672</v>
      </c>
      <c r="C522" s="191" t="s">
        <v>3673</v>
      </c>
      <c r="D522" s="1" t="s">
        <v>2778</v>
      </c>
      <c r="E522" s="4" t="s">
        <v>59</v>
      </c>
      <c r="F522" s="1" t="s">
        <v>2446</v>
      </c>
      <c r="G522" s="10" t="s">
        <v>3674</v>
      </c>
      <c r="H522" s="15">
        <v>60000</v>
      </c>
      <c r="I522" s="2">
        <v>42000</v>
      </c>
      <c r="J522" s="192">
        <v>18000</v>
      </c>
      <c r="L522" s="11"/>
      <c r="M522" s="11">
        <v>0</v>
      </c>
      <c r="N522" s="11">
        <v>0</v>
      </c>
      <c r="O522" s="11"/>
      <c r="P522" s="11">
        <v>0</v>
      </c>
      <c r="Q522" s="11">
        <v>0</v>
      </c>
      <c r="R522" s="11">
        <v>0</v>
      </c>
      <c r="S522" s="11">
        <v>0</v>
      </c>
      <c r="T522" s="11"/>
    </row>
    <row r="523" spans="1:20" hidden="1" x14ac:dyDescent="0.25">
      <c r="A523" s="56">
        <v>44865</v>
      </c>
      <c r="C523" s="191"/>
      <c r="D523" s="1" t="s">
        <v>3675</v>
      </c>
      <c r="E523" s="4" t="s">
        <v>2526</v>
      </c>
      <c r="F523" s="1" t="s">
        <v>34</v>
      </c>
      <c r="G523" s="10" t="s">
        <v>1159</v>
      </c>
      <c r="H523" s="15">
        <v>9000</v>
      </c>
      <c r="I523" s="2">
        <v>6300</v>
      </c>
      <c r="J523" s="192">
        <v>2700</v>
      </c>
      <c r="L523" s="11"/>
      <c r="M523" s="11">
        <v>0</v>
      </c>
      <c r="N523" s="11">
        <v>0</v>
      </c>
      <c r="O523" s="11"/>
      <c r="P523" s="11">
        <v>0</v>
      </c>
      <c r="Q523" s="11">
        <v>0</v>
      </c>
      <c r="R523" s="11">
        <v>0</v>
      </c>
      <c r="S523" s="11">
        <v>0</v>
      </c>
      <c r="T523" s="11"/>
    </row>
    <row r="524" spans="1:20" hidden="1" x14ac:dyDescent="0.25">
      <c r="A524" s="56">
        <v>44865</v>
      </c>
      <c r="B524" s="4" t="s">
        <v>3677</v>
      </c>
      <c r="C524" s="191" t="s">
        <v>3678</v>
      </c>
      <c r="D524" s="1" t="s">
        <v>2656</v>
      </c>
      <c r="E524" s="4" t="s">
        <v>65</v>
      </c>
      <c r="F524" s="1" t="s">
        <v>3666</v>
      </c>
      <c r="G524" s="10" t="s">
        <v>3461</v>
      </c>
      <c r="H524" s="15">
        <v>300000</v>
      </c>
      <c r="I524" s="2">
        <v>150000</v>
      </c>
      <c r="J524" s="192">
        <v>150000</v>
      </c>
      <c r="L524" s="11"/>
      <c r="M524" s="11">
        <v>0</v>
      </c>
      <c r="N524" s="11">
        <v>0</v>
      </c>
      <c r="O524" s="11"/>
      <c r="P524" s="11">
        <v>0</v>
      </c>
      <c r="Q524" s="11">
        <v>0</v>
      </c>
      <c r="R524" s="11">
        <v>0</v>
      </c>
      <c r="S524" s="11">
        <v>0</v>
      </c>
      <c r="T524" s="11"/>
    </row>
    <row r="525" spans="1:20" hidden="1" x14ac:dyDescent="0.25">
      <c r="A525" s="56">
        <v>44865</v>
      </c>
      <c r="B525" s="4" t="s">
        <v>3683</v>
      </c>
      <c r="C525" s="191" t="s">
        <v>3680</v>
      </c>
      <c r="D525" s="1" t="s">
        <v>3679</v>
      </c>
      <c r="E525" s="4" t="s">
        <v>3681</v>
      </c>
      <c r="F525" s="1" t="s">
        <v>2446</v>
      </c>
      <c r="G525" s="10" t="s">
        <v>3682</v>
      </c>
      <c r="H525" s="15">
        <v>100000</v>
      </c>
      <c r="I525" s="2">
        <v>70000</v>
      </c>
      <c r="J525" s="192">
        <v>30000</v>
      </c>
      <c r="L525" s="11">
        <v>20000</v>
      </c>
      <c r="M525" s="11">
        <v>16806.722689075632</v>
      </c>
      <c r="N525" s="11">
        <v>3193.2773109243699</v>
      </c>
      <c r="O525" s="11">
        <v>50000</v>
      </c>
      <c r="P525" s="11">
        <v>42016.806722689078</v>
      </c>
      <c r="Q525" s="11">
        <v>7983.1932773109247</v>
      </c>
      <c r="R525" s="11">
        <v>4789.9159663865548</v>
      </c>
      <c r="S525" s="11">
        <v>25210.084033613446</v>
      </c>
      <c r="T525" s="11"/>
    </row>
    <row r="526" spans="1:20" hidden="1" x14ac:dyDescent="0.25">
      <c r="A526" s="56">
        <v>44866</v>
      </c>
      <c r="B526" s="4" t="s">
        <v>3713</v>
      </c>
      <c r="C526" s="191" t="s">
        <v>3714</v>
      </c>
      <c r="D526" s="1" t="s">
        <v>2676</v>
      </c>
      <c r="E526" s="4" t="s">
        <v>59</v>
      </c>
      <c r="F526" s="1" t="s">
        <v>34</v>
      </c>
      <c r="G526" s="10" t="s">
        <v>3715</v>
      </c>
      <c r="H526" s="15">
        <v>150000</v>
      </c>
      <c r="I526" s="2">
        <v>105000</v>
      </c>
      <c r="J526" s="192">
        <v>45000</v>
      </c>
      <c r="L526" s="11"/>
      <c r="M526" s="11">
        <v>0</v>
      </c>
      <c r="N526" s="11">
        <v>0</v>
      </c>
      <c r="O526" s="11"/>
      <c r="P526" s="11">
        <v>0</v>
      </c>
      <c r="Q526" s="11">
        <v>0</v>
      </c>
      <c r="R526" s="11">
        <v>0</v>
      </c>
      <c r="S526" s="11">
        <v>0</v>
      </c>
      <c r="T526" s="11"/>
    </row>
    <row r="527" spans="1:20" hidden="1" x14ac:dyDescent="0.25">
      <c r="A527" s="56">
        <v>44866</v>
      </c>
      <c r="B527" s="4" t="s">
        <v>3685</v>
      </c>
      <c r="C527" s="191" t="s">
        <v>3684</v>
      </c>
      <c r="D527" s="1" t="s">
        <v>3648</v>
      </c>
      <c r="E527" s="4" t="s">
        <v>122</v>
      </c>
      <c r="F527" s="1" t="s">
        <v>2446</v>
      </c>
      <c r="G527" s="10" t="s">
        <v>3686</v>
      </c>
      <c r="H527" s="15">
        <v>25000</v>
      </c>
      <c r="I527" s="2">
        <v>17500</v>
      </c>
      <c r="J527" s="192">
        <v>7500</v>
      </c>
      <c r="K527" s="1" t="s">
        <v>3646</v>
      </c>
      <c r="L527" s="11">
        <v>7600</v>
      </c>
      <c r="M527" s="11">
        <v>6386.5546218487398</v>
      </c>
      <c r="N527" s="11">
        <v>1213.4453781512607</v>
      </c>
      <c r="O527" s="11">
        <v>15000</v>
      </c>
      <c r="P527" s="11">
        <v>12605.042016806723</v>
      </c>
      <c r="Q527" s="11">
        <v>2394.9579831932774</v>
      </c>
      <c r="R527" s="11">
        <v>1181.5126050420167</v>
      </c>
      <c r="S527" s="11">
        <v>6218.4873949579833</v>
      </c>
      <c r="T527" s="11"/>
    </row>
    <row r="528" spans="1:20" hidden="1" x14ac:dyDescent="0.25">
      <c r="A528" s="56">
        <v>44866</v>
      </c>
      <c r="C528" s="191"/>
      <c r="D528" s="1" t="s">
        <v>3687</v>
      </c>
      <c r="E528" s="4" t="s">
        <v>3688</v>
      </c>
      <c r="F528" s="1" t="s">
        <v>2446</v>
      </c>
      <c r="G528" s="10" t="s">
        <v>1538</v>
      </c>
      <c r="H528" s="15">
        <v>10000</v>
      </c>
      <c r="I528" s="2">
        <v>7000</v>
      </c>
      <c r="J528" s="192">
        <v>3000</v>
      </c>
      <c r="L528" s="11"/>
      <c r="M528" s="11">
        <v>0</v>
      </c>
      <c r="N528" s="11">
        <v>0</v>
      </c>
      <c r="O528" s="11"/>
      <c r="P528" s="11">
        <v>0</v>
      </c>
      <c r="Q528" s="11">
        <v>0</v>
      </c>
      <c r="R528" s="11">
        <v>0</v>
      </c>
      <c r="S528" s="11">
        <v>0</v>
      </c>
      <c r="T528" s="11"/>
    </row>
    <row r="529" spans="1:20" hidden="1" x14ac:dyDescent="0.25">
      <c r="A529" s="56">
        <v>44866</v>
      </c>
      <c r="B529" s="4" t="s">
        <v>3689</v>
      </c>
      <c r="C529" s="191" t="s">
        <v>3690</v>
      </c>
      <c r="D529" s="1" t="s">
        <v>3691</v>
      </c>
      <c r="E529" s="4" t="s">
        <v>204</v>
      </c>
      <c r="F529" s="1" t="s">
        <v>2446</v>
      </c>
      <c r="G529" s="10" t="s">
        <v>3692</v>
      </c>
      <c r="H529" s="15">
        <v>20000</v>
      </c>
      <c r="I529" s="2">
        <v>14000</v>
      </c>
      <c r="J529" s="192">
        <v>6000</v>
      </c>
      <c r="L529" s="11"/>
      <c r="M529" s="11">
        <v>0</v>
      </c>
      <c r="N529" s="11">
        <v>0</v>
      </c>
      <c r="O529" s="11"/>
      <c r="P529" s="11">
        <v>0</v>
      </c>
      <c r="Q529" s="11">
        <v>0</v>
      </c>
      <c r="R529" s="11">
        <v>0</v>
      </c>
      <c r="S529" s="11">
        <v>0</v>
      </c>
      <c r="T529" s="11"/>
    </row>
    <row r="530" spans="1:20" hidden="1" x14ac:dyDescent="0.25">
      <c r="A530" s="56">
        <v>44867</v>
      </c>
      <c r="C530" s="191"/>
      <c r="D530" s="1" t="s">
        <v>3693</v>
      </c>
      <c r="E530" s="4" t="s">
        <v>3694</v>
      </c>
      <c r="F530" s="1" t="s">
        <v>2446</v>
      </c>
      <c r="G530" s="10" t="s">
        <v>341</v>
      </c>
      <c r="H530" s="15">
        <v>10000</v>
      </c>
      <c r="I530" s="2">
        <v>7000</v>
      </c>
      <c r="J530" s="192">
        <v>3000</v>
      </c>
      <c r="L530" s="11"/>
      <c r="M530" s="11">
        <v>0</v>
      </c>
      <c r="N530" s="11">
        <v>0</v>
      </c>
      <c r="O530" s="11"/>
      <c r="P530" s="11">
        <v>0</v>
      </c>
      <c r="Q530" s="11">
        <v>0</v>
      </c>
      <c r="R530" s="11">
        <v>0</v>
      </c>
      <c r="S530" s="11">
        <v>0</v>
      </c>
      <c r="T530" s="11"/>
    </row>
    <row r="531" spans="1:20" hidden="1" x14ac:dyDescent="0.25">
      <c r="A531" s="56">
        <v>44867</v>
      </c>
      <c r="B531" s="4" t="s">
        <v>3730</v>
      </c>
      <c r="C531" s="191" t="s">
        <v>3695</v>
      </c>
      <c r="D531" s="1" t="s">
        <v>3696</v>
      </c>
      <c r="E531" s="4" t="s">
        <v>268</v>
      </c>
      <c r="F531" s="1" t="s">
        <v>2446</v>
      </c>
      <c r="G531" s="10" t="s">
        <v>3697</v>
      </c>
      <c r="H531" s="15">
        <v>40000</v>
      </c>
      <c r="I531" s="2">
        <v>28000</v>
      </c>
      <c r="J531" s="192">
        <v>12000</v>
      </c>
      <c r="K531" s="1" t="s">
        <v>51</v>
      </c>
      <c r="L531" s="11">
        <v>122000</v>
      </c>
      <c r="M531" s="11">
        <v>102521.00840336135</v>
      </c>
      <c r="N531" s="11">
        <v>19478.991596638658</v>
      </c>
      <c r="O531" s="11">
        <v>170000</v>
      </c>
      <c r="P531" s="11">
        <v>142857.14285714287</v>
      </c>
      <c r="Q531" s="11">
        <v>27142.857142857145</v>
      </c>
      <c r="R531" s="11">
        <v>7663.865546218487</v>
      </c>
      <c r="S531" s="11">
        <v>40336.134453781517</v>
      </c>
      <c r="T531" s="11"/>
    </row>
    <row r="532" spans="1:20" hidden="1" x14ac:dyDescent="0.25">
      <c r="A532" s="56">
        <v>44867</v>
      </c>
      <c r="C532" s="191" t="s">
        <v>3690</v>
      </c>
      <c r="D532" s="1" t="s">
        <v>3691</v>
      </c>
      <c r="E532" s="4" t="s">
        <v>204</v>
      </c>
      <c r="F532" s="1" t="s">
        <v>2446</v>
      </c>
      <c r="G532" s="10" t="s">
        <v>3698</v>
      </c>
      <c r="H532" s="15">
        <v>30000</v>
      </c>
      <c r="I532" s="2">
        <v>21000</v>
      </c>
      <c r="J532" s="192">
        <v>9000</v>
      </c>
      <c r="L532" s="11"/>
      <c r="M532" s="11">
        <v>0</v>
      </c>
      <c r="N532" s="11">
        <v>0</v>
      </c>
      <c r="O532" s="11"/>
      <c r="P532" s="11">
        <v>0</v>
      </c>
      <c r="Q532" s="11">
        <v>0</v>
      </c>
      <c r="R532" s="11">
        <v>0</v>
      </c>
      <c r="S532" s="11">
        <v>0</v>
      </c>
      <c r="T532" s="11"/>
    </row>
    <row r="533" spans="1:20" hidden="1" x14ac:dyDescent="0.25">
      <c r="A533" s="56">
        <v>44867</v>
      </c>
      <c r="B533" s="4" t="s">
        <v>3699</v>
      </c>
      <c r="C533" s="191" t="s">
        <v>2287</v>
      </c>
      <c r="D533" s="1" t="s">
        <v>2288</v>
      </c>
      <c r="E533" s="4" t="s">
        <v>2411</v>
      </c>
      <c r="F533" s="1" t="s">
        <v>2446</v>
      </c>
      <c r="G533" s="10" t="s">
        <v>3731</v>
      </c>
      <c r="H533" s="15">
        <v>20000</v>
      </c>
      <c r="I533" s="2">
        <v>14000</v>
      </c>
      <c r="J533" s="192">
        <v>6000</v>
      </c>
      <c r="L533" s="11"/>
      <c r="M533" s="11">
        <v>0</v>
      </c>
      <c r="N533" s="11">
        <v>0</v>
      </c>
      <c r="O533" s="11"/>
      <c r="P533" s="11">
        <v>0</v>
      </c>
      <c r="Q533" s="11">
        <v>0</v>
      </c>
      <c r="R533" s="11">
        <v>0</v>
      </c>
      <c r="S533" s="11">
        <v>0</v>
      </c>
      <c r="T533" s="11"/>
    </row>
    <row r="534" spans="1:20" hidden="1" x14ac:dyDescent="0.25">
      <c r="A534" s="56">
        <v>44867</v>
      </c>
      <c r="B534" s="4" t="s">
        <v>3699</v>
      </c>
      <c r="C534" s="191" t="s">
        <v>2287</v>
      </c>
      <c r="D534" s="1" t="s">
        <v>2288</v>
      </c>
      <c r="E534" s="4" t="s">
        <v>2411</v>
      </c>
      <c r="F534" s="1" t="s">
        <v>3666</v>
      </c>
      <c r="G534" s="10" t="s">
        <v>437</v>
      </c>
      <c r="H534" s="15">
        <v>20000</v>
      </c>
      <c r="I534" s="2">
        <v>10000</v>
      </c>
      <c r="J534" s="192">
        <v>10000</v>
      </c>
      <c r="K534" s="1" t="s">
        <v>3703</v>
      </c>
      <c r="L534" s="11">
        <v>75000</v>
      </c>
      <c r="M534" s="11">
        <v>50420.160000000003</v>
      </c>
      <c r="N534" s="11">
        <v>9579.8304000000007</v>
      </c>
      <c r="O534" s="11">
        <v>90000</v>
      </c>
      <c r="P534" s="11"/>
      <c r="Q534" s="11">
        <v>0</v>
      </c>
      <c r="R534" s="11">
        <v>-9579.8304000000007</v>
      </c>
      <c r="S534" s="11">
        <v>24579.830399999999</v>
      </c>
      <c r="T534" s="11"/>
    </row>
    <row r="535" spans="1:20" hidden="1" x14ac:dyDescent="0.25">
      <c r="A535" s="56">
        <v>44867</v>
      </c>
      <c r="B535" s="4" t="s">
        <v>3700</v>
      </c>
      <c r="C535" s="191" t="s">
        <v>3701</v>
      </c>
      <c r="D535" s="1" t="s">
        <v>3702</v>
      </c>
      <c r="E535" s="4" t="s">
        <v>1332</v>
      </c>
      <c r="F535" s="1" t="s">
        <v>2446</v>
      </c>
      <c r="G535" s="10" t="s">
        <v>744</v>
      </c>
      <c r="H535" s="15">
        <v>30000</v>
      </c>
      <c r="I535" s="2">
        <v>21000</v>
      </c>
      <c r="J535" s="192">
        <v>9000</v>
      </c>
      <c r="K535" s="1" t="s">
        <v>57</v>
      </c>
      <c r="L535" s="11">
        <v>44000</v>
      </c>
      <c r="M535" s="11">
        <v>36974.789915966387</v>
      </c>
      <c r="N535" s="11">
        <v>7025.2100840336134</v>
      </c>
      <c r="O535" s="11">
        <v>60000</v>
      </c>
      <c r="P535" s="11">
        <v>50420.168067226892</v>
      </c>
      <c r="Q535" s="11">
        <v>9579.8319327731097</v>
      </c>
      <c r="R535" s="11">
        <v>2554.6218487394963</v>
      </c>
      <c r="S535" s="11">
        <v>13445.378151260506</v>
      </c>
      <c r="T535" s="11"/>
    </row>
    <row r="536" spans="1:20" hidden="1" x14ac:dyDescent="0.25">
      <c r="A536" s="56">
        <v>44867</v>
      </c>
      <c r="B536" s="4" t="s">
        <v>3704</v>
      </c>
      <c r="C536" s="191" t="s">
        <v>3705</v>
      </c>
      <c r="D536" s="1" t="s">
        <v>3706</v>
      </c>
      <c r="E536" s="4" t="s">
        <v>201</v>
      </c>
      <c r="F536" s="1" t="s">
        <v>2446</v>
      </c>
      <c r="G536" s="10" t="s">
        <v>338</v>
      </c>
      <c r="H536" s="15">
        <v>130000</v>
      </c>
      <c r="I536" s="2">
        <v>91000</v>
      </c>
      <c r="J536" s="192">
        <v>39000</v>
      </c>
      <c r="K536" s="1" t="s">
        <v>3707</v>
      </c>
      <c r="L536" s="11">
        <v>60000</v>
      </c>
      <c r="M536" s="11">
        <v>50420.168067226892</v>
      </c>
      <c r="N536" s="11">
        <v>9579.8319327731097</v>
      </c>
      <c r="O536" s="11">
        <v>90000</v>
      </c>
      <c r="P536" s="11">
        <v>75630.252100840342</v>
      </c>
      <c r="Q536" s="11">
        <v>14369.747899159665</v>
      </c>
      <c r="R536" s="11">
        <v>4789.9159663865557</v>
      </c>
      <c r="S536" s="11">
        <v>25210.084033613442</v>
      </c>
      <c r="T536" s="11"/>
    </row>
    <row r="537" spans="1:20" hidden="1" x14ac:dyDescent="0.25">
      <c r="A537" s="56">
        <v>44867</v>
      </c>
      <c r="B537" s="4" t="s">
        <v>3708</v>
      </c>
      <c r="C537" s="191" t="s">
        <v>3709</v>
      </c>
      <c r="D537" s="1" t="s">
        <v>3710</v>
      </c>
      <c r="E537" s="4" t="s">
        <v>168</v>
      </c>
      <c r="F537" s="1" t="s">
        <v>2446</v>
      </c>
      <c r="G537" s="10" t="s">
        <v>3711</v>
      </c>
      <c r="H537" s="15">
        <v>70000</v>
      </c>
      <c r="I537" s="2">
        <v>49000</v>
      </c>
      <c r="J537" s="192">
        <v>21000</v>
      </c>
      <c r="K537" s="1" t="s">
        <v>3712</v>
      </c>
      <c r="L537" s="11">
        <v>295000</v>
      </c>
      <c r="M537" s="11">
        <v>247899.15966386555</v>
      </c>
      <c r="N537" s="11">
        <v>47100.840336134454</v>
      </c>
      <c r="O537" s="11">
        <v>409000</v>
      </c>
      <c r="P537" s="11">
        <v>343697.47899159667</v>
      </c>
      <c r="Q537" s="11">
        <v>65302.521008403368</v>
      </c>
      <c r="R537" s="11">
        <v>18201.680672268914</v>
      </c>
      <c r="S537" s="11">
        <v>95798.319327731093</v>
      </c>
      <c r="T537" s="11"/>
    </row>
    <row r="538" spans="1:20" hidden="1" x14ac:dyDescent="0.25">
      <c r="A538" s="56">
        <v>44867</v>
      </c>
      <c r="B538" s="4">
        <v>361</v>
      </c>
      <c r="C538" s="191" t="s">
        <v>3718</v>
      </c>
      <c r="D538" s="1" t="s">
        <v>3717</v>
      </c>
      <c r="E538" s="4" t="s">
        <v>1749</v>
      </c>
      <c r="F538" s="1" t="s">
        <v>34</v>
      </c>
      <c r="G538" s="10"/>
      <c r="H538" s="15">
        <v>35000</v>
      </c>
      <c r="I538" s="2">
        <v>24500</v>
      </c>
      <c r="J538" s="192">
        <v>10500</v>
      </c>
      <c r="K538" s="1" t="s">
        <v>57</v>
      </c>
      <c r="L538" s="11">
        <v>7600</v>
      </c>
      <c r="M538" s="11">
        <v>6386.5546218487398</v>
      </c>
      <c r="N538" s="11">
        <v>1213.4453781512607</v>
      </c>
      <c r="O538" s="11">
        <v>15000</v>
      </c>
      <c r="P538" s="11">
        <v>12605.042016806723</v>
      </c>
      <c r="Q538" s="11">
        <v>2394.9579831932774</v>
      </c>
      <c r="R538" s="11">
        <v>1181.5126050420167</v>
      </c>
      <c r="S538" s="11">
        <v>6218.4873949579833</v>
      </c>
      <c r="T538" s="11"/>
    </row>
    <row r="539" spans="1:20" hidden="1" x14ac:dyDescent="0.25">
      <c r="A539" s="56">
        <v>44868</v>
      </c>
      <c r="B539" s="4" t="s">
        <v>3719</v>
      </c>
      <c r="C539" s="191"/>
      <c r="D539" s="1" t="s">
        <v>3720</v>
      </c>
      <c r="E539" s="4" t="s">
        <v>1749</v>
      </c>
      <c r="F539" s="1" t="s">
        <v>2446</v>
      </c>
      <c r="G539" s="10" t="s">
        <v>3721</v>
      </c>
      <c r="H539" s="15">
        <v>20000</v>
      </c>
      <c r="I539" s="2">
        <v>8000</v>
      </c>
      <c r="J539" s="192">
        <v>12000</v>
      </c>
      <c r="K539" s="1" t="s">
        <v>349</v>
      </c>
      <c r="L539" s="11">
        <v>310000</v>
      </c>
      <c r="M539" s="11">
        <v>260504.20168067227</v>
      </c>
      <c r="N539" s="11">
        <v>49495.798319327732</v>
      </c>
      <c r="O539" s="11">
        <v>60000</v>
      </c>
      <c r="P539" s="11">
        <v>50420.168067226892</v>
      </c>
      <c r="Q539" s="11">
        <v>9579.8319327731097</v>
      </c>
      <c r="R539" s="11">
        <v>-39915.966386554624</v>
      </c>
      <c r="S539" s="11">
        <v>-210084.03361344535</v>
      </c>
      <c r="T539" s="11"/>
    </row>
    <row r="540" spans="1:20" hidden="1" x14ac:dyDescent="0.25">
      <c r="A540" s="56">
        <v>44868</v>
      </c>
      <c r="B540" s="4" t="s">
        <v>3723</v>
      </c>
      <c r="C540" s="191" t="s">
        <v>3722</v>
      </c>
      <c r="D540" s="1" t="s">
        <v>3724</v>
      </c>
      <c r="E540" s="4" t="s">
        <v>566</v>
      </c>
      <c r="F540" s="1" t="s">
        <v>2446</v>
      </c>
      <c r="G540" s="10" t="s">
        <v>1407</v>
      </c>
      <c r="H540" s="15">
        <v>350000</v>
      </c>
      <c r="I540" s="2">
        <v>244999.99999999997</v>
      </c>
      <c r="J540" s="192">
        <v>105000.00000000003</v>
      </c>
      <c r="L540" s="11"/>
      <c r="M540" s="11">
        <v>0</v>
      </c>
      <c r="N540" s="11">
        <v>0</v>
      </c>
      <c r="O540" s="11"/>
      <c r="P540" s="11">
        <v>0</v>
      </c>
      <c r="Q540" s="11">
        <v>0</v>
      </c>
      <c r="R540" s="11">
        <v>0</v>
      </c>
      <c r="S540" s="11">
        <v>0</v>
      </c>
      <c r="T540" s="11"/>
    </row>
    <row r="541" spans="1:20" hidden="1" x14ac:dyDescent="0.25">
      <c r="A541" s="56">
        <v>44868</v>
      </c>
      <c r="C541" s="191" t="s">
        <v>3362</v>
      </c>
      <c r="D541" s="1" t="s">
        <v>1959</v>
      </c>
      <c r="E541" s="4" t="s">
        <v>521</v>
      </c>
      <c r="F541" s="1" t="s">
        <v>3666</v>
      </c>
      <c r="G541" s="10" t="s">
        <v>437</v>
      </c>
      <c r="H541" s="15">
        <v>10000</v>
      </c>
      <c r="I541" s="2">
        <v>10000</v>
      </c>
      <c r="J541" s="192">
        <v>0</v>
      </c>
      <c r="K541" s="1" t="s">
        <v>349</v>
      </c>
      <c r="L541" s="11">
        <v>10000</v>
      </c>
      <c r="M541" s="11"/>
      <c r="N541" s="11">
        <v>0</v>
      </c>
      <c r="O541" s="11">
        <v>15000</v>
      </c>
      <c r="P541" s="11"/>
      <c r="Q541" s="11">
        <v>0</v>
      </c>
      <c r="R541" s="11">
        <v>0</v>
      </c>
      <c r="S541" s="11">
        <v>5000</v>
      </c>
      <c r="T541" s="11"/>
    </row>
    <row r="542" spans="1:20" hidden="1" x14ac:dyDescent="0.25">
      <c r="A542" s="56">
        <v>44868</v>
      </c>
      <c r="C542" s="191" t="s">
        <v>3362</v>
      </c>
      <c r="D542" s="1" t="s">
        <v>1959</v>
      </c>
      <c r="E542" s="4" t="s">
        <v>521</v>
      </c>
      <c r="F542" s="1" t="s">
        <v>2446</v>
      </c>
      <c r="G542" s="10" t="s">
        <v>3725</v>
      </c>
      <c r="H542" s="15">
        <v>20000</v>
      </c>
      <c r="I542" s="2">
        <v>14000</v>
      </c>
      <c r="J542" s="192">
        <v>6000</v>
      </c>
      <c r="L542" s="11"/>
      <c r="M542" s="11">
        <v>0</v>
      </c>
      <c r="N542" s="11">
        <v>0</v>
      </c>
      <c r="O542" s="11"/>
      <c r="P542" s="11">
        <v>0</v>
      </c>
      <c r="Q542" s="11">
        <v>0</v>
      </c>
      <c r="R542" s="11">
        <v>0</v>
      </c>
      <c r="S542" s="11">
        <v>0</v>
      </c>
      <c r="T542" s="11"/>
    </row>
    <row r="543" spans="1:20" hidden="1" x14ac:dyDescent="0.25">
      <c r="A543" s="56">
        <v>44868</v>
      </c>
      <c r="B543" s="4" t="s">
        <v>3728</v>
      </c>
      <c r="C543" s="191" t="s">
        <v>3726</v>
      </c>
      <c r="D543" s="1" t="s">
        <v>85</v>
      </c>
      <c r="E543" s="4" t="s">
        <v>84</v>
      </c>
      <c r="F543" s="1" t="s">
        <v>2446</v>
      </c>
      <c r="G543" s="10" t="s">
        <v>3727</v>
      </c>
      <c r="H543" s="15">
        <v>70000</v>
      </c>
      <c r="I543" s="2">
        <v>49000</v>
      </c>
      <c r="J543" s="192">
        <v>21000</v>
      </c>
      <c r="K543" s="1" t="s">
        <v>256</v>
      </c>
      <c r="L543" s="11">
        <v>30939</v>
      </c>
      <c r="M543" s="11">
        <v>25999.159663865546</v>
      </c>
      <c r="N543" s="11">
        <v>4939.8403361344535</v>
      </c>
      <c r="O543" s="11">
        <v>45000</v>
      </c>
      <c r="P543" s="11">
        <v>37815.126050420171</v>
      </c>
      <c r="Q543" s="11">
        <v>7184.8739495798327</v>
      </c>
      <c r="R543" s="11">
        <v>2245.0336134453792</v>
      </c>
      <c r="S543" s="11">
        <v>11815.966386554617</v>
      </c>
      <c r="T543" s="11"/>
    </row>
    <row r="544" spans="1:20" ht="30" hidden="1" x14ac:dyDescent="0.25">
      <c r="A544" s="56">
        <v>44868</v>
      </c>
      <c r="B544" s="4" t="s">
        <v>3732</v>
      </c>
      <c r="C544" s="191" t="s">
        <v>2812</v>
      </c>
      <c r="D544" s="1" t="s">
        <v>501</v>
      </c>
      <c r="E544" s="4" t="s">
        <v>168</v>
      </c>
      <c r="F544" s="1" t="s">
        <v>2446</v>
      </c>
      <c r="G544" s="10" t="s">
        <v>3733</v>
      </c>
      <c r="H544" s="15">
        <v>80000</v>
      </c>
      <c r="I544" s="2">
        <v>56000</v>
      </c>
      <c r="J544" s="192">
        <v>24000</v>
      </c>
      <c r="K544" s="1" t="s">
        <v>3734</v>
      </c>
      <c r="L544" s="11">
        <v>85000</v>
      </c>
      <c r="M544" s="11">
        <v>71428.571428571435</v>
      </c>
      <c r="N544" s="11">
        <v>13571.428571428572</v>
      </c>
      <c r="O544" s="11">
        <v>110000</v>
      </c>
      <c r="P544" s="11">
        <v>92436.97478991597</v>
      </c>
      <c r="Q544" s="11">
        <v>17563.025210084033</v>
      </c>
      <c r="R544" s="11">
        <v>3991.596638655461</v>
      </c>
      <c r="S544" s="11">
        <v>21008.403361344535</v>
      </c>
      <c r="T544" s="11"/>
    </row>
    <row r="545" spans="1:20" hidden="1" x14ac:dyDescent="0.25">
      <c r="A545" s="56">
        <v>44869</v>
      </c>
      <c r="B545" s="4" t="s">
        <v>3735</v>
      </c>
      <c r="C545" s="191" t="s">
        <v>3736</v>
      </c>
      <c r="D545" s="1" t="s">
        <v>3737</v>
      </c>
      <c r="E545" s="4" t="s">
        <v>136</v>
      </c>
      <c r="F545" s="1" t="s">
        <v>2446</v>
      </c>
      <c r="G545" s="10" t="s">
        <v>3738</v>
      </c>
      <c r="H545" s="15">
        <v>100000</v>
      </c>
      <c r="I545" s="2">
        <v>70000</v>
      </c>
      <c r="J545" s="192">
        <v>30000</v>
      </c>
      <c r="K545" s="1" t="s">
        <v>3646</v>
      </c>
      <c r="L545" s="11">
        <v>26000</v>
      </c>
      <c r="M545" s="11">
        <v>21848.73949579832</v>
      </c>
      <c r="N545" s="11">
        <v>4151.2605042016812</v>
      </c>
      <c r="O545" s="11">
        <v>35000</v>
      </c>
      <c r="P545" s="11">
        <v>29411.764705882353</v>
      </c>
      <c r="Q545" s="11">
        <v>5588.2352941176468</v>
      </c>
      <c r="R545" s="11">
        <v>1436.9747899159656</v>
      </c>
      <c r="S545" s="11">
        <v>7563.0252100840335</v>
      </c>
      <c r="T545" s="11"/>
    </row>
    <row r="546" spans="1:20" ht="45" hidden="1" x14ac:dyDescent="0.25">
      <c r="A546" s="56">
        <v>44869</v>
      </c>
      <c r="B546" s="4" t="s">
        <v>3739</v>
      </c>
      <c r="C546" s="191" t="s">
        <v>3540</v>
      </c>
      <c r="D546" s="1" t="s">
        <v>3740</v>
      </c>
      <c r="E546" s="4"/>
      <c r="F546" s="1" t="s">
        <v>2446</v>
      </c>
      <c r="G546" s="10" t="s">
        <v>3741</v>
      </c>
      <c r="H546" s="15">
        <v>70000</v>
      </c>
      <c r="I546" s="2">
        <v>49000</v>
      </c>
      <c r="J546" s="192">
        <v>21000</v>
      </c>
      <c r="L546" s="11"/>
      <c r="M546" s="11">
        <v>0</v>
      </c>
      <c r="N546" s="11">
        <v>0</v>
      </c>
      <c r="O546" s="11"/>
      <c r="P546" s="11">
        <v>0</v>
      </c>
      <c r="Q546" s="11">
        <v>0</v>
      </c>
      <c r="R546" s="11">
        <v>0</v>
      </c>
      <c r="S546" s="11">
        <v>0</v>
      </c>
      <c r="T546" s="11"/>
    </row>
    <row r="547" spans="1:20" hidden="1" x14ac:dyDescent="0.25">
      <c r="A547" s="56">
        <v>44869</v>
      </c>
      <c r="C547" s="191" t="s">
        <v>646</v>
      </c>
      <c r="D547" s="1" t="s">
        <v>1435</v>
      </c>
      <c r="E547" s="4" t="s">
        <v>1434</v>
      </c>
      <c r="F547" s="1" t="s">
        <v>2446</v>
      </c>
      <c r="G547" s="10" t="s">
        <v>3743</v>
      </c>
      <c r="H547" s="15">
        <v>100000</v>
      </c>
      <c r="I547" s="2">
        <v>70000</v>
      </c>
      <c r="J547" s="192">
        <v>30000</v>
      </c>
      <c r="L547" s="11"/>
      <c r="M547" s="11">
        <v>0</v>
      </c>
      <c r="N547" s="11">
        <v>0</v>
      </c>
      <c r="O547" s="11"/>
      <c r="P547" s="11">
        <v>0</v>
      </c>
      <c r="Q547" s="11">
        <v>0</v>
      </c>
      <c r="R547" s="11">
        <v>0</v>
      </c>
      <c r="S547" s="11">
        <v>0</v>
      </c>
      <c r="T547" s="11"/>
    </row>
    <row r="548" spans="1:20" hidden="1" x14ac:dyDescent="0.25">
      <c r="A548" s="56">
        <v>44870</v>
      </c>
      <c r="B548" s="4" t="s">
        <v>3757</v>
      </c>
      <c r="C548" s="191" t="s">
        <v>1586</v>
      </c>
      <c r="D548" s="1" t="s">
        <v>263</v>
      </c>
      <c r="E548" s="4" t="s">
        <v>48</v>
      </c>
      <c r="F548" s="1" t="s">
        <v>3666</v>
      </c>
      <c r="G548" s="10" t="s">
        <v>3756</v>
      </c>
      <c r="H548" s="15">
        <v>100000</v>
      </c>
      <c r="I548" s="2">
        <v>50000</v>
      </c>
      <c r="J548" s="192">
        <v>50000</v>
      </c>
      <c r="L548" s="11"/>
      <c r="M548" s="11">
        <v>0</v>
      </c>
      <c r="N548" s="11">
        <v>0</v>
      </c>
      <c r="O548" s="11"/>
      <c r="P548" s="11">
        <v>0</v>
      </c>
      <c r="Q548" s="11">
        <v>0</v>
      </c>
      <c r="R548" s="11">
        <v>0</v>
      </c>
      <c r="S548" s="11">
        <v>0</v>
      </c>
      <c r="T548" s="11"/>
    </row>
    <row r="549" spans="1:20" hidden="1" x14ac:dyDescent="0.25">
      <c r="A549" s="56">
        <v>44870</v>
      </c>
      <c r="C549" s="191" t="s">
        <v>1757</v>
      </c>
      <c r="D549" s="1" t="s">
        <v>1758</v>
      </c>
      <c r="E549" s="4" t="s">
        <v>905</v>
      </c>
      <c r="F549" s="1" t="s">
        <v>2446</v>
      </c>
      <c r="G549" s="10" t="s">
        <v>3744</v>
      </c>
      <c r="H549" s="15">
        <v>10000</v>
      </c>
      <c r="I549" s="2">
        <v>7000</v>
      </c>
      <c r="J549" s="192">
        <v>3000</v>
      </c>
      <c r="L549" s="11"/>
      <c r="M549" s="11">
        <v>0</v>
      </c>
      <c r="N549" s="11">
        <v>0</v>
      </c>
      <c r="O549" s="11"/>
      <c r="P549" s="11">
        <v>0</v>
      </c>
      <c r="Q549" s="11">
        <v>0</v>
      </c>
      <c r="R549" s="11">
        <v>0</v>
      </c>
      <c r="S549" s="11">
        <v>0</v>
      </c>
      <c r="T549" s="11"/>
    </row>
    <row r="550" spans="1:20" ht="30" hidden="1" x14ac:dyDescent="0.25">
      <c r="A550" s="56">
        <v>44870</v>
      </c>
      <c r="B550" s="4" t="s">
        <v>3745</v>
      </c>
      <c r="C550" s="191" t="s">
        <v>3746</v>
      </c>
      <c r="D550" s="1" t="s">
        <v>3747</v>
      </c>
      <c r="E550" s="4" t="s">
        <v>202</v>
      </c>
      <c r="F550" s="1" t="s">
        <v>2446</v>
      </c>
      <c r="G550" s="10" t="s">
        <v>3748</v>
      </c>
      <c r="H550" s="15">
        <v>70000</v>
      </c>
      <c r="I550" s="2">
        <v>49000</v>
      </c>
      <c r="J550" s="192">
        <v>21000</v>
      </c>
      <c r="K550" s="1" t="s">
        <v>3749</v>
      </c>
      <c r="L550" s="11">
        <v>21800</v>
      </c>
      <c r="M550" s="11">
        <v>18319.327731092439</v>
      </c>
      <c r="N550" s="11">
        <v>3480.6722689075632</v>
      </c>
      <c r="O550" s="11">
        <v>39000</v>
      </c>
      <c r="P550" s="11">
        <v>32773.10924369748</v>
      </c>
      <c r="Q550" s="11">
        <v>6226.8907563025214</v>
      </c>
      <c r="R550" s="11">
        <v>2746.2184873949582</v>
      </c>
      <c r="S550" s="11">
        <v>14453.781512605041</v>
      </c>
      <c r="T550" s="11"/>
    </row>
    <row r="551" spans="1:20" ht="30" hidden="1" x14ac:dyDescent="0.25">
      <c r="A551" s="56">
        <v>44870</v>
      </c>
      <c r="B551" s="4" t="s">
        <v>3750</v>
      </c>
      <c r="C551" s="191" t="s">
        <v>1658</v>
      </c>
      <c r="D551" s="1" t="s">
        <v>3751</v>
      </c>
      <c r="E551" s="4" t="s">
        <v>3803</v>
      </c>
      <c r="F551" s="1" t="s">
        <v>2446</v>
      </c>
      <c r="G551" s="10" t="s">
        <v>3752</v>
      </c>
      <c r="H551" s="15">
        <v>110000</v>
      </c>
      <c r="I551" s="2">
        <v>77000</v>
      </c>
      <c r="J551" s="192">
        <v>33000</v>
      </c>
      <c r="K551" s="1" t="s">
        <v>660</v>
      </c>
      <c r="L551" s="11">
        <v>148823</v>
      </c>
      <c r="M551" s="11">
        <v>125061.34453781514</v>
      </c>
      <c r="N551" s="11">
        <v>23761.655462184877</v>
      </c>
      <c r="O551" s="11">
        <v>220000</v>
      </c>
      <c r="P551" s="11">
        <v>184873.94957983194</v>
      </c>
      <c r="Q551" s="11">
        <v>35126.050420168067</v>
      </c>
      <c r="R551" s="11">
        <v>11364.39495798319</v>
      </c>
      <c r="S551" s="11">
        <v>59812.605042016803</v>
      </c>
      <c r="T551" s="11"/>
    </row>
    <row r="552" spans="1:20" hidden="1" x14ac:dyDescent="0.25">
      <c r="A552" s="56">
        <v>44870</v>
      </c>
      <c r="C552" s="191"/>
      <c r="D552" s="1" t="s">
        <v>3753</v>
      </c>
      <c r="E552" s="4" t="s">
        <v>3754</v>
      </c>
      <c r="F552" s="1" t="s">
        <v>3666</v>
      </c>
      <c r="G552" s="10" t="s">
        <v>3755</v>
      </c>
      <c r="H552" s="15">
        <v>60000</v>
      </c>
      <c r="I552" s="2">
        <v>30000</v>
      </c>
      <c r="J552" s="192">
        <v>30000</v>
      </c>
      <c r="L552" s="11"/>
      <c r="M552" s="11">
        <v>0</v>
      </c>
      <c r="N552" s="11">
        <v>0</v>
      </c>
      <c r="O552" s="11"/>
      <c r="P552" s="11">
        <v>0</v>
      </c>
      <c r="Q552" s="11">
        <v>0</v>
      </c>
      <c r="R552" s="11">
        <v>0</v>
      </c>
      <c r="S552" s="11">
        <v>0</v>
      </c>
      <c r="T552" s="11"/>
    </row>
    <row r="553" spans="1:20" hidden="1" x14ac:dyDescent="0.25">
      <c r="A553" s="56">
        <v>44873</v>
      </c>
      <c r="B553" s="4" t="s">
        <v>3758</v>
      </c>
      <c r="C553" s="191" t="s">
        <v>3759</v>
      </c>
      <c r="D553" s="1" t="s">
        <v>1579</v>
      </c>
      <c r="E553" s="4" t="s">
        <v>202</v>
      </c>
      <c r="F553" s="1" t="s">
        <v>2446</v>
      </c>
      <c r="G553" s="10" t="s">
        <v>3760</v>
      </c>
      <c r="H553" s="15">
        <v>120000</v>
      </c>
      <c r="I553" s="2">
        <v>84000</v>
      </c>
      <c r="J553" s="192">
        <v>36000</v>
      </c>
      <c r="K553" s="1" t="s">
        <v>3761</v>
      </c>
      <c r="L553" s="11">
        <v>160000</v>
      </c>
      <c r="M553" s="11">
        <v>134453.78151260506</v>
      </c>
      <c r="N553" s="11">
        <v>25546.218487394959</v>
      </c>
      <c r="O553" s="11">
        <v>367000</v>
      </c>
      <c r="P553" s="11">
        <v>308403.36134453781</v>
      </c>
      <c r="Q553" s="11">
        <v>58596.638655462186</v>
      </c>
      <c r="R553" s="11">
        <v>33050.420168067227</v>
      </c>
      <c r="S553" s="11">
        <v>173949.57983193279</v>
      </c>
      <c r="T553" s="11"/>
    </row>
    <row r="554" spans="1:20" hidden="1" x14ac:dyDescent="0.25">
      <c r="A554" s="56">
        <v>44873</v>
      </c>
      <c r="C554" s="191"/>
      <c r="D554" s="1" t="s">
        <v>3762</v>
      </c>
      <c r="E554" s="4" t="s">
        <v>122</v>
      </c>
      <c r="F554" s="1" t="s">
        <v>2446</v>
      </c>
      <c r="G554" s="10" t="s">
        <v>138</v>
      </c>
      <c r="H554" s="15">
        <v>60000</v>
      </c>
      <c r="I554" s="2">
        <v>42000</v>
      </c>
      <c r="J554" s="192">
        <v>18000</v>
      </c>
      <c r="L554" s="11"/>
      <c r="M554" s="11">
        <v>0</v>
      </c>
      <c r="N554" s="11">
        <v>0</v>
      </c>
      <c r="O554" s="11"/>
      <c r="P554" s="11">
        <v>0</v>
      </c>
      <c r="Q554" s="11">
        <v>0</v>
      </c>
      <c r="R554" s="11">
        <v>0</v>
      </c>
      <c r="S554" s="11">
        <v>0</v>
      </c>
      <c r="T554" s="11"/>
    </row>
    <row r="555" spans="1:20" hidden="1" x14ac:dyDescent="0.25">
      <c r="A555" s="56">
        <v>44873</v>
      </c>
      <c r="B555" s="4" t="s">
        <v>3763</v>
      </c>
      <c r="C555" s="191" t="s">
        <v>2360</v>
      </c>
      <c r="D555" s="1" t="s">
        <v>3495</v>
      </c>
      <c r="E555" s="4" t="s">
        <v>540</v>
      </c>
      <c r="F555" s="1" t="s">
        <v>2446</v>
      </c>
      <c r="G555" s="10" t="s">
        <v>3764</v>
      </c>
      <c r="H555" s="15">
        <v>20000</v>
      </c>
      <c r="I555" s="2">
        <v>14000</v>
      </c>
      <c r="J555" s="192">
        <v>6000</v>
      </c>
      <c r="K555" s="1" t="s">
        <v>3765</v>
      </c>
      <c r="L555" s="11">
        <v>8000</v>
      </c>
      <c r="M555" s="11">
        <v>6722.6890756302528</v>
      </c>
      <c r="N555" s="11">
        <v>1277.3109243697481</v>
      </c>
      <c r="O555" s="11">
        <v>15000</v>
      </c>
      <c r="P555" s="11">
        <v>12605.042016806723</v>
      </c>
      <c r="Q555" s="11">
        <v>2394.9579831932774</v>
      </c>
      <c r="R555" s="11">
        <v>1117.6470588235293</v>
      </c>
      <c r="S555" s="11">
        <v>5882.3529411764703</v>
      </c>
      <c r="T555" s="11"/>
    </row>
    <row r="556" spans="1:20" x14ac:dyDescent="0.25">
      <c r="A556" s="56">
        <v>44874</v>
      </c>
      <c r="B556" s="4" t="s">
        <v>3771</v>
      </c>
      <c r="C556" s="191" t="s">
        <v>3766</v>
      </c>
      <c r="D556" s="1" t="s">
        <v>3767</v>
      </c>
      <c r="E556" s="4" t="s">
        <v>794</v>
      </c>
      <c r="F556" s="1" t="s">
        <v>3768</v>
      </c>
      <c r="G556" s="10" t="s">
        <v>3769</v>
      </c>
      <c r="H556" s="15">
        <v>180000</v>
      </c>
      <c r="I556" s="2">
        <v>125999.99999999999</v>
      </c>
      <c r="J556" s="192">
        <v>54000.000000000015</v>
      </c>
      <c r="K556" s="1" t="s">
        <v>3770</v>
      </c>
      <c r="L556" s="11">
        <v>170000</v>
      </c>
      <c r="M556" s="11">
        <v>142857.14285714287</v>
      </c>
      <c r="N556" s="11">
        <v>27142.857142857145</v>
      </c>
      <c r="O556" s="11">
        <v>200000</v>
      </c>
      <c r="P556" s="11">
        <v>168067.22689075631</v>
      </c>
      <c r="Q556" s="11">
        <v>31932.773109243699</v>
      </c>
      <c r="R556" s="11">
        <v>4789.9159663865539</v>
      </c>
      <c r="S556" s="11">
        <v>25210.084033613442</v>
      </c>
      <c r="T556" s="11"/>
    </row>
    <row r="557" spans="1:20" hidden="1" x14ac:dyDescent="0.25">
      <c r="A557" s="56">
        <v>44874</v>
      </c>
      <c r="C557" s="191"/>
      <c r="E557" s="4" t="s">
        <v>3503</v>
      </c>
      <c r="F557" s="1" t="s">
        <v>3666</v>
      </c>
      <c r="G557" s="10" t="s">
        <v>1794</v>
      </c>
      <c r="H557" s="15">
        <v>25000</v>
      </c>
      <c r="I557" s="2">
        <v>12500</v>
      </c>
      <c r="J557" s="192">
        <v>12500</v>
      </c>
      <c r="L557" s="11"/>
      <c r="M557" s="11">
        <v>0</v>
      </c>
      <c r="N557" s="11">
        <v>0</v>
      </c>
      <c r="O557" s="11"/>
      <c r="P557" s="11">
        <v>0</v>
      </c>
      <c r="Q557" s="11">
        <v>0</v>
      </c>
      <c r="R557" s="11">
        <v>0</v>
      </c>
      <c r="S557" s="11">
        <v>0</v>
      </c>
      <c r="T557" s="11"/>
    </row>
    <row r="558" spans="1:20" hidden="1" x14ac:dyDescent="0.25">
      <c r="A558" s="56">
        <v>44874</v>
      </c>
      <c r="C558" s="191"/>
      <c r="D558" s="1" t="s">
        <v>3773</v>
      </c>
      <c r="E558" s="4" t="s">
        <v>107</v>
      </c>
      <c r="F558" s="1" t="s">
        <v>2446</v>
      </c>
      <c r="G558" s="10" t="s">
        <v>3772</v>
      </c>
      <c r="H558" s="15">
        <v>20000</v>
      </c>
      <c r="I558" s="2">
        <v>14000</v>
      </c>
      <c r="J558" s="192">
        <v>6000</v>
      </c>
      <c r="L558" s="11"/>
      <c r="M558" s="11">
        <v>0</v>
      </c>
      <c r="N558" s="11">
        <v>0</v>
      </c>
      <c r="O558" s="11"/>
      <c r="P558" s="11">
        <v>0</v>
      </c>
      <c r="Q558" s="11">
        <v>0</v>
      </c>
      <c r="R558" s="11">
        <v>0</v>
      </c>
      <c r="S558" s="11">
        <v>0</v>
      </c>
      <c r="T558" s="11"/>
    </row>
    <row r="559" spans="1:20" hidden="1" x14ac:dyDescent="0.25">
      <c r="A559" s="56">
        <v>44874</v>
      </c>
      <c r="C559" s="191"/>
      <c r="D559" s="1" t="s">
        <v>3222</v>
      </c>
      <c r="E559" s="4" t="s">
        <v>22</v>
      </c>
      <c r="F559" s="1" t="s">
        <v>3666</v>
      </c>
      <c r="G559" s="10" t="s">
        <v>3538</v>
      </c>
      <c r="H559" s="15">
        <v>35000</v>
      </c>
      <c r="I559" s="2">
        <v>17500</v>
      </c>
      <c r="J559" s="192">
        <v>17500</v>
      </c>
      <c r="L559" s="11"/>
      <c r="M559" s="11">
        <v>0</v>
      </c>
      <c r="N559" s="11">
        <v>0</v>
      </c>
      <c r="O559" s="11"/>
      <c r="P559" s="11">
        <v>0</v>
      </c>
      <c r="Q559" s="11">
        <v>0</v>
      </c>
      <c r="R559" s="11">
        <v>0</v>
      </c>
      <c r="S559" s="11">
        <v>0</v>
      </c>
      <c r="T559" s="11"/>
    </row>
    <row r="560" spans="1:20" hidden="1" x14ac:dyDescent="0.25">
      <c r="A560" s="56">
        <v>44874</v>
      </c>
      <c r="B560" s="4" t="s">
        <v>3774</v>
      </c>
      <c r="C560" s="191" t="s">
        <v>3775</v>
      </c>
      <c r="D560" s="1" t="s">
        <v>3776</v>
      </c>
      <c r="E560" s="4" t="s">
        <v>3777</v>
      </c>
      <c r="F560" s="1" t="s">
        <v>2446</v>
      </c>
      <c r="G560" s="10" t="s">
        <v>3778</v>
      </c>
      <c r="H560" s="15">
        <v>110000</v>
      </c>
      <c r="I560" s="2">
        <v>77000</v>
      </c>
      <c r="J560" s="192">
        <v>33000</v>
      </c>
      <c r="K560" s="1" t="s">
        <v>3779</v>
      </c>
      <c r="L560" s="11">
        <v>85000</v>
      </c>
      <c r="M560" s="11">
        <v>71428.571428571435</v>
      </c>
      <c r="N560" s="11">
        <v>13571.428571428572</v>
      </c>
      <c r="O560" s="11">
        <v>110000</v>
      </c>
      <c r="P560" s="11">
        <v>92436.97478991597</v>
      </c>
      <c r="Q560" s="11">
        <v>17563.025210084033</v>
      </c>
      <c r="R560" s="11">
        <v>3991.596638655461</v>
      </c>
      <c r="S560" s="11">
        <v>21008.403361344535</v>
      </c>
      <c r="T560" s="11"/>
    </row>
    <row r="561" spans="1:20" hidden="1" x14ac:dyDescent="0.25">
      <c r="A561" s="56">
        <v>44874</v>
      </c>
      <c r="B561" s="4" t="s">
        <v>3774</v>
      </c>
      <c r="C561" s="191" t="s">
        <v>3775</v>
      </c>
      <c r="D561" s="1" t="s">
        <v>3776</v>
      </c>
      <c r="E561" s="4" t="s">
        <v>3777</v>
      </c>
      <c r="F561" s="1" t="s">
        <v>3666</v>
      </c>
      <c r="G561" s="10" t="s">
        <v>3511</v>
      </c>
      <c r="H561" s="15">
        <v>60000</v>
      </c>
      <c r="I561" s="2">
        <v>30000</v>
      </c>
      <c r="J561" s="192">
        <v>30000</v>
      </c>
      <c r="L561" s="11"/>
      <c r="M561" s="11">
        <v>0</v>
      </c>
      <c r="N561" s="11">
        <v>0</v>
      </c>
      <c r="O561" s="11"/>
      <c r="P561" s="11">
        <v>0</v>
      </c>
      <c r="Q561" s="11">
        <v>0</v>
      </c>
      <c r="R561" s="11">
        <v>0</v>
      </c>
      <c r="S561" s="11">
        <v>0</v>
      </c>
      <c r="T561" s="11"/>
    </row>
    <row r="562" spans="1:20" hidden="1" x14ac:dyDescent="0.25">
      <c r="A562" s="56">
        <v>44875</v>
      </c>
      <c r="B562" s="4" t="s">
        <v>3780</v>
      </c>
      <c r="C562" s="191" t="s">
        <v>3781</v>
      </c>
      <c r="D562" s="1" t="s">
        <v>2395</v>
      </c>
      <c r="E562" s="4" t="s">
        <v>136</v>
      </c>
      <c r="F562" s="1" t="s">
        <v>2446</v>
      </c>
      <c r="G562" s="10" t="s">
        <v>3782</v>
      </c>
      <c r="H562" s="15">
        <v>100000</v>
      </c>
      <c r="I562" s="2">
        <v>70000</v>
      </c>
      <c r="J562" s="192">
        <v>30000</v>
      </c>
      <c r="L562" s="11"/>
      <c r="M562" s="11">
        <v>0</v>
      </c>
      <c r="N562" s="11">
        <v>0</v>
      </c>
      <c r="O562" s="11"/>
      <c r="P562" s="11">
        <v>0</v>
      </c>
      <c r="Q562" s="11">
        <v>0</v>
      </c>
      <c r="R562" s="11">
        <v>0</v>
      </c>
      <c r="S562" s="11">
        <v>0</v>
      </c>
      <c r="T562" s="11"/>
    </row>
    <row r="563" spans="1:20" hidden="1" x14ac:dyDescent="0.25">
      <c r="A563" s="56">
        <v>44875</v>
      </c>
      <c r="C563" s="191" t="s">
        <v>1278</v>
      </c>
      <c r="E563" s="4"/>
      <c r="F563" s="1" t="s">
        <v>34</v>
      </c>
      <c r="G563" s="10" t="s">
        <v>341</v>
      </c>
      <c r="H563" s="15">
        <v>10000</v>
      </c>
      <c r="I563" s="2">
        <v>7000</v>
      </c>
      <c r="J563" s="192">
        <v>3000</v>
      </c>
      <c r="L563" s="11"/>
      <c r="M563" s="11">
        <v>0</v>
      </c>
      <c r="N563" s="11">
        <v>0</v>
      </c>
      <c r="O563" s="11"/>
      <c r="P563" s="11">
        <v>0</v>
      </c>
      <c r="Q563" s="11">
        <v>0</v>
      </c>
      <c r="R563" s="11">
        <v>0</v>
      </c>
      <c r="S563" s="11">
        <v>0</v>
      </c>
      <c r="T563" s="11"/>
    </row>
    <row r="564" spans="1:20" hidden="1" x14ac:dyDescent="0.25">
      <c r="A564" s="56">
        <v>44875</v>
      </c>
      <c r="C564" s="191"/>
      <c r="D564" s="1" t="s">
        <v>3783</v>
      </c>
      <c r="E564" s="4" t="s">
        <v>54</v>
      </c>
      <c r="F564" s="1" t="s">
        <v>3666</v>
      </c>
      <c r="G564" s="10" t="s">
        <v>3784</v>
      </c>
      <c r="H564" s="15">
        <v>221500</v>
      </c>
      <c r="I564" s="2">
        <v>110750</v>
      </c>
      <c r="J564" s="192">
        <v>110750</v>
      </c>
      <c r="L564" s="11"/>
      <c r="M564" s="11">
        <v>0</v>
      </c>
      <c r="N564" s="11">
        <v>0</v>
      </c>
      <c r="O564" s="11"/>
      <c r="P564" s="11">
        <v>0</v>
      </c>
      <c r="Q564" s="11">
        <v>0</v>
      </c>
      <c r="R564" s="11">
        <v>0</v>
      </c>
      <c r="S564" s="11">
        <v>0</v>
      </c>
      <c r="T564" s="11"/>
    </row>
    <row r="565" spans="1:20" hidden="1" x14ac:dyDescent="0.25">
      <c r="A565" s="56">
        <v>44875</v>
      </c>
      <c r="C565" s="191"/>
      <c r="D565" s="1" t="s">
        <v>3785</v>
      </c>
      <c r="E565" s="4" t="s">
        <v>3786</v>
      </c>
      <c r="F565" s="1" t="s">
        <v>2446</v>
      </c>
      <c r="G565" s="10" t="s">
        <v>2324</v>
      </c>
      <c r="H565" s="15">
        <v>30000</v>
      </c>
      <c r="I565" s="2">
        <v>21000</v>
      </c>
      <c r="J565" s="192">
        <v>9000</v>
      </c>
      <c r="L565" s="11"/>
      <c r="M565" s="11">
        <v>0</v>
      </c>
      <c r="N565" s="11">
        <v>0</v>
      </c>
      <c r="O565" s="11"/>
      <c r="P565" s="11">
        <v>0</v>
      </c>
      <c r="Q565" s="11">
        <v>0</v>
      </c>
      <c r="R565" s="11">
        <v>0</v>
      </c>
      <c r="S565" s="11">
        <v>0</v>
      </c>
      <c r="T565" s="11"/>
    </row>
    <row r="566" spans="1:20" hidden="1" x14ac:dyDescent="0.25">
      <c r="A566" s="56">
        <v>44875</v>
      </c>
      <c r="B566" s="4" t="s">
        <v>3790</v>
      </c>
      <c r="C566" s="191" t="s">
        <v>3787</v>
      </c>
      <c r="D566" s="1" t="s">
        <v>3788</v>
      </c>
      <c r="E566" s="4" t="s">
        <v>2720</v>
      </c>
      <c r="F566" s="1" t="s">
        <v>2446</v>
      </c>
      <c r="G566" s="10" t="s">
        <v>140</v>
      </c>
      <c r="H566" s="15">
        <v>80000</v>
      </c>
      <c r="I566" s="2">
        <v>56000</v>
      </c>
      <c r="J566" s="192">
        <v>24000</v>
      </c>
      <c r="K566" s="1" t="s">
        <v>3789</v>
      </c>
      <c r="L566" s="11"/>
      <c r="M566" s="11">
        <v>0</v>
      </c>
      <c r="N566" s="11">
        <v>0</v>
      </c>
      <c r="O566" s="11">
        <v>70000</v>
      </c>
      <c r="P566" s="11"/>
      <c r="Q566" s="11">
        <v>0</v>
      </c>
      <c r="R566" s="11">
        <v>0</v>
      </c>
      <c r="S566" s="11">
        <v>70000</v>
      </c>
      <c r="T566" s="11"/>
    </row>
    <row r="567" spans="1:20" hidden="1" x14ac:dyDescent="0.25">
      <c r="A567" s="56">
        <v>44875</v>
      </c>
      <c r="B567" s="4" t="s">
        <v>3793</v>
      </c>
      <c r="C567" s="191" t="s">
        <v>3794</v>
      </c>
      <c r="D567" s="1" t="s">
        <v>3795</v>
      </c>
      <c r="E567" s="4" t="s">
        <v>3804</v>
      </c>
      <c r="F567" s="1" t="s">
        <v>2446</v>
      </c>
      <c r="G567" s="10" t="s">
        <v>3796</v>
      </c>
      <c r="H567" s="15">
        <v>150000</v>
      </c>
      <c r="I567" s="2">
        <v>105000</v>
      </c>
      <c r="J567" s="192">
        <v>45000</v>
      </c>
      <c r="K567" s="1" t="s">
        <v>3796</v>
      </c>
      <c r="L567" s="11">
        <v>545000</v>
      </c>
      <c r="M567" s="11">
        <v>457983.19327731093</v>
      </c>
      <c r="N567" s="11">
        <v>87016.806722689071</v>
      </c>
      <c r="O567" s="11">
        <v>745000</v>
      </c>
      <c r="P567" s="11">
        <v>626050.42016806721</v>
      </c>
      <c r="Q567" s="11">
        <v>118949.57983193277</v>
      </c>
      <c r="R567" s="11">
        <v>31932.773109243702</v>
      </c>
      <c r="S567" s="11">
        <v>168067.22689075628</v>
      </c>
      <c r="T567" s="11"/>
    </row>
    <row r="568" spans="1:20" hidden="1" x14ac:dyDescent="0.25">
      <c r="A568" s="56">
        <v>44876</v>
      </c>
      <c r="C568" s="191"/>
      <c r="D568" s="1" t="s">
        <v>3791</v>
      </c>
      <c r="E568" s="4" t="s">
        <v>3792</v>
      </c>
      <c r="F568" s="1" t="s">
        <v>3666</v>
      </c>
      <c r="G568" s="10" t="s">
        <v>1794</v>
      </c>
      <c r="H568" s="15">
        <v>20000</v>
      </c>
      <c r="I568" s="2">
        <v>10000</v>
      </c>
      <c r="J568" s="192">
        <v>10000</v>
      </c>
      <c r="L568" s="11"/>
      <c r="M568" s="11">
        <v>0</v>
      </c>
      <c r="N568" s="11">
        <v>0</v>
      </c>
      <c r="O568" s="11"/>
      <c r="P568" s="11">
        <v>0</v>
      </c>
      <c r="Q568" s="11">
        <v>0</v>
      </c>
      <c r="R568" s="11">
        <v>0</v>
      </c>
      <c r="S568" s="11">
        <v>0</v>
      </c>
      <c r="T568" s="11"/>
    </row>
    <row r="569" spans="1:20" hidden="1" x14ac:dyDescent="0.25">
      <c r="A569" s="56">
        <v>44876</v>
      </c>
      <c r="B569" s="4" t="s">
        <v>3797</v>
      </c>
      <c r="C569" s="191" t="s">
        <v>1658</v>
      </c>
      <c r="D569" s="1" t="s">
        <v>3751</v>
      </c>
      <c r="E569" s="4" t="s">
        <v>435</v>
      </c>
      <c r="F569" s="1" t="s">
        <v>3666</v>
      </c>
      <c r="G569" s="10" t="s">
        <v>3798</v>
      </c>
      <c r="H569" s="15">
        <v>100000</v>
      </c>
      <c r="I569" s="2">
        <v>50000</v>
      </c>
      <c r="J569" s="192">
        <v>50000</v>
      </c>
      <c r="K569" s="1" t="s">
        <v>3386</v>
      </c>
      <c r="L569" s="11">
        <v>40000</v>
      </c>
      <c r="M569" s="11"/>
      <c r="N569" s="11"/>
      <c r="O569" s="11">
        <v>80000</v>
      </c>
      <c r="P569" s="11"/>
      <c r="Q569" s="11"/>
      <c r="R569" s="11">
        <v>0</v>
      </c>
      <c r="S569" s="11">
        <v>40000</v>
      </c>
      <c r="T569" s="11"/>
    </row>
    <row r="570" spans="1:20" hidden="1" x14ac:dyDescent="0.25">
      <c r="A570" s="56">
        <v>44876</v>
      </c>
      <c r="C570" s="191"/>
      <c r="D570" s="1" t="s">
        <v>3799</v>
      </c>
      <c r="E570" s="4" t="s">
        <v>1947</v>
      </c>
      <c r="F570" s="1" t="s">
        <v>3666</v>
      </c>
      <c r="G570" s="10" t="s">
        <v>3800</v>
      </c>
      <c r="H570" s="15">
        <v>65000</v>
      </c>
      <c r="I570" s="2">
        <v>32500</v>
      </c>
      <c r="J570" s="192">
        <v>32500</v>
      </c>
      <c r="L570" s="11"/>
      <c r="M570" s="11">
        <v>0</v>
      </c>
      <c r="N570" s="11">
        <v>0</v>
      </c>
      <c r="O570" s="11"/>
      <c r="P570" s="11">
        <v>0</v>
      </c>
      <c r="Q570" s="11">
        <v>0</v>
      </c>
      <c r="R570" s="11">
        <v>0</v>
      </c>
      <c r="S570" s="11">
        <v>0</v>
      </c>
      <c r="T570" s="11"/>
    </row>
    <row r="571" spans="1:20" hidden="1" x14ac:dyDescent="0.25">
      <c r="A571" s="56">
        <v>44876</v>
      </c>
      <c r="C571" s="191"/>
      <c r="D571" s="1" t="s">
        <v>3801</v>
      </c>
      <c r="E571" s="4" t="s">
        <v>122</v>
      </c>
      <c r="F571" s="1" t="s">
        <v>3666</v>
      </c>
      <c r="G571" s="10" t="s">
        <v>3511</v>
      </c>
      <c r="H571" s="15">
        <v>40000</v>
      </c>
      <c r="I571" s="2">
        <v>20000</v>
      </c>
      <c r="J571" s="192">
        <v>20000</v>
      </c>
      <c r="L571" s="11"/>
      <c r="M571" s="11">
        <v>0</v>
      </c>
      <c r="N571" s="11">
        <v>0</v>
      </c>
      <c r="O571" s="11"/>
      <c r="P571" s="11">
        <v>0</v>
      </c>
      <c r="Q571" s="11">
        <v>0</v>
      </c>
      <c r="R571" s="11">
        <v>0</v>
      </c>
      <c r="S571" s="11">
        <v>0</v>
      </c>
      <c r="T571" s="11"/>
    </row>
    <row r="572" spans="1:20" hidden="1" x14ac:dyDescent="0.25">
      <c r="A572" s="56">
        <v>44876</v>
      </c>
      <c r="C572" s="191"/>
      <c r="D572" s="1" t="s">
        <v>3801</v>
      </c>
      <c r="E572" s="4" t="s">
        <v>122</v>
      </c>
      <c r="F572" s="1" t="s">
        <v>2446</v>
      </c>
      <c r="G572" s="10" t="s">
        <v>3802</v>
      </c>
      <c r="H572" s="15">
        <v>30000</v>
      </c>
      <c r="I572" s="2">
        <v>21000</v>
      </c>
      <c r="J572" s="192">
        <v>9000</v>
      </c>
      <c r="L572" s="11"/>
      <c r="M572" s="11">
        <v>0</v>
      </c>
      <c r="N572" s="11">
        <v>0</v>
      </c>
      <c r="O572" s="11"/>
      <c r="P572" s="11">
        <v>0</v>
      </c>
      <c r="Q572" s="11">
        <v>0</v>
      </c>
      <c r="R572" s="11">
        <v>0</v>
      </c>
      <c r="S572" s="11">
        <v>0</v>
      </c>
      <c r="T572" s="11"/>
    </row>
    <row r="573" spans="1:20" hidden="1" x14ac:dyDescent="0.25">
      <c r="A573" s="56">
        <v>44876</v>
      </c>
      <c r="C573" s="191" t="s">
        <v>3726</v>
      </c>
      <c r="D573" s="1" t="s">
        <v>85</v>
      </c>
      <c r="E573" s="4" t="s">
        <v>84</v>
      </c>
      <c r="F573" s="1" t="s">
        <v>2446</v>
      </c>
      <c r="G573" s="10" t="s">
        <v>869</v>
      </c>
      <c r="H573" s="15">
        <v>30000</v>
      </c>
      <c r="I573" s="2">
        <v>21000</v>
      </c>
      <c r="J573" s="192">
        <v>9000</v>
      </c>
      <c r="K573" s="1" t="s">
        <v>1015</v>
      </c>
      <c r="L573" s="11">
        <v>3600</v>
      </c>
      <c r="M573" s="11">
        <v>3025.2100840336134</v>
      </c>
      <c r="N573" s="11">
        <v>574.7899159663865</v>
      </c>
      <c r="O573" s="11">
        <v>10000</v>
      </c>
      <c r="P573" s="11">
        <v>8403.361344537816</v>
      </c>
      <c r="Q573" s="11">
        <v>1596.6386554621849</v>
      </c>
      <c r="R573" s="11">
        <v>1021.8487394957984</v>
      </c>
      <c r="S573" s="11">
        <v>5378.1512605042017</v>
      </c>
      <c r="T573" s="11"/>
    </row>
    <row r="574" spans="1:20" hidden="1" x14ac:dyDescent="0.25">
      <c r="A574" s="56">
        <v>44876</v>
      </c>
      <c r="C574" s="191" t="s">
        <v>129</v>
      </c>
      <c r="D574" s="1" t="s">
        <v>125</v>
      </c>
      <c r="E574" s="4" t="s">
        <v>202</v>
      </c>
      <c r="F574" s="1" t="s">
        <v>3666</v>
      </c>
      <c r="G574" s="10" t="s">
        <v>3827</v>
      </c>
      <c r="H574" s="15">
        <v>10000</v>
      </c>
      <c r="I574" s="2">
        <v>10000</v>
      </c>
      <c r="J574" s="192">
        <v>0</v>
      </c>
      <c r="L574" s="11"/>
      <c r="M574" s="11">
        <v>0</v>
      </c>
      <c r="N574" s="11">
        <v>0</v>
      </c>
      <c r="O574" s="11"/>
      <c r="P574" s="11">
        <v>0</v>
      </c>
      <c r="Q574" s="11">
        <v>0</v>
      </c>
      <c r="R574" s="11">
        <v>0</v>
      </c>
      <c r="S574" s="11">
        <v>0</v>
      </c>
      <c r="T574" s="11"/>
    </row>
    <row r="575" spans="1:20" hidden="1" x14ac:dyDescent="0.25">
      <c r="A575" s="56">
        <v>44876</v>
      </c>
      <c r="B575" s="4" t="s">
        <v>3805</v>
      </c>
      <c r="C575" s="191" t="s">
        <v>3806</v>
      </c>
      <c r="D575" s="1" t="s">
        <v>1342</v>
      </c>
      <c r="E575" s="4"/>
      <c r="F575" s="1" t="s">
        <v>2446</v>
      </c>
      <c r="G575" s="10" t="s">
        <v>3807</v>
      </c>
      <c r="H575" s="15">
        <v>100000</v>
      </c>
      <c r="I575" s="2">
        <v>70000</v>
      </c>
      <c r="J575" s="192">
        <v>30000</v>
      </c>
      <c r="K575" s="1" t="s">
        <v>57</v>
      </c>
      <c r="L575" s="11">
        <v>25000</v>
      </c>
      <c r="M575" s="11">
        <v>21008.403361344539</v>
      </c>
      <c r="N575" s="11">
        <v>3991.5966386554624</v>
      </c>
      <c r="O575" s="11">
        <v>35000</v>
      </c>
      <c r="P575" s="11">
        <v>29411.764705882353</v>
      </c>
      <c r="Q575" s="11">
        <v>5588.2352941176468</v>
      </c>
      <c r="R575" s="11">
        <v>1596.6386554621845</v>
      </c>
      <c r="S575" s="11">
        <v>8403.3613445378141</v>
      </c>
      <c r="T575" s="11"/>
    </row>
    <row r="576" spans="1:20" hidden="1" x14ac:dyDescent="0.25">
      <c r="A576" s="56">
        <v>44876</v>
      </c>
      <c r="C576" s="191" t="s">
        <v>1434</v>
      </c>
      <c r="D576" s="1" t="s">
        <v>1435</v>
      </c>
      <c r="E576" s="4"/>
      <c r="F576" s="1" t="s">
        <v>2446</v>
      </c>
      <c r="G576" s="10" t="s">
        <v>3808</v>
      </c>
      <c r="H576" s="15">
        <v>50000</v>
      </c>
      <c r="I576" s="2">
        <v>35000</v>
      </c>
      <c r="J576" s="192">
        <v>15000</v>
      </c>
      <c r="L576" s="11"/>
      <c r="M576" s="11">
        <v>0</v>
      </c>
      <c r="N576" s="11">
        <v>0</v>
      </c>
      <c r="O576" s="11"/>
      <c r="P576" s="11">
        <v>0</v>
      </c>
      <c r="Q576" s="11">
        <v>0</v>
      </c>
      <c r="R576" s="11">
        <v>0</v>
      </c>
      <c r="S576" s="11">
        <v>0</v>
      </c>
      <c r="T576" s="11"/>
    </row>
    <row r="577" spans="1:20" hidden="1" x14ac:dyDescent="0.25">
      <c r="A577" s="56">
        <v>44877</v>
      </c>
      <c r="B577" s="4" t="s">
        <v>3815</v>
      </c>
      <c r="C577" s="191" t="s">
        <v>3812</v>
      </c>
      <c r="D577" s="1" t="s">
        <v>3813</v>
      </c>
      <c r="E577" s="4" t="s">
        <v>136</v>
      </c>
      <c r="F577" s="1" t="s">
        <v>2446</v>
      </c>
      <c r="G577" s="10" t="s">
        <v>338</v>
      </c>
      <c r="H577" s="15">
        <v>130000</v>
      </c>
      <c r="I577" s="2">
        <v>78000</v>
      </c>
      <c r="J577" s="192">
        <v>52000</v>
      </c>
      <c r="K577" s="1" t="s">
        <v>3814</v>
      </c>
      <c r="L577" s="11">
        <v>90000</v>
      </c>
      <c r="M577" s="11">
        <v>75630.252100840342</v>
      </c>
      <c r="N577" s="11">
        <v>14369.747899159665</v>
      </c>
      <c r="O577" s="11">
        <v>130000</v>
      </c>
      <c r="P577" s="11">
        <v>109243.6974789916</v>
      </c>
      <c r="Q577" s="11">
        <v>20756.302521008405</v>
      </c>
      <c r="R577" s="11">
        <v>6386.5546218487398</v>
      </c>
      <c r="S577" s="11">
        <v>33613.445378151257</v>
      </c>
      <c r="T577" s="11"/>
    </row>
    <row r="578" spans="1:20" ht="30" hidden="1" x14ac:dyDescent="0.25">
      <c r="A578" s="56">
        <v>44877</v>
      </c>
      <c r="B578" s="4" t="s">
        <v>3816</v>
      </c>
      <c r="C578" s="191" t="s">
        <v>2769</v>
      </c>
      <c r="D578" s="1" t="s">
        <v>3817</v>
      </c>
      <c r="E578" s="4" t="s">
        <v>84</v>
      </c>
      <c r="F578" s="1" t="s">
        <v>2446</v>
      </c>
      <c r="G578" s="10" t="s">
        <v>3819</v>
      </c>
      <c r="H578" s="15">
        <v>160000</v>
      </c>
      <c r="I578" s="2">
        <v>96000</v>
      </c>
      <c r="J578" s="192">
        <v>64000</v>
      </c>
      <c r="K578" s="1" t="s">
        <v>3818</v>
      </c>
      <c r="L578" s="11">
        <v>470000</v>
      </c>
      <c r="M578" s="11">
        <v>394957.98319327732</v>
      </c>
      <c r="N578" s="11">
        <v>75042.016806722691</v>
      </c>
      <c r="O578" s="11">
        <v>625000</v>
      </c>
      <c r="P578" s="11">
        <v>525210.08403361344</v>
      </c>
      <c r="Q578" s="11">
        <v>99789.915966386558</v>
      </c>
      <c r="R578" s="11">
        <v>24747.899159663866</v>
      </c>
      <c r="S578" s="11">
        <v>130252.10084033612</v>
      </c>
      <c r="T578" s="11"/>
    </row>
    <row r="579" spans="1:20" hidden="1" x14ac:dyDescent="0.25">
      <c r="A579" s="56">
        <v>44877</v>
      </c>
      <c r="B579" s="4" t="s">
        <v>3820</v>
      </c>
      <c r="C579" s="191" t="s">
        <v>3821</v>
      </c>
      <c r="D579" s="1" t="s">
        <v>3822</v>
      </c>
      <c r="E579" s="4" t="s">
        <v>122</v>
      </c>
      <c r="F579" s="1" t="s">
        <v>2446</v>
      </c>
      <c r="G579" s="10" t="s">
        <v>3211</v>
      </c>
      <c r="H579" s="15">
        <v>30000</v>
      </c>
      <c r="I579" s="2">
        <v>25500</v>
      </c>
      <c r="J579" s="192">
        <v>4500</v>
      </c>
      <c r="K579" s="1" t="s">
        <v>3336</v>
      </c>
      <c r="L579" s="11">
        <v>90000</v>
      </c>
      <c r="M579" s="11">
        <v>75630.252100840342</v>
      </c>
      <c r="N579" s="11">
        <v>14369.747899159665</v>
      </c>
      <c r="O579" s="11">
        <v>110000</v>
      </c>
      <c r="P579" s="11">
        <v>92436.97478991597</v>
      </c>
      <c r="Q579" s="11">
        <v>17563.025210084033</v>
      </c>
      <c r="R579" s="11">
        <v>3193.2773109243681</v>
      </c>
      <c r="S579" s="11">
        <v>16806.722689075628</v>
      </c>
      <c r="T579" s="11"/>
    </row>
    <row r="580" spans="1:20" hidden="1" x14ac:dyDescent="0.25">
      <c r="A580" s="56">
        <v>44877</v>
      </c>
      <c r="B580" s="4" t="s">
        <v>3825</v>
      </c>
      <c r="C580" s="191" t="s">
        <v>3823</v>
      </c>
      <c r="D580" s="1" t="s">
        <v>3824</v>
      </c>
      <c r="E580" s="4" t="s">
        <v>136</v>
      </c>
      <c r="F580" s="1" t="s">
        <v>3666</v>
      </c>
      <c r="G580" s="10" t="s">
        <v>3616</v>
      </c>
      <c r="H580" s="15">
        <v>105000</v>
      </c>
      <c r="I580" s="2">
        <v>52500</v>
      </c>
      <c r="J580" s="192">
        <v>52500</v>
      </c>
      <c r="K580" s="1" t="s">
        <v>3388</v>
      </c>
      <c r="L580" s="11">
        <v>33000</v>
      </c>
      <c r="M580" s="11"/>
      <c r="N580" s="11">
        <v>0</v>
      </c>
      <c r="O580" s="11">
        <v>70000</v>
      </c>
      <c r="P580" s="11"/>
      <c r="Q580" s="11">
        <v>0</v>
      </c>
      <c r="R580" s="11">
        <v>0</v>
      </c>
      <c r="S580" s="11">
        <v>37000</v>
      </c>
      <c r="T580" s="11"/>
    </row>
    <row r="581" spans="1:20" hidden="1" x14ac:dyDescent="0.25">
      <c r="A581" s="56">
        <v>44880</v>
      </c>
      <c r="C581" s="191"/>
      <c r="D581" s="1" t="s">
        <v>3826</v>
      </c>
      <c r="E581" s="4" t="s">
        <v>1034</v>
      </c>
      <c r="F581" s="1" t="s">
        <v>2446</v>
      </c>
      <c r="G581" s="10" t="s">
        <v>138</v>
      </c>
      <c r="H581" s="15">
        <v>60000</v>
      </c>
      <c r="I581" s="2">
        <v>36000</v>
      </c>
      <c r="J581" s="192">
        <v>24000</v>
      </c>
      <c r="L581" s="11"/>
      <c r="M581" s="11">
        <v>0</v>
      </c>
      <c r="N581" s="11">
        <v>0</v>
      </c>
      <c r="O581" s="11"/>
      <c r="P581" s="11">
        <v>0</v>
      </c>
      <c r="Q581" s="11">
        <v>0</v>
      </c>
      <c r="R581" s="11">
        <v>0</v>
      </c>
      <c r="S581" s="11">
        <v>0</v>
      </c>
      <c r="T581" s="11"/>
    </row>
    <row r="582" spans="1:20" ht="30" hidden="1" x14ac:dyDescent="0.25">
      <c r="A582" s="56">
        <v>44880</v>
      </c>
      <c r="B582" s="4" t="s">
        <v>3828</v>
      </c>
      <c r="C582" s="191" t="s">
        <v>3829</v>
      </c>
      <c r="D582" s="1" t="s">
        <v>3830</v>
      </c>
      <c r="E582" s="4" t="s">
        <v>899</v>
      </c>
      <c r="F582" s="1" t="s">
        <v>2446</v>
      </c>
      <c r="G582" s="10" t="s">
        <v>3831</v>
      </c>
      <c r="H582" s="15">
        <v>290000</v>
      </c>
      <c r="I582" s="2">
        <v>174000</v>
      </c>
      <c r="J582" s="192">
        <v>116000</v>
      </c>
      <c r="K582" s="1" t="s">
        <v>3832</v>
      </c>
      <c r="L582" s="11">
        <v>640000</v>
      </c>
      <c r="M582" s="11">
        <v>537815.12605042022</v>
      </c>
      <c r="N582" s="11">
        <v>102184.87394957984</v>
      </c>
      <c r="O582" s="11">
        <v>805000</v>
      </c>
      <c r="P582" s="11">
        <v>676470.5882352941</v>
      </c>
      <c r="Q582" s="11">
        <v>128529.41176470587</v>
      </c>
      <c r="R582" s="11">
        <v>26344.537815126037</v>
      </c>
      <c r="S582" s="11">
        <v>138655.46218487399</v>
      </c>
      <c r="T582" s="11"/>
    </row>
    <row r="583" spans="1:20" x14ac:dyDescent="0.25">
      <c r="A583" s="56">
        <v>44880</v>
      </c>
      <c r="B583" s="4" t="s">
        <v>3833</v>
      </c>
      <c r="C583" s="191" t="s">
        <v>3834</v>
      </c>
      <c r="D583" s="1" t="s">
        <v>3835</v>
      </c>
      <c r="E583" s="4" t="s">
        <v>76</v>
      </c>
      <c r="F583" s="1" t="s">
        <v>3768</v>
      </c>
      <c r="G583" s="10" t="s">
        <v>338</v>
      </c>
      <c r="H583" s="15">
        <v>110000</v>
      </c>
      <c r="I583" s="2">
        <v>77000</v>
      </c>
      <c r="J583" s="192">
        <v>33000</v>
      </c>
      <c r="L583" s="11"/>
      <c r="M583" s="11">
        <v>0</v>
      </c>
      <c r="N583" s="11">
        <v>0</v>
      </c>
      <c r="O583" s="11"/>
      <c r="P583" s="11">
        <v>0</v>
      </c>
      <c r="Q583" s="11">
        <v>0</v>
      </c>
      <c r="R583" s="11">
        <v>0</v>
      </c>
      <c r="S583" s="11">
        <v>0</v>
      </c>
      <c r="T583" s="11"/>
    </row>
    <row r="584" spans="1:20" hidden="1" x14ac:dyDescent="0.25">
      <c r="A584" s="56">
        <v>44880</v>
      </c>
      <c r="B584" s="4" t="s">
        <v>3839</v>
      </c>
      <c r="C584" s="191" t="s">
        <v>3836</v>
      </c>
      <c r="D584" s="1" t="s">
        <v>3837</v>
      </c>
      <c r="E584" s="4" t="s">
        <v>389</v>
      </c>
      <c r="F584" s="1" t="s">
        <v>2446</v>
      </c>
      <c r="G584" s="10" t="s">
        <v>3838</v>
      </c>
      <c r="H584" s="15">
        <v>24000</v>
      </c>
      <c r="I584" s="2">
        <v>14400</v>
      </c>
      <c r="J584" s="192">
        <v>9600</v>
      </c>
      <c r="L584" s="11"/>
      <c r="M584" s="11">
        <v>0</v>
      </c>
      <c r="N584" s="11">
        <v>0</v>
      </c>
      <c r="O584" s="11"/>
      <c r="P584" s="11">
        <v>0</v>
      </c>
      <c r="Q584" s="11">
        <v>0</v>
      </c>
      <c r="R584" s="11">
        <v>0</v>
      </c>
      <c r="S584" s="11">
        <v>0</v>
      </c>
      <c r="T584" s="11"/>
    </row>
    <row r="585" spans="1:20" ht="30" hidden="1" x14ac:dyDescent="0.25">
      <c r="A585" s="56">
        <v>44880</v>
      </c>
      <c r="B585" s="4" t="s">
        <v>3842</v>
      </c>
      <c r="C585" s="191"/>
      <c r="D585" s="1" t="s">
        <v>3840</v>
      </c>
      <c r="E585" s="4" t="s">
        <v>1044</v>
      </c>
      <c r="F585" s="1" t="s">
        <v>2446</v>
      </c>
      <c r="G585" s="10" t="s">
        <v>3846</v>
      </c>
      <c r="H585" s="15">
        <v>50000</v>
      </c>
      <c r="I585" s="2">
        <v>30000</v>
      </c>
      <c r="J585" s="192">
        <v>20000</v>
      </c>
      <c r="K585" s="1" t="s">
        <v>3841</v>
      </c>
      <c r="L585" s="11">
        <v>10000</v>
      </c>
      <c r="M585" s="11">
        <v>8403.361344537816</v>
      </c>
      <c r="N585" s="11">
        <v>1596.6386554621849</v>
      </c>
      <c r="O585" s="11">
        <v>7700</v>
      </c>
      <c r="P585" s="11">
        <v>6470.588235294118</v>
      </c>
      <c r="Q585" s="11">
        <v>1229.4117647058824</v>
      </c>
      <c r="R585" s="11">
        <v>-367.22689075630251</v>
      </c>
      <c r="S585" s="11">
        <v>-1932.773109243697</v>
      </c>
      <c r="T585" s="11"/>
    </row>
    <row r="586" spans="1:20" hidden="1" x14ac:dyDescent="0.25">
      <c r="A586" s="56">
        <v>44880</v>
      </c>
      <c r="B586" s="4" t="s">
        <v>3845</v>
      </c>
      <c r="C586" s="191" t="s">
        <v>3843</v>
      </c>
      <c r="D586" s="1" t="s">
        <v>3844</v>
      </c>
      <c r="E586" s="4" t="s">
        <v>1907</v>
      </c>
      <c r="F586" s="1" t="s">
        <v>2446</v>
      </c>
      <c r="G586" s="10" t="s">
        <v>20</v>
      </c>
      <c r="H586" s="15">
        <v>30000</v>
      </c>
      <c r="I586" s="2">
        <v>18000</v>
      </c>
      <c r="J586" s="192">
        <v>12000</v>
      </c>
      <c r="K586" s="1" t="s">
        <v>71</v>
      </c>
      <c r="L586" s="11">
        <v>165000</v>
      </c>
      <c r="M586" s="11">
        <v>138655.46218487396</v>
      </c>
      <c r="N586" s="11">
        <v>26344.537815126052</v>
      </c>
      <c r="O586" s="11">
        <v>230000</v>
      </c>
      <c r="P586" s="11">
        <v>193277.31092436975</v>
      </c>
      <c r="Q586" s="11">
        <v>36722.689075630253</v>
      </c>
      <c r="R586" s="11">
        <v>10378.151260504201</v>
      </c>
      <c r="S586" s="11">
        <v>54621.848739495792</v>
      </c>
      <c r="T586" s="11"/>
    </row>
    <row r="587" spans="1:20" hidden="1" x14ac:dyDescent="0.25">
      <c r="A587" s="56">
        <v>44880</v>
      </c>
      <c r="C587" s="191" t="s">
        <v>1878</v>
      </c>
      <c r="D587" s="1" t="s">
        <v>1880</v>
      </c>
      <c r="E587" s="4" t="s">
        <v>1077</v>
      </c>
      <c r="F587" s="1" t="s">
        <v>2446</v>
      </c>
      <c r="G587" s="10" t="s">
        <v>3848</v>
      </c>
      <c r="H587" s="15">
        <v>30000</v>
      </c>
      <c r="I587" s="2">
        <v>18000</v>
      </c>
      <c r="J587" s="192">
        <v>12000</v>
      </c>
      <c r="L587" s="11"/>
      <c r="M587" s="11">
        <v>0</v>
      </c>
      <c r="N587" s="11">
        <v>0</v>
      </c>
      <c r="O587" s="11"/>
      <c r="P587" s="11">
        <v>0</v>
      </c>
      <c r="Q587" s="11">
        <v>0</v>
      </c>
      <c r="R587" s="11">
        <v>0</v>
      </c>
      <c r="S587" s="11">
        <v>0</v>
      </c>
      <c r="T587" s="11"/>
    </row>
    <row r="588" spans="1:20" hidden="1" x14ac:dyDescent="0.25">
      <c r="A588" s="56">
        <v>44890</v>
      </c>
      <c r="C588" s="191"/>
      <c r="D588" s="1" t="s">
        <v>2980</v>
      </c>
      <c r="E588" s="4" t="s">
        <v>2856</v>
      </c>
      <c r="F588" s="1" t="s">
        <v>2446</v>
      </c>
      <c r="G588" s="10" t="s">
        <v>2595</v>
      </c>
      <c r="H588" s="15">
        <v>40000</v>
      </c>
      <c r="I588" s="2">
        <v>24000</v>
      </c>
      <c r="J588" s="192">
        <v>16000</v>
      </c>
      <c r="L588" s="11"/>
      <c r="M588" s="11">
        <v>0</v>
      </c>
      <c r="N588" s="11">
        <v>0</v>
      </c>
      <c r="O588" s="11"/>
      <c r="P588" s="11">
        <v>0</v>
      </c>
      <c r="Q588" s="11">
        <v>0</v>
      </c>
      <c r="R588" s="11">
        <v>0</v>
      </c>
      <c r="S588" s="11">
        <v>0</v>
      </c>
      <c r="T588" s="11"/>
    </row>
    <row r="589" spans="1:20" x14ac:dyDescent="0.25">
      <c r="A589" s="56">
        <v>44880</v>
      </c>
      <c r="C589" s="191"/>
      <c r="D589" s="1" t="s">
        <v>2980</v>
      </c>
      <c r="E589" s="4" t="s">
        <v>2856</v>
      </c>
      <c r="F589" s="1" t="s">
        <v>3768</v>
      </c>
      <c r="G589" s="10" t="s">
        <v>3847</v>
      </c>
      <c r="H589" s="15">
        <v>20000</v>
      </c>
      <c r="I589" s="2">
        <v>14000</v>
      </c>
      <c r="J589" s="192">
        <v>6000</v>
      </c>
      <c r="L589" s="11"/>
      <c r="M589" s="11">
        <v>0</v>
      </c>
      <c r="N589" s="11">
        <v>0</v>
      </c>
      <c r="O589" s="11"/>
      <c r="P589" s="11">
        <v>0</v>
      </c>
      <c r="Q589" s="11">
        <v>0</v>
      </c>
      <c r="R589" s="11">
        <v>0</v>
      </c>
      <c r="S589" s="11">
        <v>0</v>
      </c>
      <c r="T589" s="11"/>
    </row>
    <row r="590" spans="1:20" ht="30" hidden="1" x14ac:dyDescent="0.25">
      <c r="A590" s="56">
        <v>44881</v>
      </c>
      <c r="B590" s="4" t="s">
        <v>3850</v>
      </c>
      <c r="C590" s="191" t="s">
        <v>3851</v>
      </c>
      <c r="D590" s="1" t="s">
        <v>3852</v>
      </c>
      <c r="E590" s="4" t="s">
        <v>3853</v>
      </c>
      <c r="F590" s="1" t="s">
        <v>2446</v>
      </c>
      <c r="G590" s="10" t="s">
        <v>3854</v>
      </c>
      <c r="H590" s="15">
        <v>180000</v>
      </c>
      <c r="I590" s="2">
        <v>108000</v>
      </c>
      <c r="J590" s="192">
        <v>72000</v>
      </c>
      <c r="K590" s="1" t="s">
        <v>3855</v>
      </c>
      <c r="L590" s="11">
        <v>865933</v>
      </c>
      <c r="M590" s="11">
        <v>727674.78991596645</v>
      </c>
      <c r="N590" s="11">
        <v>138258.21008403364</v>
      </c>
      <c r="O590" s="11">
        <v>1270000</v>
      </c>
      <c r="P590" s="11">
        <v>1067226.8907563025</v>
      </c>
      <c r="Q590" s="11">
        <v>202773.10924369749</v>
      </c>
      <c r="R590" s="11">
        <v>64514.899159663852</v>
      </c>
      <c r="S590" s="11">
        <v>339552.10084033618</v>
      </c>
      <c r="T590" s="11"/>
    </row>
    <row r="591" spans="1:20" ht="30" hidden="1" x14ac:dyDescent="0.25">
      <c r="A591" s="56">
        <v>44881</v>
      </c>
      <c r="B591" s="4" t="s">
        <v>3856</v>
      </c>
      <c r="C591" s="191" t="s">
        <v>2476</v>
      </c>
      <c r="D591" s="1" t="s">
        <v>2166</v>
      </c>
      <c r="E591" s="4" t="s">
        <v>3786</v>
      </c>
      <c r="F591" s="1" t="s">
        <v>2446</v>
      </c>
      <c r="G591" s="10" t="s">
        <v>3857</v>
      </c>
      <c r="H591" s="15">
        <v>80000</v>
      </c>
      <c r="I591" s="2">
        <v>48000</v>
      </c>
      <c r="J591" s="192">
        <v>32000</v>
      </c>
      <c r="K591" s="1" t="s">
        <v>1015</v>
      </c>
      <c r="L591" s="11">
        <v>7000</v>
      </c>
      <c r="M591" s="11">
        <v>5882.3529411764712</v>
      </c>
      <c r="N591" s="11">
        <v>1117.6470588235295</v>
      </c>
      <c r="O591" s="11">
        <v>20000</v>
      </c>
      <c r="P591" s="11">
        <v>16806.722689075632</v>
      </c>
      <c r="Q591" s="11">
        <v>3193.2773109243699</v>
      </c>
      <c r="R591" s="11">
        <v>2075.6302521008402</v>
      </c>
      <c r="S591" s="11">
        <v>10924.36974789916</v>
      </c>
      <c r="T591" s="11"/>
    </row>
    <row r="592" spans="1:20" hidden="1" x14ac:dyDescent="0.25">
      <c r="A592" s="56">
        <v>44882</v>
      </c>
      <c r="C592" s="191" t="s">
        <v>3858</v>
      </c>
      <c r="D592" s="1" t="s">
        <v>3859</v>
      </c>
      <c r="E592" s="4" t="s">
        <v>3595</v>
      </c>
      <c r="F592" s="1" t="s">
        <v>2446</v>
      </c>
      <c r="G592" s="10" t="s">
        <v>3860</v>
      </c>
      <c r="H592" s="15">
        <v>20000</v>
      </c>
      <c r="I592" s="2">
        <v>12000</v>
      </c>
      <c r="J592" s="192">
        <v>8000</v>
      </c>
      <c r="K592" s="1" t="s">
        <v>3861</v>
      </c>
      <c r="L592" s="11">
        <v>105000</v>
      </c>
      <c r="M592" s="11">
        <v>88235.294117647063</v>
      </c>
      <c r="N592" s="11">
        <v>16764.705882352941</v>
      </c>
      <c r="O592" s="11">
        <v>130000</v>
      </c>
      <c r="P592" s="11">
        <v>109243.6974789916</v>
      </c>
      <c r="Q592" s="11">
        <v>20756.302521008405</v>
      </c>
      <c r="R592" s="11">
        <v>3991.5966386554646</v>
      </c>
      <c r="S592" s="11">
        <v>21008.403361344535</v>
      </c>
      <c r="T592" s="11"/>
    </row>
    <row r="593" spans="1:20" hidden="1" x14ac:dyDescent="0.25">
      <c r="A593" s="56">
        <v>44882</v>
      </c>
      <c r="C593" s="191" t="s">
        <v>3862</v>
      </c>
      <c r="D593" s="1" t="s">
        <v>3863</v>
      </c>
      <c r="E593" s="4" t="s">
        <v>1414</v>
      </c>
      <c r="F593" s="1" t="s">
        <v>2446</v>
      </c>
      <c r="G593" s="10" t="s">
        <v>3877</v>
      </c>
      <c r="H593" s="15">
        <v>150000</v>
      </c>
      <c r="I593" s="2">
        <v>90000</v>
      </c>
      <c r="J593" s="192">
        <v>60000</v>
      </c>
      <c r="K593" s="1" t="s">
        <v>3864</v>
      </c>
      <c r="L593" s="11"/>
      <c r="M593" s="11">
        <v>0</v>
      </c>
      <c r="N593" s="11">
        <v>0</v>
      </c>
      <c r="O593" s="11"/>
      <c r="P593" s="11">
        <v>0</v>
      </c>
      <c r="Q593" s="11">
        <v>0</v>
      </c>
      <c r="R593" s="11">
        <v>0</v>
      </c>
      <c r="S593" s="11">
        <v>0</v>
      </c>
      <c r="T593" s="11"/>
    </row>
    <row r="594" spans="1:20" hidden="1" x14ac:dyDescent="0.25">
      <c r="A594" s="56">
        <v>44882</v>
      </c>
      <c r="C594" s="191"/>
      <c r="D594" s="1" t="s">
        <v>3865</v>
      </c>
      <c r="E594" s="4" t="s">
        <v>815</v>
      </c>
      <c r="F594" s="1" t="s">
        <v>3666</v>
      </c>
      <c r="G594" s="10" t="s">
        <v>3866</v>
      </c>
      <c r="H594" s="15">
        <v>80000</v>
      </c>
      <c r="I594" s="2">
        <v>150000</v>
      </c>
      <c r="J594" s="192">
        <v>-70000</v>
      </c>
      <c r="L594" s="11"/>
      <c r="M594" s="11">
        <v>0</v>
      </c>
      <c r="N594" s="11">
        <v>0</v>
      </c>
      <c r="O594" s="11"/>
      <c r="P594" s="11">
        <v>0</v>
      </c>
      <c r="Q594" s="11">
        <v>0</v>
      </c>
      <c r="R594" s="11">
        <v>0</v>
      </c>
      <c r="S594" s="11">
        <v>0</v>
      </c>
      <c r="T594" s="11"/>
    </row>
    <row r="595" spans="1:20" hidden="1" x14ac:dyDescent="0.25">
      <c r="A595" s="56">
        <v>44883</v>
      </c>
      <c r="C595" s="191"/>
      <c r="D595" s="1" t="s">
        <v>3867</v>
      </c>
      <c r="E595" s="4" t="s">
        <v>1931</v>
      </c>
      <c r="F595" s="1" t="s">
        <v>2446</v>
      </c>
      <c r="G595" s="10" t="s">
        <v>341</v>
      </c>
      <c r="H595" s="15">
        <v>15000</v>
      </c>
      <c r="I595" s="2">
        <v>9000</v>
      </c>
      <c r="J595" s="192">
        <v>6000</v>
      </c>
      <c r="L595" s="11"/>
      <c r="M595" s="11">
        <v>0</v>
      </c>
      <c r="N595" s="11">
        <v>0</v>
      </c>
      <c r="O595" s="11"/>
      <c r="P595" s="11">
        <v>0</v>
      </c>
      <c r="Q595" s="11">
        <v>0</v>
      </c>
      <c r="R595" s="11">
        <v>0</v>
      </c>
      <c r="S595" s="11">
        <v>0</v>
      </c>
      <c r="T595" s="11"/>
    </row>
    <row r="596" spans="1:20" hidden="1" x14ac:dyDescent="0.25">
      <c r="A596" s="56">
        <v>44883</v>
      </c>
      <c r="C596" s="191" t="s">
        <v>1399</v>
      </c>
      <c r="D596" s="1" t="s">
        <v>963</v>
      </c>
      <c r="E596" s="4" t="s">
        <v>962</v>
      </c>
      <c r="F596" s="1" t="s">
        <v>2446</v>
      </c>
      <c r="G596" s="10" t="s">
        <v>2357</v>
      </c>
      <c r="H596" s="15">
        <v>20000</v>
      </c>
      <c r="I596" s="2">
        <v>12000</v>
      </c>
      <c r="J596" s="192">
        <v>8000</v>
      </c>
      <c r="K596" s="1" t="s">
        <v>1107</v>
      </c>
      <c r="L596" s="11">
        <v>80000</v>
      </c>
      <c r="M596" s="11">
        <v>67226.890756302528</v>
      </c>
      <c r="N596" s="11">
        <v>12773.10924369748</v>
      </c>
      <c r="O596" s="11">
        <v>95000</v>
      </c>
      <c r="P596" s="11">
        <v>79831.932773109249</v>
      </c>
      <c r="Q596" s="11">
        <v>15168.067226890758</v>
      </c>
      <c r="R596" s="11">
        <v>2394.9579831932788</v>
      </c>
      <c r="S596" s="11">
        <v>12605.042016806721</v>
      </c>
      <c r="T596" s="11"/>
    </row>
    <row r="597" spans="1:20" ht="45" hidden="1" x14ac:dyDescent="0.25">
      <c r="A597" s="56">
        <v>44883</v>
      </c>
      <c r="B597" s="4" t="s">
        <v>3890</v>
      </c>
      <c r="C597" s="191" t="s">
        <v>3868</v>
      </c>
      <c r="D597" s="1" t="s">
        <v>3869</v>
      </c>
      <c r="E597" s="4" t="s">
        <v>3870</v>
      </c>
      <c r="F597" s="1" t="s">
        <v>2446</v>
      </c>
      <c r="G597" s="10" t="s">
        <v>3871</v>
      </c>
      <c r="H597" s="15">
        <v>430000</v>
      </c>
      <c r="I597" s="2">
        <v>258000</v>
      </c>
      <c r="J597" s="192">
        <v>172000</v>
      </c>
      <c r="K597" s="1" t="s">
        <v>3872</v>
      </c>
      <c r="L597" s="11">
        <v>798000</v>
      </c>
      <c r="M597" s="11"/>
      <c r="N597" s="11">
        <v>0</v>
      </c>
      <c r="O597" s="11">
        <v>1231600</v>
      </c>
      <c r="P597" s="11"/>
      <c r="Q597" s="11">
        <v>0</v>
      </c>
      <c r="R597" s="11">
        <v>0</v>
      </c>
      <c r="S597" s="11">
        <v>433600</v>
      </c>
      <c r="T597" s="11"/>
    </row>
    <row r="598" spans="1:20" hidden="1" x14ac:dyDescent="0.25">
      <c r="A598" s="56">
        <v>44890</v>
      </c>
      <c r="C598" s="191" t="s">
        <v>215</v>
      </c>
      <c r="E598" s="4"/>
      <c r="F598" s="1" t="s">
        <v>2446</v>
      </c>
      <c r="G598" s="10" t="s">
        <v>341</v>
      </c>
      <c r="H598" s="15">
        <v>10000</v>
      </c>
      <c r="I598" s="2">
        <v>6000</v>
      </c>
      <c r="J598" s="192">
        <v>4000</v>
      </c>
      <c r="L598" s="11"/>
      <c r="M598" s="11">
        <v>0</v>
      </c>
      <c r="N598" s="11">
        <v>0</v>
      </c>
      <c r="O598" s="11"/>
      <c r="P598" s="11">
        <v>0</v>
      </c>
      <c r="Q598" s="11">
        <v>0</v>
      </c>
      <c r="R598" s="11">
        <v>0</v>
      </c>
      <c r="S598" s="11">
        <v>0</v>
      </c>
      <c r="T598" s="11"/>
    </row>
    <row r="599" spans="1:20" hidden="1" x14ac:dyDescent="0.25">
      <c r="A599" s="56">
        <v>44883</v>
      </c>
      <c r="B599" s="4" t="s">
        <v>3874</v>
      </c>
      <c r="C599" s="191" t="s">
        <v>837</v>
      </c>
      <c r="D599" s="1" t="s">
        <v>839</v>
      </c>
      <c r="E599" s="4" t="s">
        <v>1872</v>
      </c>
      <c r="F599" s="1" t="s">
        <v>2446</v>
      </c>
      <c r="G599" s="10" t="s">
        <v>3873</v>
      </c>
      <c r="H599" s="15">
        <v>60000</v>
      </c>
      <c r="I599" s="2">
        <v>36000</v>
      </c>
      <c r="J599" s="192">
        <v>24000</v>
      </c>
      <c r="L599" s="11"/>
      <c r="M599" s="11">
        <v>0</v>
      </c>
      <c r="N599" s="11">
        <v>0</v>
      </c>
      <c r="O599" s="11"/>
      <c r="P599" s="11">
        <v>0</v>
      </c>
      <c r="Q599" s="11">
        <v>0</v>
      </c>
      <c r="R599" s="11">
        <v>0</v>
      </c>
      <c r="S599" s="11">
        <v>0</v>
      </c>
      <c r="T599" s="11"/>
    </row>
    <row r="600" spans="1:20" x14ac:dyDescent="0.25">
      <c r="A600" s="56">
        <v>44883</v>
      </c>
      <c r="B600" s="4" t="s">
        <v>3874</v>
      </c>
      <c r="C600" s="191" t="s">
        <v>837</v>
      </c>
      <c r="D600" s="1" t="s">
        <v>839</v>
      </c>
      <c r="E600" s="4" t="s">
        <v>1872</v>
      </c>
      <c r="F600" s="1" t="s">
        <v>3768</v>
      </c>
      <c r="G600" s="10" t="s">
        <v>454</v>
      </c>
      <c r="H600" s="15">
        <v>60000</v>
      </c>
      <c r="I600" s="2">
        <v>42000</v>
      </c>
      <c r="J600" s="192">
        <v>18000</v>
      </c>
      <c r="L600" s="11"/>
      <c r="M600" s="11">
        <v>0</v>
      </c>
      <c r="N600" s="11">
        <v>0</v>
      </c>
      <c r="O600" s="11"/>
      <c r="P600" s="11">
        <v>0</v>
      </c>
      <c r="Q600" s="11">
        <v>0</v>
      </c>
      <c r="R600" s="11">
        <v>0</v>
      </c>
      <c r="S600" s="11">
        <v>0</v>
      </c>
      <c r="T600" s="11"/>
    </row>
    <row r="601" spans="1:20" hidden="1" x14ac:dyDescent="0.25">
      <c r="A601" s="56">
        <v>44883</v>
      </c>
      <c r="C601" s="191"/>
      <c r="E601" s="4" t="s">
        <v>3875</v>
      </c>
      <c r="F601" s="1" t="s">
        <v>2446</v>
      </c>
      <c r="G601" s="10" t="s">
        <v>341</v>
      </c>
      <c r="H601" s="15">
        <v>10000</v>
      </c>
      <c r="I601" s="2">
        <v>6000</v>
      </c>
      <c r="J601" s="192">
        <v>4000</v>
      </c>
      <c r="L601" s="11"/>
      <c r="M601" s="11">
        <v>0</v>
      </c>
      <c r="N601" s="11">
        <v>0</v>
      </c>
      <c r="O601" s="11"/>
      <c r="P601" s="11">
        <v>0</v>
      </c>
      <c r="Q601" s="11">
        <v>0</v>
      </c>
      <c r="R601" s="11">
        <v>0</v>
      </c>
      <c r="S601" s="11">
        <v>0</v>
      </c>
      <c r="T601" s="11"/>
    </row>
    <row r="602" spans="1:20" x14ac:dyDescent="0.25">
      <c r="A602" s="56">
        <v>44883</v>
      </c>
      <c r="C602" s="191"/>
      <c r="D602" s="1" t="s">
        <v>2659</v>
      </c>
      <c r="E602" s="4" t="s">
        <v>88</v>
      </c>
      <c r="F602" s="1" t="s">
        <v>3768</v>
      </c>
      <c r="G602" s="10" t="s">
        <v>2130</v>
      </c>
      <c r="H602" s="15">
        <v>1200000</v>
      </c>
      <c r="I602" s="2">
        <v>840000</v>
      </c>
      <c r="J602" s="192">
        <v>360000</v>
      </c>
      <c r="L602" s="11"/>
      <c r="M602" s="11">
        <v>0</v>
      </c>
      <c r="N602" s="11">
        <v>0</v>
      </c>
      <c r="O602" s="11"/>
      <c r="P602" s="11">
        <v>0</v>
      </c>
      <c r="Q602" s="11">
        <v>0</v>
      </c>
      <c r="R602" s="11">
        <v>0</v>
      </c>
      <c r="S602" s="11">
        <v>0</v>
      </c>
      <c r="T602" s="11"/>
    </row>
    <row r="603" spans="1:20" x14ac:dyDescent="0.25">
      <c r="A603" s="56">
        <v>44883</v>
      </c>
      <c r="B603" s="4" t="s">
        <v>129</v>
      </c>
      <c r="C603" s="191"/>
      <c r="D603" s="1" t="s">
        <v>125</v>
      </c>
      <c r="E603" s="4" t="s">
        <v>202</v>
      </c>
      <c r="F603" s="1" t="s">
        <v>3768</v>
      </c>
      <c r="G603" s="10" t="s">
        <v>2130</v>
      </c>
      <c r="H603" s="15">
        <v>1400000</v>
      </c>
      <c r="I603" s="2">
        <v>505999.99999999988</v>
      </c>
      <c r="J603" s="192">
        <v>894000.00000000012</v>
      </c>
      <c r="K603" s="1" t="s">
        <v>4078</v>
      </c>
      <c r="L603" s="11">
        <v>3010000</v>
      </c>
      <c r="M603" s="11"/>
      <c r="N603" s="11">
        <v>0</v>
      </c>
      <c r="O603" s="11">
        <v>10026001</v>
      </c>
      <c r="P603" s="11">
        <v>8425210.9243697487</v>
      </c>
      <c r="Q603" s="11">
        <v>1600790.0756302522</v>
      </c>
      <c r="R603" s="11">
        <v>1600790.0756302522</v>
      </c>
      <c r="S603" s="11">
        <v>5415210.9243697478</v>
      </c>
      <c r="T603" s="11"/>
    </row>
    <row r="604" spans="1:20" hidden="1" x14ac:dyDescent="0.25">
      <c r="A604" s="56">
        <v>44884</v>
      </c>
      <c r="B604" s="4" t="s">
        <v>3880</v>
      </c>
      <c r="C604" s="191" t="s">
        <v>2979</v>
      </c>
      <c r="D604" s="1" t="s">
        <v>2980</v>
      </c>
      <c r="E604" s="4" t="s">
        <v>2856</v>
      </c>
      <c r="F604" s="1" t="s">
        <v>2446</v>
      </c>
      <c r="G604" s="10" t="s">
        <v>3881</v>
      </c>
      <c r="H604" s="15">
        <v>250000</v>
      </c>
      <c r="I604" s="2">
        <v>175000</v>
      </c>
      <c r="J604" s="192">
        <v>75000</v>
      </c>
      <c r="K604" s="1" t="s">
        <v>3882</v>
      </c>
      <c r="L604" s="11">
        <v>1400000</v>
      </c>
      <c r="M604" s="11"/>
      <c r="N604" s="11">
        <v>0</v>
      </c>
      <c r="O604" s="11">
        <v>1680000</v>
      </c>
      <c r="P604" s="11"/>
      <c r="Q604" s="11">
        <v>0</v>
      </c>
      <c r="R604" s="11">
        <v>0</v>
      </c>
      <c r="S604" s="11">
        <v>280000</v>
      </c>
      <c r="T604" s="11"/>
    </row>
    <row r="605" spans="1:20" ht="30" hidden="1" x14ac:dyDescent="0.25">
      <c r="A605" s="56">
        <v>44884</v>
      </c>
      <c r="B605" s="4" t="s">
        <v>3885</v>
      </c>
      <c r="C605" s="191" t="s">
        <v>3883</v>
      </c>
      <c r="D605" s="1" t="s">
        <v>1208</v>
      </c>
      <c r="E605" s="4" t="s">
        <v>84</v>
      </c>
      <c r="F605" s="1" t="s">
        <v>34</v>
      </c>
      <c r="G605" s="10" t="s">
        <v>3884</v>
      </c>
      <c r="H605" s="15">
        <v>30000</v>
      </c>
      <c r="I605" s="2">
        <v>18000</v>
      </c>
      <c r="J605" s="192">
        <v>12000</v>
      </c>
      <c r="K605" s="1" t="s">
        <v>3886</v>
      </c>
      <c r="L605" s="11">
        <v>85000</v>
      </c>
      <c r="M605" s="11"/>
      <c r="N605" s="11">
        <v>0</v>
      </c>
      <c r="O605" s="11">
        <v>45000</v>
      </c>
      <c r="P605" s="11"/>
      <c r="Q605" s="11">
        <v>0</v>
      </c>
      <c r="R605" s="11">
        <v>0</v>
      </c>
      <c r="S605" s="11">
        <v>-40000</v>
      </c>
      <c r="T605" s="11"/>
    </row>
    <row r="606" spans="1:20" ht="30" hidden="1" x14ac:dyDescent="0.25">
      <c r="A606" s="56">
        <v>44884</v>
      </c>
      <c r="C606" s="191"/>
      <c r="D606" s="1" t="s">
        <v>1880</v>
      </c>
      <c r="E606" s="4" t="s">
        <v>1077</v>
      </c>
      <c r="F606" s="1" t="s">
        <v>2446</v>
      </c>
      <c r="G606" s="10" t="s">
        <v>3887</v>
      </c>
      <c r="H606" s="15">
        <v>85000</v>
      </c>
      <c r="I606" s="2">
        <v>59499.999999999993</v>
      </c>
      <c r="J606" s="192">
        <v>25500.000000000007</v>
      </c>
      <c r="L606" s="11"/>
      <c r="M606" s="11">
        <v>0</v>
      </c>
      <c r="N606" s="11">
        <v>0</v>
      </c>
      <c r="O606" s="11"/>
      <c r="P606" s="11">
        <v>0</v>
      </c>
      <c r="Q606" s="11">
        <v>0</v>
      </c>
      <c r="R606" s="11">
        <v>0</v>
      </c>
      <c r="S606" s="11">
        <v>0</v>
      </c>
      <c r="T606" s="11"/>
    </row>
    <row r="607" spans="1:20" hidden="1" x14ac:dyDescent="0.25">
      <c r="A607" s="56">
        <v>44884</v>
      </c>
      <c r="C607" s="191"/>
      <c r="E607" s="4" t="s">
        <v>3888</v>
      </c>
      <c r="F607" s="1" t="s">
        <v>2446</v>
      </c>
      <c r="G607" s="10" t="s">
        <v>3889</v>
      </c>
      <c r="H607" s="15">
        <v>10000</v>
      </c>
      <c r="I607" s="2">
        <v>7000</v>
      </c>
      <c r="J607" s="192">
        <v>3000</v>
      </c>
      <c r="L607" s="11"/>
      <c r="M607" s="11">
        <v>0</v>
      </c>
      <c r="N607" s="11">
        <v>0</v>
      </c>
      <c r="O607" s="11"/>
      <c r="P607" s="11">
        <v>0</v>
      </c>
      <c r="Q607" s="11">
        <v>0</v>
      </c>
      <c r="R607" s="11">
        <v>0</v>
      </c>
      <c r="S607" s="11">
        <v>0</v>
      </c>
      <c r="T607" s="11"/>
    </row>
    <row r="608" spans="1:20" hidden="1" x14ac:dyDescent="0.25">
      <c r="A608" s="56">
        <v>44886</v>
      </c>
      <c r="C608" s="191" t="s">
        <v>3891</v>
      </c>
      <c r="D608" s="1" t="s">
        <v>815</v>
      </c>
      <c r="E608" s="4" t="s">
        <v>3286</v>
      </c>
      <c r="F608" s="1" t="s">
        <v>2446</v>
      </c>
      <c r="G608" s="10" t="s">
        <v>3892</v>
      </c>
      <c r="H608" s="15">
        <v>25000</v>
      </c>
      <c r="I608" s="2">
        <v>17500</v>
      </c>
      <c r="J608" s="192">
        <v>7500</v>
      </c>
      <c r="L608" s="11"/>
      <c r="M608" s="11">
        <v>0</v>
      </c>
      <c r="N608" s="11">
        <v>0</v>
      </c>
      <c r="O608" s="11"/>
      <c r="P608" s="11">
        <v>0</v>
      </c>
      <c r="Q608" s="11">
        <v>0</v>
      </c>
      <c r="R608" s="11">
        <v>0</v>
      </c>
      <c r="S608" s="11">
        <v>0</v>
      </c>
      <c r="T608" s="11"/>
    </row>
    <row r="609" spans="1:20" hidden="1" x14ac:dyDescent="0.25">
      <c r="A609" s="56">
        <v>44886</v>
      </c>
      <c r="C609" s="191"/>
      <c r="E609" s="4"/>
      <c r="F609" s="1" t="s">
        <v>3666</v>
      </c>
      <c r="G609" s="10" t="s">
        <v>1794</v>
      </c>
      <c r="H609" s="15">
        <v>10000</v>
      </c>
      <c r="I609" s="2">
        <v>5000</v>
      </c>
      <c r="J609" s="192">
        <v>5000</v>
      </c>
      <c r="L609" s="11"/>
      <c r="M609" s="11">
        <v>0</v>
      </c>
      <c r="N609" s="11">
        <v>0</v>
      </c>
      <c r="O609" s="11"/>
      <c r="P609" s="11">
        <v>0</v>
      </c>
      <c r="Q609" s="11">
        <v>0</v>
      </c>
      <c r="R609" s="11">
        <v>0</v>
      </c>
      <c r="S609" s="11">
        <v>0</v>
      </c>
      <c r="T609" s="11"/>
    </row>
    <row r="610" spans="1:20" hidden="1" x14ac:dyDescent="0.25">
      <c r="A610" s="56">
        <v>44886</v>
      </c>
      <c r="C610" s="191"/>
      <c r="E610" s="4"/>
      <c r="F610" s="1" t="s">
        <v>3666</v>
      </c>
      <c r="G610" s="10" t="s">
        <v>3893</v>
      </c>
      <c r="H610" s="15">
        <v>200000</v>
      </c>
      <c r="I610" s="2">
        <v>100000</v>
      </c>
      <c r="J610" s="192">
        <v>100000</v>
      </c>
      <c r="L610" s="11"/>
      <c r="M610" s="11">
        <v>0</v>
      </c>
      <c r="N610" s="11">
        <v>0</v>
      </c>
      <c r="O610" s="11"/>
      <c r="P610" s="11">
        <v>0</v>
      </c>
      <c r="Q610" s="11">
        <v>0</v>
      </c>
      <c r="R610" s="11">
        <v>0</v>
      </c>
      <c r="S610" s="11">
        <v>0</v>
      </c>
      <c r="T610" s="11"/>
    </row>
    <row r="611" spans="1:20" hidden="1" x14ac:dyDescent="0.25">
      <c r="A611" s="56">
        <v>44886</v>
      </c>
      <c r="B611" s="4" t="s">
        <v>3895</v>
      </c>
      <c r="C611" s="191" t="s">
        <v>3894</v>
      </c>
      <c r="D611" s="1" t="s">
        <v>136</v>
      </c>
      <c r="E611" s="4" t="s">
        <v>3896</v>
      </c>
      <c r="F611" s="1" t="s">
        <v>2446</v>
      </c>
      <c r="G611" s="10" t="s">
        <v>3897</v>
      </c>
      <c r="H611" s="15">
        <v>120000</v>
      </c>
      <c r="I611" s="2">
        <v>84000</v>
      </c>
      <c r="J611" s="192">
        <v>36000</v>
      </c>
      <c r="K611" s="1" t="s">
        <v>3898</v>
      </c>
      <c r="L611" s="11">
        <v>294000</v>
      </c>
      <c r="M611" s="11">
        <v>247058.82352941178</v>
      </c>
      <c r="N611" s="11">
        <v>46941.176470588238</v>
      </c>
      <c r="O611" s="11">
        <v>630000</v>
      </c>
      <c r="P611" s="11">
        <v>529411.76470588241</v>
      </c>
      <c r="Q611" s="11">
        <v>100588.23529411767</v>
      </c>
      <c r="R611" s="11">
        <v>53647.058823529427</v>
      </c>
      <c r="S611" s="11">
        <v>282352.9411764706</v>
      </c>
      <c r="T611" s="11"/>
    </row>
    <row r="612" spans="1:20" ht="90" hidden="1" x14ac:dyDescent="0.25">
      <c r="A612" s="56">
        <v>44887</v>
      </c>
      <c r="B612" s="4" t="s">
        <v>3916</v>
      </c>
      <c r="C612" s="191" t="s">
        <v>3917</v>
      </c>
      <c r="D612" s="1" t="s">
        <v>2720</v>
      </c>
      <c r="E612" s="4" t="s">
        <v>3918</v>
      </c>
      <c r="F612" s="1" t="s">
        <v>2446</v>
      </c>
      <c r="G612" s="10" t="s">
        <v>3919</v>
      </c>
      <c r="H612" s="15">
        <v>500000</v>
      </c>
      <c r="I612" s="2">
        <v>350000</v>
      </c>
      <c r="J612" s="192">
        <v>150000</v>
      </c>
      <c r="K612" s="1" t="s">
        <v>3920</v>
      </c>
      <c r="L612" s="11">
        <v>47800</v>
      </c>
      <c r="M612" s="11">
        <v>40168.067226890758</v>
      </c>
      <c r="N612" s="11">
        <v>7631.9327731092444</v>
      </c>
      <c r="O612" s="11">
        <v>80000</v>
      </c>
      <c r="P612" s="11">
        <v>67226.890756302528</v>
      </c>
      <c r="Q612" s="11">
        <v>12773.10924369748</v>
      </c>
      <c r="R612" s="11">
        <v>5141.1764705882351</v>
      </c>
      <c r="S612" s="11">
        <v>27058.823529411762</v>
      </c>
      <c r="T612" s="11"/>
    </row>
    <row r="613" spans="1:20" hidden="1" x14ac:dyDescent="0.25">
      <c r="A613" s="56">
        <v>44887</v>
      </c>
      <c r="C613" s="191" t="s">
        <v>3899</v>
      </c>
      <c r="D613" s="1" t="s">
        <v>3900</v>
      </c>
      <c r="E613" s="4" t="s">
        <v>962</v>
      </c>
      <c r="F613" s="1" t="s">
        <v>2446</v>
      </c>
      <c r="G613" s="10" t="s">
        <v>3901</v>
      </c>
      <c r="H613" s="15">
        <v>35000</v>
      </c>
      <c r="I613" s="2">
        <v>24500</v>
      </c>
      <c r="J613" s="192">
        <v>10500</v>
      </c>
      <c r="L613" s="11"/>
      <c r="M613" s="11">
        <v>0</v>
      </c>
      <c r="N613" s="11">
        <v>0</v>
      </c>
      <c r="O613" s="11"/>
      <c r="P613" s="11">
        <v>0</v>
      </c>
      <c r="Q613" s="11">
        <v>0</v>
      </c>
      <c r="R613" s="11">
        <v>0</v>
      </c>
      <c r="S613" s="11">
        <v>0</v>
      </c>
      <c r="T613" s="11"/>
    </row>
    <row r="614" spans="1:20" ht="30" hidden="1" x14ac:dyDescent="0.25">
      <c r="A614" s="56">
        <v>44887</v>
      </c>
      <c r="B614" s="4" t="s">
        <v>3906</v>
      </c>
      <c r="C614" s="191" t="s">
        <v>3902</v>
      </c>
      <c r="D614" s="1" t="s">
        <v>3903</v>
      </c>
      <c r="E614" s="4" t="s">
        <v>385</v>
      </c>
      <c r="F614" s="1" t="s">
        <v>2446</v>
      </c>
      <c r="G614" s="10" t="s">
        <v>3904</v>
      </c>
      <c r="H614" s="15">
        <v>60000</v>
      </c>
      <c r="I614" s="2">
        <v>42000</v>
      </c>
      <c r="J614" s="192">
        <v>18000</v>
      </c>
      <c r="K614" s="1" t="s">
        <v>3905</v>
      </c>
      <c r="L614" s="11">
        <v>122000</v>
      </c>
      <c r="M614" s="11">
        <v>102521.00840336135</v>
      </c>
      <c r="N614" s="11">
        <v>19478.991596638658</v>
      </c>
      <c r="O614" s="11">
        <v>170000</v>
      </c>
      <c r="P614" s="11">
        <v>142857.14285714287</v>
      </c>
      <c r="Q614" s="11">
        <v>27142.857142857145</v>
      </c>
      <c r="R614" s="11">
        <v>7663.865546218487</v>
      </c>
      <c r="S614" s="11">
        <v>40336.134453781517</v>
      </c>
      <c r="T614" s="11"/>
    </row>
    <row r="615" spans="1:20" hidden="1" x14ac:dyDescent="0.25">
      <c r="A615" s="56">
        <v>44887</v>
      </c>
      <c r="B615" s="4" t="s">
        <v>3907</v>
      </c>
      <c r="C615" s="191" t="s">
        <v>3540</v>
      </c>
      <c r="D615" s="1" t="s">
        <v>3541</v>
      </c>
      <c r="E615" s="4" t="s">
        <v>200</v>
      </c>
      <c r="F615" s="1" t="s">
        <v>3666</v>
      </c>
      <c r="G615" s="10" t="s">
        <v>3908</v>
      </c>
      <c r="H615" s="15">
        <v>180000</v>
      </c>
      <c r="I615" s="2">
        <v>90000</v>
      </c>
      <c r="J615" s="192">
        <v>90000</v>
      </c>
      <c r="L615" s="11"/>
      <c r="M615" s="11">
        <v>0</v>
      </c>
      <c r="N615" s="11">
        <v>0</v>
      </c>
      <c r="O615" s="11"/>
      <c r="P615" s="11">
        <v>0</v>
      </c>
      <c r="Q615" s="11">
        <v>0</v>
      </c>
      <c r="R615" s="11">
        <v>0</v>
      </c>
      <c r="S615" s="11">
        <v>0</v>
      </c>
      <c r="T615" s="11"/>
    </row>
    <row r="616" spans="1:20" hidden="1" x14ac:dyDescent="0.25">
      <c r="A616" s="56">
        <v>44888</v>
      </c>
      <c r="B616" s="4" t="s">
        <v>3909</v>
      </c>
      <c r="C616" s="191" t="s">
        <v>3910</v>
      </c>
      <c r="D616" s="1" t="s">
        <v>3911</v>
      </c>
      <c r="E616" s="4" t="s">
        <v>84</v>
      </c>
      <c r="F616" s="1" t="s">
        <v>34</v>
      </c>
      <c r="G616" s="10" t="s">
        <v>3912</v>
      </c>
      <c r="H616" s="15">
        <v>20000</v>
      </c>
      <c r="I616" s="2">
        <v>12000</v>
      </c>
      <c r="J616" s="192">
        <v>8000</v>
      </c>
      <c r="L616" s="11"/>
      <c r="M616" s="11">
        <v>0</v>
      </c>
      <c r="N616" s="11">
        <v>0</v>
      </c>
      <c r="O616" s="11"/>
      <c r="P616" s="11">
        <v>0</v>
      </c>
      <c r="Q616" s="11">
        <v>0</v>
      </c>
      <c r="R616" s="11">
        <v>0</v>
      </c>
      <c r="S616" s="11">
        <v>0</v>
      </c>
      <c r="T616" s="11"/>
    </row>
    <row r="617" spans="1:20" hidden="1" x14ac:dyDescent="0.25">
      <c r="A617" s="56">
        <v>44888</v>
      </c>
      <c r="B617" s="4" t="s">
        <v>3913</v>
      </c>
      <c r="C617" s="191" t="s">
        <v>3914</v>
      </c>
      <c r="D617" s="1" t="s">
        <v>2976</v>
      </c>
      <c r="E617" s="4" t="s">
        <v>59</v>
      </c>
      <c r="F617" s="1" t="s">
        <v>2446</v>
      </c>
      <c r="G617" s="10" t="s">
        <v>21</v>
      </c>
      <c r="H617" s="15">
        <v>15000</v>
      </c>
      <c r="I617" s="2">
        <v>10500</v>
      </c>
      <c r="J617" s="192">
        <v>4500</v>
      </c>
      <c r="L617" s="11"/>
      <c r="M617" s="11">
        <v>0</v>
      </c>
      <c r="N617" s="11">
        <v>0</v>
      </c>
      <c r="O617" s="11"/>
      <c r="P617" s="11">
        <v>0</v>
      </c>
      <c r="Q617" s="11">
        <v>0</v>
      </c>
      <c r="R617" s="11">
        <v>0</v>
      </c>
      <c r="S617" s="11">
        <v>0</v>
      </c>
      <c r="T617" s="11"/>
    </row>
    <row r="618" spans="1:20" hidden="1" x14ac:dyDescent="0.25">
      <c r="A618" s="56">
        <v>44888</v>
      </c>
      <c r="C618" s="191"/>
      <c r="D618" s="1" t="s">
        <v>1682</v>
      </c>
      <c r="E618" s="4" t="s">
        <v>22</v>
      </c>
      <c r="F618" s="1" t="s">
        <v>3666</v>
      </c>
      <c r="G618" s="10" t="s">
        <v>3798</v>
      </c>
      <c r="H618" s="15">
        <v>100000</v>
      </c>
      <c r="I618" s="2">
        <v>50000</v>
      </c>
      <c r="J618" s="192">
        <v>50000</v>
      </c>
      <c r="K618" s="1" t="s">
        <v>3915</v>
      </c>
      <c r="L618" s="11"/>
      <c r="M618" s="11">
        <v>0</v>
      </c>
      <c r="N618" s="11">
        <v>0</v>
      </c>
      <c r="O618" s="11"/>
      <c r="P618" s="11">
        <v>0</v>
      </c>
      <c r="Q618" s="11">
        <v>0</v>
      </c>
      <c r="R618" s="11">
        <v>0</v>
      </c>
      <c r="S618" s="11">
        <v>0</v>
      </c>
      <c r="T618" s="11"/>
    </row>
    <row r="619" spans="1:20" hidden="1" x14ac:dyDescent="0.25">
      <c r="A619" s="56">
        <v>44888</v>
      </c>
      <c r="C619" s="191" t="s">
        <v>3851</v>
      </c>
      <c r="D619" s="1" t="s">
        <v>3852</v>
      </c>
      <c r="E619" s="4" t="s">
        <v>200</v>
      </c>
      <c r="F619" s="1" t="s">
        <v>2446</v>
      </c>
      <c r="G619" s="10" t="s">
        <v>138</v>
      </c>
      <c r="H619" s="15">
        <v>60000</v>
      </c>
      <c r="I619" s="2">
        <v>42000</v>
      </c>
      <c r="J619" s="192">
        <v>18000</v>
      </c>
      <c r="L619" s="11"/>
      <c r="M619" s="11">
        <v>0</v>
      </c>
      <c r="N619" s="11">
        <v>0</v>
      </c>
      <c r="O619" s="11"/>
      <c r="P619" s="11">
        <v>0</v>
      </c>
      <c r="Q619" s="11">
        <v>0</v>
      </c>
      <c r="R619" s="11">
        <v>0</v>
      </c>
      <c r="S619" s="11">
        <v>0</v>
      </c>
      <c r="T619" s="11"/>
    </row>
    <row r="620" spans="1:20" hidden="1" x14ac:dyDescent="0.25">
      <c r="A620" s="56">
        <v>44889</v>
      </c>
      <c r="B620" s="4" t="s">
        <v>3921</v>
      </c>
      <c r="C620" s="191" t="s">
        <v>3922</v>
      </c>
      <c r="D620" s="1" t="s">
        <v>3923</v>
      </c>
      <c r="E620" s="4" t="s">
        <v>889</v>
      </c>
      <c r="F620" s="1" t="s">
        <v>2446</v>
      </c>
      <c r="G620" s="10" t="s">
        <v>1680</v>
      </c>
      <c r="H620" s="15">
        <v>60000</v>
      </c>
      <c r="I620" s="2">
        <v>42000</v>
      </c>
      <c r="J620" s="192">
        <v>18000</v>
      </c>
      <c r="K620" s="1" t="s">
        <v>1681</v>
      </c>
      <c r="L620" s="11">
        <v>100000</v>
      </c>
      <c r="M620" s="11">
        <v>84033.613445378156</v>
      </c>
      <c r="N620" s="11">
        <v>15966.386554621849</v>
      </c>
      <c r="O620" s="11">
        <v>140000</v>
      </c>
      <c r="P620" s="11">
        <v>117647.05882352941</v>
      </c>
      <c r="Q620" s="11">
        <v>22352.941176470587</v>
      </c>
      <c r="R620" s="11">
        <v>6386.554621848738</v>
      </c>
      <c r="S620" s="11">
        <v>33613.445378151257</v>
      </c>
      <c r="T620" s="11"/>
    </row>
    <row r="621" spans="1:20" x14ac:dyDescent="0.25">
      <c r="A621" s="56">
        <v>44889</v>
      </c>
      <c r="C621" s="191"/>
      <c r="D621" s="1" t="s">
        <v>3924</v>
      </c>
      <c r="E621" s="4" t="s">
        <v>303</v>
      </c>
      <c r="F621" s="1" t="s">
        <v>3925</v>
      </c>
      <c r="G621" s="10" t="s">
        <v>3108</v>
      </c>
      <c r="H621" s="15">
        <v>180000</v>
      </c>
      <c r="I621" s="2">
        <v>125999.99999999999</v>
      </c>
      <c r="J621" s="192">
        <v>54000.000000000015</v>
      </c>
      <c r="L621" s="11"/>
      <c r="M621" s="11">
        <v>0</v>
      </c>
      <c r="N621" s="11">
        <v>0</v>
      </c>
      <c r="O621" s="11"/>
      <c r="P621" s="11">
        <v>0</v>
      </c>
      <c r="Q621" s="11">
        <v>0</v>
      </c>
      <c r="R621" s="11">
        <v>0</v>
      </c>
      <c r="S621" s="11">
        <v>0</v>
      </c>
      <c r="T621" s="11"/>
    </row>
    <row r="622" spans="1:20" hidden="1" x14ac:dyDescent="0.25">
      <c r="A622" s="56">
        <v>44889</v>
      </c>
      <c r="C622" s="191"/>
      <c r="D622" s="1" t="s">
        <v>3926</v>
      </c>
      <c r="E622" s="4" t="s">
        <v>201</v>
      </c>
      <c r="F622" s="1" t="s">
        <v>3666</v>
      </c>
      <c r="G622" s="10" t="s">
        <v>3511</v>
      </c>
      <c r="H622" s="15">
        <v>60000</v>
      </c>
      <c r="I622" s="2">
        <v>30000</v>
      </c>
      <c r="J622" s="192">
        <v>30000</v>
      </c>
      <c r="L622" s="11"/>
      <c r="M622" s="11">
        <v>0</v>
      </c>
      <c r="N622" s="11">
        <v>0</v>
      </c>
      <c r="O622" s="11"/>
      <c r="P622" s="11">
        <v>0</v>
      </c>
      <c r="Q622" s="11">
        <v>0</v>
      </c>
      <c r="R622" s="11">
        <v>0</v>
      </c>
      <c r="S622" s="11">
        <v>0</v>
      </c>
      <c r="T622" s="11"/>
    </row>
    <row r="623" spans="1:20" hidden="1" x14ac:dyDescent="0.25">
      <c r="A623" s="56">
        <v>44889</v>
      </c>
      <c r="B623" s="4" t="s">
        <v>3927</v>
      </c>
      <c r="C623" s="191" t="s">
        <v>2590</v>
      </c>
      <c r="D623" s="1" t="s">
        <v>2532</v>
      </c>
      <c r="E623" s="4" t="s">
        <v>815</v>
      </c>
      <c r="F623" s="1" t="s">
        <v>2446</v>
      </c>
      <c r="G623" s="10" t="s">
        <v>3928</v>
      </c>
      <c r="H623" s="15">
        <v>70000</v>
      </c>
      <c r="I623" s="2">
        <v>49000</v>
      </c>
      <c r="J623" s="192">
        <v>21000</v>
      </c>
      <c r="K623" s="1" t="s">
        <v>3929</v>
      </c>
      <c r="L623" s="11">
        <v>55000</v>
      </c>
      <c r="M623" s="11">
        <v>46218.487394957985</v>
      </c>
      <c r="N623" s="11">
        <v>8781.5126050420167</v>
      </c>
      <c r="O623" s="11">
        <v>65000</v>
      </c>
      <c r="P623" s="11">
        <v>54621.848739495799</v>
      </c>
      <c r="Q623" s="11">
        <v>10378.151260504203</v>
      </c>
      <c r="R623" s="11">
        <v>1596.6386554621859</v>
      </c>
      <c r="S623" s="11">
        <v>8403.3613445378141</v>
      </c>
      <c r="T623" s="11"/>
    </row>
    <row r="624" spans="1:20" hidden="1" x14ac:dyDescent="0.25">
      <c r="A624" s="56">
        <v>44889</v>
      </c>
      <c r="B624" s="4" t="s">
        <v>3934</v>
      </c>
      <c r="C624" s="191" t="s">
        <v>3930</v>
      </c>
      <c r="D624" s="1" t="s">
        <v>3931</v>
      </c>
      <c r="E624" s="4" t="s">
        <v>637</v>
      </c>
      <c r="F624" s="1" t="s">
        <v>2446</v>
      </c>
      <c r="G624" s="10" t="s">
        <v>3932</v>
      </c>
      <c r="H624" s="15">
        <v>100000</v>
      </c>
      <c r="I624" s="2">
        <v>70000</v>
      </c>
      <c r="J624" s="192">
        <v>30000</v>
      </c>
      <c r="K624" s="1" t="s">
        <v>3933</v>
      </c>
      <c r="L624" s="11">
        <v>110000</v>
      </c>
      <c r="M624" s="11">
        <v>92436.97478991597</v>
      </c>
      <c r="N624" s="11">
        <v>17563.025210084033</v>
      </c>
      <c r="O624" s="11">
        <v>143000</v>
      </c>
      <c r="P624" s="11">
        <v>120168.06722689077</v>
      </c>
      <c r="Q624" s="11">
        <v>22831.932773109245</v>
      </c>
      <c r="R624" s="11">
        <v>5268.9075630252119</v>
      </c>
      <c r="S624" s="11">
        <v>27731.092436974781</v>
      </c>
      <c r="T624" s="11"/>
    </row>
    <row r="625" spans="1:20" hidden="1" x14ac:dyDescent="0.25">
      <c r="A625" s="56">
        <v>44890</v>
      </c>
      <c r="B625" s="4" t="s">
        <v>3927</v>
      </c>
      <c r="C625" s="191" t="s">
        <v>3935</v>
      </c>
      <c r="D625" s="1" t="s">
        <v>3936</v>
      </c>
      <c r="E625" s="4" t="s">
        <v>3937</v>
      </c>
      <c r="F625" s="1" t="s">
        <v>2446</v>
      </c>
      <c r="G625" s="10" t="s">
        <v>3938</v>
      </c>
      <c r="H625" s="15">
        <v>70000</v>
      </c>
      <c r="I625" s="2">
        <v>49000</v>
      </c>
      <c r="J625" s="192">
        <v>21000</v>
      </c>
      <c r="K625" s="1" t="s">
        <v>3939</v>
      </c>
      <c r="L625" s="11">
        <v>77000</v>
      </c>
      <c r="M625" s="11">
        <v>64705.882352941182</v>
      </c>
      <c r="N625" s="11">
        <v>12294.117647058825</v>
      </c>
      <c r="O625" s="11">
        <v>120000</v>
      </c>
      <c r="P625" s="11">
        <v>100840.33613445378</v>
      </c>
      <c r="Q625" s="11">
        <v>19159.663865546219</v>
      </c>
      <c r="R625" s="11">
        <v>6865.5462184873941</v>
      </c>
      <c r="S625" s="11">
        <v>36134.45378151261</v>
      </c>
      <c r="T625" s="11"/>
    </row>
    <row r="626" spans="1:20" hidden="1" x14ac:dyDescent="0.25">
      <c r="A626" s="56">
        <v>44890</v>
      </c>
      <c r="B626" s="4" t="s">
        <v>3940</v>
      </c>
      <c r="C626" s="191" t="s">
        <v>3941</v>
      </c>
      <c r="D626" s="1" t="s">
        <v>3942</v>
      </c>
      <c r="E626" s="4" t="s">
        <v>268</v>
      </c>
      <c r="F626" s="1" t="s">
        <v>2446</v>
      </c>
      <c r="G626" s="10" t="s">
        <v>3943</v>
      </c>
      <c r="H626" s="15">
        <v>40000</v>
      </c>
      <c r="I626" s="2">
        <v>28000</v>
      </c>
      <c r="J626" s="192">
        <v>12000</v>
      </c>
      <c r="K626" s="1" t="s">
        <v>3944</v>
      </c>
      <c r="L626" s="11">
        <v>65000</v>
      </c>
      <c r="M626" s="11">
        <v>54621.848739495799</v>
      </c>
      <c r="N626" s="11">
        <v>10378.151260504203</v>
      </c>
      <c r="O626" s="11">
        <v>80000</v>
      </c>
      <c r="P626" s="11">
        <v>67226.890756302528</v>
      </c>
      <c r="Q626" s="11">
        <v>12773.10924369748</v>
      </c>
      <c r="R626" s="11">
        <v>2394.957983193277</v>
      </c>
      <c r="S626" s="11">
        <v>12605.042016806721</v>
      </c>
      <c r="T626" s="11"/>
    </row>
    <row r="627" spans="1:20" x14ac:dyDescent="0.25">
      <c r="A627" s="56">
        <v>44890</v>
      </c>
      <c r="C627" s="191" t="s">
        <v>3945</v>
      </c>
      <c r="D627" s="1" t="s">
        <v>3946</v>
      </c>
      <c r="E627" s="4" t="s">
        <v>1947</v>
      </c>
      <c r="F627" s="1" t="s">
        <v>3925</v>
      </c>
      <c r="G627" s="10" t="s">
        <v>3947</v>
      </c>
      <c r="H627" s="15">
        <v>100000</v>
      </c>
      <c r="I627" s="2">
        <v>70000</v>
      </c>
      <c r="J627" s="192">
        <v>30000</v>
      </c>
      <c r="K627" s="1" t="s">
        <v>3948</v>
      </c>
      <c r="L627" s="11">
        <v>178000</v>
      </c>
      <c r="M627" s="11">
        <v>149579.83193277312</v>
      </c>
      <c r="N627" s="11">
        <v>28420.168067226892</v>
      </c>
      <c r="O627" s="11">
        <v>255000</v>
      </c>
      <c r="P627" s="11">
        <v>214285.71428571429</v>
      </c>
      <c r="Q627" s="11">
        <v>40714.285714285717</v>
      </c>
      <c r="R627" s="11">
        <v>12294.117647058825</v>
      </c>
      <c r="S627" s="11">
        <v>64705.882352941175</v>
      </c>
      <c r="T627" s="11"/>
    </row>
    <row r="628" spans="1:20" hidden="1" x14ac:dyDescent="0.25">
      <c r="A628" s="56">
        <v>44890</v>
      </c>
      <c r="C628" s="191"/>
      <c r="D628" s="1" t="s">
        <v>3949</v>
      </c>
      <c r="E628" s="4" t="s">
        <v>54</v>
      </c>
      <c r="F628" s="1" t="s">
        <v>3666</v>
      </c>
      <c r="G628" s="10" t="s">
        <v>3511</v>
      </c>
      <c r="H628" s="15">
        <v>46000</v>
      </c>
      <c r="I628" s="2">
        <v>23000</v>
      </c>
      <c r="J628" s="192">
        <v>23000</v>
      </c>
      <c r="L628" s="11"/>
      <c r="M628" s="11">
        <v>0</v>
      </c>
      <c r="N628" s="11">
        <v>0</v>
      </c>
      <c r="O628" s="11"/>
      <c r="P628" s="11">
        <v>0</v>
      </c>
      <c r="Q628" s="11">
        <v>0</v>
      </c>
      <c r="R628" s="11">
        <v>0</v>
      </c>
      <c r="S628" s="11">
        <v>0</v>
      </c>
      <c r="T628" s="11"/>
    </row>
    <row r="629" spans="1:20" hidden="1" x14ac:dyDescent="0.25">
      <c r="A629" s="56">
        <v>44891</v>
      </c>
      <c r="B629" s="4" t="s">
        <v>3951</v>
      </c>
      <c r="C629" s="191" t="s">
        <v>3952</v>
      </c>
      <c r="D629" s="1" t="s">
        <v>3953</v>
      </c>
      <c r="E629" s="4" t="s">
        <v>688</v>
      </c>
      <c r="F629" s="1" t="s">
        <v>2446</v>
      </c>
      <c r="G629" s="10" t="s">
        <v>3954</v>
      </c>
      <c r="H629" s="15">
        <v>60000</v>
      </c>
      <c r="I629" s="2">
        <v>42000</v>
      </c>
      <c r="J629" s="192">
        <v>18000</v>
      </c>
      <c r="K629" s="1" t="s">
        <v>3454</v>
      </c>
      <c r="L629" s="11">
        <v>130000</v>
      </c>
      <c r="M629" s="11">
        <v>109243.6974789916</v>
      </c>
      <c r="N629" s="11">
        <v>20756.302521008405</v>
      </c>
      <c r="O629" s="11">
        <v>140000</v>
      </c>
      <c r="P629" s="11">
        <v>117647.05882352941</v>
      </c>
      <c r="Q629" s="11">
        <v>22352.941176470587</v>
      </c>
      <c r="R629" s="11">
        <v>1596.6386554621822</v>
      </c>
      <c r="S629" s="11">
        <v>8403.3613445378141</v>
      </c>
      <c r="T629" s="11"/>
    </row>
    <row r="630" spans="1:20" hidden="1" x14ac:dyDescent="0.25">
      <c r="A630" s="56">
        <v>44891</v>
      </c>
      <c r="C630" s="191"/>
      <c r="D630" s="1" t="s">
        <v>3955</v>
      </c>
      <c r="E630" s="4"/>
      <c r="F630" s="1" t="s">
        <v>3666</v>
      </c>
      <c r="G630" s="10" t="s">
        <v>3798</v>
      </c>
      <c r="H630" s="15">
        <v>130000</v>
      </c>
      <c r="I630" s="2">
        <v>65000</v>
      </c>
      <c r="J630" s="192">
        <v>65000</v>
      </c>
      <c r="K630" s="1" t="s">
        <v>3386</v>
      </c>
      <c r="L630" s="11">
        <v>40000</v>
      </c>
      <c r="M630" s="11">
        <v>33613.445378151264</v>
      </c>
      <c r="N630" s="11">
        <v>6386.5546218487398</v>
      </c>
      <c r="O630" s="11">
        <v>80000</v>
      </c>
      <c r="P630" s="11">
        <v>67226.890756302528</v>
      </c>
      <c r="Q630" s="11">
        <v>12773.10924369748</v>
      </c>
      <c r="R630" s="11">
        <v>6386.5546218487398</v>
      </c>
      <c r="S630" s="11">
        <v>33613.445378151257</v>
      </c>
      <c r="T630" s="11"/>
    </row>
    <row r="631" spans="1:20" hidden="1" x14ac:dyDescent="0.25">
      <c r="A631" s="56">
        <v>44891</v>
      </c>
      <c r="C631" s="191"/>
      <c r="D631" s="1" t="s">
        <v>3956</v>
      </c>
      <c r="E631" s="4" t="s">
        <v>59</v>
      </c>
      <c r="F631" s="1" t="s">
        <v>34</v>
      </c>
      <c r="G631" s="10" t="s">
        <v>3957</v>
      </c>
      <c r="H631" s="15">
        <v>70000</v>
      </c>
      <c r="I631" s="2">
        <v>49000</v>
      </c>
      <c r="J631" s="192">
        <v>21000</v>
      </c>
      <c r="L631" s="11"/>
      <c r="M631" s="11">
        <v>0</v>
      </c>
      <c r="N631" s="11">
        <v>0</v>
      </c>
      <c r="O631" s="11"/>
      <c r="P631" s="11">
        <v>0</v>
      </c>
      <c r="Q631" s="11">
        <v>0</v>
      </c>
      <c r="R631" s="11">
        <v>0</v>
      </c>
      <c r="S631" s="11">
        <v>0</v>
      </c>
      <c r="T631" s="11"/>
    </row>
    <row r="632" spans="1:20" hidden="1" x14ac:dyDescent="0.25">
      <c r="A632" s="56">
        <v>44891</v>
      </c>
      <c r="B632" s="4" t="s">
        <v>3958</v>
      </c>
      <c r="C632" s="191" t="s">
        <v>3959</v>
      </c>
      <c r="D632" s="1" t="s">
        <v>3960</v>
      </c>
      <c r="E632" s="4" t="s">
        <v>385</v>
      </c>
      <c r="F632" s="1" t="s">
        <v>2446</v>
      </c>
      <c r="G632" s="10" t="s">
        <v>4060</v>
      </c>
      <c r="H632" s="15">
        <v>50000</v>
      </c>
      <c r="I632" s="2">
        <v>35000</v>
      </c>
      <c r="J632" s="192">
        <v>15000</v>
      </c>
      <c r="L632" s="11"/>
      <c r="M632" s="11">
        <v>0</v>
      </c>
      <c r="N632" s="11">
        <v>0</v>
      </c>
      <c r="O632" s="11"/>
      <c r="P632" s="11">
        <v>0</v>
      </c>
      <c r="Q632" s="11">
        <v>0</v>
      </c>
      <c r="R632" s="11">
        <v>0</v>
      </c>
      <c r="S632" s="11">
        <v>0</v>
      </c>
      <c r="T632" s="11"/>
    </row>
    <row r="633" spans="1:20" hidden="1" x14ac:dyDescent="0.25">
      <c r="A633" s="56">
        <v>44891</v>
      </c>
      <c r="C633" s="191" t="s">
        <v>1097</v>
      </c>
      <c r="D633" s="1" t="s">
        <v>3961</v>
      </c>
      <c r="E633" s="4" t="s">
        <v>3962</v>
      </c>
      <c r="F633" s="1" t="s">
        <v>2446</v>
      </c>
      <c r="G633" s="10" t="s">
        <v>4061</v>
      </c>
      <c r="H633" s="15">
        <v>20000</v>
      </c>
      <c r="I633" s="2">
        <v>14000</v>
      </c>
      <c r="J633" s="192">
        <v>6000</v>
      </c>
      <c r="L633" s="11"/>
      <c r="M633" s="11">
        <v>0</v>
      </c>
      <c r="N633" s="11">
        <v>0</v>
      </c>
      <c r="O633" s="11"/>
      <c r="P633" s="11">
        <v>0</v>
      </c>
      <c r="Q633" s="11">
        <v>0</v>
      </c>
      <c r="R633" s="11">
        <v>0</v>
      </c>
      <c r="S633" s="11">
        <v>0</v>
      </c>
      <c r="T633" s="11"/>
    </row>
    <row r="634" spans="1:20" hidden="1" x14ac:dyDescent="0.25">
      <c r="A634" s="56">
        <v>44891</v>
      </c>
      <c r="C634" s="191"/>
      <c r="D634" s="1" t="s">
        <v>585</v>
      </c>
      <c r="E634" s="4" t="s">
        <v>2168</v>
      </c>
      <c r="F634" s="1" t="s">
        <v>2446</v>
      </c>
      <c r="G634" s="10" t="s">
        <v>3963</v>
      </c>
      <c r="H634" s="15">
        <v>30000</v>
      </c>
      <c r="I634" s="2">
        <v>21000</v>
      </c>
      <c r="J634" s="192">
        <v>9000</v>
      </c>
      <c r="K634" s="1" t="s">
        <v>3964</v>
      </c>
      <c r="L634" s="11">
        <v>200000</v>
      </c>
      <c r="M634" s="11">
        <v>168067.22689075631</v>
      </c>
      <c r="N634" s="11">
        <v>31932.773109243699</v>
      </c>
      <c r="O634" s="11">
        <v>250000</v>
      </c>
      <c r="P634" s="11">
        <v>210084.03361344538</v>
      </c>
      <c r="Q634" s="11">
        <v>39915.966386554624</v>
      </c>
      <c r="R634" s="11">
        <v>7983.1932773109256</v>
      </c>
      <c r="S634" s="11">
        <v>42016.806722689071</v>
      </c>
      <c r="T634" s="11"/>
    </row>
    <row r="635" spans="1:20" hidden="1" x14ac:dyDescent="0.25">
      <c r="A635" s="56">
        <v>44893</v>
      </c>
      <c r="C635" s="191" t="s">
        <v>3971</v>
      </c>
      <c r="D635" s="1" t="s">
        <v>3965</v>
      </c>
      <c r="E635" s="4" t="s">
        <v>2176</v>
      </c>
      <c r="F635" s="1" t="s">
        <v>2446</v>
      </c>
      <c r="G635" s="10" t="s">
        <v>2645</v>
      </c>
      <c r="H635" s="15">
        <v>30000</v>
      </c>
      <c r="I635" s="2">
        <v>21000</v>
      </c>
      <c r="J635" s="192">
        <v>9000</v>
      </c>
      <c r="L635" s="11"/>
      <c r="M635" s="11">
        <v>0</v>
      </c>
      <c r="N635" s="11">
        <v>0</v>
      </c>
      <c r="O635" s="11"/>
      <c r="P635" s="11">
        <v>0</v>
      </c>
      <c r="Q635" s="11">
        <v>0</v>
      </c>
      <c r="R635" s="11">
        <v>0</v>
      </c>
      <c r="S635" s="11">
        <v>0</v>
      </c>
      <c r="T635" s="11"/>
    </row>
    <row r="636" spans="1:20" ht="45" hidden="1" x14ac:dyDescent="0.25">
      <c r="A636" s="56">
        <v>44893</v>
      </c>
      <c r="B636" s="4" t="s">
        <v>3970</v>
      </c>
      <c r="C636" s="191" t="s">
        <v>3966</v>
      </c>
      <c r="D636" s="1" t="s">
        <v>3967</v>
      </c>
      <c r="E636" s="4" t="s">
        <v>815</v>
      </c>
      <c r="F636" s="1" t="s">
        <v>2446</v>
      </c>
      <c r="G636" s="10" t="s">
        <v>3968</v>
      </c>
      <c r="H636" s="15">
        <v>225000</v>
      </c>
      <c r="I636" s="2">
        <v>157500</v>
      </c>
      <c r="J636" s="192">
        <v>67500</v>
      </c>
      <c r="K636" s="1" t="s">
        <v>3969</v>
      </c>
      <c r="L636" s="11">
        <v>628300</v>
      </c>
      <c r="M636" s="11">
        <v>527983.19327731093</v>
      </c>
      <c r="N636" s="11">
        <v>100316.80672268907</v>
      </c>
      <c r="O636" s="11">
        <v>797000</v>
      </c>
      <c r="P636" s="11">
        <v>669747.89915966394</v>
      </c>
      <c r="Q636" s="11">
        <v>127252.10084033615</v>
      </c>
      <c r="R636" s="11">
        <v>26935.294117647078</v>
      </c>
      <c r="S636" s="11">
        <v>141764.70588235289</v>
      </c>
      <c r="T636" s="11"/>
    </row>
    <row r="637" spans="1:20" ht="45" hidden="1" x14ac:dyDescent="0.25">
      <c r="A637" s="56">
        <v>44894</v>
      </c>
      <c r="B637" s="4" t="s">
        <v>3973</v>
      </c>
      <c r="C637" s="191" t="s">
        <v>3972</v>
      </c>
      <c r="D637" s="1" t="s">
        <v>3974</v>
      </c>
      <c r="E637" s="4" t="s">
        <v>48</v>
      </c>
      <c r="F637" s="1" t="s">
        <v>2446</v>
      </c>
      <c r="G637" s="10" t="s">
        <v>3975</v>
      </c>
      <c r="H637" s="15">
        <v>60000</v>
      </c>
      <c r="I637" s="2">
        <v>42000</v>
      </c>
      <c r="J637" s="192">
        <v>18000</v>
      </c>
      <c r="K637" s="1" t="s">
        <v>3976</v>
      </c>
      <c r="L637" s="11">
        <v>20000</v>
      </c>
      <c r="M637" s="11">
        <v>16806.722689075632</v>
      </c>
      <c r="N637" s="11">
        <v>3193.2773109243699</v>
      </c>
      <c r="O637" s="11">
        <v>30000</v>
      </c>
      <c r="P637" s="11">
        <v>25210.084033613446</v>
      </c>
      <c r="Q637" s="11">
        <v>4789.9159663865548</v>
      </c>
      <c r="R637" s="11">
        <v>1596.6386554621849</v>
      </c>
      <c r="S637" s="11">
        <v>8403.3613445378141</v>
      </c>
      <c r="T637" s="11"/>
    </row>
    <row r="638" spans="1:20" hidden="1" x14ac:dyDescent="0.25">
      <c r="A638" s="56">
        <v>44894</v>
      </c>
      <c r="B638" s="4" t="s">
        <v>3977</v>
      </c>
      <c r="C638" s="191" t="s">
        <v>2404</v>
      </c>
      <c r="D638" s="1" t="s">
        <v>2405</v>
      </c>
      <c r="E638" s="4" t="s">
        <v>2022</v>
      </c>
      <c r="F638" s="1" t="s">
        <v>2446</v>
      </c>
      <c r="G638" s="10" t="s">
        <v>140</v>
      </c>
      <c r="H638" s="15">
        <v>60000</v>
      </c>
      <c r="I638" s="2">
        <v>42000</v>
      </c>
      <c r="J638" s="192">
        <v>18000</v>
      </c>
      <c r="L638" s="11"/>
      <c r="M638" s="11">
        <v>0</v>
      </c>
      <c r="N638" s="11">
        <v>0</v>
      </c>
      <c r="O638" s="11"/>
      <c r="P638" s="11">
        <v>0</v>
      </c>
      <c r="Q638" s="11">
        <v>0</v>
      </c>
      <c r="R638" s="11">
        <v>0</v>
      </c>
      <c r="S638" s="11">
        <v>0</v>
      </c>
      <c r="T638" s="11"/>
    </row>
    <row r="639" spans="1:20" ht="45" hidden="1" x14ac:dyDescent="0.25">
      <c r="A639" s="56">
        <v>44894</v>
      </c>
      <c r="B639" s="4" t="s">
        <v>3982</v>
      </c>
      <c r="C639" s="191" t="s">
        <v>3978</v>
      </c>
      <c r="D639" s="1" t="s">
        <v>3979</v>
      </c>
      <c r="E639" s="4" t="s">
        <v>688</v>
      </c>
      <c r="F639" s="1" t="s">
        <v>2446</v>
      </c>
      <c r="G639" s="10" t="s">
        <v>3980</v>
      </c>
      <c r="H639" s="15">
        <v>135000</v>
      </c>
      <c r="I639" s="2">
        <v>94500</v>
      </c>
      <c r="J639" s="192">
        <v>40500</v>
      </c>
      <c r="K639" s="1" t="s">
        <v>3981</v>
      </c>
      <c r="L639" s="11">
        <v>85300</v>
      </c>
      <c r="M639" s="11">
        <v>71680.672268907569</v>
      </c>
      <c r="N639" s="11">
        <v>13619.327731092439</v>
      </c>
      <c r="O639" s="11">
        <v>140000</v>
      </c>
      <c r="P639" s="11">
        <v>117647.05882352941</v>
      </c>
      <c r="Q639" s="11">
        <v>22352.941176470587</v>
      </c>
      <c r="R639" s="11">
        <v>8733.6134453781488</v>
      </c>
      <c r="S639" s="11">
        <v>45966.386554621859</v>
      </c>
      <c r="T639" s="11"/>
    </row>
    <row r="640" spans="1:20" x14ac:dyDescent="0.25">
      <c r="A640" s="56">
        <v>44894</v>
      </c>
      <c r="B640" s="4" t="s">
        <v>3997</v>
      </c>
      <c r="C640" s="191" t="s">
        <v>3998</v>
      </c>
      <c r="D640" s="1" t="s">
        <v>3999</v>
      </c>
      <c r="E640" s="4" t="s">
        <v>385</v>
      </c>
      <c r="F640" s="1" t="s">
        <v>3925</v>
      </c>
      <c r="G640" s="10" t="s">
        <v>4000</v>
      </c>
      <c r="H640" s="15">
        <v>320000</v>
      </c>
      <c r="I640" s="2">
        <v>224000</v>
      </c>
      <c r="J640" s="192">
        <v>96000</v>
      </c>
      <c r="K640" s="1" t="s">
        <v>4001</v>
      </c>
      <c r="L640" s="11">
        <v>370000</v>
      </c>
      <c r="M640" s="11">
        <v>310924.36974789918</v>
      </c>
      <c r="N640" s="11">
        <v>59075.630252100847</v>
      </c>
      <c r="O640" s="11">
        <v>486000</v>
      </c>
      <c r="P640" s="11">
        <v>408403.36134453781</v>
      </c>
      <c r="Q640" s="11">
        <v>77596.638655462186</v>
      </c>
      <c r="R640" s="11">
        <v>18521.008403361338</v>
      </c>
      <c r="S640" s="11">
        <v>97478.991596638691</v>
      </c>
      <c r="T640" s="11"/>
    </row>
    <row r="641" spans="1:20" hidden="1" x14ac:dyDescent="0.25">
      <c r="A641" s="56">
        <v>44894</v>
      </c>
      <c r="C641" s="191"/>
      <c r="D641" s="1" t="s">
        <v>3983</v>
      </c>
      <c r="E641" s="4" t="s">
        <v>3586</v>
      </c>
      <c r="F641" s="1" t="s">
        <v>3666</v>
      </c>
      <c r="G641" s="10" t="s">
        <v>3984</v>
      </c>
      <c r="H641" s="15">
        <v>40000</v>
      </c>
      <c r="I641" s="2">
        <v>20000</v>
      </c>
      <c r="J641" s="192">
        <v>20000</v>
      </c>
      <c r="L641" s="11"/>
      <c r="M641" s="11">
        <v>0</v>
      </c>
      <c r="N641" s="11">
        <v>0</v>
      </c>
      <c r="O641" s="11"/>
      <c r="P641" s="11">
        <v>0</v>
      </c>
      <c r="Q641" s="11">
        <v>0</v>
      </c>
      <c r="R641" s="11">
        <v>0</v>
      </c>
      <c r="S641" s="11">
        <v>0</v>
      </c>
      <c r="T641" s="11"/>
    </row>
    <row r="642" spans="1:20" hidden="1" x14ac:dyDescent="0.25">
      <c r="A642" s="56">
        <v>44895</v>
      </c>
      <c r="C642" s="191" t="s">
        <v>2827</v>
      </c>
      <c r="D642" s="1" t="s">
        <v>2828</v>
      </c>
      <c r="E642" s="4" t="s">
        <v>3985</v>
      </c>
      <c r="F642" s="1" t="s">
        <v>2446</v>
      </c>
      <c r="G642" s="10" t="s">
        <v>341</v>
      </c>
      <c r="H642" s="15">
        <v>10000</v>
      </c>
      <c r="I642" s="2">
        <v>7000</v>
      </c>
      <c r="J642" s="192">
        <v>3000</v>
      </c>
      <c r="L642" s="11"/>
      <c r="M642" s="11">
        <v>0</v>
      </c>
      <c r="N642" s="11">
        <v>0</v>
      </c>
      <c r="O642" s="11"/>
      <c r="P642" s="11">
        <v>0</v>
      </c>
      <c r="Q642" s="11">
        <v>0</v>
      </c>
      <c r="R642" s="11">
        <v>0</v>
      </c>
      <c r="S642" s="11">
        <v>0</v>
      </c>
      <c r="T642" s="11"/>
    </row>
    <row r="643" spans="1:20" hidden="1" x14ac:dyDescent="0.25">
      <c r="A643" s="56">
        <v>44895</v>
      </c>
      <c r="B643" s="4" t="s">
        <v>3988</v>
      </c>
      <c r="C643" s="191" t="s">
        <v>3986</v>
      </c>
      <c r="D643" s="1" t="s">
        <v>3987</v>
      </c>
      <c r="E643" s="4" t="s">
        <v>1332</v>
      </c>
      <c r="F643" s="1" t="s">
        <v>2446</v>
      </c>
      <c r="G643" s="10" t="s">
        <v>20</v>
      </c>
      <c r="H643" s="15">
        <v>30000</v>
      </c>
      <c r="I643" s="2">
        <v>21000</v>
      </c>
      <c r="J643" s="192">
        <v>9000</v>
      </c>
      <c r="K643" s="1" t="s">
        <v>71</v>
      </c>
      <c r="L643" s="11">
        <v>95000</v>
      </c>
      <c r="M643" s="11">
        <v>79831.932773109249</v>
      </c>
      <c r="N643" s="11">
        <v>15168.067226890758</v>
      </c>
      <c r="O643" s="11">
        <v>120000</v>
      </c>
      <c r="P643" s="11">
        <v>100840.33613445378</v>
      </c>
      <c r="Q643" s="11">
        <v>19159.663865546219</v>
      </c>
      <c r="R643" s="11">
        <v>3991.596638655461</v>
      </c>
      <c r="S643" s="11">
        <v>21008.403361344535</v>
      </c>
      <c r="T643" s="11"/>
    </row>
    <row r="644" spans="1:20" x14ac:dyDescent="0.25">
      <c r="A644" s="56">
        <v>44895</v>
      </c>
      <c r="B644" s="4" t="s">
        <v>3989</v>
      </c>
      <c r="C644" s="191"/>
      <c r="D644" s="1" t="s">
        <v>2659</v>
      </c>
      <c r="E644" s="4" t="s">
        <v>88</v>
      </c>
      <c r="F644" s="1" t="s">
        <v>3768</v>
      </c>
      <c r="G644" s="10" t="s">
        <v>956</v>
      </c>
      <c r="I644" s="2">
        <v>0</v>
      </c>
      <c r="J644" s="192">
        <v>0</v>
      </c>
      <c r="K644" s="1" t="s">
        <v>3990</v>
      </c>
      <c r="L644" s="11">
        <v>3280000</v>
      </c>
      <c r="M644" s="11"/>
      <c r="N644" s="11">
        <v>0</v>
      </c>
      <c r="O644" s="11">
        <v>4825000</v>
      </c>
      <c r="P644" s="11"/>
      <c r="Q644" s="11">
        <v>0</v>
      </c>
      <c r="R644" s="11">
        <v>0</v>
      </c>
      <c r="S644" s="11">
        <v>1545000</v>
      </c>
      <c r="T644" s="11"/>
    </row>
    <row r="645" spans="1:20" hidden="1" x14ac:dyDescent="0.25">
      <c r="A645" s="56">
        <v>44895</v>
      </c>
      <c r="C645" s="191" t="s">
        <v>3991</v>
      </c>
      <c r="D645" s="1" t="s">
        <v>3992</v>
      </c>
      <c r="E645" s="4" t="s">
        <v>2720</v>
      </c>
      <c r="F645" s="1" t="s">
        <v>2446</v>
      </c>
      <c r="G645" s="10" t="s">
        <v>4064</v>
      </c>
      <c r="H645" s="15">
        <v>20000</v>
      </c>
      <c r="I645" s="2">
        <v>14000</v>
      </c>
      <c r="J645" s="192">
        <v>6000</v>
      </c>
      <c r="L645" s="11"/>
      <c r="M645" s="11">
        <v>0</v>
      </c>
      <c r="N645" s="11">
        <v>0</v>
      </c>
      <c r="O645" s="11"/>
      <c r="P645" s="11">
        <v>0</v>
      </c>
      <c r="Q645" s="11">
        <v>0</v>
      </c>
      <c r="R645" s="11">
        <v>0</v>
      </c>
      <c r="S645" s="11">
        <v>0</v>
      </c>
      <c r="T645" s="11"/>
    </row>
    <row r="646" spans="1:20" ht="60" hidden="1" x14ac:dyDescent="0.25">
      <c r="A646" s="56">
        <v>44895</v>
      </c>
      <c r="B646" s="4" t="s">
        <v>3994</v>
      </c>
      <c r="C646" s="191" t="s">
        <v>3851</v>
      </c>
      <c r="D646" s="1" t="s">
        <v>3993</v>
      </c>
      <c r="E646" s="4" t="s">
        <v>2856</v>
      </c>
      <c r="F646" s="1" t="s">
        <v>2446</v>
      </c>
      <c r="G646" s="10" t="s">
        <v>3995</v>
      </c>
      <c r="H646" s="15">
        <v>420000</v>
      </c>
      <c r="I646" s="2">
        <v>294000</v>
      </c>
      <c r="J646" s="192">
        <v>126000</v>
      </c>
      <c r="K646" s="1" t="s">
        <v>3996</v>
      </c>
      <c r="L646" s="11">
        <v>1304000</v>
      </c>
      <c r="M646" s="11"/>
      <c r="N646" s="11">
        <v>46491</v>
      </c>
      <c r="O646" s="11">
        <v>1802000</v>
      </c>
      <c r="P646" s="11">
        <v>1514285.7142857143</v>
      </c>
      <c r="Q646" s="11">
        <v>287714.28571428574</v>
      </c>
      <c r="R646" s="11">
        <v>241223.28571428574</v>
      </c>
      <c r="S646" s="11">
        <v>256776.71428571432</v>
      </c>
      <c r="T646" s="11"/>
    </row>
    <row r="647" spans="1:20" ht="30" hidden="1" x14ac:dyDescent="0.25">
      <c r="A647" s="56">
        <v>44896</v>
      </c>
      <c r="C647" s="191"/>
      <c r="D647" s="1" t="s">
        <v>4002</v>
      </c>
      <c r="E647" s="4" t="s">
        <v>1865</v>
      </c>
      <c r="F647" s="1" t="s">
        <v>2446</v>
      </c>
      <c r="G647" s="10" t="s">
        <v>4003</v>
      </c>
      <c r="H647" s="15">
        <v>80000</v>
      </c>
      <c r="I647" s="2">
        <v>48000</v>
      </c>
      <c r="J647" s="192">
        <v>32000</v>
      </c>
      <c r="K647" s="1" t="s">
        <v>4004</v>
      </c>
      <c r="L647" s="11"/>
      <c r="M647" s="11">
        <v>0</v>
      </c>
      <c r="N647" s="11">
        <v>0</v>
      </c>
      <c r="O647" s="11">
        <v>35000</v>
      </c>
      <c r="P647" s="11">
        <v>29411.764705882353</v>
      </c>
      <c r="Q647" s="11">
        <v>5588.2352941176468</v>
      </c>
      <c r="R647" s="11">
        <v>5588.2352941176468</v>
      </c>
      <c r="S647" s="11">
        <v>29411.764705882353</v>
      </c>
      <c r="T647" s="11"/>
    </row>
    <row r="648" spans="1:20" hidden="1" x14ac:dyDescent="0.25">
      <c r="A648" s="56">
        <v>44896</v>
      </c>
      <c r="C648" s="191" t="s">
        <v>215</v>
      </c>
      <c r="D648" s="1" t="s">
        <v>1610</v>
      </c>
      <c r="E648" s="4" t="s">
        <v>1034</v>
      </c>
      <c r="F648" s="1" t="s">
        <v>34</v>
      </c>
      <c r="G648" s="10" t="s">
        <v>4005</v>
      </c>
      <c r="H648" s="15">
        <v>40000</v>
      </c>
      <c r="I648" s="2">
        <v>24000</v>
      </c>
      <c r="J648" s="192">
        <v>16000</v>
      </c>
      <c r="L648" s="11"/>
      <c r="M648" s="11">
        <v>0</v>
      </c>
      <c r="N648" s="11">
        <v>0</v>
      </c>
      <c r="O648" s="11"/>
      <c r="P648" s="11">
        <v>0</v>
      </c>
      <c r="Q648" s="11">
        <v>0</v>
      </c>
      <c r="R648" s="11">
        <v>0</v>
      </c>
      <c r="S648" s="11">
        <v>0</v>
      </c>
      <c r="T648" s="11"/>
    </row>
    <row r="649" spans="1:20" hidden="1" x14ac:dyDescent="0.25">
      <c r="A649" s="56">
        <v>44896</v>
      </c>
      <c r="C649" s="191" t="s">
        <v>4006</v>
      </c>
      <c r="E649" s="4"/>
      <c r="F649" s="1" t="s">
        <v>3666</v>
      </c>
      <c r="G649" s="10" t="s">
        <v>4007</v>
      </c>
      <c r="H649" s="15">
        <v>90000</v>
      </c>
      <c r="I649" s="2">
        <v>125000</v>
      </c>
      <c r="J649" s="192">
        <v>-35000</v>
      </c>
      <c r="L649" s="11"/>
      <c r="M649" s="11">
        <v>0</v>
      </c>
      <c r="N649" s="11">
        <v>0</v>
      </c>
      <c r="O649" s="11"/>
      <c r="P649" s="11">
        <v>0</v>
      </c>
      <c r="Q649" s="11">
        <v>0</v>
      </c>
      <c r="R649" s="11">
        <v>0</v>
      </c>
      <c r="S649" s="11">
        <v>0</v>
      </c>
      <c r="T649" s="11"/>
    </row>
    <row r="650" spans="1:20" hidden="1" x14ac:dyDescent="0.25">
      <c r="A650" s="56">
        <v>44896</v>
      </c>
      <c r="B650" s="4" t="s">
        <v>4008</v>
      </c>
      <c r="C650" s="191" t="s">
        <v>2271</v>
      </c>
      <c r="D650" s="1" t="s">
        <v>2272</v>
      </c>
      <c r="E650" s="4" t="s">
        <v>4009</v>
      </c>
      <c r="F650" s="1" t="s">
        <v>2446</v>
      </c>
      <c r="G650" s="10" t="s">
        <v>4010</v>
      </c>
      <c r="H650" s="15">
        <v>90000</v>
      </c>
      <c r="I650" s="2">
        <v>54000</v>
      </c>
      <c r="J650" s="192">
        <v>36000</v>
      </c>
      <c r="L650" s="11"/>
      <c r="M650" s="11">
        <v>0</v>
      </c>
      <c r="N650" s="11">
        <v>0</v>
      </c>
      <c r="O650" s="11"/>
      <c r="P650" s="11">
        <v>0</v>
      </c>
      <c r="Q650" s="11">
        <v>0</v>
      </c>
      <c r="R650" s="11">
        <v>0</v>
      </c>
      <c r="S650" s="11">
        <v>0</v>
      </c>
      <c r="T650" s="11"/>
    </row>
    <row r="651" spans="1:20" x14ac:dyDescent="0.25">
      <c r="A651" s="56">
        <v>44896</v>
      </c>
      <c r="C651" s="191" t="s">
        <v>4011</v>
      </c>
      <c r="D651" s="1" t="s">
        <v>2594</v>
      </c>
      <c r="E651" s="4" t="s">
        <v>385</v>
      </c>
      <c r="F651" s="1" t="s">
        <v>3925</v>
      </c>
      <c r="G651" s="10" t="s">
        <v>4012</v>
      </c>
      <c r="H651" s="15">
        <v>60000</v>
      </c>
      <c r="I651" s="2">
        <v>36000</v>
      </c>
      <c r="J651" s="192">
        <v>24000</v>
      </c>
      <c r="K651" s="1" t="s">
        <v>4013</v>
      </c>
      <c r="L651" s="11">
        <v>18000</v>
      </c>
      <c r="M651" s="11">
        <v>15126.050420168069</v>
      </c>
      <c r="N651" s="11">
        <v>2873.9495798319331</v>
      </c>
      <c r="O651" s="11">
        <v>30000</v>
      </c>
      <c r="P651" s="11">
        <v>25210.084033613446</v>
      </c>
      <c r="Q651" s="11">
        <v>4789.9159663865548</v>
      </c>
      <c r="R651" s="11">
        <v>1915.9663865546217</v>
      </c>
      <c r="S651" s="11">
        <v>10084.033613445379</v>
      </c>
      <c r="T651" s="11"/>
    </row>
    <row r="652" spans="1:20" hidden="1" x14ac:dyDescent="0.25">
      <c r="A652" s="56">
        <v>44896</v>
      </c>
      <c r="C652" s="191" t="s">
        <v>4014</v>
      </c>
      <c r="D652" s="1" t="s">
        <v>4015</v>
      </c>
      <c r="E652" s="4" t="s">
        <v>4016</v>
      </c>
      <c r="F652" s="1" t="s">
        <v>2446</v>
      </c>
      <c r="G652" s="10" t="s">
        <v>4017</v>
      </c>
      <c r="H652" s="15">
        <v>50000</v>
      </c>
      <c r="I652" s="2">
        <v>30000</v>
      </c>
      <c r="J652" s="192">
        <v>20000</v>
      </c>
      <c r="L652" s="11"/>
      <c r="M652" s="11">
        <v>0</v>
      </c>
      <c r="N652" s="11">
        <v>0</v>
      </c>
      <c r="O652" s="11"/>
      <c r="P652" s="11">
        <v>0</v>
      </c>
      <c r="Q652" s="11">
        <v>0</v>
      </c>
      <c r="R652" s="11">
        <v>0</v>
      </c>
      <c r="S652" s="11">
        <v>0</v>
      </c>
      <c r="T652" s="11"/>
    </row>
    <row r="653" spans="1:20" hidden="1" x14ac:dyDescent="0.25">
      <c r="A653" s="56">
        <v>44896</v>
      </c>
      <c r="C653" s="191" t="s">
        <v>4018</v>
      </c>
      <c r="D653" s="1" t="s">
        <v>4019</v>
      </c>
      <c r="E653" s="4" t="s">
        <v>717</v>
      </c>
      <c r="F653" s="1" t="s">
        <v>34</v>
      </c>
      <c r="G653" s="10" t="s">
        <v>4020</v>
      </c>
      <c r="H653" s="15">
        <v>30000</v>
      </c>
      <c r="I653" s="2">
        <v>18000</v>
      </c>
      <c r="J653" s="192">
        <v>12000</v>
      </c>
      <c r="K653" s="1" t="s">
        <v>4021</v>
      </c>
      <c r="L653" s="11">
        <v>10000</v>
      </c>
      <c r="M653" s="11"/>
      <c r="N653" s="11">
        <v>0</v>
      </c>
      <c r="O653" s="11">
        <v>20000</v>
      </c>
      <c r="P653" s="11"/>
      <c r="Q653" s="11">
        <v>0</v>
      </c>
      <c r="R653" s="11">
        <v>0</v>
      </c>
      <c r="S653" s="11">
        <v>10000</v>
      </c>
      <c r="T653" s="11"/>
    </row>
    <row r="654" spans="1:20" hidden="1" x14ac:dyDescent="0.25">
      <c r="A654" s="56">
        <v>44896</v>
      </c>
      <c r="B654" s="4" t="s">
        <v>4024</v>
      </c>
      <c r="C654" s="191" t="s">
        <v>4006</v>
      </c>
      <c r="D654" s="1" t="s">
        <v>4022</v>
      </c>
      <c r="E654" s="4" t="s">
        <v>1749</v>
      </c>
      <c r="F654" s="1" t="s">
        <v>3666</v>
      </c>
      <c r="G654" s="10" t="s">
        <v>4023</v>
      </c>
      <c r="H654" s="15">
        <v>120000</v>
      </c>
      <c r="I654" s="2">
        <v>60000</v>
      </c>
      <c r="J654" s="192">
        <v>60000</v>
      </c>
      <c r="L654" s="11"/>
      <c r="M654" s="11">
        <v>0</v>
      </c>
      <c r="N654" s="11">
        <v>0</v>
      </c>
      <c r="O654" s="11"/>
      <c r="P654" s="11">
        <v>0</v>
      </c>
      <c r="Q654" s="11">
        <v>0</v>
      </c>
      <c r="R654" s="11">
        <v>0</v>
      </c>
      <c r="S654" s="11">
        <v>0</v>
      </c>
      <c r="T654" s="11"/>
    </row>
    <row r="655" spans="1:20" hidden="1" x14ac:dyDescent="0.25">
      <c r="A655" s="56">
        <v>44896</v>
      </c>
      <c r="C655" s="191"/>
      <c r="E655" s="4" t="s">
        <v>48</v>
      </c>
      <c r="F655" s="1" t="s">
        <v>34</v>
      </c>
      <c r="G655" s="10" t="s">
        <v>341</v>
      </c>
      <c r="H655" s="15">
        <v>10000</v>
      </c>
      <c r="I655" s="2">
        <v>7000</v>
      </c>
      <c r="J655" s="192">
        <v>3000</v>
      </c>
      <c r="K655" s="1" t="s">
        <v>57</v>
      </c>
      <c r="L655" s="11">
        <v>7600</v>
      </c>
      <c r="M655" s="11">
        <v>6386.5546218487398</v>
      </c>
      <c r="N655" s="11">
        <v>1213.4453781512607</v>
      </c>
      <c r="O655" s="11">
        <v>15000</v>
      </c>
      <c r="P655" s="11">
        <v>12605.042016806723</v>
      </c>
      <c r="Q655" s="11">
        <v>2394.9579831932774</v>
      </c>
      <c r="R655" s="11">
        <v>1181.5126050420167</v>
      </c>
      <c r="S655" s="11">
        <v>6218.4873949579833</v>
      </c>
      <c r="T655" s="11"/>
    </row>
    <row r="656" spans="1:20" x14ac:dyDescent="0.25">
      <c r="A656" s="56">
        <v>44896</v>
      </c>
      <c r="C656" s="191" t="s">
        <v>4025</v>
      </c>
      <c r="D656" s="1" t="s">
        <v>4026</v>
      </c>
      <c r="E656" s="4" t="s">
        <v>200</v>
      </c>
      <c r="F656" s="1" t="s">
        <v>3925</v>
      </c>
      <c r="G656" s="10" t="s">
        <v>4027</v>
      </c>
      <c r="H656" s="15">
        <v>70000</v>
      </c>
      <c r="I656" s="2">
        <v>42000</v>
      </c>
      <c r="J656" s="192">
        <v>28000</v>
      </c>
      <c r="K656" s="1" t="s">
        <v>4028</v>
      </c>
      <c r="L656" s="11">
        <v>52800</v>
      </c>
      <c r="M656" s="11">
        <v>44369.747899159665</v>
      </c>
      <c r="N656" s="11">
        <v>8430.2521008403364</v>
      </c>
      <c r="O656" s="11">
        <v>73000</v>
      </c>
      <c r="P656" s="11">
        <v>61344.537815126052</v>
      </c>
      <c r="Q656" s="11">
        <v>11655.46218487395</v>
      </c>
      <c r="R656" s="11">
        <v>3225.2100840336134</v>
      </c>
      <c r="S656" s="11">
        <v>16974.789915966387</v>
      </c>
      <c r="T656" s="11"/>
    </row>
    <row r="657" spans="1:20" hidden="1" x14ac:dyDescent="0.25">
      <c r="A657" s="56">
        <v>44896</v>
      </c>
      <c r="C657" s="191"/>
      <c r="D657" s="1" t="s">
        <v>148</v>
      </c>
      <c r="E657" s="4" t="s">
        <v>1034</v>
      </c>
      <c r="F657" s="1" t="s">
        <v>34</v>
      </c>
      <c r="G657" s="10" t="s">
        <v>21</v>
      </c>
      <c r="H657" s="15">
        <v>10000</v>
      </c>
      <c r="I657" s="2">
        <v>7000</v>
      </c>
      <c r="J657" s="192">
        <v>3000</v>
      </c>
      <c r="L657" s="11"/>
      <c r="M657" s="11">
        <v>0</v>
      </c>
      <c r="N657" s="11">
        <v>0</v>
      </c>
      <c r="O657" s="11"/>
      <c r="P657" s="11">
        <v>0</v>
      </c>
      <c r="Q657" s="11">
        <v>0</v>
      </c>
      <c r="R657" s="11">
        <v>0</v>
      </c>
      <c r="S657" s="11">
        <v>0</v>
      </c>
      <c r="T657" s="11"/>
    </row>
    <row r="658" spans="1:20" hidden="1" x14ac:dyDescent="0.25">
      <c r="A658" s="56">
        <v>44897</v>
      </c>
      <c r="B658" s="4" t="s">
        <v>4031</v>
      </c>
      <c r="C658" s="191" t="s">
        <v>4029</v>
      </c>
      <c r="D658" s="1" t="s">
        <v>4030</v>
      </c>
      <c r="E658" s="4" t="s">
        <v>213</v>
      </c>
      <c r="F658" s="1" t="s">
        <v>2446</v>
      </c>
      <c r="G658" s="10" t="s">
        <v>338</v>
      </c>
      <c r="H658" s="15">
        <v>180000</v>
      </c>
      <c r="I658" s="2">
        <v>108000</v>
      </c>
      <c r="J658" s="192">
        <v>72000</v>
      </c>
      <c r="K658" s="1" t="s">
        <v>3390</v>
      </c>
      <c r="L658" s="11">
        <v>100000</v>
      </c>
      <c r="M658" s="11">
        <v>84033.613445378156</v>
      </c>
      <c r="N658" s="11">
        <v>15966.386554621849</v>
      </c>
      <c r="O658" s="11">
        <v>75000</v>
      </c>
      <c r="P658" s="11">
        <v>63025.210084033613</v>
      </c>
      <c r="Q658" s="11">
        <v>11974.789915966387</v>
      </c>
      <c r="R658" s="11">
        <v>-3991.5966386554628</v>
      </c>
      <c r="S658" s="11">
        <v>-21008.403361344535</v>
      </c>
      <c r="T658" s="11"/>
    </row>
    <row r="659" spans="1:20" hidden="1" x14ac:dyDescent="0.25">
      <c r="A659" s="56">
        <v>44897</v>
      </c>
      <c r="B659" s="4" t="s">
        <v>4032</v>
      </c>
      <c r="C659" s="191" t="s">
        <v>4033</v>
      </c>
      <c r="D659" s="1" t="s">
        <v>4034</v>
      </c>
      <c r="E659" s="4" t="s">
        <v>213</v>
      </c>
      <c r="F659" s="1" t="s">
        <v>2446</v>
      </c>
      <c r="G659" s="10" t="s">
        <v>20</v>
      </c>
      <c r="H659" s="15">
        <v>30000</v>
      </c>
      <c r="I659" s="2">
        <v>18000</v>
      </c>
      <c r="J659" s="192">
        <v>12000</v>
      </c>
      <c r="K659" s="1" t="s">
        <v>4035</v>
      </c>
      <c r="L659" s="11">
        <v>144000</v>
      </c>
      <c r="M659" s="11">
        <v>121008.40336134455</v>
      </c>
      <c r="N659" s="11">
        <v>22991.596638655465</v>
      </c>
      <c r="O659" s="11">
        <v>200000</v>
      </c>
      <c r="P659" s="11">
        <v>168067.22689075631</v>
      </c>
      <c r="Q659" s="11">
        <v>31932.773109243699</v>
      </c>
      <c r="R659" s="11">
        <v>8941.1764705882342</v>
      </c>
      <c r="S659" s="11">
        <v>47058.823529411777</v>
      </c>
      <c r="T659" s="11"/>
    </row>
    <row r="660" spans="1:20" ht="45" hidden="1" x14ac:dyDescent="0.25">
      <c r="A660" s="56">
        <v>44897</v>
      </c>
      <c r="B660" s="4" t="s">
        <v>4062</v>
      </c>
      <c r="C660" s="191" t="s">
        <v>129</v>
      </c>
      <c r="D660" s="1" t="s">
        <v>125</v>
      </c>
      <c r="E660" s="4" t="s">
        <v>202</v>
      </c>
      <c r="F660" s="1" t="s">
        <v>2446</v>
      </c>
      <c r="G660" s="10" t="s">
        <v>4063</v>
      </c>
      <c r="H660" s="15">
        <v>80000</v>
      </c>
      <c r="I660" s="2">
        <v>56000</v>
      </c>
      <c r="J660" s="192">
        <v>24000</v>
      </c>
      <c r="L660" s="11"/>
      <c r="M660" s="11">
        <v>0</v>
      </c>
      <c r="N660" s="11">
        <v>0</v>
      </c>
      <c r="O660" s="11"/>
      <c r="P660" s="11">
        <v>0</v>
      </c>
      <c r="Q660" s="11">
        <v>0</v>
      </c>
      <c r="R660" s="11">
        <v>0</v>
      </c>
      <c r="S660" s="11">
        <v>0</v>
      </c>
      <c r="T660" s="11"/>
    </row>
    <row r="661" spans="1:20" ht="30" hidden="1" x14ac:dyDescent="0.25">
      <c r="A661" s="56">
        <v>44897</v>
      </c>
      <c r="B661" s="4" t="s">
        <v>4036</v>
      </c>
      <c r="C661" s="191" t="s">
        <v>129</v>
      </c>
      <c r="D661" s="1" t="s">
        <v>125</v>
      </c>
      <c r="E661" s="4" t="s">
        <v>202</v>
      </c>
      <c r="F661" s="1" t="s">
        <v>2446</v>
      </c>
      <c r="G661" s="10" t="s">
        <v>4037</v>
      </c>
      <c r="H661" s="15">
        <v>180000</v>
      </c>
      <c r="I661" s="2">
        <v>125999.99999999999</v>
      </c>
      <c r="J661" s="192">
        <v>54000.000000000015</v>
      </c>
      <c r="L661" s="11"/>
      <c r="M661" s="11">
        <v>0</v>
      </c>
      <c r="N661" s="11">
        <v>0</v>
      </c>
      <c r="O661" s="11"/>
      <c r="P661" s="11">
        <v>0</v>
      </c>
      <c r="Q661" s="11">
        <v>0</v>
      </c>
      <c r="R661" s="11">
        <v>0</v>
      </c>
      <c r="S661" s="11">
        <v>0</v>
      </c>
      <c r="T661" s="11"/>
    </row>
    <row r="662" spans="1:20" hidden="1" x14ac:dyDescent="0.25">
      <c r="A662" s="56">
        <v>44897</v>
      </c>
      <c r="B662" s="4" t="s">
        <v>4039</v>
      </c>
      <c r="C662" s="191" t="s">
        <v>2761</v>
      </c>
      <c r="D662" s="1" t="s">
        <v>2778</v>
      </c>
      <c r="E662" s="4" t="s">
        <v>59</v>
      </c>
      <c r="F662" s="1" t="s">
        <v>2446</v>
      </c>
      <c r="G662" s="10" t="s">
        <v>4040</v>
      </c>
      <c r="H662" s="15">
        <v>80000</v>
      </c>
      <c r="I662" s="2">
        <v>48000</v>
      </c>
      <c r="J662" s="192">
        <v>32000</v>
      </c>
      <c r="L662" s="11"/>
      <c r="M662" s="11">
        <v>0</v>
      </c>
      <c r="N662" s="11">
        <v>0</v>
      </c>
      <c r="O662" s="11"/>
      <c r="P662" s="11">
        <v>0</v>
      </c>
      <c r="Q662" s="11">
        <v>0</v>
      </c>
      <c r="R662" s="11">
        <v>0</v>
      </c>
      <c r="S662" s="11">
        <v>0</v>
      </c>
      <c r="T662" s="11"/>
    </row>
    <row r="663" spans="1:20" hidden="1" x14ac:dyDescent="0.25">
      <c r="A663" s="56">
        <v>44897</v>
      </c>
      <c r="C663" s="191"/>
      <c r="E663" s="4"/>
      <c r="G663" s="10" t="s">
        <v>4041</v>
      </c>
      <c r="H663" s="15">
        <v>20000</v>
      </c>
      <c r="I663" s="2">
        <v>14000</v>
      </c>
      <c r="J663" s="192">
        <v>6000</v>
      </c>
      <c r="L663" s="11"/>
      <c r="M663" s="11">
        <v>0</v>
      </c>
      <c r="N663" s="11">
        <v>0</v>
      </c>
      <c r="O663" s="11"/>
      <c r="P663" s="11">
        <v>0</v>
      </c>
      <c r="Q663" s="11">
        <v>0</v>
      </c>
      <c r="R663" s="11">
        <v>0</v>
      </c>
      <c r="S663" s="11">
        <v>0</v>
      </c>
      <c r="T663" s="11"/>
    </row>
    <row r="664" spans="1:20" hidden="1" x14ac:dyDescent="0.25">
      <c r="A664" s="56">
        <v>44897</v>
      </c>
      <c r="B664" s="4" t="s">
        <v>4044</v>
      </c>
      <c r="C664" s="191" t="s">
        <v>4045</v>
      </c>
      <c r="D664" s="1" t="s">
        <v>4042</v>
      </c>
      <c r="E664" s="4" t="s">
        <v>54</v>
      </c>
      <c r="F664" s="1" t="s">
        <v>2446</v>
      </c>
      <c r="G664" s="10" t="s">
        <v>4043</v>
      </c>
      <c r="H664" s="15">
        <v>50000</v>
      </c>
      <c r="I664" s="2">
        <v>30000</v>
      </c>
      <c r="J664" s="192">
        <v>20000</v>
      </c>
      <c r="K664" s="1" t="s">
        <v>4046</v>
      </c>
      <c r="L664" s="11">
        <v>100000</v>
      </c>
      <c r="M664" s="11">
        <v>84033.613445378156</v>
      </c>
      <c r="N664" s="11">
        <v>15966.386554621849</v>
      </c>
      <c r="O664" s="11">
        <v>130000</v>
      </c>
      <c r="P664" s="11">
        <v>109243.6974789916</v>
      </c>
      <c r="Q664" s="11">
        <v>20756.302521008405</v>
      </c>
      <c r="R664" s="11">
        <v>4789.9159663865557</v>
      </c>
      <c r="S664" s="11">
        <v>25210.084033613442</v>
      </c>
      <c r="T664" s="11"/>
    </row>
    <row r="665" spans="1:20" hidden="1" x14ac:dyDescent="0.25">
      <c r="A665" s="56">
        <v>44897</v>
      </c>
      <c r="B665" s="4" t="s">
        <v>1601</v>
      </c>
      <c r="C665" s="191" t="s">
        <v>1278</v>
      </c>
      <c r="D665" s="1" t="s">
        <v>386</v>
      </c>
      <c r="E665" s="4" t="s">
        <v>3663</v>
      </c>
      <c r="F665" s="1" t="s">
        <v>2446</v>
      </c>
      <c r="G665" s="10" t="s">
        <v>4048</v>
      </c>
      <c r="H665" s="15">
        <v>70000</v>
      </c>
      <c r="I665" s="2">
        <v>42000</v>
      </c>
      <c r="J665" s="192">
        <v>28000</v>
      </c>
      <c r="K665" s="1" t="s">
        <v>4047</v>
      </c>
      <c r="L665" s="11">
        <v>40000</v>
      </c>
      <c r="M665" s="11"/>
      <c r="N665" s="11">
        <v>0</v>
      </c>
      <c r="O665" s="11">
        <v>90000</v>
      </c>
      <c r="P665" s="11">
        <v>75630.252100840342</v>
      </c>
      <c r="Q665" s="11">
        <v>14369.747899159665</v>
      </c>
      <c r="R665" s="11">
        <v>14369.747899159665</v>
      </c>
      <c r="S665" s="11">
        <v>35630.252100840335</v>
      </c>
      <c r="T665" s="11"/>
    </row>
    <row r="666" spans="1:20" hidden="1" x14ac:dyDescent="0.25">
      <c r="A666" s="56">
        <v>44897</v>
      </c>
      <c r="C666" s="191" t="s">
        <v>4049</v>
      </c>
      <c r="D666" s="1" t="s">
        <v>4050</v>
      </c>
      <c r="E666" s="4" t="s">
        <v>76</v>
      </c>
      <c r="F666" s="1" t="s">
        <v>2446</v>
      </c>
      <c r="G666" s="10" t="s">
        <v>4051</v>
      </c>
      <c r="H666" s="15">
        <v>50000</v>
      </c>
      <c r="I666" s="2">
        <v>30000</v>
      </c>
      <c r="J666" s="192">
        <v>20000</v>
      </c>
      <c r="L666" s="11"/>
      <c r="M666" s="11">
        <v>0</v>
      </c>
      <c r="N666" s="11">
        <v>0</v>
      </c>
      <c r="O666" s="11"/>
      <c r="P666" s="11">
        <v>0</v>
      </c>
      <c r="Q666" s="11">
        <v>0</v>
      </c>
      <c r="R666" s="11">
        <v>0</v>
      </c>
      <c r="S666" s="11">
        <v>0</v>
      </c>
      <c r="T666" s="11"/>
    </row>
    <row r="667" spans="1:20" hidden="1" x14ac:dyDescent="0.25">
      <c r="A667" s="56">
        <v>44897</v>
      </c>
      <c r="C667" s="191"/>
      <c r="D667" s="1" t="s">
        <v>2105</v>
      </c>
      <c r="E667" s="4" t="s">
        <v>3545</v>
      </c>
      <c r="F667" s="1" t="s">
        <v>2446</v>
      </c>
      <c r="G667" s="10" t="s">
        <v>4052</v>
      </c>
      <c r="H667" s="15">
        <v>20000</v>
      </c>
      <c r="I667" s="2">
        <v>12000</v>
      </c>
      <c r="J667" s="192">
        <v>8000</v>
      </c>
      <c r="K667" s="1" t="s">
        <v>4053</v>
      </c>
      <c r="L667" s="11">
        <v>28000</v>
      </c>
      <c r="M667" s="11">
        <v>23529.411764705885</v>
      </c>
      <c r="N667" s="11">
        <v>4470.588235294118</v>
      </c>
      <c r="O667" s="11">
        <v>41000</v>
      </c>
      <c r="P667" s="11">
        <v>34453.781512605041</v>
      </c>
      <c r="Q667" s="11">
        <v>6546.2184873949582</v>
      </c>
      <c r="R667" s="11">
        <v>2075.6302521008402</v>
      </c>
      <c r="S667" s="11">
        <v>10924.36974789916</v>
      </c>
      <c r="T667" s="11"/>
    </row>
    <row r="668" spans="1:20" hidden="1" x14ac:dyDescent="0.25">
      <c r="A668" s="56">
        <v>44897</v>
      </c>
      <c r="C668" s="191" t="s">
        <v>4055</v>
      </c>
      <c r="D668" s="1" t="s">
        <v>4056</v>
      </c>
      <c r="E668" s="4" t="s">
        <v>64</v>
      </c>
      <c r="F668" s="1" t="s">
        <v>3666</v>
      </c>
      <c r="G668" s="10" t="s">
        <v>4054</v>
      </c>
      <c r="H668" s="15">
        <v>148000</v>
      </c>
      <c r="I668" s="2">
        <v>74000</v>
      </c>
      <c r="J668" s="192">
        <v>74000</v>
      </c>
      <c r="L668" s="11"/>
      <c r="M668" s="11">
        <v>0</v>
      </c>
      <c r="N668" s="11">
        <v>0</v>
      </c>
      <c r="O668" s="11"/>
      <c r="P668" s="11">
        <v>0</v>
      </c>
      <c r="Q668" s="11">
        <v>0</v>
      </c>
      <c r="R668" s="11">
        <v>0</v>
      </c>
      <c r="S668" s="11">
        <v>0</v>
      </c>
      <c r="T668" s="11"/>
    </row>
    <row r="669" spans="1:20" ht="30" hidden="1" x14ac:dyDescent="0.25">
      <c r="A669" s="56">
        <v>44897</v>
      </c>
      <c r="C669" s="191" t="s">
        <v>4057</v>
      </c>
      <c r="D669" s="1" t="s">
        <v>4058</v>
      </c>
      <c r="E669" s="4" t="s">
        <v>2168</v>
      </c>
      <c r="F669" s="1" t="s">
        <v>2446</v>
      </c>
      <c r="G669" s="10" t="s">
        <v>4066</v>
      </c>
      <c r="H669" s="15">
        <v>120000</v>
      </c>
      <c r="I669" s="2">
        <v>72000</v>
      </c>
      <c r="J669" s="192">
        <v>48000</v>
      </c>
      <c r="K669" s="1" t="s">
        <v>4059</v>
      </c>
      <c r="L669" s="11">
        <v>307000</v>
      </c>
      <c r="M669" s="11">
        <v>257983.19327731093</v>
      </c>
      <c r="N669" s="11">
        <v>49016.806722689078</v>
      </c>
      <c r="O669" s="11">
        <v>430000</v>
      </c>
      <c r="P669" s="11">
        <v>361344.53781512607</v>
      </c>
      <c r="Q669" s="11">
        <v>68655.462184873948</v>
      </c>
      <c r="R669" s="11">
        <v>19638.65546218487</v>
      </c>
      <c r="S669" s="11">
        <v>103361.34453781514</v>
      </c>
      <c r="T669" s="11"/>
    </row>
    <row r="670" spans="1:20" ht="30" hidden="1" x14ac:dyDescent="0.25">
      <c r="A670" s="56">
        <v>44898</v>
      </c>
      <c r="B670" s="4" t="s">
        <v>4071</v>
      </c>
      <c r="C670" s="191" t="s">
        <v>4067</v>
      </c>
      <c r="D670" s="1" t="s">
        <v>4068</v>
      </c>
      <c r="E670" s="4" t="s">
        <v>2285</v>
      </c>
      <c r="F670" s="1" t="s">
        <v>2446</v>
      </c>
      <c r="G670" s="10" t="s">
        <v>4069</v>
      </c>
      <c r="H670" s="15">
        <v>90000</v>
      </c>
      <c r="I670" s="2">
        <v>54000</v>
      </c>
      <c r="J670" s="192">
        <v>36000</v>
      </c>
      <c r="K670" s="1" t="s">
        <v>4070</v>
      </c>
      <c r="L670" s="11">
        <v>205000</v>
      </c>
      <c r="M670" s="11">
        <v>172268.90756302522</v>
      </c>
      <c r="N670" s="11">
        <v>32731.092436974792</v>
      </c>
      <c r="O670" s="11">
        <v>250000</v>
      </c>
      <c r="P670" s="11">
        <v>210084.03361344538</v>
      </c>
      <c r="Q670" s="11">
        <v>39915.966386554624</v>
      </c>
      <c r="R670" s="11">
        <v>7184.8739495798327</v>
      </c>
      <c r="S670" s="11">
        <v>37815.126050420164</v>
      </c>
      <c r="T670" s="11"/>
    </row>
    <row r="671" spans="1:20" hidden="1" x14ac:dyDescent="0.25">
      <c r="A671" s="56">
        <v>44900</v>
      </c>
      <c r="C671" s="191" t="s">
        <v>1278</v>
      </c>
      <c r="D671" s="1" t="s">
        <v>380</v>
      </c>
      <c r="E671" s="4" t="s">
        <v>59</v>
      </c>
      <c r="F671" s="1" t="s">
        <v>2446</v>
      </c>
      <c r="G671" s="10" t="s">
        <v>1159</v>
      </c>
      <c r="H671" s="15">
        <v>10000</v>
      </c>
      <c r="I671" s="2">
        <v>6000</v>
      </c>
      <c r="J671" s="192">
        <v>4000</v>
      </c>
      <c r="L671" s="11"/>
      <c r="M671" s="11">
        <v>0</v>
      </c>
      <c r="N671" s="11">
        <v>0</v>
      </c>
      <c r="O671" s="11"/>
      <c r="P671" s="11">
        <v>0</v>
      </c>
      <c r="Q671" s="11">
        <v>0</v>
      </c>
      <c r="R671" s="11">
        <v>0</v>
      </c>
      <c r="S671" s="11">
        <v>0</v>
      </c>
      <c r="T671" s="11"/>
    </row>
    <row r="672" spans="1:20" hidden="1" x14ac:dyDescent="0.25">
      <c r="A672" s="56">
        <v>44900</v>
      </c>
      <c r="C672" s="191"/>
      <c r="E672" s="4" t="s">
        <v>46</v>
      </c>
      <c r="F672" s="1" t="s">
        <v>2446</v>
      </c>
      <c r="G672" s="10" t="s">
        <v>4072</v>
      </c>
      <c r="H672" s="15">
        <v>20000</v>
      </c>
      <c r="I672" s="2">
        <v>12000</v>
      </c>
      <c r="J672" s="192">
        <v>8000</v>
      </c>
      <c r="L672" s="11"/>
      <c r="M672" s="11">
        <v>0</v>
      </c>
      <c r="N672" s="11">
        <v>0</v>
      </c>
      <c r="O672" s="11"/>
      <c r="P672" s="11">
        <v>0</v>
      </c>
      <c r="Q672" s="11">
        <v>0</v>
      </c>
      <c r="R672" s="11">
        <v>0</v>
      </c>
      <c r="S672" s="11">
        <v>0</v>
      </c>
      <c r="T672" s="11"/>
    </row>
    <row r="673" spans="1:20" hidden="1" x14ac:dyDescent="0.25">
      <c r="A673" s="56">
        <v>44900</v>
      </c>
      <c r="B673" s="4" t="s">
        <v>4075</v>
      </c>
      <c r="C673" s="191" t="s">
        <v>4073</v>
      </c>
      <c r="D673" s="1" t="s">
        <v>2078</v>
      </c>
      <c r="E673" s="4" t="s">
        <v>76</v>
      </c>
      <c r="F673" s="1" t="s">
        <v>2446</v>
      </c>
      <c r="G673" s="10" t="s">
        <v>4171</v>
      </c>
      <c r="H673" s="15">
        <v>50000</v>
      </c>
      <c r="I673" s="2">
        <v>30000</v>
      </c>
      <c r="J673" s="192">
        <v>20000</v>
      </c>
      <c r="K673" s="1" t="s">
        <v>4074</v>
      </c>
      <c r="L673" s="11">
        <v>35000</v>
      </c>
      <c r="M673" s="11">
        <v>29411.764705882353</v>
      </c>
      <c r="N673" s="11">
        <v>5588.2352941176468</v>
      </c>
      <c r="O673" s="11">
        <v>45000</v>
      </c>
      <c r="P673" s="11">
        <v>37815.126050420171</v>
      </c>
      <c r="Q673" s="11">
        <v>7184.8739495798327</v>
      </c>
      <c r="R673" s="11">
        <v>1596.6386554621859</v>
      </c>
      <c r="S673" s="11">
        <v>8403.3613445378141</v>
      </c>
      <c r="T673" s="11"/>
    </row>
    <row r="674" spans="1:20" hidden="1" x14ac:dyDescent="0.25">
      <c r="A674" s="56">
        <v>44900</v>
      </c>
      <c r="C674" s="191" t="s">
        <v>4076</v>
      </c>
      <c r="D674" s="1" t="s">
        <v>4077</v>
      </c>
      <c r="E674" s="4"/>
      <c r="F674" s="1" t="s">
        <v>3666</v>
      </c>
      <c r="G674" s="10" t="s">
        <v>1794</v>
      </c>
      <c r="H674" s="15">
        <v>250000</v>
      </c>
      <c r="I674" s="2">
        <v>125000</v>
      </c>
      <c r="J674" s="192">
        <v>125000</v>
      </c>
      <c r="L674" s="11"/>
      <c r="M674" s="11">
        <v>0</v>
      </c>
      <c r="N674" s="11">
        <v>0</v>
      </c>
      <c r="O674" s="11"/>
      <c r="P674" s="11">
        <v>0</v>
      </c>
      <c r="Q674" s="11">
        <v>0</v>
      </c>
      <c r="R674" s="11">
        <v>0</v>
      </c>
      <c r="S674" s="11">
        <v>0</v>
      </c>
      <c r="T674" s="11"/>
    </row>
    <row r="675" spans="1:20" hidden="1" x14ac:dyDescent="0.25">
      <c r="A675" s="56">
        <v>44900</v>
      </c>
      <c r="C675" s="191"/>
      <c r="E675" s="4" t="s">
        <v>1574</v>
      </c>
      <c r="F675" s="1" t="s">
        <v>34</v>
      </c>
      <c r="G675" s="10" t="s">
        <v>4082</v>
      </c>
      <c r="H675" s="15">
        <v>10000</v>
      </c>
      <c r="I675" s="2">
        <v>7000</v>
      </c>
      <c r="J675" s="192">
        <v>3000</v>
      </c>
      <c r="K675" s="1" t="s">
        <v>676</v>
      </c>
      <c r="L675" s="11">
        <v>15000</v>
      </c>
      <c r="M675" s="11"/>
      <c r="N675" s="11">
        <v>0</v>
      </c>
      <c r="O675" s="11">
        <v>30000</v>
      </c>
      <c r="P675" s="11"/>
      <c r="Q675" s="11">
        <v>0</v>
      </c>
      <c r="R675" s="11">
        <v>0</v>
      </c>
      <c r="S675" s="11">
        <v>15000</v>
      </c>
      <c r="T675" s="11"/>
    </row>
    <row r="676" spans="1:20" hidden="1" x14ac:dyDescent="0.25">
      <c r="A676" s="56">
        <v>44900</v>
      </c>
      <c r="B676" s="4" t="s">
        <v>4083</v>
      </c>
      <c r="C676" s="191" t="s">
        <v>2571</v>
      </c>
      <c r="D676" s="1" t="s">
        <v>2514</v>
      </c>
      <c r="E676" s="4" t="s">
        <v>200</v>
      </c>
      <c r="F676" s="1" t="s">
        <v>2446</v>
      </c>
      <c r="G676" s="10" t="s">
        <v>4084</v>
      </c>
      <c r="H676" s="15">
        <v>80000</v>
      </c>
      <c r="I676" s="2">
        <v>48000</v>
      </c>
      <c r="J676" s="192">
        <v>32000</v>
      </c>
      <c r="L676" s="11"/>
      <c r="M676" s="11">
        <v>0</v>
      </c>
      <c r="N676" s="11">
        <v>0</v>
      </c>
      <c r="O676" s="11"/>
      <c r="P676" s="11">
        <v>0</v>
      </c>
      <c r="Q676" s="11">
        <v>0</v>
      </c>
      <c r="R676" s="11">
        <v>0</v>
      </c>
      <c r="S676" s="11">
        <v>0</v>
      </c>
      <c r="T676" s="11"/>
    </row>
    <row r="677" spans="1:20" hidden="1" x14ac:dyDescent="0.25">
      <c r="A677" s="56">
        <v>44900</v>
      </c>
      <c r="C677" s="191"/>
      <c r="E677" s="4" t="s">
        <v>4177</v>
      </c>
      <c r="G677" s="10" t="s">
        <v>3984</v>
      </c>
      <c r="H677" s="15">
        <v>90000</v>
      </c>
      <c r="I677" s="2">
        <v>45000</v>
      </c>
      <c r="J677" s="192">
        <v>45000</v>
      </c>
      <c r="L677" s="11"/>
      <c r="M677" s="11">
        <v>0</v>
      </c>
      <c r="N677" s="11">
        <v>0</v>
      </c>
      <c r="O677" s="11"/>
      <c r="P677" s="11">
        <v>0</v>
      </c>
      <c r="Q677" s="11">
        <v>0</v>
      </c>
      <c r="R677" s="11">
        <v>0</v>
      </c>
      <c r="S677" s="11">
        <v>0</v>
      </c>
      <c r="T677" s="11"/>
    </row>
    <row r="678" spans="1:20" hidden="1" x14ac:dyDescent="0.25">
      <c r="A678" s="56">
        <v>44900</v>
      </c>
      <c r="C678" s="191"/>
      <c r="D678" s="1" t="s">
        <v>4085</v>
      </c>
      <c r="E678" s="4" t="s">
        <v>1077</v>
      </c>
      <c r="F678" s="1" t="s">
        <v>3666</v>
      </c>
      <c r="G678" s="10" t="s">
        <v>3538</v>
      </c>
      <c r="H678" s="15">
        <v>60000</v>
      </c>
      <c r="I678" s="2">
        <v>30000</v>
      </c>
      <c r="J678" s="192">
        <v>30000</v>
      </c>
      <c r="L678" s="11"/>
      <c r="M678" s="11">
        <v>0</v>
      </c>
      <c r="N678" s="11">
        <v>0</v>
      </c>
      <c r="O678" s="11"/>
      <c r="P678" s="11">
        <v>0</v>
      </c>
      <c r="Q678" s="11">
        <v>0</v>
      </c>
      <c r="R678" s="11">
        <v>0</v>
      </c>
      <c r="S678" s="11">
        <v>0</v>
      </c>
      <c r="T678" s="11"/>
    </row>
    <row r="679" spans="1:20" hidden="1" x14ac:dyDescent="0.25">
      <c r="A679" s="56">
        <v>44900</v>
      </c>
      <c r="B679" s="4" t="s">
        <v>4087</v>
      </c>
      <c r="C679" s="191" t="s">
        <v>4088</v>
      </c>
      <c r="D679" s="1" t="s">
        <v>4086</v>
      </c>
      <c r="E679" s="4" t="s">
        <v>677</v>
      </c>
      <c r="F679" s="1" t="s">
        <v>2446</v>
      </c>
      <c r="G679" s="10" t="s">
        <v>4089</v>
      </c>
      <c r="H679" s="15">
        <v>180000</v>
      </c>
      <c r="I679" s="2">
        <v>108000</v>
      </c>
      <c r="J679" s="192"/>
      <c r="K679" s="1" t="s">
        <v>4090</v>
      </c>
      <c r="L679" s="11">
        <v>420000</v>
      </c>
      <c r="M679" s="11">
        <v>352941.17647058825</v>
      </c>
      <c r="N679" s="11">
        <v>67058.823529411762</v>
      </c>
      <c r="O679" s="11">
        <v>284000</v>
      </c>
      <c r="P679" s="11">
        <v>238655.46218487396</v>
      </c>
      <c r="Q679" s="11">
        <v>45344.537815126052</v>
      </c>
      <c r="R679" s="11">
        <v>-21714.28571428571</v>
      </c>
      <c r="S679" s="11">
        <v>-114285.71428571432</v>
      </c>
      <c r="T679" s="11"/>
    </row>
    <row r="680" spans="1:20" hidden="1" x14ac:dyDescent="0.25">
      <c r="A680" s="56">
        <v>44900</v>
      </c>
      <c r="B680" s="4" t="s">
        <v>4095</v>
      </c>
      <c r="C680" s="191" t="s">
        <v>4091</v>
      </c>
      <c r="D680" s="1" t="s">
        <v>4092</v>
      </c>
      <c r="E680" s="4" t="s">
        <v>688</v>
      </c>
      <c r="F680" s="1" t="s">
        <v>3666</v>
      </c>
      <c r="G680" s="10" t="s">
        <v>4093</v>
      </c>
      <c r="H680" s="15">
        <v>30000</v>
      </c>
      <c r="I680" s="2">
        <v>15000</v>
      </c>
      <c r="J680" s="192">
        <v>15000</v>
      </c>
      <c r="K680" s="1" t="s">
        <v>4094</v>
      </c>
      <c r="L680" s="11">
        <v>60000</v>
      </c>
      <c r="M680" s="11">
        <v>50420.168067226892</v>
      </c>
      <c r="N680" s="11">
        <v>9579.8319327731097</v>
      </c>
      <c r="O680" s="11">
        <v>70000</v>
      </c>
      <c r="P680" s="11">
        <v>58823.529411764706</v>
      </c>
      <c r="Q680" s="11">
        <v>11176.470588235294</v>
      </c>
      <c r="R680" s="11">
        <v>1596.638655462184</v>
      </c>
      <c r="S680" s="11">
        <v>8403.3613445378141</v>
      </c>
      <c r="T680" s="11"/>
    </row>
    <row r="681" spans="1:20" hidden="1" x14ac:dyDescent="0.25">
      <c r="A681" s="56">
        <v>44900</v>
      </c>
      <c r="B681" s="4" t="s">
        <v>4095</v>
      </c>
      <c r="C681" s="191" t="s">
        <v>4091</v>
      </c>
      <c r="D681" s="1" t="s">
        <v>4092</v>
      </c>
      <c r="E681" s="4" t="s">
        <v>688</v>
      </c>
      <c r="F681" s="1" t="s">
        <v>2446</v>
      </c>
      <c r="G681" s="10" t="s">
        <v>4096</v>
      </c>
      <c r="H681" s="15">
        <v>120000</v>
      </c>
      <c r="I681" s="2">
        <v>72000</v>
      </c>
      <c r="J681" s="192">
        <v>48000</v>
      </c>
      <c r="K681" s="1" t="s">
        <v>4097</v>
      </c>
      <c r="L681" s="11">
        <v>151000</v>
      </c>
      <c r="M681" s="11">
        <v>126890.75630252101</v>
      </c>
      <c r="N681" s="11">
        <v>24109.243697478993</v>
      </c>
      <c r="O681" s="11">
        <v>200000</v>
      </c>
      <c r="P681" s="11">
        <v>168067.22689075631</v>
      </c>
      <c r="Q681" s="11">
        <v>31932.773109243699</v>
      </c>
      <c r="R681" s="11">
        <v>7823.5294117647063</v>
      </c>
      <c r="S681" s="11">
        <v>41176.470588235301</v>
      </c>
      <c r="T681" s="11"/>
    </row>
    <row r="682" spans="1:20" hidden="1" x14ac:dyDescent="0.25">
      <c r="A682" s="56">
        <v>44900</v>
      </c>
      <c r="C682" s="191" t="s">
        <v>4098</v>
      </c>
      <c r="D682" s="1" t="s">
        <v>2365</v>
      </c>
      <c r="E682" s="4" t="s">
        <v>59</v>
      </c>
      <c r="F682" s="1" t="s">
        <v>2446</v>
      </c>
      <c r="G682" s="10" t="s">
        <v>3963</v>
      </c>
      <c r="H682" s="15">
        <v>30000</v>
      </c>
      <c r="I682" s="2">
        <v>18000</v>
      </c>
      <c r="J682" s="192">
        <v>12000</v>
      </c>
      <c r="L682" s="11"/>
      <c r="M682" s="11">
        <v>0</v>
      </c>
      <c r="N682" s="11">
        <v>0</v>
      </c>
      <c r="O682" s="11"/>
      <c r="P682" s="11">
        <v>0</v>
      </c>
      <c r="Q682" s="11">
        <v>0</v>
      </c>
      <c r="R682" s="11">
        <v>0</v>
      </c>
      <c r="S682" s="11">
        <v>0</v>
      </c>
      <c r="T682" s="11"/>
    </row>
    <row r="683" spans="1:20" hidden="1" x14ac:dyDescent="0.25">
      <c r="A683" s="56">
        <v>44901</v>
      </c>
      <c r="B683" s="4" t="s">
        <v>4100</v>
      </c>
      <c r="C683" s="191" t="s">
        <v>1087</v>
      </c>
      <c r="D683" s="1" t="s">
        <v>1088</v>
      </c>
      <c r="E683" s="4" t="s">
        <v>1574</v>
      </c>
      <c r="F683" s="1" t="s">
        <v>2446</v>
      </c>
      <c r="G683" s="10" t="s">
        <v>4099</v>
      </c>
      <c r="H683" s="15">
        <v>40000</v>
      </c>
      <c r="I683" s="2">
        <v>24000</v>
      </c>
      <c r="J683" s="192">
        <v>16000</v>
      </c>
      <c r="K683" s="1" t="s">
        <v>4101</v>
      </c>
      <c r="L683" s="11">
        <v>90000</v>
      </c>
      <c r="M683" s="11">
        <v>75630.252100840342</v>
      </c>
      <c r="N683" s="11">
        <v>14369.747899159665</v>
      </c>
      <c r="O683" s="11">
        <v>116000</v>
      </c>
      <c r="P683" s="11">
        <v>97478.991596638662</v>
      </c>
      <c r="Q683" s="11">
        <v>18521.008403361346</v>
      </c>
      <c r="R683" s="11">
        <v>4151.2605042016803</v>
      </c>
      <c r="S683" s="11">
        <v>21848.73949579832</v>
      </c>
      <c r="T683" s="11"/>
    </row>
    <row r="684" spans="1:20" hidden="1" x14ac:dyDescent="0.25">
      <c r="A684" s="56">
        <v>44901</v>
      </c>
      <c r="C684" s="191" t="s">
        <v>4102</v>
      </c>
      <c r="D684" s="1" t="s">
        <v>3469</v>
      </c>
      <c r="E684" s="4" t="s">
        <v>84</v>
      </c>
      <c r="F684" s="1" t="s">
        <v>34</v>
      </c>
      <c r="G684" s="10" t="s">
        <v>341</v>
      </c>
      <c r="H684" s="15">
        <v>10000</v>
      </c>
      <c r="I684" s="2">
        <v>7000</v>
      </c>
      <c r="J684" s="192">
        <v>3000</v>
      </c>
      <c r="L684" s="11"/>
      <c r="M684" s="11">
        <v>0</v>
      </c>
      <c r="N684" s="11">
        <v>0</v>
      </c>
      <c r="O684" s="11"/>
      <c r="P684" s="11">
        <v>0</v>
      </c>
      <c r="Q684" s="11">
        <v>0</v>
      </c>
      <c r="R684" s="11">
        <v>0</v>
      </c>
      <c r="S684" s="11">
        <v>0</v>
      </c>
      <c r="T684" s="11"/>
    </row>
    <row r="685" spans="1:20" hidden="1" x14ac:dyDescent="0.25">
      <c r="A685" s="56">
        <v>44901</v>
      </c>
      <c r="C685" s="191"/>
      <c r="D685" s="1" t="s">
        <v>4103</v>
      </c>
      <c r="E685" s="4" t="s">
        <v>4104</v>
      </c>
      <c r="F685" s="1" t="s">
        <v>2446</v>
      </c>
      <c r="G685" s="10" t="s">
        <v>341</v>
      </c>
      <c r="H685" s="15">
        <v>20000</v>
      </c>
      <c r="I685" s="2">
        <v>12000</v>
      </c>
      <c r="J685" s="192">
        <v>8000</v>
      </c>
      <c r="L685" s="11"/>
      <c r="M685" s="11">
        <v>0</v>
      </c>
      <c r="N685" s="11">
        <v>0</v>
      </c>
      <c r="O685" s="11"/>
      <c r="P685" s="11">
        <v>0</v>
      </c>
      <c r="Q685" s="11">
        <v>0</v>
      </c>
      <c r="R685" s="11">
        <v>0</v>
      </c>
      <c r="S685" s="11">
        <v>0</v>
      </c>
      <c r="T685" s="11"/>
    </row>
    <row r="686" spans="1:20" hidden="1" x14ac:dyDescent="0.25">
      <c r="A686" s="56">
        <v>44901</v>
      </c>
      <c r="B686" s="4" t="s">
        <v>4105</v>
      </c>
      <c r="C686" s="191"/>
      <c r="D686" s="1" t="s">
        <v>1103</v>
      </c>
      <c r="E686" s="4" t="s">
        <v>200</v>
      </c>
      <c r="F686" s="1" t="s">
        <v>2446</v>
      </c>
      <c r="G686" s="10" t="s">
        <v>140</v>
      </c>
      <c r="H686" s="15">
        <v>80000</v>
      </c>
      <c r="I686" s="2">
        <v>48000</v>
      </c>
      <c r="J686" s="192">
        <v>32000</v>
      </c>
      <c r="L686" s="11"/>
      <c r="M686" s="11">
        <v>0</v>
      </c>
      <c r="N686" s="11">
        <v>0</v>
      </c>
      <c r="O686" s="11"/>
      <c r="P686" s="11">
        <v>0</v>
      </c>
      <c r="Q686" s="11">
        <v>0</v>
      </c>
      <c r="R686" s="11">
        <v>0</v>
      </c>
      <c r="S686" s="11">
        <v>0</v>
      </c>
      <c r="T686" s="11"/>
    </row>
    <row r="687" spans="1:20" ht="45" x14ac:dyDescent="0.25">
      <c r="A687" s="56">
        <v>44901</v>
      </c>
      <c r="B687" s="4" t="s">
        <v>4106</v>
      </c>
      <c r="C687" s="191" t="s">
        <v>2531</v>
      </c>
      <c r="D687" s="1" t="s">
        <v>2609</v>
      </c>
      <c r="E687" s="4" t="s">
        <v>1077</v>
      </c>
      <c r="F687" s="1" t="s">
        <v>3925</v>
      </c>
      <c r="G687" s="10" t="s">
        <v>4107</v>
      </c>
      <c r="H687" s="15">
        <v>350000</v>
      </c>
      <c r="I687" s="2">
        <v>210000</v>
      </c>
      <c r="J687" s="192">
        <v>140000</v>
      </c>
      <c r="K687" s="1" t="s">
        <v>4108</v>
      </c>
      <c r="L687" s="11">
        <v>231000</v>
      </c>
      <c r="M687" s="11">
        <v>194117.64705882352</v>
      </c>
      <c r="N687" s="11">
        <v>36882.352941176468</v>
      </c>
      <c r="O687" s="11">
        <v>323000</v>
      </c>
      <c r="P687" s="11">
        <v>271428.57142857142</v>
      </c>
      <c r="Q687" s="11">
        <v>51571.428571428572</v>
      </c>
      <c r="R687" s="11">
        <v>14689.075630252104</v>
      </c>
      <c r="S687" s="11">
        <v>77310.924369747896</v>
      </c>
      <c r="T687" s="11"/>
    </row>
    <row r="688" spans="1:20" hidden="1" x14ac:dyDescent="0.25">
      <c r="A688" s="56">
        <v>44901</v>
      </c>
      <c r="B688" s="4" t="s">
        <v>4109</v>
      </c>
      <c r="C688" s="191" t="s">
        <v>4110</v>
      </c>
      <c r="D688" s="1" t="s">
        <v>4111</v>
      </c>
      <c r="E688" s="4" t="s">
        <v>52</v>
      </c>
      <c r="F688" s="1" t="s">
        <v>2446</v>
      </c>
      <c r="G688" s="10" t="s">
        <v>4112</v>
      </c>
      <c r="H688" s="15">
        <v>80000</v>
      </c>
      <c r="I688" s="2">
        <v>48000</v>
      </c>
      <c r="J688" s="192">
        <v>32000</v>
      </c>
      <c r="K688" s="1" t="s">
        <v>4113</v>
      </c>
      <c r="L688" s="11">
        <v>116000</v>
      </c>
      <c r="M688" s="11">
        <v>97478.991596638662</v>
      </c>
      <c r="N688" s="11">
        <v>18521.008403361346</v>
      </c>
      <c r="O688" s="11">
        <v>193000</v>
      </c>
      <c r="P688" s="11">
        <v>162184.87394957984</v>
      </c>
      <c r="Q688" s="11">
        <v>30815.126050420171</v>
      </c>
      <c r="R688" s="11">
        <v>12294.117647058825</v>
      </c>
      <c r="S688" s="11">
        <v>64705.882352941175</v>
      </c>
      <c r="T688" s="11"/>
    </row>
    <row r="689" spans="1:20" hidden="1" x14ac:dyDescent="0.25">
      <c r="A689" s="56">
        <v>44902</v>
      </c>
      <c r="B689" s="4" t="s">
        <v>4119</v>
      </c>
      <c r="C689" s="191" t="s">
        <v>4114</v>
      </c>
      <c r="D689" s="1" t="s">
        <v>4115</v>
      </c>
      <c r="E689" s="4" t="s">
        <v>4116</v>
      </c>
      <c r="F689" s="1" t="s">
        <v>2446</v>
      </c>
      <c r="G689" s="10" t="s">
        <v>4117</v>
      </c>
      <c r="H689" s="15">
        <v>130000</v>
      </c>
      <c r="I689" s="2">
        <v>78000</v>
      </c>
      <c r="J689" s="192">
        <v>52000</v>
      </c>
      <c r="K689" s="1" t="s">
        <v>4118</v>
      </c>
      <c r="L689" s="11">
        <v>316000</v>
      </c>
      <c r="M689" s="11">
        <v>265546.21848739497</v>
      </c>
      <c r="N689" s="11">
        <v>50453.781512605048</v>
      </c>
      <c r="O689" s="11">
        <v>430000</v>
      </c>
      <c r="P689" s="11">
        <v>361344.53781512607</v>
      </c>
      <c r="Q689" s="11">
        <v>68655.462184873948</v>
      </c>
      <c r="R689" s="11">
        <v>18201.6806722689</v>
      </c>
      <c r="S689" s="11">
        <v>95798.319327731093</v>
      </c>
      <c r="T689" s="11"/>
    </row>
    <row r="690" spans="1:20" hidden="1" x14ac:dyDescent="0.25">
      <c r="A690" s="56">
        <v>44902</v>
      </c>
      <c r="C690" s="191" t="s">
        <v>4120</v>
      </c>
      <c r="D690" s="1" t="s">
        <v>4121</v>
      </c>
      <c r="E690" s="4" t="s">
        <v>540</v>
      </c>
      <c r="F690" s="1" t="s">
        <v>34</v>
      </c>
      <c r="G690" s="10" t="s">
        <v>4122</v>
      </c>
      <c r="H690" s="15">
        <v>30000</v>
      </c>
      <c r="I690" s="2">
        <v>21000</v>
      </c>
      <c r="J690" s="192">
        <v>9000</v>
      </c>
      <c r="K690" s="1" t="s">
        <v>4123</v>
      </c>
      <c r="L690" s="11">
        <v>25000</v>
      </c>
      <c r="M690" s="11"/>
      <c r="N690" s="11">
        <v>0</v>
      </c>
      <c r="O690" s="11">
        <v>50000</v>
      </c>
      <c r="P690" s="11">
        <v>42016.806722689078</v>
      </c>
      <c r="Q690" s="11">
        <v>7983.1932773109247</v>
      </c>
      <c r="R690" s="11">
        <v>7983.1932773109247</v>
      </c>
      <c r="S690" s="11">
        <v>17016.806722689078</v>
      </c>
      <c r="T690" s="11"/>
    </row>
    <row r="691" spans="1:20" hidden="1" x14ac:dyDescent="0.25">
      <c r="A691" s="56">
        <v>44902</v>
      </c>
      <c r="B691" s="4" t="s">
        <v>4124</v>
      </c>
      <c r="C691" s="191" t="s">
        <v>1718</v>
      </c>
      <c r="D691" s="1" t="s">
        <v>1719</v>
      </c>
      <c r="E691" s="4" t="s">
        <v>1332</v>
      </c>
      <c r="F691" s="1" t="s">
        <v>2446</v>
      </c>
      <c r="G691" s="10" t="s">
        <v>4125</v>
      </c>
      <c r="H691" s="15">
        <v>80000</v>
      </c>
      <c r="I691" s="2">
        <v>48000</v>
      </c>
      <c r="J691" s="192">
        <v>32000</v>
      </c>
      <c r="K691" s="1" t="s">
        <v>4126</v>
      </c>
      <c r="L691" s="11">
        <v>110000</v>
      </c>
      <c r="M691" s="11">
        <v>92436.97478991597</v>
      </c>
      <c r="N691" s="11">
        <v>17563.025210084033</v>
      </c>
      <c r="O691" s="11">
        <v>170000</v>
      </c>
      <c r="P691" s="11">
        <v>142857.14285714287</v>
      </c>
      <c r="Q691" s="11">
        <v>27142.857142857145</v>
      </c>
      <c r="R691" s="11">
        <v>9579.8319327731115</v>
      </c>
      <c r="S691" s="11">
        <v>50420.168067226885</v>
      </c>
      <c r="T691" s="11"/>
    </row>
    <row r="692" spans="1:20" hidden="1" x14ac:dyDescent="0.25">
      <c r="A692" s="56">
        <v>44902</v>
      </c>
      <c r="B692" s="4" t="s">
        <v>4128</v>
      </c>
      <c r="C692" s="191" t="s">
        <v>2769</v>
      </c>
      <c r="D692" s="1" t="s">
        <v>2770</v>
      </c>
      <c r="E692" s="4" t="s">
        <v>52</v>
      </c>
      <c r="F692" s="1" t="s">
        <v>2446</v>
      </c>
      <c r="G692" s="10" t="s">
        <v>4127</v>
      </c>
      <c r="H692" s="15">
        <v>140000</v>
      </c>
      <c r="I692" s="2">
        <v>84000</v>
      </c>
      <c r="J692" s="192">
        <v>56000</v>
      </c>
      <c r="K692" s="1" t="s">
        <v>4129</v>
      </c>
      <c r="L692" s="11">
        <v>127000</v>
      </c>
      <c r="M692" s="11">
        <v>106722.68907563026</v>
      </c>
      <c r="N692" s="11">
        <v>20277.310924369751</v>
      </c>
      <c r="O692" s="11">
        <v>190000</v>
      </c>
      <c r="P692" s="11">
        <v>159663.8655462185</v>
      </c>
      <c r="Q692" s="11">
        <v>30336.134453781517</v>
      </c>
      <c r="R692" s="11">
        <v>10058.823529411766</v>
      </c>
      <c r="S692" s="11">
        <v>52941.176470588223</v>
      </c>
      <c r="T692" s="11"/>
    </row>
    <row r="693" spans="1:20" ht="30" hidden="1" x14ac:dyDescent="0.25">
      <c r="A693" s="56">
        <v>44902</v>
      </c>
      <c r="B693" s="4" t="s">
        <v>4134</v>
      </c>
      <c r="C693" s="191" t="s">
        <v>4130</v>
      </c>
      <c r="D693" s="1" t="s">
        <v>4131</v>
      </c>
      <c r="E693" s="4" t="s">
        <v>2720</v>
      </c>
      <c r="F693" s="1" t="s">
        <v>3666</v>
      </c>
      <c r="G693" s="10" t="s">
        <v>4132</v>
      </c>
      <c r="H693" s="15">
        <v>80000</v>
      </c>
      <c r="I693" s="2">
        <v>40000</v>
      </c>
      <c r="J693" s="192">
        <v>40000</v>
      </c>
      <c r="K693" s="1" t="s">
        <v>4133</v>
      </c>
      <c r="L693" s="11">
        <v>75000</v>
      </c>
      <c r="M693" s="11">
        <v>63025.210084033613</v>
      </c>
      <c r="N693" s="11">
        <v>11974.789915966387</v>
      </c>
      <c r="O693" s="11">
        <v>94000</v>
      </c>
      <c r="P693" s="11">
        <v>78991.596638655465</v>
      </c>
      <c r="Q693" s="11">
        <v>15008.403361344539</v>
      </c>
      <c r="R693" s="11">
        <v>3033.6134453781524</v>
      </c>
      <c r="S693" s="11">
        <v>15966.386554621844</v>
      </c>
      <c r="T693" s="11"/>
    </row>
    <row r="694" spans="1:20" hidden="1" x14ac:dyDescent="0.25">
      <c r="A694" s="56">
        <v>44902</v>
      </c>
      <c r="C694" s="191" t="s">
        <v>4135</v>
      </c>
      <c r="D694" s="1" t="s">
        <v>4136</v>
      </c>
      <c r="E694" s="4" t="s">
        <v>59</v>
      </c>
      <c r="F694" s="1" t="s">
        <v>2446</v>
      </c>
      <c r="G694" s="10" t="s">
        <v>2324</v>
      </c>
      <c r="H694" s="15">
        <v>110000</v>
      </c>
      <c r="I694" s="2">
        <v>66000</v>
      </c>
      <c r="J694" s="192">
        <v>44000</v>
      </c>
      <c r="K694" s="1" t="s">
        <v>4137</v>
      </c>
      <c r="L694" s="11">
        <v>49800</v>
      </c>
      <c r="M694" s="11">
        <v>41848.73949579832</v>
      </c>
      <c r="N694" s="11">
        <v>7951.2605042016812</v>
      </c>
      <c r="O694" s="11">
        <v>110000</v>
      </c>
      <c r="P694" s="11">
        <v>92436.97478991597</v>
      </c>
      <c r="Q694" s="11">
        <v>17563.025210084033</v>
      </c>
      <c r="R694" s="11">
        <v>9611.7647058823532</v>
      </c>
      <c r="S694" s="11">
        <v>50588.23529411765</v>
      </c>
      <c r="T694" s="11"/>
    </row>
    <row r="695" spans="1:20" hidden="1" x14ac:dyDescent="0.25">
      <c r="A695" s="56">
        <v>44902</v>
      </c>
      <c r="C695" s="191" t="s">
        <v>4138</v>
      </c>
      <c r="D695" s="1" t="s">
        <v>4139</v>
      </c>
      <c r="E695" s="4" t="s">
        <v>2102</v>
      </c>
      <c r="F695" s="1" t="s">
        <v>34</v>
      </c>
      <c r="G695" s="10" t="s">
        <v>2972</v>
      </c>
      <c r="H695" s="15">
        <v>15000</v>
      </c>
      <c r="I695" s="2">
        <v>10500</v>
      </c>
      <c r="J695" s="192">
        <v>4500</v>
      </c>
      <c r="K695" s="1" t="s">
        <v>3765</v>
      </c>
      <c r="L695" s="11">
        <v>7000</v>
      </c>
      <c r="M695" s="11"/>
      <c r="N695" s="11">
        <v>0</v>
      </c>
      <c r="O695" s="11">
        <v>15000</v>
      </c>
      <c r="P695" s="11"/>
      <c r="Q695" s="11">
        <v>0</v>
      </c>
      <c r="R695" s="11">
        <v>0</v>
      </c>
      <c r="S695" s="11">
        <v>8000</v>
      </c>
      <c r="T695" s="11"/>
    </row>
    <row r="696" spans="1:20" hidden="1" x14ac:dyDescent="0.25">
      <c r="A696" s="56">
        <v>44902</v>
      </c>
      <c r="C696" s="191"/>
      <c r="D696" s="1" t="s">
        <v>4022</v>
      </c>
      <c r="E696" s="4" t="s">
        <v>2681</v>
      </c>
      <c r="F696" s="1" t="s">
        <v>3666</v>
      </c>
      <c r="G696" s="10" t="s">
        <v>3511</v>
      </c>
      <c r="H696" s="15">
        <v>100000</v>
      </c>
      <c r="I696" s="2">
        <v>50000</v>
      </c>
      <c r="J696" s="192">
        <v>50000</v>
      </c>
      <c r="L696" s="11"/>
      <c r="M696" s="11">
        <v>0</v>
      </c>
      <c r="N696" s="11">
        <v>0</v>
      </c>
      <c r="O696" s="11"/>
      <c r="P696" s="11">
        <v>0</v>
      </c>
      <c r="Q696" s="11">
        <v>0</v>
      </c>
      <c r="R696" s="11">
        <v>0</v>
      </c>
      <c r="S696" s="11">
        <v>0</v>
      </c>
      <c r="T696" s="11"/>
    </row>
    <row r="697" spans="1:20" hidden="1" x14ac:dyDescent="0.25">
      <c r="A697" s="56">
        <v>44902</v>
      </c>
      <c r="B697" s="4" t="s">
        <v>4140</v>
      </c>
      <c r="C697" s="191" t="s">
        <v>4141</v>
      </c>
      <c r="D697" s="1" t="s">
        <v>4142</v>
      </c>
      <c r="E697" s="4" t="s">
        <v>122</v>
      </c>
      <c r="F697" s="1" t="s">
        <v>2446</v>
      </c>
      <c r="G697" s="10" t="s">
        <v>4143</v>
      </c>
      <c r="H697" s="15">
        <v>100000</v>
      </c>
      <c r="I697" s="2">
        <v>60000</v>
      </c>
      <c r="J697" s="192">
        <v>40000</v>
      </c>
      <c r="K697" s="1" t="s">
        <v>4144</v>
      </c>
      <c r="L697" s="11">
        <v>47000</v>
      </c>
      <c r="M697" s="11">
        <v>39495.798319327732</v>
      </c>
      <c r="N697" s="11">
        <v>7504.2016806722695</v>
      </c>
      <c r="O697" s="11">
        <v>72000</v>
      </c>
      <c r="P697" s="11">
        <v>60504.201680672275</v>
      </c>
      <c r="Q697" s="11">
        <v>11495.798319327732</v>
      </c>
      <c r="R697" s="11">
        <v>3991.5966386554628</v>
      </c>
      <c r="S697" s="11">
        <v>21008.403361344535</v>
      </c>
      <c r="T697" s="11"/>
    </row>
    <row r="698" spans="1:20" hidden="1" x14ac:dyDescent="0.25">
      <c r="A698" s="56">
        <v>44902</v>
      </c>
      <c r="B698" s="4" t="s">
        <v>4176</v>
      </c>
      <c r="C698" s="191" t="s">
        <v>4145</v>
      </c>
      <c r="D698" s="1" t="s">
        <v>4146</v>
      </c>
      <c r="E698" s="4" t="s">
        <v>200</v>
      </c>
      <c r="F698" s="1" t="s">
        <v>3666</v>
      </c>
      <c r="G698" s="10" t="s">
        <v>3511</v>
      </c>
      <c r="H698" s="15">
        <v>80000</v>
      </c>
      <c r="I698" s="2">
        <v>40000</v>
      </c>
      <c r="J698" s="192">
        <v>40000</v>
      </c>
      <c r="L698" s="11"/>
      <c r="M698" s="11">
        <v>0</v>
      </c>
      <c r="N698" s="11">
        <v>0</v>
      </c>
      <c r="O698" s="11"/>
      <c r="P698" s="11">
        <v>0</v>
      </c>
      <c r="Q698" s="11">
        <v>0</v>
      </c>
      <c r="R698" s="11">
        <v>0</v>
      </c>
      <c r="S698" s="11">
        <v>0</v>
      </c>
      <c r="T698" s="11"/>
    </row>
    <row r="699" spans="1:20" hidden="1" x14ac:dyDescent="0.25">
      <c r="A699" s="56">
        <v>44902</v>
      </c>
      <c r="B699" s="4" t="s">
        <v>4176</v>
      </c>
      <c r="C699" s="191" t="s">
        <v>4145</v>
      </c>
      <c r="D699" s="1" t="s">
        <v>4146</v>
      </c>
      <c r="E699" s="4" t="s">
        <v>200</v>
      </c>
      <c r="F699" s="1" t="s">
        <v>2446</v>
      </c>
      <c r="G699" s="10" t="s">
        <v>4147</v>
      </c>
      <c r="H699" s="15">
        <v>280000</v>
      </c>
      <c r="I699" s="2">
        <v>200000</v>
      </c>
      <c r="J699" s="192">
        <v>80000</v>
      </c>
      <c r="K699" s="1" t="s">
        <v>4148</v>
      </c>
      <c r="L699" s="11">
        <v>190000</v>
      </c>
      <c r="M699" s="11"/>
      <c r="N699" s="11">
        <v>0</v>
      </c>
      <c r="O699" s="11">
        <v>270000</v>
      </c>
      <c r="P699" s="11"/>
      <c r="Q699" s="11">
        <v>0</v>
      </c>
      <c r="R699" s="11">
        <v>0</v>
      </c>
      <c r="S699" s="11">
        <v>80000</v>
      </c>
      <c r="T699" s="11"/>
    </row>
    <row r="700" spans="1:20" hidden="1" x14ac:dyDescent="0.25">
      <c r="A700" s="56">
        <v>44902</v>
      </c>
      <c r="B700" s="4" t="s">
        <v>4151</v>
      </c>
      <c r="C700" s="191" t="s">
        <v>4149</v>
      </c>
      <c r="D700" s="1" t="s">
        <v>4150</v>
      </c>
      <c r="E700" s="4" t="s">
        <v>64</v>
      </c>
      <c r="F700" s="1" t="s">
        <v>2446</v>
      </c>
      <c r="G700" s="10" t="s">
        <v>341</v>
      </c>
      <c r="H700" s="15">
        <v>15000</v>
      </c>
      <c r="I700" s="2">
        <v>9000</v>
      </c>
      <c r="J700" s="192">
        <v>6000</v>
      </c>
      <c r="L700" s="11"/>
      <c r="M700" s="11">
        <v>0</v>
      </c>
      <c r="N700" s="11">
        <v>0</v>
      </c>
      <c r="O700" s="11"/>
      <c r="P700" s="11">
        <v>0</v>
      </c>
      <c r="Q700" s="11">
        <v>0</v>
      </c>
      <c r="R700" s="11">
        <v>0</v>
      </c>
      <c r="S700" s="11">
        <v>0</v>
      </c>
      <c r="T700" s="11"/>
    </row>
    <row r="701" spans="1:20" hidden="1" x14ac:dyDescent="0.25">
      <c r="A701" s="56">
        <v>44903</v>
      </c>
      <c r="C701" s="191" t="s">
        <v>4152</v>
      </c>
      <c r="D701" s="1" t="s">
        <v>4153</v>
      </c>
      <c r="E701" s="4" t="s">
        <v>1196</v>
      </c>
      <c r="F701" s="1" t="s">
        <v>2446</v>
      </c>
      <c r="G701" s="10" t="s">
        <v>206</v>
      </c>
      <c r="H701" s="15">
        <v>70000</v>
      </c>
      <c r="I701" s="2">
        <v>42000</v>
      </c>
      <c r="J701" s="192">
        <v>28000</v>
      </c>
      <c r="K701" s="1" t="s">
        <v>4154</v>
      </c>
      <c r="L701" s="11">
        <v>14700</v>
      </c>
      <c r="M701" s="11">
        <v>12352.941176470589</v>
      </c>
      <c r="N701" s="11">
        <v>2347.0588235294122</v>
      </c>
      <c r="O701" s="11">
        <v>30000</v>
      </c>
      <c r="P701" s="11">
        <v>25210.084033613446</v>
      </c>
      <c r="Q701" s="11">
        <v>4789.9159663865548</v>
      </c>
      <c r="R701" s="11">
        <v>2442.8571428571427</v>
      </c>
      <c r="S701" s="11">
        <v>12857.142857142859</v>
      </c>
      <c r="T701" s="11"/>
    </row>
    <row r="702" spans="1:20" hidden="1" x14ac:dyDescent="0.25">
      <c r="A702" s="56">
        <v>44903</v>
      </c>
      <c r="C702" s="191" t="s">
        <v>4155</v>
      </c>
      <c r="D702" s="1" t="s">
        <v>4156</v>
      </c>
      <c r="E702" s="4" t="s">
        <v>48</v>
      </c>
      <c r="F702" s="1" t="s">
        <v>2446</v>
      </c>
      <c r="G702" s="10" t="s">
        <v>4157</v>
      </c>
      <c r="H702" s="15">
        <v>250000</v>
      </c>
      <c r="I702" s="2">
        <v>150000</v>
      </c>
      <c r="J702" s="192">
        <v>100000</v>
      </c>
      <c r="L702" s="11"/>
      <c r="M702" s="11">
        <v>0</v>
      </c>
      <c r="N702" s="11">
        <v>0</v>
      </c>
      <c r="O702" s="11"/>
      <c r="P702" s="11">
        <v>0</v>
      </c>
      <c r="Q702" s="11">
        <v>0</v>
      </c>
      <c r="R702" s="11">
        <v>0</v>
      </c>
      <c r="S702" s="11">
        <v>0</v>
      </c>
      <c r="T702" s="11"/>
    </row>
    <row r="703" spans="1:20" hidden="1" x14ac:dyDescent="0.25">
      <c r="A703" s="56">
        <v>44903</v>
      </c>
      <c r="C703" s="191"/>
      <c r="E703" s="4" t="s">
        <v>218</v>
      </c>
      <c r="F703" s="1" t="s">
        <v>2446</v>
      </c>
      <c r="G703" s="10" t="s">
        <v>4158</v>
      </c>
      <c r="H703" s="15">
        <v>70000</v>
      </c>
      <c r="I703" s="2">
        <v>42000</v>
      </c>
      <c r="J703" s="192">
        <v>28000</v>
      </c>
      <c r="L703" s="11"/>
      <c r="M703" s="11">
        <v>0</v>
      </c>
      <c r="N703" s="11">
        <v>0</v>
      </c>
      <c r="O703" s="11"/>
      <c r="P703" s="11">
        <v>0</v>
      </c>
      <c r="Q703" s="11">
        <v>0</v>
      </c>
      <c r="R703" s="11">
        <v>0</v>
      </c>
      <c r="S703" s="11">
        <v>0</v>
      </c>
      <c r="T703" s="11"/>
    </row>
    <row r="704" spans="1:20" hidden="1" x14ac:dyDescent="0.25">
      <c r="A704" s="56">
        <v>44903</v>
      </c>
      <c r="C704" s="191" t="s">
        <v>4174</v>
      </c>
      <c r="D704" s="1" t="s">
        <v>3867</v>
      </c>
      <c r="E704" s="4" t="s">
        <v>52</v>
      </c>
      <c r="F704" s="1" t="s">
        <v>2446</v>
      </c>
      <c r="G704" s="10" t="s">
        <v>21</v>
      </c>
      <c r="H704" s="15">
        <v>15000</v>
      </c>
      <c r="I704" s="2">
        <v>9000</v>
      </c>
      <c r="J704" s="192">
        <v>6000</v>
      </c>
      <c r="L704" s="11"/>
      <c r="M704" s="11">
        <v>0</v>
      </c>
      <c r="N704" s="11">
        <v>0</v>
      </c>
      <c r="O704" s="11"/>
      <c r="P704" s="11">
        <v>0</v>
      </c>
      <c r="Q704" s="11">
        <v>0</v>
      </c>
      <c r="R704" s="11">
        <v>0</v>
      </c>
      <c r="S704" s="11">
        <v>0</v>
      </c>
      <c r="T704" s="11"/>
    </row>
    <row r="705" spans="1:20" hidden="1" x14ac:dyDescent="0.25">
      <c r="A705" s="56">
        <v>44904</v>
      </c>
      <c r="C705" s="191" t="s">
        <v>4161</v>
      </c>
      <c r="D705" s="1" t="s">
        <v>684</v>
      </c>
      <c r="E705" s="4" t="s">
        <v>1196</v>
      </c>
      <c r="F705" s="1" t="s">
        <v>2446</v>
      </c>
      <c r="G705" s="10" t="s">
        <v>4159</v>
      </c>
      <c r="H705" s="15">
        <v>170000</v>
      </c>
      <c r="I705" s="2">
        <v>102000</v>
      </c>
      <c r="J705" s="192">
        <v>68000</v>
      </c>
      <c r="K705" s="1" t="s">
        <v>4162</v>
      </c>
      <c r="L705" s="11">
        <v>108000</v>
      </c>
      <c r="M705" s="11">
        <v>90756.302521008402</v>
      </c>
      <c r="N705" s="11">
        <v>17243.697478991595</v>
      </c>
      <c r="O705" s="11">
        <v>138000</v>
      </c>
      <c r="P705" s="11">
        <v>115966.38655462186</v>
      </c>
      <c r="Q705" s="11">
        <v>22033.613445378152</v>
      </c>
      <c r="R705" s="11">
        <v>4789.9159663865576</v>
      </c>
      <c r="S705" s="11">
        <v>25210.084033613442</v>
      </c>
      <c r="T705" s="11"/>
    </row>
    <row r="706" spans="1:20" ht="30" x14ac:dyDescent="0.25">
      <c r="A706" s="56">
        <v>44904</v>
      </c>
      <c r="C706" s="191" t="s">
        <v>4161</v>
      </c>
      <c r="D706" s="1" t="s">
        <v>684</v>
      </c>
      <c r="E706" s="4" t="s">
        <v>1196</v>
      </c>
      <c r="F706" s="1" t="s">
        <v>3925</v>
      </c>
      <c r="G706" s="10" t="s">
        <v>4160</v>
      </c>
      <c r="H706" s="15">
        <v>430000</v>
      </c>
      <c r="I706" s="2">
        <v>258000</v>
      </c>
      <c r="J706" s="192">
        <v>172000</v>
      </c>
      <c r="K706" s="1" t="s">
        <v>4163</v>
      </c>
      <c r="L706" s="11"/>
      <c r="M706" s="11">
        <v>0</v>
      </c>
      <c r="N706" s="11">
        <v>0</v>
      </c>
      <c r="O706" s="11">
        <v>90000</v>
      </c>
      <c r="P706" s="11">
        <v>75630.252100840342</v>
      </c>
      <c r="Q706" s="11">
        <v>14369.747899159665</v>
      </c>
      <c r="R706" s="11">
        <v>14369.747899159665</v>
      </c>
      <c r="S706" s="11">
        <v>75630.252100840327</v>
      </c>
      <c r="T706" s="11"/>
    </row>
    <row r="707" spans="1:20" hidden="1" x14ac:dyDescent="0.25">
      <c r="A707" s="56">
        <v>44904</v>
      </c>
      <c r="C707" s="191" t="s">
        <v>4161</v>
      </c>
      <c r="D707" s="1" t="s">
        <v>684</v>
      </c>
      <c r="E707" s="4" t="s">
        <v>1196</v>
      </c>
      <c r="F707" s="1" t="s">
        <v>3666</v>
      </c>
      <c r="G707" s="10" t="s">
        <v>3511</v>
      </c>
      <c r="H707" s="15">
        <v>25000</v>
      </c>
      <c r="I707" s="2">
        <v>12500</v>
      </c>
      <c r="J707" s="192">
        <v>12500</v>
      </c>
      <c r="K707" s="1" t="s">
        <v>4164</v>
      </c>
      <c r="L707" s="11">
        <v>55000</v>
      </c>
      <c r="M707" s="11">
        <v>46218.487394957985</v>
      </c>
      <c r="N707" s="11">
        <v>8781.5126050420167</v>
      </c>
      <c r="O707" s="11">
        <v>70000</v>
      </c>
      <c r="P707" s="11">
        <v>58823.529411764706</v>
      </c>
      <c r="Q707" s="11">
        <v>11176.470588235294</v>
      </c>
      <c r="R707" s="11">
        <v>2394.957983193277</v>
      </c>
      <c r="S707" s="11">
        <v>12605.042016806721</v>
      </c>
      <c r="T707" s="11"/>
    </row>
    <row r="708" spans="1:20" hidden="1" x14ac:dyDescent="0.25">
      <c r="A708" s="56">
        <v>44904</v>
      </c>
      <c r="C708" s="191" t="s">
        <v>4165</v>
      </c>
      <c r="D708" s="1" t="s">
        <v>4166</v>
      </c>
      <c r="E708" s="4" t="s">
        <v>1196</v>
      </c>
      <c r="F708" s="1" t="s">
        <v>2446</v>
      </c>
      <c r="G708" s="10" t="s">
        <v>4168</v>
      </c>
      <c r="H708" s="15">
        <v>50000</v>
      </c>
      <c r="I708" s="2">
        <v>30000</v>
      </c>
      <c r="J708" s="192">
        <v>20000</v>
      </c>
      <c r="K708" s="1" t="s">
        <v>4167</v>
      </c>
      <c r="L708" s="11"/>
      <c r="M708" s="11">
        <v>0</v>
      </c>
      <c r="N708" s="11">
        <v>0</v>
      </c>
      <c r="O708" s="11"/>
      <c r="P708" s="11">
        <v>0</v>
      </c>
      <c r="Q708" s="11">
        <v>0</v>
      </c>
      <c r="R708" s="11">
        <v>0</v>
      </c>
      <c r="S708" s="11">
        <v>0</v>
      </c>
      <c r="T708" s="11"/>
    </row>
    <row r="709" spans="1:20" hidden="1" x14ac:dyDescent="0.25">
      <c r="A709" s="56">
        <v>44904</v>
      </c>
      <c r="C709" s="191" t="s">
        <v>4169</v>
      </c>
      <c r="D709" s="1" t="s">
        <v>4170</v>
      </c>
      <c r="E709" s="4" t="s">
        <v>688</v>
      </c>
      <c r="F709" s="1" t="s">
        <v>2446</v>
      </c>
      <c r="G709" s="10" t="s">
        <v>3211</v>
      </c>
      <c r="H709" s="15">
        <v>50000</v>
      </c>
      <c r="I709" s="2">
        <v>30000</v>
      </c>
      <c r="J709" s="192">
        <v>20000</v>
      </c>
      <c r="K709" s="1" t="s">
        <v>3336</v>
      </c>
      <c r="L709" s="11">
        <v>65000</v>
      </c>
      <c r="M709" s="11">
        <v>54621.848739495799</v>
      </c>
      <c r="N709" s="11">
        <v>10378.151260504203</v>
      </c>
      <c r="O709" s="11">
        <v>82000</v>
      </c>
      <c r="P709" s="11">
        <v>68907.563025210082</v>
      </c>
      <c r="Q709" s="11">
        <v>13092.436974789916</v>
      </c>
      <c r="R709" s="11">
        <v>2714.2857142857138</v>
      </c>
      <c r="S709" s="11">
        <v>14285.71428571429</v>
      </c>
      <c r="T709" s="11"/>
    </row>
    <row r="710" spans="1:20" hidden="1" x14ac:dyDescent="0.25">
      <c r="A710" s="56">
        <v>44904</v>
      </c>
      <c r="C710" s="191" t="s">
        <v>4172</v>
      </c>
      <c r="D710" s="1" t="s">
        <v>4173</v>
      </c>
      <c r="E710" s="4" t="s">
        <v>28</v>
      </c>
      <c r="F710" s="1" t="s">
        <v>2446</v>
      </c>
      <c r="G710" s="10" t="s">
        <v>3513</v>
      </c>
      <c r="H710" s="15">
        <v>60000</v>
      </c>
      <c r="I710" s="2">
        <v>36000</v>
      </c>
      <c r="J710" s="192">
        <v>24000</v>
      </c>
      <c r="L710" s="11"/>
      <c r="M710" s="11">
        <v>0</v>
      </c>
      <c r="N710" s="11">
        <v>0</v>
      </c>
      <c r="O710" s="11"/>
      <c r="P710" s="11">
        <v>0</v>
      </c>
      <c r="Q710" s="11">
        <v>0</v>
      </c>
      <c r="R710" s="11">
        <v>0</v>
      </c>
      <c r="S710" s="11">
        <v>0</v>
      </c>
      <c r="T710" s="11"/>
    </row>
    <row r="711" spans="1:20" hidden="1" x14ac:dyDescent="0.25">
      <c r="A711" s="56">
        <v>44905</v>
      </c>
      <c r="B711" s="4" t="s">
        <v>4182</v>
      </c>
      <c r="C711" s="191" t="s">
        <v>4179</v>
      </c>
      <c r="D711" s="1" t="s">
        <v>4180</v>
      </c>
      <c r="E711" s="4" t="s">
        <v>905</v>
      </c>
      <c r="F711" s="1" t="s">
        <v>2446</v>
      </c>
      <c r="G711" s="10" t="s">
        <v>2018</v>
      </c>
      <c r="H711" s="15">
        <v>40000</v>
      </c>
      <c r="I711" s="2">
        <v>24000</v>
      </c>
      <c r="J711" s="192">
        <v>16000</v>
      </c>
      <c r="K711" s="1" t="s">
        <v>4181</v>
      </c>
      <c r="L711" s="11">
        <v>317000</v>
      </c>
      <c r="M711" s="11">
        <v>266386.55462184874</v>
      </c>
      <c r="N711" s="11">
        <v>50613.445378151264</v>
      </c>
      <c r="O711" s="11">
        <v>370000</v>
      </c>
      <c r="P711" s="11"/>
      <c r="Q711" s="11">
        <v>0</v>
      </c>
      <c r="R711" s="11">
        <v>-50613.445378151264</v>
      </c>
      <c r="S711" s="11">
        <v>103613.44537815126</v>
      </c>
      <c r="T711" s="11"/>
    </row>
    <row r="712" spans="1:20" hidden="1" x14ac:dyDescent="0.25">
      <c r="A712" s="56">
        <v>44905</v>
      </c>
      <c r="B712" s="4" t="s">
        <v>4182</v>
      </c>
      <c r="C712" s="191" t="s">
        <v>4179</v>
      </c>
      <c r="D712" s="1" t="s">
        <v>4180</v>
      </c>
      <c r="E712" s="4" t="s">
        <v>905</v>
      </c>
      <c r="F712" s="1" t="s">
        <v>3666</v>
      </c>
      <c r="G712" s="10" t="s">
        <v>3798</v>
      </c>
      <c r="H712" s="15">
        <v>100000</v>
      </c>
      <c r="I712" s="2">
        <v>50000</v>
      </c>
      <c r="J712" s="192">
        <v>50000</v>
      </c>
      <c r="K712" s="1" t="s">
        <v>3386</v>
      </c>
      <c r="L712" s="11">
        <v>40000</v>
      </c>
      <c r="M712" s="11"/>
      <c r="N712" s="11">
        <v>0</v>
      </c>
      <c r="O712" s="11">
        <v>80000</v>
      </c>
      <c r="P712" s="11"/>
      <c r="Q712" s="11">
        <v>0</v>
      </c>
      <c r="R712" s="11">
        <v>0</v>
      </c>
      <c r="S712" s="11">
        <v>40000</v>
      </c>
      <c r="T712" s="11"/>
    </row>
    <row r="713" spans="1:20" hidden="1" x14ac:dyDescent="0.25">
      <c r="A713" s="56">
        <v>44905</v>
      </c>
      <c r="C713" s="191"/>
      <c r="D713" s="1" t="s">
        <v>4183</v>
      </c>
      <c r="E713" s="4" t="s">
        <v>22</v>
      </c>
      <c r="F713" s="1" t="s">
        <v>2446</v>
      </c>
      <c r="G713" s="10" t="s">
        <v>341</v>
      </c>
      <c r="H713" s="15">
        <v>10000</v>
      </c>
      <c r="I713" s="2">
        <v>6000</v>
      </c>
      <c r="J713" s="192">
        <v>4000</v>
      </c>
      <c r="L713" s="11"/>
      <c r="M713" s="11">
        <v>0</v>
      </c>
      <c r="N713" s="11">
        <v>0</v>
      </c>
      <c r="O713" s="11"/>
      <c r="P713" s="11">
        <v>0</v>
      </c>
      <c r="Q713" s="11">
        <v>0</v>
      </c>
      <c r="R713" s="11">
        <v>0</v>
      </c>
      <c r="S713" s="11">
        <v>0</v>
      </c>
      <c r="T713" s="11"/>
    </row>
    <row r="714" spans="1:20" hidden="1" x14ac:dyDescent="0.25">
      <c r="A714" s="56">
        <v>44907</v>
      </c>
      <c r="B714" s="4" t="s">
        <v>4184</v>
      </c>
      <c r="C714" s="191" t="s">
        <v>2827</v>
      </c>
      <c r="D714" s="1" t="s">
        <v>2828</v>
      </c>
      <c r="E714" s="4" t="s">
        <v>3985</v>
      </c>
      <c r="F714" s="1" t="s">
        <v>2446</v>
      </c>
      <c r="G714" s="10" t="s">
        <v>20</v>
      </c>
      <c r="H714" s="15">
        <v>40000</v>
      </c>
      <c r="I714" s="2">
        <v>24000</v>
      </c>
      <c r="J714" s="192">
        <v>16000</v>
      </c>
      <c r="L714" s="11"/>
      <c r="M714" s="11">
        <v>0</v>
      </c>
      <c r="N714" s="11">
        <v>0</v>
      </c>
      <c r="O714" s="11"/>
      <c r="P714" s="11">
        <v>0</v>
      </c>
      <c r="Q714" s="11">
        <v>0</v>
      </c>
      <c r="R714" s="11">
        <v>0</v>
      </c>
      <c r="S714" s="11">
        <v>0</v>
      </c>
      <c r="T714" s="11"/>
    </row>
    <row r="715" spans="1:20" hidden="1" x14ac:dyDescent="0.25">
      <c r="A715" s="56">
        <v>44907</v>
      </c>
      <c r="B715" s="4" t="s">
        <v>4188</v>
      </c>
      <c r="C715" s="191" t="s">
        <v>1144</v>
      </c>
      <c r="D715" s="1" t="s">
        <v>4185</v>
      </c>
      <c r="E715" s="4" t="s">
        <v>240</v>
      </c>
      <c r="F715" s="1" t="s">
        <v>34</v>
      </c>
      <c r="G715" s="10" t="s">
        <v>4186</v>
      </c>
      <c r="H715" s="15">
        <v>20000</v>
      </c>
      <c r="I715" s="2">
        <v>14000</v>
      </c>
      <c r="J715" s="192">
        <v>6000</v>
      </c>
      <c r="K715" s="1" t="s">
        <v>4187</v>
      </c>
      <c r="L715" s="11">
        <v>37000</v>
      </c>
      <c r="M715" s="11">
        <v>31092.436974789918</v>
      </c>
      <c r="N715" s="11">
        <v>5907.5630252100846</v>
      </c>
      <c r="O715" s="11">
        <v>29190</v>
      </c>
      <c r="P715" s="11">
        <v>24529.411764705885</v>
      </c>
      <c r="Q715" s="11">
        <v>4660.588235294118</v>
      </c>
      <c r="R715" s="11">
        <v>-1246.9747899159665</v>
      </c>
      <c r="S715" s="11">
        <v>-6563.0252100840298</v>
      </c>
      <c r="T715" s="11"/>
    </row>
    <row r="716" spans="1:20" hidden="1" x14ac:dyDescent="0.25">
      <c r="A716" s="56">
        <v>44907</v>
      </c>
      <c r="C716" s="191" t="s">
        <v>4189</v>
      </c>
      <c r="D716" s="1" t="s">
        <v>4190</v>
      </c>
      <c r="E716" s="4" t="s">
        <v>1865</v>
      </c>
      <c r="F716" s="1" t="s">
        <v>2446</v>
      </c>
      <c r="G716" s="10" t="s">
        <v>4191</v>
      </c>
      <c r="H716" s="15">
        <v>70000</v>
      </c>
      <c r="I716" s="2">
        <v>42000</v>
      </c>
      <c r="J716" s="192">
        <v>28000</v>
      </c>
      <c r="L716" s="11"/>
      <c r="M716" s="11">
        <v>0</v>
      </c>
      <c r="N716" s="11">
        <v>0</v>
      </c>
      <c r="O716" s="11"/>
      <c r="P716" s="11">
        <v>0</v>
      </c>
      <c r="Q716" s="11">
        <v>0</v>
      </c>
      <c r="R716" s="11">
        <v>0</v>
      </c>
      <c r="S716" s="11">
        <v>0</v>
      </c>
      <c r="T716" s="11"/>
    </row>
    <row r="717" spans="1:20" hidden="1" x14ac:dyDescent="0.25">
      <c r="A717" s="56">
        <v>44908</v>
      </c>
      <c r="C717" s="191"/>
      <c r="E717" s="4" t="s">
        <v>540</v>
      </c>
      <c r="F717" s="1" t="s">
        <v>34</v>
      </c>
      <c r="G717" s="10" t="s">
        <v>4192</v>
      </c>
      <c r="H717" s="15">
        <v>20000</v>
      </c>
      <c r="I717" s="2">
        <v>14000</v>
      </c>
      <c r="J717" s="192">
        <v>6000</v>
      </c>
      <c r="L717" s="11"/>
      <c r="M717" s="11">
        <v>0</v>
      </c>
      <c r="N717" s="11">
        <v>0</v>
      </c>
      <c r="O717" s="11"/>
      <c r="P717" s="11">
        <v>0</v>
      </c>
      <c r="Q717" s="11">
        <v>0</v>
      </c>
      <c r="R717" s="11">
        <v>0</v>
      </c>
      <c r="S717" s="11">
        <v>0</v>
      </c>
      <c r="T717" s="11"/>
    </row>
    <row r="718" spans="1:20" hidden="1" x14ac:dyDescent="0.25">
      <c r="A718" s="56">
        <v>44908</v>
      </c>
      <c r="C718" s="191"/>
      <c r="D718" s="1" t="s">
        <v>1682</v>
      </c>
      <c r="E718" s="4" t="s">
        <v>76</v>
      </c>
      <c r="F718" s="1" t="s">
        <v>3666</v>
      </c>
      <c r="G718" s="10" t="s">
        <v>4193</v>
      </c>
      <c r="H718" s="15">
        <v>120000</v>
      </c>
      <c r="I718" s="2">
        <v>60000</v>
      </c>
      <c r="J718" s="192">
        <v>60000</v>
      </c>
      <c r="L718" s="11"/>
      <c r="M718" s="11">
        <v>0</v>
      </c>
      <c r="N718" s="11">
        <v>0</v>
      </c>
      <c r="O718" s="11"/>
      <c r="P718" s="11">
        <v>0</v>
      </c>
      <c r="Q718" s="11">
        <v>0</v>
      </c>
      <c r="R718" s="11">
        <v>0</v>
      </c>
      <c r="S718" s="11">
        <v>0</v>
      </c>
      <c r="T718" s="11"/>
    </row>
    <row r="719" spans="1:20" hidden="1" x14ac:dyDescent="0.25">
      <c r="A719" s="56">
        <v>44908</v>
      </c>
      <c r="C719" s="191"/>
      <c r="D719" s="1" t="s">
        <v>4195</v>
      </c>
      <c r="E719" s="4" t="s">
        <v>2176</v>
      </c>
      <c r="F719" s="1" t="s">
        <v>3666</v>
      </c>
      <c r="G719" s="10" t="s">
        <v>4194</v>
      </c>
      <c r="H719" s="15">
        <v>50000</v>
      </c>
      <c r="I719" s="2">
        <v>25000</v>
      </c>
      <c r="J719" s="192">
        <v>25000</v>
      </c>
      <c r="L719" s="11"/>
      <c r="M719" s="11">
        <v>0</v>
      </c>
      <c r="N719" s="11">
        <v>0</v>
      </c>
      <c r="O719" s="11"/>
      <c r="P719" s="11">
        <v>0</v>
      </c>
      <c r="Q719" s="11">
        <v>0</v>
      </c>
      <c r="R719" s="11">
        <v>0</v>
      </c>
      <c r="S719" s="11">
        <v>0</v>
      </c>
      <c r="T719" s="11"/>
    </row>
    <row r="720" spans="1:20" hidden="1" x14ac:dyDescent="0.25">
      <c r="A720" s="56">
        <v>44908</v>
      </c>
      <c r="B720" s="4" t="s">
        <v>4196</v>
      </c>
      <c r="C720" s="191" t="s">
        <v>4197</v>
      </c>
      <c r="D720" s="1" t="s">
        <v>3258</v>
      </c>
      <c r="E720" s="4" t="s">
        <v>22</v>
      </c>
      <c r="F720" s="1" t="s">
        <v>2446</v>
      </c>
      <c r="G720" s="10" t="s">
        <v>4209</v>
      </c>
      <c r="H720" s="15">
        <v>70000</v>
      </c>
      <c r="I720" s="2">
        <v>42000</v>
      </c>
      <c r="J720" s="192">
        <v>28000</v>
      </c>
      <c r="L720" s="11"/>
      <c r="M720" s="11">
        <v>0</v>
      </c>
      <c r="N720" s="11">
        <v>0</v>
      </c>
      <c r="O720" s="11"/>
      <c r="P720" s="11">
        <v>0</v>
      </c>
      <c r="Q720" s="11">
        <v>0</v>
      </c>
      <c r="R720" s="11">
        <v>0</v>
      </c>
      <c r="S720" s="11">
        <v>0</v>
      </c>
      <c r="T720" s="11"/>
    </row>
    <row r="721" spans="1:20" hidden="1" x14ac:dyDescent="0.25">
      <c r="A721" s="56">
        <v>44908</v>
      </c>
      <c r="B721" s="4" t="s">
        <v>4198</v>
      </c>
      <c r="C721" s="191" t="s">
        <v>4199</v>
      </c>
      <c r="D721" s="1" t="s">
        <v>4200</v>
      </c>
      <c r="E721" s="4" t="s">
        <v>1011</v>
      </c>
      <c r="F721" s="1" t="s">
        <v>2446</v>
      </c>
      <c r="G721" s="10" t="s">
        <v>3185</v>
      </c>
      <c r="H721" s="15">
        <v>120000</v>
      </c>
      <c r="I721" s="2">
        <v>72000</v>
      </c>
      <c r="J721" s="192">
        <v>48000</v>
      </c>
      <c r="K721" s="1" t="s">
        <v>4074</v>
      </c>
      <c r="L721" s="11">
        <v>400000</v>
      </c>
      <c r="M721" s="11"/>
      <c r="N721" s="11">
        <v>0</v>
      </c>
      <c r="O721" s="11">
        <v>480000</v>
      </c>
      <c r="P721" s="11"/>
      <c r="Q721" s="11">
        <v>0</v>
      </c>
      <c r="R721" s="11">
        <v>0</v>
      </c>
      <c r="S721" s="11">
        <v>80000</v>
      </c>
      <c r="T721" s="11"/>
    </row>
    <row r="722" spans="1:20" hidden="1" x14ac:dyDescent="0.25">
      <c r="A722" s="56">
        <v>44908</v>
      </c>
      <c r="B722" s="4" t="s">
        <v>4201</v>
      </c>
      <c r="C722" s="191" t="s">
        <v>4202</v>
      </c>
      <c r="D722" s="1" t="s">
        <v>1101</v>
      </c>
      <c r="E722" s="4" t="s">
        <v>1947</v>
      </c>
      <c r="F722" s="1" t="s">
        <v>2446</v>
      </c>
      <c r="G722" s="10" t="s">
        <v>4203</v>
      </c>
      <c r="H722" s="15">
        <v>80000</v>
      </c>
      <c r="I722" s="2">
        <v>48000</v>
      </c>
      <c r="J722" s="192">
        <v>32000</v>
      </c>
      <c r="K722" s="1" t="s">
        <v>4204</v>
      </c>
      <c r="L722" s="11">
        <v>106000</v>
      </c>
      <c r="M722" s="11">
        <v>89075.630252100847</v>
      </c>
      <c r="N722" s="11">
        <v>16924.36974789916</v>
      </c>
      <c r="O722" s="11">
        <v>170000</v>
      </c>
      <c r="P722" s="11">
        <v>142857.14285714287</v>
      </c>
      <c r="Q722" s="11">
        <v>27142.857142857145</v>
      </c>
      <c r="R722" s="11">
        <v>10218.487394957985</v>
      </c>
      <c r="S722" s="11">
        <v>53781.512605042022</v>
      </c>
      <c r="T722" s="11"/>
    </row>
    <row r="723" spans="1:20" hidden="1" x14ac:dyDescent="0.25">
      <c r="A723" s="56">
        <v>44909</v>
      </c>
      <c r="B723" s="4" t="s">
        <v>4205</v>
      </c>
      <c r="C723" s="191" t="s">
        <v>4206</v>
      </c>
      <c r="D723" s="1" t="s">
        <v>4207</v>
      </c>
      <c r="E723" s="4" t="s">
        <v>4208</v>
      </c>
      <c r="F723" s="1" t="s">
        <v>2446</v>
      </c>
      <c r="G723" s="10" t="s">
        <v>4209</v>
      </c>
      <c r="H723" s="15">
        <v>35000</v>
      </c>
      <c r="I723" s="2">
        <v>21000</v>
      </c>
      <c r="J723" s="192">
        <v>14000</v>
      </c>
      <c r="K723" s="1" t="s">
        <v>4210</v>
      </c>
      <c r="L723" s="11">
        <v>70000</v>
      </c>
      <c r="M723" s="11">
        <v>58823.529411764706</v>
      </c>
      <c r="N723" s="11">
        <v>11176.470588235294</v>
      </c>
      <c r="O723" s="11">
        <v>90000</v>
      </c>
      <c r="P723" s="11">
        <v>75630.252100840342</v>
      </c>
      <c r="Q723" s="11">
        <v>14369.747899159665</v>
      </c>
      <c r="R723" s="11">
        <v>3193.2773109243717</v>
      </c>
      <c r="S723" s="11">
        <v>16806.722689075628</v>
      </c>
      <c r="T723" s="11"/>
    </row>
    <row r="724" spans="1:20" ht="30" hidden="1" x14ac:dyDescent="0.25">
      <c r="A724" s="56">
        <v>44909</v>
      </c>
      <c r="C724" s="191" t="s">
        <v>4211</v>
      </c>
      <c r="D724" s="1" t="s">
        <v>4212</v>
      </c>
      <c r="E724" s="4" t="s">
        <v>1947</v>
      </c>
      <c r="F724" s="1" t="s">
        <v>2446</v>
      </c>
      <c r="G724" s="10" t="s">
        <v>4213</v>
      </c>
      <c r="H724" s="15">
        <v>150000</v>
      </c>
      <c r="I724" s="2">
        <v>90000</v>
      </c>
      <c r="J724" s="192">
        <v>60000</v>
      </c>
      <c r="K724" s="1" t="s">
        <v>4074</v>
      </c>
      <c r="L724" s="11">
        <v>50000</v>
      </c>
      <c r="M724" s="11">
        <v>42016.806722689078</v>
      </c>
      <c r="N724" s="11">
        <v>7983.1932773109247</v>
      </c>
      <c r="O724" s="11">
        <v>70000</v>
      </c>
      <c r="P724" s="11">
        <v>58823.529411764706</v>
      </c>
      <c r="Q724" s="11">
        <v>11176.470588235294</v>
      </c>
      <c r="R724" s="11">
        <v>3193.277310924369</v>
      </c>
      <c r="S724" s="11">
        <v>16806.722689075628</v>
      </c>
      <c r="T724" s="11"/>
    </row>
    <row r="725" spans="1:20" hidden="1" x14ac:dyDescent="0.25">
      <c r="A725" s="56">
        <v>44909</v>
      </c>
      <c r="C725" s="191" t="s">
        <v>4211</v>
      </c>
      <c r="D725" s="1" t="s">
        <v>4212</v>
      </c>
      <c r="E725" s="4" t="s">
        <v>54</v>
      </c>
      <c r="F725" s="1" t="s">
        <v>3666</v>
      </c>
      <c r="G725" s="10" t="s">
        <v>3511</v>
      </c>
      <c r="H725" s="15">
        <v>80000</v>
      </c>
      <c r="I725" s="2">
        <v>40000</v>
      </c>
      <c r="J725" s="192">
        <v>40000</v>
      </c>
      <c r="K725" s="1" t="s">
        <v>4214</v>
      </c>
      <c r="L725" s="11"/>
      <c r="M725" s="11">
        <v>0</v>
      </c>
      <c r="N725" s="11">
        <v>0</v>
      </c>
      <c r="O725" s="11"/>
      <c r="P725" s="11">
        <v>0</v>
      </c>
      <c r="Q725" s="11">
        <v>0</v>
      </c>
      <c r="R725" s="11">
        <v>0</v>
      </c>
      <c r="S725" s="11">
        <v>0</v>
      </c>
      <c r="T725" s="11"/>
    </row>
    <row r="726" spans="1:20" hidden="1" x14ac:dyDescent="0.25">
      <c r="A726" s="56">
        <v>44909</v>
      </c>
      <c r="C726" s="191" t="s">
        <v>4215</v>
      </c>
      <c r="D726" s="1" t="s">
        <v>4216</v>
      </c>
      <c r="E726" s="4" t="s">
        <v>48</v>
      </c>
      <c r="F726" s="1" t="s">
        <v>2446</v>
      </c>
      <c r="G726" s="10" t="s">
        <v>4217</v>
      </c>
      <c r="H726" s="15">
        <v>70000</v>
      </c>
      <c r="I726" s="2">
        <v>42000</v>
      </c>
      <c r="J726" s="192">
        <v>28000</v>
      </c>
      <c r="L726" s="11"/>
      <c r="M726" s="11">
        <v>0</v>
      </c>
      <c r="N726" s="11">
        <v>0</v>
      </c>
      <c r="O726" s="11"/>
      <c r="P726" s="11">
        <v>0</v>
      </c>
      <c r="Q726" s="11">
        <v>0</v>
      </c>
      <c r="R726" s="11">
        <v>0</v>
      </c>
      <c r="S726" s="11">
        <v>0</v>
      </c>
      <c r="T726" s="11"/>
    </row>
    <row r="727" spans="1:20" hidden="1" x14ac:dyDescent="0.25">
      <c r="A727" s="56">
        <v>44910</v>
      </c>
      <c r="C727" s="191" t="s">
        <v>2237</v>
      </c>
      <c r="D727" s="1" t="s">
        <v>4218</v>
      </c>
      <c r="E727" s="4" t="s">
        <v>4219</v>
      </c>
      <c r="F727" s="1" t="s">
        <v>2446</v>
      </c>
      <c r="G727" s="10" t="s">
        <v>4220</v>
      </c>
      <c r="H727" s="15">
        <v>40000</v>
      </c>
      <c r="I727" s="2">
        <v>24000</v>
      </c>
      <c r="J727" s="192">
        <v>16000</v>
      </c>
      <c r="L727" s="11"/>
      <c r="M727" s="11">
        <v>0</v>
      </c>
      <c r="N727" s="11">
        <v>0</v>
      </c>
      <c r="O727" s="11"/>
      <c r="P727" s="11">
        <v>0</v>
      </c>
      <c r="Q727" s="11">
        <v>0</v>
      </c>
      <c r="R727" s="11">
        <v>0</v>
      </c>
      <c r="S727" s="11">
        <v>0</v>
      </c>
      <c r="T727" s="11"/>
    </row>
    <row r="728" spans="1:20" x14ac:dyDescent="0.25">
      <c r="A728" s="56">
        <v>44911</v>
      </c>
      <c r="C728" s="191" t="s">
        <v>4221</v>
      </c>
      <c r="D728" s="1" t="s">
        <v>924</v>
      </c>
      <c r="E728" s="4" t="s">
        <v>1865</v>
      </c>
      <c r="F728" s="1" t="s">
        <v>3925</v>
      </c>
      <c r="G728" s="10" t="s">
        <v>4243</v>
      </c>
      <c r="H728" s="15">
        <v>60000</v>
      </c>
      <c r="I728" s="2">
        <v>36000</v>
      </c>
      <c r="J728" s="192">
        <v>24000</v>
      </c>
      <c r="K728" s="1" t="s">
        <v>4244</v>
      </c>
      <c r="L728" s="11">
        <v>160000</v>
      </c>
      <c r="M728" s="11"/>
      <c r="N728" s="11">
        <v>0</v>
      </c>
      <c r="O728" s="11">
        <v>190000</v>
      </c>
      <c r="P728" s="11"/>
      <c r="Q728" s="11">
        <v>0</v>
      </c>
      <c r="R728" s="11">
        <v>0</v>
      </c>
      <c r="S728" s="11">
        <v>30000</v>
      </c>
      <c r="T728" s="11"/>
    </row>
    <row r="729" spans="1:20" x14ac:dyDescent="0.25">
      <c r="A729" s="56">
        <v>44910</v>
      </c>
      <c r="C729" s="191" t="s">
        <v>4221</v>
      </c>
      <c r="D729" s="1" t="s">
        <v>924</v>
      </c>
      <c r="E729" s="4" t="s">
        <v>1865</v>
      </c>
      <c r="F729" s="1" t="s">
        <v>3925</v>
      </c>
      <c r="G729" s="10" t="s">
        <v>1407</v>
      </c>
      <c r="H729" s="15">
        <v>180000</v>
      </c>
      <c r="I729" s="2">
        <v>108000</v>
      </c>
      <c r="J729" s="192">
        <v>72000</v>
      </c>
      <c r="L729" s="11"/>
      <c r="M729" s="11">
        <v>0</v>
      </c>
      <c r="N729" s="11">
        <v>0</v>
      </c>
      <c r="O729" s="11"/>
      <c r="P729" s="11">
        <v>0</v>
      </c>
      <c r="Q729" s="11">
        <v>0</v>
      </c>
      <c r="R729" s="11">
        <v>0</v>
      </c>
      <c r="S729" s="11">
        <v>0</v>
      </c>
      <c r="T729" s="11"/>
    </row>
    <row r="730" spans="1:20" hidden="1" x14ac:dyDescent="0.25">
      <c r="A730" s="56">
        <v>44910</v>
      </c>
      <c r="C730" s="191" t="s">
        <v>4222</v>
      </c>
      <c r="D730" s="1" t="s">
        <v>4223</v>
      </c>
      <c r="E730" s="4" t="s">
        <v>1077</v>
      </c>
      <c r="F730" s="1" t="s">
        <v>3666</v>
      </c>
      <c r="G730" s="10" t="s">
        <v>4224</v>
      </c>
      <c r="H730" s="15">
        <v>115000</v>
      </c>
      <c r="I730" s="2">
        <v>57500</v>
      </c>
      <c r="J730" s="192">
        <v>57500</v>
      </c>
      <c r="K730" s="1" t="s">
        <v>3386</v>
      </c>
      <c r="L730" s="11">
        <v>40000</v>
      </c>
      <c r="M730" s="11"/>
      <c r="N730" s="11">
        <v>0</v>
      </c>
      <c r="O730" s="11">
        <v>80000</v>
      </c>
      <c r="P730" s="11"/>
      <c r="Q730" s="11">
        <v>0</v>
      </c>
      <c r="R730" s="11">
        <v>0</v>
      </c>
      <c r="S730" s="11">
        <v>40000</v>
      </c>
      <c r="T730" s="11"/>
    </row>
    <row r="731" spans="1:20" x14ac:dyDescent="0.25">
      <c r="A731" s="56">
        <v>44910</v>
      </c>
      <c r="C731" s="191"/>
      <c r="D731" s="1" t="s">
        <v>735</v>
      </c>
      <c r="E731" s="4" t="s">
        <v>1593</v>
      </c>
      <c r="F731" s="1" t="s">
        <v>3925</v>
      </c>
      <c r="G731" s="10" t="s">
        <v>4247</v>
      </c>
      <c r="H731" s="15">
        <v>200000</v>
      </c>
      <c r="I731" s="2">
        <v>200000</v>
      </c>
      <c r="J731" s="192">
        <v>0</v>
      </c>
      <c r="K731" s="1" t="s">
        <v>4246</v>
      </c>
      <c r="L731" s="11"/>
      <c r="M731" s="11">
        <v>0</v>
      </c>
      <c r="N731" s="11">
        <v>0</v>
      </c>
      <c r="O731" s="11"/>
      <c r="P731" s="11">
        <v>0</v>
      </c>
      <c r="Q731" s="11">
        <v>0</v>
      </c>
      <c r="R731" s="11">
        <v>0</v>
      </c>
      <c r="S731" s="11">
        <v>0</v>
      </c>
      <c r="T731" s="11"/>
    </row>
    <row r="732" spans="1:20" x14ac:dyDescent="0.25">
      <c r="A732" s="56">
        <v>44910</v>
      </c>
      <c r="C732" s="191" t="s">
        <v>4225</v>
      </c>
      <c r="D732" s="1" t="s">
        <v>4226</v>
      </c>
      <c r="E732" s="4" t="s">
        <v>385</v>
      </c>
      <c r="F732" s="1" t="s">
        <v>3925</v>
      </c>
      <c r="G732" s="10" t="s">
        <v>4228</v>
      </c>
      <c r="H732" s="15">
        <v>500000</v>
      </c>
      <c r="I732" s="2">
        <v>300000</v>
      </c>
      <c r="J732" s="192">
        <v>200000</v>
      </c>
      <c r="K732" s="1">
        <v>0</v>
      </c>
      <c r="L732" s="11"/>
      <c r="M732" s="11">
        <v>0</v>
      </c>
      <c r="N732" s="11">
        <v>0</v>
      </c>
      <c r="O732" s="11"/>
      <c r="P732" s="11">
        <v>0</v>
      </c>
      <c r="Q732" s="11">
        <v>0</v>
      </c>
      <c r="R732" s="11">
        <v>0</v>
      </c>
      <c r="S732" s="11">
        <v>0</v>
      </c>
      <c r="T732" s="11"/>
    </row>
    <row r="733" spans="1:20" hidden="1" x14ac:dyDescent="0.25">
      <c r="A733" s="56">
        <v>44911</v>
      </c>
      <c r="B733" s="4" t="s">
        <v>4235</v>
      </c>
      <c r="C733" s="191" t="s">
        <v>4229</v>
      </c>
      <c r="D733" s="1" t="s">
        <v>4230</v>
      </c>
      <c r="E733" s="4" t="s">
        <v>1907</v>
      </c>
      <c r="F733" s="1" t="s">
        <v>2446</v>
      </c>
      <c r="G733" s="10" t="s">
        <v>4231</v>
      </c>
      <c r="H733" s="15">
        <v>80000</v>
      </c>
      <c r="I733" s="2">
        <v>48000</v>
      </c>
      <c r="J733" s="192">
        <v>32000</v>
      </c>
      <c r="K733" s="1" t="s">
        <v>4232</v>
      </c>
      <c r="L733" s="11">
        <v>112000</v>
      </c>
      <c r="M733" s="11">
        <v>94117.647058823539</v>
      </c>
      <c r="N733" s="11">
        <v>17882.352941176472</v>
      </c>
      <c r="O733" s="11">
        <v>150000</v>
      </c>
      <c r="P733" s="11">
        <v>126050.42016806723</v>
      </c>
      <c r="Q733" s="11">
        <v>23949.579831932773</v>
      </c>
      <c r="R733" s="11">
        <v>6067.2268907563011</v>
      </c>
      <c r="S733" s="11">
        <v>31932.773109243702</v>
      </c>
      <c r="T733" s="11"/>
    </row>
    <row r="734" spans="1:20" ht="30" hidden="1" x14ac:dyDescent="0.25">
      <c r="A734" s="56">
        <v>44911</v>
      </c>
      <c r="B734" s="4" t="s">
        <v>4236</v>
      </c>
      <c r="C734" s="191" t="s">
        <v>4233</v>
      </c>
      <c r="D734" s="1" t="s">
        <v>1221</v>
      </c>
      <c r="E734" s="4" t="s">
        <v>65</v>
      </c>
      <c r="F734" s="1" t="s">
        <v>34</v>
      </c>
      <c r="G734" s="10" t="s">
        <v>4234</v>
      </c>
      <c r="H734" s="15">
        <v>75000</v>
      </c>
      <c r="I734" s="2">
        <v>45000</v>
      </c>
      <c r="J734" s="192">
        <v>30000</v>
      </c>
      <c r="L734" s="11"/>
      <c r="M734" s="11">
        <v>0</v>
      </c>
      <c r="N734" s="11">
        <v>0</v>
      </c>
      <c r="O734" s="11"/>
      <c r="P734" s="11">
        <v>0</v>
      </c>
      <c r="Q734" s="11">
        <v>0</v>
      </c>
      <c r="R734" s="11">
        <v>0</v>
      </c>
      <c r="S734" s="11">
        <v>0</v>
      </c>
      <c r="T734" s="11"/>
    </row>
    <row r="735" spans="1:20" hidden="1" x14ac:dyDescent="0.25">
      <c r="A735" s="56">
        <v>44911</v>
      </c>
      <c r="C735" s="191" t="s">
        <v>4237</v>
      </c>
      <c r="D735" s="1" t="s">
        <v>4238</v>
      </c>
      <c r="E735" s="4" t="s">
        <v>200</v>
      </c>
      <c r="F735" s="1" t="s">
        <v>34</v>
      </c>
      <c r="G735" s="10" t="s">
        <v>138</v>
      </c>
      <c r="H735" s="15">
        <v>50000</v>
      </c>
      <c r="I735" s="2">
        <v>30000</v>
      </c>
      <c r="J735" s="192">
        <v>20000</v>
      </c>
      <c r="L735" s="11"/>
      <c r="M735" s="11">
        <v>0</v>
      </c>
      <c r="N735" s="11">
        <v>0</v>
      </c>
      <c r="O735" s="11"/>
      <c r="P735" s="11">
        <v>0</v>
      </c>
      <c r="Q735" s="11">
        <v>0</v>
      </c>
      <c r="R735" s="11">
        <v>0</v>
      </c>
      <c r="S735" s="11">
        <v>0</v>
      </c>
      <c r="T735" s="11"/>
    </row>
    <row r="736" spans="1:20" ht="30" hidden="1" x14ac:dyDescent="0.25">
      <c r="A736" s="56">
        <v>44911</v>
      </c>
      <c r="B736" s="4" t="s">
        <v>4241</v>
      </c>
      <c r="C736" s="191" t="s">
        <v>4239</v>
      </c>
      <c r="D736" s="1" t="s">
        <v>1948</v>
      </c>
      <c r="E736" s="4" t="s">
        <v>1947</v>
      </c>
      <c r="F736" s="1" t="s">
        <v>2446</v>
      </c>
      <c r="G736" s="10" t="s">
        <v>4240</v>
      </c>
      <c r="H736" s="15">
        <v>70000</v>
      </c>
      <c r="I736" s="2">
        <v>42000</v>
      </c>
      <c r="J736" s="192">
        <v>28000</v>
      </c>
      <c r="L736" s="11"/>
      <c r="M736" s="11">
        <v>0</v>
      </c>
      <c r="N736" s="11">
        <v>0</v>
      </c>
      <c r="O736" s="11"/>
      <c r="P736" s="11">
        <v>0</v>
      </c>
      <c r="Q736" s="11">
        <v>0</v>
      </c>
      <c r="R736" s="11">
        <v>0</v>
      </c>
      <c r="S736" s="11">
        <v>0</v>
      </c>
      <c r="T736" s="11"/>
    </row>
    <row r="737" spans="1:20" x14ac:dyDescent="0.25">
      <c r="A737" s="56">
        <v>44911</v>
      </c>
      <c r="B737" s="4" t="s">
        <v>4241</v>
      </c>
      <c r="C737" s="191" t="s">
        <v>4239</v>
      </c>
      <c r="D737" s="1" t="s">
        <v>1948</v>
      </c>
      <c r="E737" s="4" t="s">
        <v>1947</v>
      </c>
      <c r="F737" s="1" t="s">
        <v>3925</v>
      </c>
      <c r="G737" s="10" t="s">
        <v>1570</v>
      </c>
      <c r="H737" s="15">
        <v>30000</v>
      </c>
      <c r="I737" s="2">
        <v>18000</v>
      </c>
      <c r="J737" s="192">
        <v>12000</v>
      </c>
      <c r="L737" s="11"/>
      <c r="M737" s="11">
        <v>0</v>
      </c>
      <c r="N737" s="11">
        <v>0</v>
      </c>
      <c r="O737" s="11"/>
      <c r="P737" s="11">
        <v>0</v>
      </c>
      <c r="Q737" s="11">
        <v>0</v>
      </c>
      <c r="R737" s="11">
        <v>0</v>
      </c>
      <c r="S737" s="11">
        <v>0</v>
      </c>
      <c r="T737" s="11"/>
    </row>
    <row r="738" spans="1:20" hidden="1" x14ac:dyDescent="0.25">
      <c r="A738" s="56">
        <v>44911</v>
      </c>
      <c r="C738" s="191" t="s">
        <v>129</v>
      </c>
      <c r="D738" s="1" t="s">
        <v>125</v>
      </c>
      <c r="E738" s="4" t="s">
        <v>202</v>
      </c>
      <c r="F738" s="1" t="s">
        <v>2446</v>
      </c>
      <c r="G738" s="10" t="s">
        <v>4242</v>
      </c>
      <c r="H738" s="15">
        <v>110000</v>
      </c>
      <c r="I738" s="2">
        <v>66000</v>
      </c>
      <c r="J738" s="192">
        <v>44000</v>
      </c>
      <c r="L738" s="11"/>
      <c r="M738" s="11">
        <v>0</v>
      </c>
      <c r="N738" s="11">
        <v>0</v>
      </c>
      <c r="O738" s="11"/>
      <c r="P738" s="11">
        <v>0</v>
      </c>
      <c r="Q738" s="11">
        <v>0</v>
      </c>
      <c r="R738" s="11">
        <v>0</v>
      </c>
      <c r="S738" s="11">
        <v>0</v>
      </c>
      <c r="T738" s="11"/>
    </row>
    <row r="739" spans="1:20" hidden="1" x14ac:dyDescent="0.25">
      <c r="A739" s="56">
        <v>44912</v>
      </c>
      <c r="C739" s="191" t="s">
        <v>4254</v>
      </c>
      <c r="E739" s="4"/>
      <c r="F739" s="1" t="s">
        <v>2446</v>
      </c>
      <c r="G739" s="10" t="s">
        <v>21</v>
      </c>
      <c r="H739" s="15">
        <v>10000</v>
      </c>
      <c r="I739" s="2">
        <v>6000</v>
      </c>
      <c r="J739" s="192">
        <v>4000</v>
      </c>
      <c r="L739" s="11"/>
      <c r="M739" s="11"/>
      <c r="N739" s="11">
        <v>0</v>
      </c>
      <c r="O739" s="11"/>
      <c r="P739" s="11">
        <v>0</v>
      </c>
      <c r="Q739" s="11">
        <v>0</v>
      </c>
      <c r="R739" s="11">
        <v>0</v>
      </c>
      <c r="S739" s="11">
        <v>0</v>
      </c>
      <c r="T739" s="11"/>
    </row>
    <row r="740" spans="1:20" hidden="1" x14ac:dyDescent="0.25">
      <c r="A740" s="56">
        <v>44914</v>
      </c>
      <c r="C740" s="191" t="s">
        <v>2878</v>
      </c>
      <c r="D740" s="1" t="s">
        <v>1275</v>
      </c>
      <c r="E740" s="4" t="s">
        <v>136</v>
      </c>
      <c r="F740" s="1" t="s">
        <v>2446</v>
      </c>
      <c r="G740" s="10" t="s">
        <v>4248</v>
      </c>
      <c r="H740" s="15">
        <v>30000</v>
      </c>
      <c r="I740" s="2">
        <v>18000</v>
      </c>
      <c r="J740" s="192">
        <v>12000</v>
      </c>
      <c r="L740" s="11"/>
      <c r="M740" s="11">
        <v>0</v>
      </c>
      <c r="N740" s="11">
        <v>0</v>
      </c>
      <c r="O740" s="11"/>
      <c r="P740" s="11">
        <v>0</v>
      </c>
      <c r="Q740" s="11">
        <v>0</v>
      </c>
      <c r="R740" s="11">
        <v>0</v>
      </c>
      <c r="S740" s="11">
        <v>0</v>
      </c>
      <c r="T740" s="11"/>
    </row>
    <row r="741" spans="1:20" ht="30" hidden="1" x14ac:dyDescent="0.25">
      <c r="A741" s="56">
        <v>44914</v>
      </c>
      <c r="B741" s="4" t="s">
        <v>4260</v>
      </c>
      <c r="C741" s="191" t="s">
        <v>4255</v>
      </c>
      <c r="D741" s="1" t="s">
        <v>4249</v>
      </c>
      <c r="E741" s="4" t="s">
        <v>200</v>
      </c>
      <c r="F741" s="1" t="s">
        <v>2446</v>
      </c>
      <c r="G741" s="10" t="s">
        <v>4250</v>
      </c>
      <c r="H741" s="15">
        <v>110000</v>
      </c>
      <c r="I741" s="2">
        <v>66000</v>
      </c>
      <c r="J741" s="192">
        <v>44000</v>
      </c>
      <c r="K741" s="1" t="s">
        <v>4251</v>
      </c>
      <c r="L741" s="11">
        <v>180000</v>
      </c>
      <c r="M741" s="11">
        <v>151260.50420168068</v>
      </c>
      <c r="N741" s="11">
        <v>28739.495798319331</v>
      </c>
      <c r="O741" s="11">
        <v>230000</v>
      </c>
      <c r="P741" s="11">
        <v>193277.31092436975</v>
      </c>
      <c r="Q741" s="11">
        <v>36722.689075630253</v>
      </c>
      <c r="R741" s="11">
        <v>7983.193277310922</v>
      </c>
      <c r="S741" s="11">
        <v>42016.806722689071</v>
      </c>
      <c r="T741" s="11"/>
    </row>
    <row r="742" spans="1:20" hidden="1" x14ac:dyDescent="0.25">
      <c r="A742" s="56">
        <v>44914</v>
      </c>
      <c r="B742" s="4" t="s">
        <v>4261</v>
      </c>
      <c r="C742" s="191" t="s">
        <v>4256</v>
      </c>
      <c r="D742" s="1" t="s">
        <v>4252</v>
      </c>
      <c r="E742" s="4" t="s">
        <v>59</v>
      </c>
      <c r="F742" s="1" t="s">
        <v>2446</v>
      </c>
      <c r="G742" s="10" t="s">
        <v>4253</v>
      </c>
      <c r="H742" s="15">
        <v>15000</v>
      </c>
      <c r="I742" s="2">
        <v>9000</v>
      </c>
      <c r="J742" s="192">
        <v>6000</v>
      </c>
      <c r="L742" s="11"/>
      <c r="M742" s="11">
        <v>0</v>
      </c>
      <c r="N742" s="11">
        <v>0</v>
      </c>
      <c r="O742" s="11"/>
      <c r="P742" s="11">
        <v>0</v>
      </c>
      <c r="Q742" s="11">
        <v>0</v>
      </c>
      <c r="R742" s="11">
        <v>0</v>
      </c>
      <c r="S742" s="11">
        <v>0</v>
      </c>
      <c r="T742" s="11"/>
    </row>
    <row r="743" spans="1:20" hidden="1" x14ac:dyDescent="0.25">
      <c r="A743" s="56">
        <v>44914</v>
      </c>
      <c r="B743" s="4" t="s">
        <v>4261</v>
      </c>
      <c r="C743" s="191" t="s">
        <v>4256</v>
      </c>
      <c r="D743" s="1" t="s">
        <v>4252</v>
      </c>
      <c r="E743" s="4" t="s">
        <v>59</v>
      </c>
      <c r="F743" s="1" t="s">
        <v>3666</v>
      </c>
      <c r="G743" s="10" t="s">
        <v>4257</v>
      </c>
      <c r="H743" s="15">
        <v>75000</v>
      </c>
      <c r="I743" s="2">
        <v>37500</v>
      </c>
      <c r="J743" s="192">
        <v>37500</v>
      </c>
      <c r="K743" s="1" t="s">
        <v>4258</v>
      </c>
      <c r="L743" s="11"/>
      <c r="M743" s="11">
        <v>0</v>
      </c>
      <c r="N743" s="11">
        <v>0</v>
      </c>
      <c r="O743" s="11"/>
      <c r="P743" s="11">
        <v>0</v>
      </c>
      <c r="Q743" s="11">
        <v>0</v>
      </c>
      <c r="R743" s="11">
        <v>0</v>
      </c>
      <c r="S743" s="11">
        <v>0</v>
      </c>
      <c r="T743" s="11"/>
    </row>
    <row r="744" spans="1:20" hidden="1" x14ac:dyDescent="0.25">
      <c r="A744" s="56">
        <v>44915</v>
      </c>
      <c r="B744" s="4" t="s">
        <v>4262</v>
      </c>
      <c r="C744" s="191" t="s">
        <v>4263</v>
      </c>
      <c r="D744" s="1" t="s">
        <v>4259</v>
      </c>
      <c r="E744" s="4" t="s">
        <v>385</v>
      </c>
      <c r="F744" s="1" t="s">
        <v>3666</v>
      </c>
      <c r="G744" s="10" t="s">
        <v>4224</v>
      </c>
      <c r="H744" s="15">
        <v>70000</v>
      </c>
      <c r="I744" s="2">
        <v>35000</v>
      </c>
      <c r="J744" s="192">
        <v>35000</v>
      </c>
      <c r="K744" s="1" t="s">
        <v>3386</v>
      </c>
      <c r="L744" s="11">
        <v>40000</v>
      </c>
      <c r="M744" s="11"/>
      <c r="N744" s="11">
        <v>0</v>
      </c>
      <c r="O744" s="11">
        <v>80000</v>
      </c>
      <c r="P744" s="11"/>
      <c r="Q744" s="11">
        <v>0</v>
      </c>
      <c r="R744" s="11">
        <v>0</v>
      </c>
      <c r="S744" s="11">
        <v>40000</v>
      </c>
      <c r="T744" s="11"/>
    </row>
    <row r="745" spans="1:20" hidden="1" x14ac:dyDescent="0.25">
      <c r="A745" s="56">
        <v>44915</v>
      </c>
      <c r="B745" s="4" t="s">
        <v>4265</v>
      </c>
      <c r="C745" s="191" t="s">
        <v>2325</v>
      </c>
      <c r="D745" s="1" t="s">
        <v>228</v>
      </c>
      <c r="E745" s="4" t="s">
        <v>227</v>
      </c>
      <c r="F745" s="1" t="s">
        <v>2446</v>
      </c>
      <c r="G745" s="10" t="s">
        <v>3185</v>
      </c>
      <c r="H745" s="15">
        <v>50000</v>
      </c>
      <c r="I745" s="2">
        <v>30000</v>
      </c>
      <c r="J745" s="192">
        <v>20000</v>
      </c>
      <c r="L745" s="11"/>
      <c r="M745" s="11">
        <v>0</v>
      </c>
      <c r="N745" s="11">
        <v>0</v>
      </c>
      <c r="O745" s="11"/>
      <c r="P745" s="11">
        <v>0</v>
      </c>
      <c r="Q745" s="11">
        <v>0</v>
      </c>
      <c r="R745" s="11">
        <v>0</v>
      </c>
      <c r="S745" s="11">
        <v>0</v>
      </c>
      <c r="T745" s="11"/>
    </row>
    <row r="746" spans="1:20" hidden="1" x14ac:dyDescent="0.25">
      <c r="A746" s="56">
        <v>44915</v>
      </c>
      <c r="C746" s="191" t="s">
        <v>3978</v>
      </c>
      <c r="D746" s="1" t="s">
        <v>3979</v>
      </c>
      <c r="E746" s="4" t="s">
        <v>688</v>
      </c>
      <c r="F746" s="1" t="s">
        <v>2446</v>
      </c>
      <c r="G746" s="10" t="s">
        <v>4264</v>
      </c>
      <c r="H746" s="15">
        <v>20000</v>
      </c>
      <c r="I746" s="2">
        <v>12000</v>
      </c>
      <c r="J746" s="192">
        <v>8000</v>
      </c>
      <c r="L746" s="11"/>
      <c r="M746" s="11">
        <v>0</v>
      </c>
      <c r="N746" s="11">
        <v>0</v>
      </c>
      <c r="O746" s="11"/>
      <c r="P746" s="11">
        <v>0</v>
      </c>
      <c r="Q746" s="11">
        <v>0</v>
      </c>
      <c r="R746" s="11">
        <v>0</v>
      </c>
      <c r="S746" s="11">
        <v>0</v>
      </c>
      <c r="T746" s="11"/>
    </row>
    <row r="747" spans="1:20" ht="30" hidden="1" x14ac:dyDescent="0.25">
      <c r="A747" s="56">
        <v>44915</v>
      </c>
      <c r="B747" s="4" t="s">
        <v>4268</v>
      </c>
      <c r="C747" s="191" t="s">
        <v>1292</v>
      </c>
      <c r="D747" s="1" t="s">
        <v>4266</v>
      </c>
      <c r="E747" s="4" t="s">
        <v>1749</v>
      </c>
      <c r="F747" s="1" t="s">
        <v>2446</v>
      </c>
      <c r="G747" s="10" t="s">
        <v>4321</v>
      </c>
      <c r="H747" s="15">
        <v>100000</v>
      </c>
      <c r="I747" s="2">
        <v>60000</v>
      </c>
      <c r="J747" s="192">
        <v>40000</v>
      </c>
      <c r="K747" s="1" t="s">
        <v>4267</v>
      </c>
      <c r="L747" s="11">
        <v>186800</v>
      </c>
      <c r="M747" s="11">
        <v>156974.78991596639</v>
      </c>
      <c r="N747" s="11">
        <v>29825.210084033613</v>
      </c>
      <c r="O747" s="11">
        <v>257000</v>
      </c>
      <c r="P747" s="11">
        <v>215966.38655462186</v>
      </c>
      <c r="Q747" s="11">
        <v>41033.613445378156</v>
      </c>
      <c r="R747" s="11">
        <v>11208.403361344543</v>
      </c>
      <c r="S747" s="11">
        <v>58991.596638655465</v>
      </c>
      <c r="T747" s="11"/>
    </row>
    <row r="748" spans="1:20" hidden="1" x14ac:dyDescent="0.25">
      <c r="A748" s="56">
        <v>44916</v>
      </c>
      <c r="B748" s="4" t="s">
        <v>4269</v>
      </c>
      <c r="C748" s="191" t="s">
        <v>3181</v>
      </c>
      <c r="D748" s="1" t="s">
        <v>396</v>
      </c>
      <c r="E748" s="4" t="s">
        <v>815</v>
      </c>
      <c r="F748" s="1" t="s">
        <v>2446</v>
      </c>
      <c r="G748" s="10" t="s">
        <v>4270</v>
      </c>
      <c r="H748" s="15">
        <v>70000</v>
      </c>
      <c r="I748" s="2">
        <v>42000</v>
      </c>
      <c r="J748" s="192">
        <v>28000</v>
      </c>
      <c r="L748" s="11"/>
      <c r="M748" s="11">
        <v>0</v>
      </c>
      <c r="N748" s="11">
        <v>0</v>
      </c>
      <c r="O748" s="11"/>
      <c r="P748" s="11">
        <v>0</v>
      </c>
      <c r="Q748" s="11">
        <v>0</v>
      </c>
      <c r="R748" s="11">
        <v>0</v>
      </c>
      <c r="S748" s="11">
        <v>0</v>
      </c>
      <c r="T748" s="11"/>
    </row>
    <row r="749" spans="1:20" hidden="1" x14ac:dyDescent="0.25">
      <c r="A749" s="56">
        <v>44916</v>
      </c>
      <c r="C749" s="191"/>
      <c r="D749" s="1" t="s">
        <v>4271</v>
      </c>
      <c r="E749" s="4" t="s">
        <v>65</v>
      </c>
      <c r="F749" s="1" t="s">
        <v>2446</v>
      </c>
      <c r="G749" s="10" t="s">
        <v>20</v>
      </c>
      <c r="H749" s="15">
        <v>30000</v>
      </c>
      <c r="I749" s="2">
        <v>18000</v>
      </c>
      <c r="J749" s="192">
        <v>12000</v>
      </c>
      <c r="L749" s="11"/>
      <c r="M749" s="11">
        <v>0</v>
      </c>
      <c r="N749" s="11">
        <v>0</v>
      </c>
      <c r="O749" s="11"/>
      <c r="P749" s="11">
        <v>0</v>
      </c>
      <c r="Q749" s="11">
        <v>0</v>
      </c>
      <c r="R749" s="11">
        <v>0</v>
      </c>
      <c r="S749" s="11">
        <v>0</v>
      </c>
      <c r="T749" s="11"/>
    </row>
    <row r="750" spans="1:20" hidden="1" x14ac:dyDescent="0.25">
      <c r="A750" s="56">
        <v>44916</v>
      </c>
      <c r="C750" s="191"/>
      <c r="E750" s="4" t="s">
        <v>3503</v>
      </c>
      <c r="F750" s="1" t="s">
        <v>3666</v>
      </c>
      <c r="G750" s="10" t="s">
        <v>1794</v>
      </c>
      <c r="H750" s="15">
        <v>30000</v>
      </c>
      <c r="I750" s="2">
        <v>15000</v>
      </c>
      <c r="J750" s="192">
        <v>15000</v>
      </c>
      <c r="L750" s="11"/>
      <c r="M750" s="11">
        <v>0</v>
      </c>
      <c r="N750" s="11">
        <v>0</v>
      </c>
      <c r="O750" s="11"/>
      <c r="P750" s="11">
        <v>0</v>
      </c>
      <c r="Q750" s="11">
        <v>0</v>
      </c>
      <c r="R750" s="11">
        <v>0</v>
      </c>
      <c r="S750" s="11">
        <v>0</v>
      </c>
      <c r="T750" s="11"/>
    </row>
    <row r="751" spans="1:20" ht="30" hidden="1" x14ac:dyDescent="0.25">
      <c r="A751" s="56">
        <v>44916</v>
      </c>
      <c r="B751" s="4" t="s">
        <v>4273</v>
      </c>
      <c r="C751" s="191" t="s">
        <v>4272</v>
      </c>
      <c r="D751" s="1" t="s">
        <v>380</v>
      </c>
      <c r="E751" s="4" t="s">
        <v>59</v>
      </c>
      <c r="F751" s="1" t="s">
        <v>2446</v>
      </c>
      <c r="G751" s="10" t="s">
        <v>4274</v>
      </c>
      <c r="H751" s="15">
        <v>70000</v>
      </c>
      <c r="I751" s="2">
        <v>42000</v>
      </c>
      <c r="J751" s="192">
        <v>28000</v>
      </c>
      <c r="L751" s="11"/>
      <c r="M751" s="11">
        <v>0</v>
      </c>
      <c r="N751" s="11">
        <v>0</v>
      </c>
      <c r="O751" s="11"/>
      <c r="P751" s="11">
        <v>0</v>
      </c>
      <c r="Q751" s="11">
        <v>0</v>
      </c>
      <c r="R751" s="11">
        <v>0</v>
      </c>
      <c r="S751" s="11">
        <v>0</v>
      </c>
      <c r="T751" s="11"/>
    </row>
    <row r="752" spans="1:20" hidden="1" x14ac:dyDescent="0.25">
      <c r="A752" s="56">
        <v>44916</v>
      </c>
      <c r="B752" s="4" t="s">
        <v>4275</v>
      </c>
      <c r="C752" s="191" t="s">
        <v>2017</v>
      </c>
      <c r="D752" s="1" t="s">
        <v>1948</v>
      </c>
      <c r="E752" s="4" t="s">
        <v>1947</v>
      </c>
      <c r="F752" s="1" t="s">
        <v>2446</v>
      </c>
      <c r="G752" s="10" t="s">
        <v>3782</v>
      </c>
      <c r="H752" s="15">
        <v>100000</v>
      </c>
      <c r="I752" s="2">
        <v>60000</v>
      </c>
      <c r="J752" s="192">
        <v>40000</v>
      </c>
      <c r="L752" s="11"/>
      <c r="M752" s="11">
        <v>0</v>
      </c>
      <c r="N752" s="11">
        <v>0</v>
      </c>
      <c r="O752" s="11"/>
      <c r="P752" s="11">
        <v>0</v>
      </c>
      <c r="Q752" s="11">
        <v>0</v>
      </c>
      <c r="R752" s="11">
        <v>0</v>
      </c>
      <c r="S752" s="11">
        <v>0</v>
      </c>
      <c r="T752" s="11"/>
    </row>
    <row r="753" spans="1:20" x14ac:dyDescent="0.25">
      <c r="A753" s="56">
        <v>44916</v>
      </c>
      <c r="C753" s="191" t="s">
        <v>4276</v>
      </c>
      <c r="D753" s="1" t="s">
        <v>4277</v>
      </c>
      <c r="E753" s="4" t="s">
        <v>88</v>
      </c>
      <c r="F753" s="1" t="s">
        <v>3925</v>
      </c>
      <c r="G753" s="10" t="s">
        <v>4278</v>
      </c>
      <c r="H753" s="15">
        <v>120000</v>
      </c>
      <c r="I753" s="2">
        <v>72000</v>
      </c>
      <c r="J753" s="192">
        <v>48000</v>
      </c>
      <c r="L753" s="11"/>
      <c r="M753" s="11">
        <v>0</v>
      </c>
      <c r="N753" s="11">
        <v>0</v>
      </c>
      <c r="O753" s="11"/>
      <c r="P753" s="11">
        <v>0</v>
      </c>
      <c r="Q753" s="11">
        <v>0</v>
      </c>
      <c r="R753" s="11">
        <v>0</v>
      </c>
      <c r="S753" s="11">
        <v>0</v>
      </c>
      <c r="T753" s="11"/>
    </row>
    <row r="754" spans="1:20" ht="30" hidden="1" x14ac:dyDescent="0.25">
      <c r="A754" s="56">
        <v>44916</v>
      </c>
      <c r="B754" s="4" t="s">
        <v>4279</v>
      </c>
      <c r="C754" s="191" t="s">
        <v>4280</v>
      </c>
      <c r="D754" s="1" t="s">
        <v>4281</v>
      </c>
      <c r="E754" s="4" t="s">
        <v>356</v>
      </c>
      <c r="F754" s="1" t="s">
        <v>2446</v>
      </c>
      <c r="G754" s="10" t="s">
        <v>4282</v>
      </c>
      <c r="H754" s="15">
        <v>470000</v>
      </c>
      <c r="I754" s="2">
        <v>282000</v>
      </c>
      <c r="J754" s="192">
        <v>188000</v>
      </c>
      <c r="K754" s="1" t="s">
        <v>4283</v>
      </c>
      <c r="L754" s="11">
        <v>1548579</v>
      </c>
      <c r="M754" s="11">
        <v>1301326.8907563025</v>
      </c>
      <c r="N754" s="11">
        <v>247252.10924369749</v>
      </c>
      <c r="O754" s="11">
        <v>2919910.04</v>
      </c>
      <c r="P754" s="11">
        <v>2453705.9159663869</v>
      </c>
      <c r="Q754" s="11">
        <v>466204.12403361354</v>
      </c>
      <c r="R754" s="11">
        <v>218952.01478991605</v>
      </c>
      <c r="S754" s="11">
        <v>1152379.0252100839</v>
      </c>
      <c r="T754" s="11"/>
    </row>
    <row r="755" spans="1:20" hidden="1" x14ac:dyDescent="0.25">
      <c r="A755" s="56">
        <v>44917</v>
      </c>
      <c r="B755" s="4" t="s">
        <v>4284</v>
      </c>
      <c r="C755" s="191" t="s">
        <v>4285</v>
      </c>
      <c r="D755" s="1" t="s">
        <v>4286</v>
      </c>
      <c r="E755" s="4" t="s">
        <v>4322</v>
      </c>
      <c r="F755" s="1" t="s">
        <v>2446</v>
      </c>
      <c r="G755" s="10" t="s">
        <v>4287</v>
      </c>
      <c r="H755" s="15">
        <v>80000</v>
      </c>
      <c r="I755" s="2">
        <v>48000</v>
      </c>
      <c r="J755" s="192">
        <v>32000</v>
      </c>
      <c r="L755" s="11"/>
      <c r="M755" s="11">
        <v>0</v>
      </c>
      <c r="N755" s="11">
        <v>0</v>
      </c>
      <c r="O755" s="11"/>
      <c r="P755" s="11">
        <v>0</v>
      </c>
      <c r="Q755" s="11">
        <v>0</v>
      </c>
      <c r="R755" s="11">
        <v>0</v>
      </c>
      <c r="S755" s="11">
        <v>0</v>
      </c>
      <c r="T755" s="11"/>
    </row>
    <row r="756" spans="1:20" ht="30" hidden="1" x14ac:dyDescent="0.25">
      <c r="A756" s="56">
        <v>44917</v>
      </c>
      <c r="B756" s="4" t="s">
        <v>4284</v>
      </c>
      <c r="C756" s="191" t="s">
        <v>4285</v>
      </c>
      <c r="D756" s="1" t="s">
        <v>2925</v>
      </c>
      <c r="E756" s="4" t="s">
        <v>200</v>
      </c>
      <c r="F756" s="1" t="s">
        <v>2446</v>
      </c>
      <c r="G756" s="10" t="s">
        <v>4288</v>
      </c>
      <c r="H756" s="15">
        <v>120000</v>
      </c>
      <c r="I756" s="2">
        <v>72000</v>
      </c>
      <c r="J756" s="192">
        <v>48000</v>
      </c>
      <c r="K756" s="1" t="s">
        <v>57</v>
      </c>
      <c r="L756" s="11">
        <v>37000</v>
      </c>
      <c r="M756" s="11">
        <v>31092.436974789918</v>
      </c>
      <c r="N756" s="11">
        <v>5907.5630252100846</v>
      </c>
      <c r="O756" s="11">
        <v>60000</v>
      </c>
      <c r="P756" s="11">
        <v>50420.168067226892</v>
      </c>
      <c r="Q756" s="11">
        <v>9579.8319327731097</v>
      </c>
      <c r="R756" s="11">
        <v>3672.2689075630251</v>
      </c>
      <c r="S756" s="11">
        <v>19327.731092436974</v>
      </c>
      <c r="T756" s="11"/>
    </row>
    <row r="757" spans="1:20" hidden="1" x14ac:dyDescent="0.25">
      <c r="A757" s="56">
        <v>44917</v>
      </c>
      <c r="C757" s="191" t="s">
        <v>1023</v>
      </c>
      <c r="D757" s="1" t="s">
        <v>291</v>
      </c>
      <c r="E757" s="4" t="s">
        <v>200</v>
      </c>
      <c r="F757" s="1" t="s">
        <v>2446</v>
      </c>
      <c r="G757" s="10" t="s">
        <v>4231</v>
      </c>
      <c r="H757" s="15">
        <v>80000</v>
      </c>
      <c r="I757" s="2">
        <v>48000</v>
      </c>
      <c r="J757" s="192">
        <v>32000</v>
      </c>
      <c r="L757" s="11"/>
      <c r="M757" s="11">
        <v>0</v>
      </c>
      <c r="N757" s="11">
        <v>0</v>
      </c>
      <c r="O757" s="11"/>
      <c r="P757" s="11">
        <v>0</v>
      </c>
      <c r="Q757" s="11">
        <v>0</v>
      </c>
      <c r="R757" s="11">
        <v>0</v>
      </c>
      <c r="S757" s="11">
        <v>0</v>
      </c>
      <c r="T757" s="11"/>
    </row>
    <row r="758" spans="1:20" hidden="1" x14ac:dyDescent="0.25">
      <c r="A758" s="56">
        <v>44917</v>
      </c>
      <c r="C758" s="191"/>
      <c r="E758" s="4"/>
      <c r="F758" s="1" t="s">
        <v>3666</v>
      </c>
      <c r="G758" s="10" t="s">
        <v>1794</v>
      </c>
      <c r="H758" s="15">
        <v>40000</v>
      </c>
      <c r="I758" s="2">
        <v>20000</v>
      </c>
      <c r="J758" s="192">
        <v>20000</v>
      </c>
      <c r="L758" s="11"/>
      <c r="M758" s="11">
        <v>0</v>
      </c>
      <c r="N758" s="11">
        <v>0</v>
      </c>
      <c r="O758" s="11"/>
      <c r="P758" s="11">
        <v>0</v>
      </c>
      <c r="Q758" s="11">
        <v>0</v>
      </c>
      <c r="R758" s="11">
        <v>0</v>
      </c>
      <c r="S758" s="11">
        <v>0</v>
      </c>
      <c r="T758" s="11"/>
    </row>
    <row r="759" spans="1:20" hidden="1" x14ac:dyDescent="0.25">
      <c r="A759" s="56">
        <v>44917</v>
      </c>
      <c r="C759" s="191"/>
      <c r="D759" s="1" t="s">
        <v>4289</v>
      </c>
      <c r="E759" s="4" t="s">
        <v>566</v>
      </c>
      <c r="F759" s="1" t="s">
        <v>2446</v>
      </c>
      <c r="G759" s="10" t="s">
        <v>4290</v>
      </c>
      <c r="H759" s="15">
        <v>20000</v>
      </c>
      <c r="I759" s="2">
        <v>12000</v>
      </c>
      <c r="J759" s="192">
        <v>8000</v>
      </c>
      <c r="L759" s="11"/>
      <c r="M759" s="11">
        <v>0</v>
      </c>
      <c r="N759" s="11">
        <v>0</v>
      </c>
      <c r="O759" s="11"/>
      <c r="P759" s="11">
        <v>0</v>
      </c>
      <c r="Q759" s="11">
        <v>0</v>
      </c>
      <c r="R759" s="11">
        <v>0</v>
      </c>
      <c r="S759" s="11">
        <v>0</v>
      </c>
      <c r="T759" s="11"/>
    </row>
    <row r="760" spans="1:20" hidden="1" x14ac:dyDescent="0.25">
      <c r="A760" s="56">
        <v>44918</v>
      </c>
      <c r="C760" s="191" t="s">
        <v>4291</v>
      </c>
      <c r="D760" s="1" t="s">
        <v>4292</v>
      </c>
      <c r="E760" s="4" t="s">
        <v>22</v>
      </c>
      <c r="F760" s="1" t="s">
        <v>2446</v>
      </c>
      <c r="G760" s="10" t="s">
        <v>21</v>
      </c>
      <c r="H760" s="15">
        <v>10000</v>
      </c>
      <c r="I760" s="2">
        <v>6000</v>
      </c>
      <c r="J760" s="192">
        <v>4000</v>
      </c>
      <c r="L760" s="11"/>
      <c r="M760" s="11">
        <v>0</v>
      </c>
      <c r="N760" s="11">
        <v>0</v>
      </c>
      <c r="O760" s="11"/>
      <c r="P760" s="11">
        <v>0</v>
      </c>
      <c r="Q760" s="11">
        <v>0</v>
      </c>
      <c r="R760" s="11">
        <v>0</v>
      </c>
      <c r="S760" s="11">
        <v>0</v>
      </c>
      <c r="T760" s="11"/>
    </row>
    <row r="761" spans="1:20" hidden="1" x14ac:dyDescent="0.25">
      <c r="A761" s="56">
        <v>44918</v>
      </c>
      <c r="B761" s="4" t="s">
        <v>4295</v>
      </c>
      <c r="C761" s="191" t="s">
        <v>4293</v>
      </c>
      <c r="D761" s="1" t="s">
        <v>4294</v>
      </c>
      <c r="E761" s="4" t="s">
        <v>1872</v>
      </c>
      <c r="F761" s="1" t="s">
        <v>2446</v>
      </c>
      <c r="G761" s="10" t="s">
        <v>4323</v>
      </c>
      <c r="H761" s="15">
        <v>50000</v>
      </c>
      <c r="I761" s="2">
        <v>30000</v>
      </c>
      <c r="J761" s="192">
        <v>20000</v>
      </c>
      <c r="K761" s="1" t="s">
        <v>256</v>
      </c>
      <c r="L761" s="11">
        <v>17722</v>
      </c>
      <c r="M761" s="11">
        <v>14892.436974789916</v>
      </c>
      <c r="N761" s="11">
        <v>2829.5630252100841</v>
      </c>
      <c r="O761" s="11">
        <v>35000</v>
      </c>
      <c r="P761" s="11">
        <v>29411.764705882353</v>
      </c>
      <c r="Q761" s="11">
        <v>5588.2352941176468</v>
      </c>
      <c r="R761" s="11">
        <v>2758.6722689075627</v>
      </c>
      <c r="S761" s="11">
        <v>14519.327731092439</v>
      </c>
      <c r="T761" s="11"/>
    </row>
    <row r="762" spans="1:20" x14ac:dyDescent="0.25">
      <c r="A762" s="56">
        <v>44918</v>
      </c>
      <c r="B762" s="4" t="s">
        <v>4296</v>
      </c>
      <c r="C762" s="191" t="s">
        <v>4297</v>
      </c>
      <c r="D762" s="1" t="s">
        <v>585</v>
      </c>
      <c r="E762" s="4" t="s">
        <v>2168</v>
      </c>
      <c r="F762" s="1" t="s">
        <v>3925</v>
      </c>
      <c r="G762" s="10" t="s">
        <v>4298</v>
      </c>
      <c r="H762" s="15">
        <v>200000</v>
      </c>
      <c r="I762" s="2">
        <v>120000</v>
      </c>
      <c r="J762" s="192">
        <v>80000</v>
      </c>
      <c r="K762" s="1" t="s">
        <v>4299</v>
      </c>
      <c r="L762" s="11">
        <v>220000</v>
      </c>
      <c r="M762" s="11">
        <v>184873.94957983194</v>
      </c>
      <c r="N762" s="11">
        <v>35126.050420168067</v>
      </c>
      <c r="O762" s="11">
        <v>280000</v>
      </c>
      <c r="P762" s="11">
        <v>235294.11764705883</v>
      </c>
      <c r="Q762" s="11">
        <v>44705.882352941175</v>
      </c>
      <c r="R762" s="11">
        <v>9579.8319327731078</v>
      </c>
      <c r="S762" s="11">
        <v>50420.168067226885</v>
      </c>
      <c r="T762" s="11"/>
    </row>
    <row r="763" spans="1:20" hidden="1" x14ac:dyDescent="0.25">
      <c r="A763" s="56">
        <v>44918</v>
      </c>
      <c r="B763" s="4" t="s">
        <v>4367</v>
      </c>
      <c r="C763" s="191" t="s">
        <v>1059</v>
      </c>
      <c r="D763" s="1" t="s">
        <v>1061</v>
      </c>
      <c r="E763" s="4" t="s">
        <v>1060</v>
      </c>
      <c r="F763" s="1" t="s">
        <v>2446</v>
      </c>
      <c r="G763" s="10" t="s">
        <v>4300</v>
      </c>
      <c r="H763" s="15">
        <v>100000</v>
      </c>
      <c r="I763" s="2">
        <v>60000</v>
      </c>
      <c r="J763" s="192">
        <v>40000</v>
      </c>
      <c r="K763" s="1" t="s">
        <v>4366</v>
      </c>
      <c r="L763" s="11">
        <v>735000</v>
      </c>
      <c r="M763" s="11"/>
      <c r="N763" s="11">
        <v>0</v>
      </c>
      <c r="O763" s="11">
        <v>870000</v>
      </c>
      <c r="P763" s="11"/>
      <c r="Q763" s="11">
        <v>0</v>
      </c>
      <c r="R763" s="11">
        <v>0</v>
      </c>
      <c r="S763" s="11">
        <v>135000</v>
      </c>
      <c r="T763" s="11"/>
    </row>
    <row r="764" spans="1:20" hidden="1" x14ac:dyDescent="0.25">
      <c r="A764" s="56">
        <v>44918</v>
      </c>
      <c r="B764" s="4" t="s">
        <v>4301</v>
      </c>
      <c r="C764" s="191" t="s">
        <v>814</v>
      </c>
      <c r="D764" s="1" t="s">
        <v>2196</v>
      </c>
      <c r="E764" s="4" t="s">
        <v>815</v>
      </c>
      <c r="F764" s="1" t="s">
        <v>2446</v>
      </c>
      <c r="G764" s="10" t="s">
        <v>4302</v>
      </c>
      <c r="H764" s="15">
        <v>40000</v>
      </c>
      <c r="I764" s="2">
        <v>24000</v>
      </c>
      <c r="J764" s="192">
        <v>16000</v>
      </c>
      <c r="L764" s="11"/>
      <c r="M764" s="11">
        <v>0</v>
      </c>
      <c r="N764" s="11">
        <v>0</v>
      </c>
      <c r="O764" s="11"/>
      <c r="P764" s="11">
        <v>0</v>
      </c>
      <c r="Q764" s="11">
        <v>0</v>
      </c>
      <c r="R764" s="11">
        <v>0</v>
      </c>
      <c r="S764" s="11">
        <v>0</v>
      </c>
      <c r="T764" s="11"/>
    </row>
    <row r="765" spans="1:20" hidden="1" x14ac:dyDescent="0.25">
      <c r="A765" s="56">
        <v>44918</v>
      </c>
      <c r="C765" s="191" t="s">
        <v>2912</v>
      </c>
      <c r="D765" s="1" t="s">
        <v>3103</v>
      </c>
      <c r="E765" s="4" t="s">
        <v>52</v>
      </c>
      <c r="F765" s="1" t="s">
        <v>2446</v>
      </c>
      <c r="G765" s="10" t="s">
        <v>21</v>
      </c>
      <c r="H765" s="15">
        <v>10000</v>
      </c>
      <c r="I765" s="2">
        <v>6000</v>
      </c>
      <c r="J765" s="192">
        <v>4000</v>
      </c>
      <c r="L765" s="11"/>
      <c r="M765" s="11">
        <v>0</v>
      </c>
      <c r="N765" s="11">
        <v>0</v>
      </c>
      <c r="O765" s="11"/>
      <c r="P765" s="11">
        <v>0</v>
      </c>
      <c r="Q765" s="11">
        <v>0</v>
      </c>
      <c r="R765" s="11">
        <v>0</v>
      </c>
      <c r="S765" s="11">
        <v>0</v>
      </c>
      <c r="T765" s="11"/>
    </row>
    <row r="766" spans="1:20" x14ac:dyDescent="0.25">
      <c r="A766" s="56">
        <v>44918</v>
      </c>
      <c r="C766" s="191" t="s">
        <v>4303</v>
      </c>
      <c r="D766" s="1" t="s">
        <v>4304</v>
      </c>
      <c r="E766" s="4" t="s">
        <v>4317</v>
      </c>
      <c r="F766" s="1" t="s">
        <v>3925</v>
      </c>
      <c r="G766" s="10" t="s">
        <v>2822</v>
      </c>
      <c r="H766" s="15">
        <v>50000</v>
      </c>
      <c r="I766" s="2">
        <v>30000</v>
      </c>
      <c r="J766" s="192">
        <v>20000</v>
      </c>
      <c r="L766" s="11"/>
      <c r="M766" s="11">
        <v>0</v>
      </c>
      <c r="N766" s="11">
        <v>0</v>
      </c>
      <c r="O766" s="11"/>
      <c r="P766" s="11">
        <v>0</v>
      </c>
      <c r="Q766" s="11">
        <v>0</v>
      </c>
      <c r="R766" s="11">
        <v>0</v>
      </c>
      <c r="S766" s="11">
        <v>0</v>
      </c>
      <c r="T766" s="11"/>
    </row>
    <row r="767" spans="1:20" hidden="1" x14ac:dyDescent="0.25">
      <c r="A767" s="56">
        <v>44918</v>
      </c>
      <c r="C767" s="191" t="s">
        <v>3346</v>
      </c>
      <c r="D767" s="1" t="s">
        <v>2966</v>
      </c>
      <c r="E767" s="4" t="s">
        <v>2392</v>
      </c>
      <c r="F767" s="1" t="s">
        <v>2446</v>
      </c>
      <c r="G767" s="10" t="s">
        <v>4305</v>
      </c>
      <c r="H767" s="15">
        <v>50000</v>
      </c>
      <c r="I767" s="2">
        <v>30000</v>
      </c>
      <c r="J767" s="192">
        <v>20000</v>
      </c>
      <c r="L767" s="11"/>
      <c r="M767" s="11">
        <v>0</v>
      </c>
      <c r="N767" s="11">
        <v>0</v>
      </c>
      <c r="O767" s="11"/>
      <c r="P767" s="11">
        <v>0</v>
      </c>
      <c r="Q767" s="11">
        <v>0</v>
      </c>
      <c r="R767" s="11">
        <v>0</v>
      </c>
      <c r="S767" s="11">
        <v>0</v>
      </c>
      <c r="T767" s="11"/>
    </row>
    <row r="768" spans="1:20" hidden="1" x14ac:dyDescent="0.25">
      <c r="A768" s="56">
        <v>44918</v>
      </c>
      <c r="C768" s="191" t="s">
        <v>4306</v>
      </c>
      <c r="D768" s="1" t="s">
        <v>70</v>
      </c>
      <c r="E768" s="4" t="s">
        <v>29</v>
      </c>
      <c r="F768" s="1" t="s">
        <v>2446</v>
      </c>
      <c r="G768" s="10" t="s">
        <v>2239</v>
      </c>
      <c r="H768" s="15">
        <v>10000</v>
      </c>
      <c r="I768" s="2">
        <v>6000</v>
      </c>
      <c r="J768" s="192">
        <v>4000</v>
      </c>
      <c r="L768" s="11"/>
      <c r="M768" s="11">
        <v>0</v>
      </c>
      <c r="N768" s="11">
        <v>0</v>
      </c>
      <c r="O768" s="11"/>
      <c r="P768" s="11">
        <v>0</v>
      </c>
      <c r="Q768" s="11">
        <v>0</v>
      </c>
      <c r="R768" s="11">
        <v>0</v>
      </c>
      <c r="S768" s="11">
        <v>0</v>
      </c>
      <c r="T768" s="11"/>
    </row>
    <row r="769" spans="1:20" x14ac:dyDescent="0.25">
      <c r="A769" s="56">
        <v>44918</v>
      </c>
      <c r="C769" s="191" t="s">
        <v>1087</v>
      </c>
      <c r="D769" s="1" t="s">
        <v>1088</v>
      </c>
      <c r="E769" s="4" t="s">
        <v>4307</v>
      </c>
      <c r="F769" s="1" t="s">
        <v>3925</v>
      </c>
      <c r="G769" s="10" t="s">
        <v>4308</v>
      </c>
      <c r="H769" s="15">
        <v>200000</v>
      </c>
      <c r="I769" s="2">
        <v>120000</v>
      </c>
      <c r="J769" s="192">
        <v>80000</v>
      </c>
      <c r="L769" s="11"/>
      <c r="M769" s="11">
        <v>0</v>
      </c>
      <c r="N769" s="11">
        <v>0</v>
      </c>
      <c r="O769" s="11"/>
      <c r="P769" s="11">
        <v>0</v>
      </c>
      <c r="Q769" s="11">
        <v>0</v>
      </c>
      <c r="R769" s="11">
        <v>0</v>
      </c>
      <c r="S769" s="11">
        <v>0</v>
      </c>
      <c r="T769" s="11"/>
    </row>
    <row r="770" spans="1:20" hidden="1" x14ac:dyDescent="0.25">
      <c r="A770" s="56">
        <v>44918</v>
      </c>
      <c r="C770" s="191" t="s">
        <v>1087</v>
      </c>
      <c r="D770" s="1" t="s">
        <v>1088</v>
      </c>
      <c r="E770" s="4" t="s">
        <v>4307</v>
      </c>
      <c r="F770" s="1" t="s">
        <v>2446</v>
      </c>
      <c r="G770" s="10" t="s">
        <v>4309</v>
      </c>
      <c r="H770" s="15">
        <v>20000</v>
      </c>
      <c r="I770" s="2">
        <v>12000</v>
      </c>
      <c r="J770" s="192">
        <v>8000</v>
      </c>
      <c r="L770" s="11"/>
      <c r="M770" s="11">
        <v>0</v>
      </c>
      <c r="N770" s="11">
        <v>0</v>
      </c>
      <c r="O770" s="11"/>
      <c r="P770" s="11">
        <v>0</v>
      </c>
      <c r="Q770" s="11">
        <v>0</v>
      </c>
      <c r="R770" s="11">
        <v>0</v>
      </c>
      <c r="S770" s="11">
        <v>0</v>
      </c>
      <c r="T770" s="11"/>
    </row>
    <row r="771" spans="1:20" hidden="1" x14ac:dyDescent="0.25">
      <c r="A771" s="56">
        <v>44918</v>
      </c>
      <c r="C771" s="191"/>
      <c r="D771" s="1" t="s">
        <v>3911</v>
      </c>
      <c r="E771" s="4" t="s">
        <v>84</v>
      </c>
      <c r="F771" s="1" t="s">
        <v>34</v>
      </c>
      <c r="G771" s="10" t="s">
        <v>4310</v>
      </c>
      <c r="H771" s="15">
        <v>10000</v>
      </c>
      <c r="I771" s="2">
        <v>6000</v>
      </c>
      <c r="J771" s="192">
        <v>4000</v>
      </c>
      <c r="L771" s="11"/>
      <c r="M771" s="11">
        <v>0</v>
      </c>
      <c r="N771" s="11">
        <v>0</v>
      </c>
      <c r="O771" s="11"/>
      <c r="P771" s="11">
        <v>0</v>
      </c>
      <c r="Q771" s="11">
        <v>0</v>
      </c>
      <c r="R771" s="11">
        <v>0</v>
      </c>
      <c r="S771" s="11">
        <v>0</v>
      </c>
      <c r="T771" s="11"/>
    </row>
    <row r="772" spans="1:20" x14ac:dyDescent="0.25">
      <c r="A772" s="56">
        <v>44918</v>
      </c>
      <c r="C772" s="191" t="s">
        <v>4311</v>
      </c>
      <c r="E772" s="4" t="s">
        <v>2285</v>
      </c>
      <c r="F772" s="1" t="s">
        <v>3925</v>
      </c>
      <c r="G772" s="10" t="s">
        <v>338</v>
      </c>
      <c r="H772" s="15">
        <v>100000</v>
      </c>
      <c r="I772" s="2">
        <v>60000</v>
      </c>
      <c r="J772" s="192">
        <v>40000</v>
      </c>
      <c r="K772" s="1" t="s">
        <v>3390</v>
      </c>
      <c r="L772" s="11">
        <v>110000</v>
      </c>
      <c r="M772" s="11">
        <v>92436.97478991597</v>
      </c>
      <c r="N772" s="11">
        <v>17563.025210084033</v>
      </c>
      <c r="O772" s="11">
        <v>138000</v>
      </c>
      <c r="P772" s="11">
        <v>115966.38655462186</v>
      </c>
      <c r="Q772" s="11">
        <v>22033.613445378152</v>
      </c>
      <c r="R772" s="11">
        <v>4470.5882352941189</v>
      </c>
      <c r="S772" s="11">
        <v>23529.411764705874</v>
      </c>
      <c r="T772" s="11"/>
    </row>
    <row r="773" spans="1:20" hidden="1" x14ac:dyDescent="0.25">
      <c r="A773" s="56">
        <v>44918</v>
      </c>
      <c r="C773" s="191" t="s">
        <v>4312</v>
      </c>
      <c r="D773" s="1" t="s">
        <v>4313</v>
      </c>
      <c r="E773" s="4" t="s">
        <v>122</v>
      </c>
      <c r="F773" s="1" t="s">
        <v>2446</v>
      </c>
      <c r="G773" s="10" t="s">
        <v>515</v>
      </c>
      <c r="H773" s="15">
        <v>60000</v>
      </c>
      <c r="I773" s="2">
        <v>36000</v>
      </c>
      <c r="J773" s="192">
        <v>24000</v>
      </c>
      <c r="K773" s="1" t="s">
        <v>516</v>
      </c>
      <c r="L773" s="11">
        <v>260000</v>
      </c>
      <c r="M773" s="11">
        <v>218487.3949579832</v>
      </c>
      <c r="N773" s="11">
        <v>41512.60504201681</v>
      </c>
      <c r="O773" s="11">
        <v>330000</v>
      </c>
      <c r="P773" s="11">
        <v>277310.92436974793</v>
      </c>
      <c r="Q773" s="11">
        <v>52689.075630252104</v>
      </c>
      <c r="R773" s="11">
        <v>11176.470588235294</v>
      </c>
      <c r="S773" s="11">
        <v>58823.529411764699</v>
      </c>
      <c r="T773" s="11"/>
    </row>
    <row r="774" spans="1:20" ht="30" hidden="1" x14ac:dyDescent="0.25">
      <c r="A774" s="56">
        <v>44918</v>
      </c>
      <c r="C774" s="191" t="s">
        <v>4314</v>
      </c>
      <c r="D774" s="1" t="s">
        <v>4315</v>
      </c>
      <c r="E774" s="4" t="s">
        <v>500</v>
      </c>
      <c r="F774" s="1" t="s">
        <v>2446</v>
      </c>
      <c r="G774" s="10" t="s">
        <v>4324</v>
      </c>
      <c r="H774" s="15">
        <v>80000</v>
      </c>
      <c r="I774" s="2">
        <v>48000</v>
      </c>
      <c r="J774" s="192">
        <v>32000</v>
      </c>
      <c r="K774" s="1" t="s">
        <v>51</v>
      </c>
      <c r="L774" s="11">
        <v>88000</v>
      </c>
      <c r="M774" s="11">
        <v>73949.579831932773</v>
      </c>
      <c r="N774" s="11">
        <v>14050.420168067227</v>
      </c>
      <c r="O774" s="11">
        <v>120000</v>
      </c>
      <c r="P774" s="11">
        <v>100840.33613445378</v>
      </c>
      <c r="Q774" s="11">
        <v>19159.663865546219</v>
      </c>
      <c r="R774" s="11">
        <v>5109.2436974789925</v>
      </c>
      <c r="S774" s="11">
        <v>26890.756302521011</v>
      </c>
      <c r="T774" s="11"/>
    </row>
    <row r="775" spans="1:20" x14ac:dyDescent="0.25">
      <c r="A775" s="56">
        <v>44918</v>
      </c>
      <c r="C775" s="191" t="s">
        <v>129</v>
      </c>
      <c r="D775" s="1" t="s">
        <v>125</v>
      </c>
      <c r="E775" s="4" t="s">
        <v>202</v>
      </c>
      <c r="F775" s="1" t="s">
        <v>3925</v>
      </c>
      <c r="G775" s="10" t="s">
        <v>4157</v>
      </c>
      <c r="H775" s="15">
        <v>100000</v>
      </c>
      <c r="I775" s="2">
        <v>100000</v>
      </c>
      <c r="J775" s="192">
        <v>0</v>
      </c>
      <c r="L775" s="11"/>
      <c r="M775" s="11">
        <v>0</v>
      </c>
      <c r="N775" s="11">
        <v>0</v>
      </c>
      <c r="O775" s="11"/>
      <c r="P775" s="11">
        <v>0</v>
      </c>
      <c r="Q775" s="11">
        <v>0</v>
      </c>
      <c r="R775" s="11">
        <v>0</v>
      </c>
      <c r="S775" s="11">
        <v>0</v>
      </c>
      <c r="T775" s="11"/>
    </row>
    <row r="776" spans="1:20" hidden="1" x14ac:dyDescent="0.25">
      <c r="A776" s="56">
        <v>44919</v>
      </c>
      <c r="B776" s="4" t="s">
        <v>4327</v>
      </c>
      <c r="C776" s="191" t="s">
        <v>4328</v>
      </c>
      <c r="D776" s="1" t="s">
        <v>4329</v>
      </c>
      <c r="E776" s="4" t="s">
        <v>84</v>
      </c>
      <c r="F776" s="1" t="s">
        <v>2446</v>
      </c>
      <c r="G776" s="10" t="s">
        <v>4330</v>
      </c>
      <c r="H776" s="15">
        <v>75000</v>
      </c>
      <c r="I776" s="2">
        <v>52500</v>
      </c>
      <c r="J776" s="192">
        <v>22500</v>
      </c>
      <c r="K776" s="1" t="s">
        <v>4331</v>
      </c>
      <c r="L776" s="11">
        <v>25000</v>
      </c>
      <c r="M776" s="11">
        <v>21008.403361344539</v>
      </c>
      <c r="N776" s="11">
        <v>3991.5966386554624</v>
      </c>
      <c r="O776" s="11">
        <v>40000</v>
      </c>
      <c r="P776" s="11">
        <v>33613.445378151264</v>
      </c>
      <c r="Q776" s="11">
        <v>6386.5546218487398</v>
      </c>
      <c r="R776" s="11">
        <v>2394.9579831932774</v>
      </c>
      <c r="S776" s="11">
        <v>12605.042016806721</v>
      </c>
      <c r="T776" s="11"/>
    </row>
    <row r="777" spans="1:20" hidden="1" x14ac:dyDescent="0.25">
      <c r="A777" s="56">
        <v>44919</v>
      </c>
      <c r="C777" s="191" t="s">
        <v>4332</v>
      </c>
      <c r="D777" s="1" t="s">
        <v>3946</v>
      </c>
      <c r="E777" s="4" t="s">
        <v>1947</v>
      </c>
      <c r="F777" s="1" t="s">
        <v>2446</v>
      </c>
      <c r="G777" s="10" t="s">
        <v>4412</v>
      </c>
      <c r="H777" s="15">
        <v>50000</v>
      </c>
      <c r="I777" s="2">
        <v>35000</v>
      </c>
      <c r="J777" s="192">
        <v>15000</v>
      </c>
      <c r="K777" s="1" t="s">
        <v>4333</v>
      </c>
      <c r="L777" s="11">
        <v>30000</v>
      </c>
      <c r="M777" s="11">
        <v>25210.084033613446</v>
      </c>
      <c r="N777" s="11">
        <v>4789.9159663865548</v>
      </c>
      <c r="O777" s="11">
        <v>40000</v>
      </c>
      <c r="P777" s="11">
        <v>33613.445378151264</v>
      </c>
      <c r="Q777" s="11">
        <v>6386.5546218487398</v>
      </c>
      <c r="R777" s="11">
        <v>1596.6386554621849</v>
      </c>
      <c r="S777" s="11">
        <v>8403.3613445378141</v>
      </c>
      <c r="T777" s="11"/>
    </row>
    <row r="778" spans="1:20" hidden="1" x14ac:dyDescent="0.25">
      <c r="A778" s="56">
        <v>44919</v>
      </c>
      <c r="C778" s="191" t="s">
        <v>4334</v>
      </c>
      <c r="D778" s="1" t="s">
        <v>4335</v>
      </c>
      <c r="E778" s="4" t="s">
        <v>815</v>
      </c>
      <c r="F778" s="1" t="s">
        <v>2446</v>
      </c>
      <c r="G778" s="10" t="s">
        <v>381</v>
      </c>
      <c r="H778" s="15">
        <v>30000</v>
      </c>
      <c r="I778" s="2">
        <v>21000</v>
      </c>
      <c r="J778" s="192">
        <v>9000</v>
      </c>
      <c r="L778" s="11"/>
      <c r="M778" s="11">
        <v>0</v>
      </c>
      <c r="N778" s="11">
        <v>0</v>
      </c>
      <c r="O778" s="11"/>
      <c r="P778" s="11">
        <v>0</v>
      </c>
      <c r="Q778" s="11">
        <v>0</v>
      </c>
      <c r="R778" s="11">
        <v>0</v>
      </c>
      <c r="S778" s="11">
        <v>0</v>
      </c>
      <c r="T778" s="11"/>
    </row>
    <row r="779" spans="1:20" hidden="1" x14ac:dyDescent="0.25">
      <c r="A779" s="56">
        <v>44919</v>
      </c>
      <c r="B779" s="4" t="s">
        <v>4341</v>
      </c>
      <c r="C779" s="191" t="s">
        <v>4336</v>
      </c>
      <c r="D779" s="1" t="s">
        <v>4337</v>
      </c>
      <c r="E779" s="4" t="s">
        <v>4338</v>
      </c>
      <c r="F779" s="1" t="s">
        <v>2446</v>
      </c>
      <c r="G779" s="10" t="s">
        <v>4339</v>
      </c>
      <c r="H779" s="15">
        <v>120000</v>
      </c>
      <c r="I779" s="2">
        <v>84000</v>
      </c>
      <c r="J779" s="192">
        <v>36000</v>
      </c>
      <c r="K779" s="1" t="s">
        <v>4340</v>
      </c>
      <c r="L779" s="11">
        <v>337000</v>
      </c>
      <c r="M779" s="11">
        <v>283193.27731092437</v>
      </c>
      <c r="N779" s="11">
        <v>53806.722689075628</v>
      </c>
      <c r="O779" s="11">
        <v>266000</v>
      </c>
      <c r="P779" s="11">
        <v>223529.4117647059</v>
      </c>
      <c r="Q779" s="11">
        <v>42470.588235294119</v>
      </c>
      <c r="R779" s="11">
        <v>-11336.134453781509</v>
      </c>
      <c r="S779" s="11">
        <v>-59663.865546218469</v>
      </c>
      <c r="T779" s="11"/>
    </row>
    <row r="780" spans="1:20" ht="30" hidden="1" x14ac:dyDescent="0.25">
      <c r="A780" s="56">
        <v>44921</v>
      </c>
      <c r="B780" s="4" t="s">
        <v>4346</v>
      </c>
      <c r="C780" s="191" t="s">
        <v>4342</v>
      </c>
      <c r="D780" s="1" t="s">
        <v>4343</v>
      </c>
      <c r="E780" s="4" t="s">
        <v>356</v>
      </c>
      <c r="F780" s="1" t="s">
        <v>2446</v>
      </c>
      <c r="G780" s="10" t="s">
        <v>4344</v>
      </c>
      <c r="H780" s="15">
        <v>100000</v>
      </c>
      <c r="I780" s="2">
        <v>70000</v>
      </c>
      <c r="J780" s="192">
        <v>30000</v>
      </c>
      <c r="K780" s="1" t="s">
        <v>4345</v>
      </c>
      <c r="L780" s="11">
        <v>16000</v>
      </c>
      <c r="M780" s="11">
        <v>13445.378151260506</v>
      </c>
      <c r="N780" s="11">
        <v>2554.6218487394963</v>
      </c>
      <c r="O780" s="11">
        <v>20000</v>
      </c>
      <c r="P780" s="11">
        <v>16806.722689075632</v>
      </c>
      <c r="Q780" s="11">
        <v>3193.2773109243699</v>
      </c>
      <c r="R780" s="11">
        <v>638.65546218487361</v>
      </c>
      <c r="S780" s="11">
        <v>3361.3445378151264</v>
      </c>
      <c r="T780" s="11"/>
    </row>
    <row r="781" spans="1:20" hidden="1" x14ac:dyDescent="0.25">
      <c r="A781" s="56">
        <v>44921</v>
      </c>
      <c r="B781" s="4" t="s">
        <v>4347</v>
      </c>
      <c r="C781" s="191" t="s">
        <v>789</v>
      </c>
      <c r="D781" s="1" t="s">
        <v>790</v>
      </c>
      <c r="E781" s="4" t="s">
        <v>828</v>
      </c>
      <c r="F781" s="1" t="s">
        <v>2446</v>
      </c>
      <c r="G781" s="10" t="s">
        <v>4348</v>
      </c>
      <c r="H781" s="15">
        <v>50000</v>
      </c>
      <c r="I781" s="2">
        <v>35000</v>
      </c>
      <c r="J781" s="192">
        <v>15000</v>
      </c>
      <c r="K781" s="1" t="s">
        <v>4349</v>
      </c>
      <c r="L781" s="11"/>
      <c r="M781" s="11">
        <v>0</v>
      </c>
      <c r="N781" s="11">
        <v>0</v>
      </c>
      <c r="O781" s="11"/>
      <c r="P781" s="11">
        <v>0</v>
      </c>
      <c r="Q781" s="11">
        <v>0</v>
      </c>
      <c r="R781" s="11">
        <v>0</v>
      </c>
      <c r="S781" s="11">
        <v>0</v>
      </c>
      <c r="T781" s="11"/>
    </row>
    <row r="782" spans="1:20" x14ac:dyDescent="0.25">
      <c r="A782" s="56">
        <v>44921</v>
      </c>
      <c r="B782" s="4" t="s">
        <v>4350</v>
      </c>
      <c r="C782" s="191" t="s">
        <v>765</v>
      </c>
      <c r="D782" s="1" t="s">
        <v>4351</v>
      </c>
      <c r="E782" s="4" t="s">
        <v>4009</v>
      </c>
      <c r="F782" s="1" t="s">
        <v>3925</v>
      </c>
      <c r="G782" s="10" t="s">
        <v>4352</v>
      </c>
      <c r="H782" s="15">
        <v>180000</v>
      </c>
      <c r="I782" s="2">
        <v>108000</v>
      </c>
      <c r="J782" s="192">
        <v>72000</v>
      </c>
      <c r="K782" s="1" t="s">
        <v>4353</v>
      </c>
      <c r="L782" s="11">
        <v>45000</v>
      </c>
      <c r="M782" s="11"/>
      <c r="N782" s="11">
        <v>0</v>
      </c>
      <c r="O782" s="11">
        <v>80000</v>
      </c>
      <c r="P782" s="11"/>
      <c r="Q782" s="11">
        <v>0</v>
      </c>
      <c r="R782" s="11">
        <v>0</v>
      </c>
      <c r="S782" s="11">
        <v>35000</v>
      </c>
      <c r="T782" s="11"/>
    </row>
    <row r="783" spans="1:20" hidden="1" x14ac:dyDescent="0.25">
      <c r="A783" s="56">
        <v>44921</v>
      </c>
      <c r="C783" s="191"/>
      <c r="D783" s="1" t="s">
        <v>4354</v>
      </c>
      <c r="E783" s="4" t="s">
        <v>65</v>
      </c>
      <c r="F783" s="1" t="s">
        <v>2446</v>
      </c>
      <c r="G783" s="10" t="s">
        <v>4355</v>
      </c>
      <c r="H783" s="15">
        <v>30000</v>
      </c>
      <c r="I783" s="2">
        <v>21000</v>
      </c>
      <c r="J783" s="192">
        <v>9000</v>
      </c>
      <c r="L783" s="11"/>
      <c r="M783" s="11">
        <v>0</v>
      </c>
      <c r="N783" s="11">
        <v>0</v>
      </c>
      <c r="O783" s="11"/>
      <c r="P783" s="11">
        <v>0</v>
      </c>
      <c r="Q783" s="11">
        <v>0</v>
      </c>
      <c r="R783" s="11">
        <v>0</v>
      </c>
      <c r="S783" s="11">
        <v>0</v>
      </c>
      <c r="T783" s="11"/>
    </row>
    <row r="784" spans="1:20" ht="30" hidden="1" x14ac:dyDescent="0.25">
      <c r="A784" s="56">
        <v>44921</v>
      </c>
      <c r="B784" s="4" t="s">
        <v>4358</v>
      </c>
      <c r="C784" s="191" t="s">
        <v>1757</v>
      </c>
      <c r="D784" s="1" t="s">
        <v>1468</v>
      </c>
      <c r="E784" s="4" t="s">
        <v>4356</v>
      </c>
      <c r="F784" s="1" t="s">
        <v>2446</v>
      </c>
      <c r="G784" s="10" t="s">
        <v>4357</v>
      </c>
      <c r="H784" s="15">
        <v>40000</v>
      </c>
      <c r="I784" s="2">
        <v>28000</v>
      </c>
      <c r="J784" s="192">
        <v>12000</v>
      </c>
      <c r="K784" s="1" t="s">
        <v>1307</v>
      </c>
      <c r="L784" s="11">
        <v>117000</v>
      </c>
      <c r="M784" s="11">
        <v>98319.327731092446</v>
      </c>
      <c r="N784" s="11">
        <v>18680.672268907565</v>
      </c>
      <c r="O784" s="11">
        <v>160000</v>
      </c>
      <c r="P784" s="11">
        <v>134453.78151260506</v>
      </c>
      <c r="Q784" s="11">
        <v>25546.218487394959</v>
      </c>
      <c r="R784" s="11">
        <v>6865.5462184873941</v>
      </c>
      <c r="S784" s="11">
        <v>36134.45378151261</v>
      </c>
      <c r="T784" s="11"/>
    </row>
    <row r="785" spans="1:20" hidden="1" x14ac:dyDescent="0.25">
      <c r="A785" s="56">
        <v>44921</v>
      </c>
      <c r="C785" s="191" t="s">
        <v>4359</v>
      </c>
      <c r="D785" s="1" t="s">
        <v>3675</v>
      </c>
      <c r="E785" s="4" t="s">
        <v>59</v>
      </c>
      <c r="F785" s="1" t="s">
        <v>2446</v>
      </c>
      <c r="G785" s="10" t="s">
        <v>21</v>
      </c>
      <c r="H785" s="15">
        <v>8000</v>
      </c>
      <c r="I785" s="2">
        <v>5600</v>
      </c>
      <c r="J785" s="192">
        <v>2400</v>
      </c>
      <c r="L785" s="11"/>
      <c r="M785" s="11">
        <v>0</v>
      </c>
      <c r="N785" s="11">
        <v>0</v>
      </c>
      <c r="O785" s="11"/>
      <c r="P785" s="11">
        <v>0</v>
      </c>
      <c r="Q785" s="11">
        <v>0</v>
      </c>
      <c r="R785" s="11">
        <v>0</v>
      </c>
      <c r="S785" s="11">
        <v>0</v>
      </c>
      <c r="T785" s="11"/>
    </row>
    <row r="786" spans="1:20" hidden="1" x14ac:dyDescent="0.25">
      <c r="A786" s="56">
        <v>44921</v>
      </c>
      <c r="B786" s="4" t="s">
        <v>4364</v>
      </c>
      <c r="C786" s="191" t="s">
        <v>4360</v>
      </c>
      <c r="D786" s="1" t="s">
        <v>4361</v>
      </c>
      <c r="E786" s="4" t="s">
        <v>3080</v>
      </c>
      <c r="F786" s="1" t="s">
        <v>2446</v>
      </c>
      <c r="G786" s="10" t="s">
        <v>4362</v>
      </c>
      <c r="H786" s="15">
        <v>70000</v>
      </c>
      <c r="I786" s="2">
        <v>49000</v>
      </c>
      <c r="J786" s="192">
        <v>21000</v>
      </c>
      <c r="K786" s="1" t="s">
        <v>4363</v>
      </c>
      <c r="L786" s="11">
        <v>25000</v>
      </c>
      <c r="M786" s="11"/>
      <c r="N786" s="11">
        <v>0</v>
      </c>
      <c r="O786" s="11">
        <v>50000</v>
      </c>
      <c r="P786" s="11"/>
      <c r="Q786" s="11">
        <v>0</v>
      </c>
      <c r="R786" s="11">
        <v>0</v>
      </c>
      <c r="S786" s="11">
        <v>25000</v>
      </c>
      <c r="T786" s="11"/>
    </row>
    <row r="787" spans="1:20" hidden="1" x14ac:dyDescent="0.25">
      <c r="A787" s="56">
        <v>44921</v>
      </c>
      <c r="C787" s="191"/>
      <c r="D787" s="1" t="s">
        <v>4365</v>
      </c>
      <c r="E787" s="4"/>
      <c r="F787" s="1" t="s">
        <v>34</v>
      </c>
      <c r="G787" s="10" t="s">
        <v>341</v>
      </c>
      <c r="H787" s="15">
        <v>10000</v>
      </c>
      <c r="I787" s="2">
        <v>6000</v>
      </c>
      <c r="J787" s="192">
        <v>4000</v>
      </c>
      <c r="L787" s="11"/>
      <c r="M787" s="11">
        <v>0</v>
      </c>
      <c r="N787" s="11">
        <v>0</v>
      </c>
      <c r="O787" s="11"/>
      <c r="P787" s="11">
        <v>0</v>
      </c>
      <c r="Q787" s="11">
        <v>0</v>
      </c>
      <c r="R787" s="11">
        <v>0</v>
      </c>
      <c r="S787" s="11">
        <v>0</v>
      </c>
      <c r="T787" s="11"/>
    </row>
    <row r="788" spans="1:20" hidden="1" x14ac:dyDescent="0.25">
      <c r="A788" s="56">
        <v>44922</v>
      </c>
      <c r="C788" s="191" t="s">
        <v>4370</v>
      </c>
      <c r="D788" s="1" t="s">
        <v>4371</v>
      </c>
      <c r="E788" s="4" t="s">
        <v>4372</v>
      </c>
      <c r="F788" s="1" t="s">
        <v>2446</v>
      </c>
      <c r="G788" s="10" t="s">
        <v>2324</v>
      </c>
      <c r="H788" s="15">
        <v>30000</v>
      </c>
      <c r="I788" s="2">
        <v>21000</v>
      </c>
      <c r="J788" s="192">
        <v>9000</v>
      </c>
      <c r="L788" s="11"/>
      <c r="M788" s="11">
        <v>0</v>
      </c>
      <c r="N788" s="11">
        <v>0</v>
      </c>
      <c r="O788" s="11"/>
      <c r="P788" s="11">
        <v>0</v>
      </c>
      <c r="Q788" s="11">
        <v>0</v>
      </c>
      <c r="R788" s="11">
        <v>0</v>
      </c>
      <c r="S788" s="11">
        <v>0</v>
      </c>
      <c r="T788" s="11"/>
    </row>
    <row r="789" spans="1:20" hidden="1" x14ac:dyDescent="0.25">
      <c r="A789" s="56">
        <v>44922</v>
      </c>
      <c r="B789" s="4" t="s">
        <v>4375</v>
      </c>
      <c r="C789" s="191" t="s">
        <v>4373</v>
      </c>
      <c r="D789" s="1" t="s">
        <v>4374</v>
      </c>
      <c r="E789" s="4" t="s">
        <v>2999</v>
      </c>
      <c r="F789" s="1" t="s">
        <v>2446</v>
      </c>
      <c r="G789" s="10" t="s">
        <v>2575</v>
      </c>
      <c r="H789" s="15">
        <v>50000</v>
      </c>
      <c r="I789" s="2">
        <v>35000</v>
      </c>
      <c r="J789" s="192">
        <v>15000</v>
      </c>
      <c r="L789" s="11"/>
      <c r="M789" s="11">
        <v>0</v>
      </c>
      <c r="N789" s="11">
        <v>0</v>
      </c>
      <c r="O789" s="11"/>
      <c r="P789" s="11">
        <v>0</v>
      </c>
      <c r="Q789" s="11">
        <v>0</v>
      </c>
      <c r="R789" s="11">
        <v>0</v>
      </c>
      <c r="S789" s="11">
        <v>0</v>
      </c>
      <c r="T789" s="11"/>
    </row>
    <row r="790" spans="1:20" hidden="1" x14ac:dyDescent="0.25">
      <c r="A790" s="56">
        <v>44922</v>
      </c>
      <c r="C790" s="191"/>
      <c r="D790" s="1" t="s">
        <v>2709</v>
      </c>
      <c r="E790" s="4" t="s">
        <v>1947</v>
      </c>
      <c r="F790" s="1" t="s">
        <v>2446</v>
      </c>
      <c r="G790" s="10" t="s">
        <v>4378</v>
      </c>
      <c r="H790" s="15">
        <v>30000</v>
      </c>
      <c r="I790" s="2">
        <v>21000</v>
      </c>
      <c r="J790" s="192">
        <v>9000</v>
      </c>
      <c r="K790" s="1" t="s">
        <v>4345</v>
      </c>
      <c r="L790" s="11"/>
      <c r="M790" s="11">
        <v>0</v>
      </c>
      <c r="N790" s="11">
        <v>0</v>
      </c>
      <c r="O790" s="11"/>
      <c r="P790" s="11">
        <v>0</v>
      </c>
      <c r="Q790" s="11">
        <v>0</v>
      </c>
      <c r="R790" s="11">
        <v>0</v>
      </c>
      <c r="S790" s="11">
        <v>0</v>
      </c>
      <c r="T790" s="11"/>
    </row>
    <row r="791" spans="1:20" hidden="1" x14ac:dyDescent="0.25">
      <c r="A791" s="56">
        <v>44922</v>
      </c>
      <c r="C791" s="191" t="s">
        <v>4376</v>
      </c>
      <c r="D791" s="1" t="s">
        <v>4377</v>
      </c>
      <c r="E791" s="4" t="s">
        <v>3962</v>
      </c>
      <c r="F791" s="1" t="s">
        <v>34</v>
      </c>
      <c r="G791" s="10" t="s">
        <v>1518</v>
      </c>
      <c r="H791" s="15">
        <v>70000</v>
      </c>
      <c r="I791" s="2">
        <v>42000</v>
      </c>
      <c r="J791" s="192">
        <v>28000</v>
      </c>
      <c r="L791" s="11"/>
      <c r="M791" s="11">
        <v>0</v>
      </c>
      <c r="N791" s="11">
        <v>0</v>
      </c>
      <c r="O791" s="11"/>
      <c r="P791" s="11">
        <v>0</v>
      </c>
      <c r="Q791" s="11">
        <v>0</v>
      </c>
      <c r="R791" s="11">
        <v>0</v>
      </c>
      <c r="S791" s="11">
        <v>0</v>
      </c>
      <c r="T791" s="11"/>
    </row>
    <row r="792" spans="1:20" hidden="1" x14ac:dyDescent="0.25">
      <c r="A792" s="56">
        <v>44922</v>
      </c>
      <c r="C792" s="191" t="s">
        <v>4380</v>
      </c>
      <c r="D792" s="1" t="s">
        <v>4379</v>
      </c>
      <c r="E792" s="4" t="s">
        <v>240</v>
      </c>
      <c r="F792" s="1" t="s">
        <v>34</v>
      </c>
      <c r="G792" s="10" t="s">
        <v>21</v>
      </c>
      <c r="H792" s="15">
        <v>10000</v>
      </c>
      <c r="I792" s="2">
        <v>6000</v>
      </c>
      <c r="J792" s="192">
        <v>4000</v>
      </c>
      <c r="L792" s="11"/>
      <c r="M792" s="11">
        <v>0</v>
      </c>
      <c r="N792" s="11">
        <v>0</v>
      </c>
      <c r="O792" s="11"/>
      <c r="P792" s="11">
        <v>0</v>
      </c>
      <c r="Q792" s="11">
        <v>0</v>
      </c>
      <c r="R792" s="11">
        <v>0</v>
      </c>
      <c r="S792" s="11">
        <v>0</v>
      </c>
      <c r="T792" s="11"/>
    </row>
    <row r="793" spans="1:20" hidden="1" x14ac:dyDescent="0.25">
      <c r="A793" s="56">
        <v>44922</v>
      </c>
      <c r="B793" s="4" t="s">
        <v>4382</v>
      </c>
      <c r="C793" s="191" t="s">
        <v>4381</v>
      </c>
      <c r="D793" s="1" t="s">
        <v>4383</v>
      </c>
      <c r="E793" s="4" t="s">
        <v>3545</v>
      </c>
      <c r="F793" s="1" t="s">
        <v>2446</v>
      </c>
      <c r="G793" s="10" t="s">
        <v>4384</v>
      </c>
      <c r="H793" s="15">
        <v>120000</v>
      </c>
      <c r="I793" s="2">
        <v>84000</v>
      </c>
      <c r="J793" s="192">
        <v>36000</v>
      </c>
      <c r="K793" s="1" t="s">
        <v>4385</v>
      </c>
      <c r="L793" s="11">
        <v>185000</v>
      </c>
      <c r="M793" s="11">
        <v>155462.18487394959</v>
      </c>
      <c r="N793" s="11">
        <v>29537.815126050424</v>
      </c>
      <c r="O793" s="11">
        <v>222000</v>
      </c>
      <c r="P793" s="11">
        <v>186554.62184873951</v>
      </c>
      <c r="Q793" s="11">
        <v>35445.378151260506</v>
      </c>
      <c r="R793" s="11">
        <v>5907.5630252100818</v>
      </c>
      <c r="S793" s="11">
        <v>31092.436974789918</v>
      </c>
      <c r="T793" s="11"/>
    </row>
    <row r="794" spans="1:20" hidden="1" x14ac:dyDescent="0.25">
      <c r="A794" s="56">
        <v>44922</v>
      </c>
      <c r="B794" s="4" t="s">
        <v>4386</v>
      </c>
      <c r="C794" s="191" t="s">
        <v>4387</v>
      </c>
      <c r="D794" s="1" t="s">
        <v>3911</v>
      </c>
      <c r="E794" s="4" t="s">
        <v>84</v>
      </c>
      <c r="F794" s="1" t="s">
        <v>2446</v>
      </c>
      <c r="G794" s="10" t="s">
        <v>50</v>
      </c>
      <c r="H794" s="15">
        <v>100000</v>
      </c>
      <c r="I794" s="2">
        <v>70000</v>
      </c>
      <c r="J794" s="192">
        <v>30000</v>
      </c>
      <c r="L794" s="11"/>
      <c r="M794" s="11">
        <v>0</v>
      </c>
      <c r="N794" s="11">
        <v>0</v>
      </c>
      <c r="O794" s="11"/>
      <c r="P794" s="11">
        <v>0</v>
      </c>
      <c r="Q794" s="11">
        <v>0</v>
      </c>
      <c r="R794" s="11">
        <v>0</v>
      </c>
      <c r="S794" s="11">
        <v>0</v>
      </c>
      <c r="T794" s="11"/>
    </row>
    <row r="795" spans="1:20" x14ac:dyDescent="0.25">
      <c r="A795" s="56">
        <v>44922</v>
      </c>
      <c r="B795" s="4" t="s">
        <v>4386</v>
      </c>
      <c r="C795" s="191" t="s">
        <v>4387</v>
      </c>
      <c r="D795" s="1" t="s">
        <v>3911</v>
      </c>
      <c r="E795" s="4" t="s">
        <v>84</v>
      </c>
      <c r="F795" s="1" t="s">
        <v>3925</v>
      </c>
      <c r="G795" s="10" t="s">
        <v>3108</v>
      </c>
      <c r="H795" s="15">
        <v>200000</v>
      </c>
      <c r="I795" s="2">
        <v>120000</v>
      </c>
      <c r="J795" s="192">
        <v>80000</v>
      </c>
      <c r="L795" s="11"/>
      <c r="M795" s="11">
        <v>0</v>
      </c>
      <c r="N795" s="11">
        <v>0</v>
      </c>
      <c r="O795" s="11"/>
      <c r="P795" s="11">
        <v>0</v>
      </c>
      <c r="Q795" s="11">
        <v>0</v>
      </c>
      <c r="R795" s="11">
        <v>0</v>
      </c>
      <c r="S795" s="11">
        <v>0</v>
      </c>
      <c r="T795" s="11"/>
    </row>
    <row r="796" spans="1:20" hidden="1" x14ac:dyDescent="0.25">
      <c r="A796" s="56">
        <v>44922</v>
      </c>
      <c r="B796" s="4" t="s">
        <v>4386</v>
      </c>
      <c r="C796" s="191" t="s">
        <v>4387</v>
      </c>
      <c r="D796" s="1" t="s">
        <v>3911</v>
      </c>
      <c r="E796" s="4" t="s">
        <v>84</v>
      </c>
      <c r="F796" s="1" t="s">
        <v>3666</v>
      </c>
      <c r="G796" s="10" t="s">
        <v>4388</v>
      </c>
      <c r="H796" s="15">
        <v>205000</v>
      </c>
      <c r="I796" s="2">
        <v>127500</v>
      </c>
      <c r="J796" s="192">
        <v>102500</v>
      </c>
      <c r="L796" s="11"/>
      <c r="M796" s="11">
        <v>0</v>
      </c>
      <c r="N796" s="11">
        <v>0</v>
      </c>
      <c r="O796" s="11"/>
      <c r="P796" s="11">
        <v>0</v>
      </c>
      <c r="Q796" s="11">
        <v>0</v>
      </c>
      <c r="R796" s="11">
        <v>0</v>
      </c>
      <c r="S796" s="11">
        <v>0</v>
      </c>
      <c r="T796" s="11"/>
    </row>
    <row r="797" spans="1:20" hidden="1" x14ac:dyDescent="0.25">
      <c r="A797" s="56">
        <v>44923</v>
      </c>
      <c r="B797" s="4" t="s">
        <v>4389</v>
      </c>
      <c r="C797" s="191" t="s">
        <v>3978</v>
      </c>
      <c r="D797" s="1" t="s">
        <v>3979</v>
      </c>
      <c r="E797" s="4" t="s">
        <v>688</v>
      </c>
      <c r="F797" s="1" t="s">
        <v>2446</v>
      </c>
      <c r="G797" s="10" t="s">
        <v>206</v>
      </c>
      <c r="H797" s="15">
        <v>30000</v>
      </c>
      <c r="I797" s="2">
        <v>21000</v>
      </c>
      <c r="J797" s="192">
        <v>9000</v>
      </c>
      <c r="L797" s="11"/>
      <c r="M797" s="11">
        <v>0</v>
      </c>
      <c r="N797" s="11">
        <v>0</v>
      </c>
      <c r="O797" s="11"/>
      <c r="P797" s="11">
        <v>0</v>
      </c>
      <c r="Q797" s="11">
        <v>0</v>
      </c>
      <c r="R797" s="11">
        <v>0</v>
      </c>
      <c r="S797" s="11">
        <v>0</v>
      </c>
      <c r="T797" s="11"/>
    </row>
    <row r="798" spans="1:20" hidden="1" x14ac:dyDescent="0.25">
      <c r="A798" s="56">
        <v>44923</v>
      </c>
      <c r="C798" s="191" t="s">
        <v>1278</v>
      </c>
      <c r="D798" s="1" t="s">
        <v>4407</v>
      </c>
      <c r="E798" s="4" t="s">
        <v>28</v>
      </c>
      <c r="F798" s="1" t="s">
        <v>3666</v>
      </c>
      <c r="G798" s="10" t="s">
        <v>3800</v>
      </c>
      <c r="H798" s="15">
        <v>110000</v>
      </c>
      <c r="I798" s="2">
        <v>55000</v>
      </c>
      <c r="J798" s="192">
        <v>55000</v>
      </c>
      <c r="L798" s="11"/>
      <c r="M798" s="11">
        <v>0</v>
      </c>
      <c r="N798" s="11">
        <v>0</v>
      </c>
      <c r="O798" s="11"/>
      <c r="P798" s="11">
        <v>0</v>
      </c>
      <c r="Q798" s="11">
        <v>0</v>
      </c>
      <c r="R798" s="11">
        <v>0</v>
      </c>
      <c r="S798" s="11">
        <v>0</v>
      </c>
      <c r="T798" s="11"/>
    </row>
    <row r="799" spans="1:20" hidden="1" x14ac:dyDescent="0.25">
      <c r="A799" s="56">
        <v>44923</v>
      </c>
      <c r="C799" s="191"/>
      <c r="D799" s="1" t="s">
        <v>4413</v>
      </c>
      <c r="E799" s="4" t="s">
        <v>2022</v>
      </c>
      <c r="F799" s="1" t="s">
        <v>2446</v>
      </c>
      <c r="G799" s="10" t="s">
        <v>4392</v>
      </c>
      <c r="H799" s="15">
        <v>60000</v>
      </c>
      <c r="I799" s="2">
        <v>42000</v>
      </c>
      <c r="J799" s="192">
        <v>18000</v>
      </c>
      <c r="L799" s="11"/>
      <c r="M799" s="11">
        <v>0</v>
      </c>
      <c r="N799" s="11">
        <v>0</v>
      </c>
      <c r="O799" s="11"/>
      <c r="P799" s="11">
        <v>0</v>
      </c>
      <c r="Q799" s="11">
        <v>0</v>
      </c>
      <c r="R799" s="11">
        <v>0</v>
      </c>
      <c r="S799" s="11">
        <v>0</v>
      </c>
      <c r="T799" s="11"/>
    </row>
    <row r="800" spans="1:20" hidden="1" x14ac:dyDescent="0.25">
      <c r="A800" s="56">
        <v>44923</v>
      </c>
      <c r="C800" s="191" t="s">
        <v>1278</v>
      </c>
      <c r="D800" s="1" t="s">
        <v>4407</v>
      </c>
      <c r="E800" s="4" t="s">
        <v>28</v>
      </c>
      <c r="F800" s="1" t="s">
        <v>2446</v>
      </c>
      <c r="G800" s="10" t="s">
        <v>4408</v>
      </c>
      <c r="H800" s="15">
        <v>100000</v>
      </c>
      <c r="I800" s="2">
        <v>70000</v>
      </c>
      <c r="J800" s="192">
        <v>30000</v>
      </c>
      <c r="L800" s="11"/>
      <c r="M800" s="11">
        <v>0</v>
      </c>
      <c r="N800" s="11">
        <v>0</v>
      </c>
      <c r="O800" s="11"/>
      <c r="P800" s="11">
        <v>0</v>
      </c>
      <c r="Q800" s="11">
        <v>0</v>
      </c>
      <c r="R800" s="11">
        <v>0</v>
      </c>
      <c r="S800" s="11">
        <v>0</v>
      </c>
      <c r="T800" s="11"/>
    </row>
    <row r="801" spans="1:20" hidden="1" x14ac:dyDescent="0.25">
      <c r="A801" s="56">
        <v>44923</v>
      </c>
      <c r="C801" s="191" t="s">
        <v>4390</v>
      </c>
      <c r="D801" s="1" t="s">
        <v>4391</v>
      </c>
      <c r="E801" s="4" t="s">
        <v>1220</v>
      </c>
      <c r="F801" s="1" t="s">
        <v>34</v>
      </c>
      <c r="G801" s="10" t="s">
        <v>423</v>
      </c>
      <c r="H801" s="15">
        <v>20000</v>
      </c>
      <c r="I801" s="2">
        <v>14000</v>
      </c>
      <c r="J801" s="192">
        <v>6000</v>
      </c>
      <c r="L801" s="11"/>
      <c r="M801" s="11">
        <v>0</v>
      </c>
      <c r="N801" s="11">
        <v>0</v>
      </c>
      <c r="O801" s="11"/>
      <c r="P801" s="11">
        <v>0</v>
      </c>
      <c r="Q801" s="11">
        <v>0</v>
      </c>
      <c r="R801" s="11">
        <v>0</v>
      </c>
      <c r="S801" s="11">
        <v>0</v>
      </c>
      <c r="T801" s="11"/>
    </row>
    <row r="802" spans="1:20" hidden="1" x14ac:dyDescent="0.25">
      <c r="A802" s="56">
        <v>44923</v>
      </c>
      <c r="B802" s="4" t="s">
        <v>4394</v>
      </c>
      <c r="C802" s="191" t="s">
        <v>2769</v>
      </c>
      <c r="D802" s="1" t="s">
        <v>2770</v>
      </c>
      <c r="E802" s="4" t="s">
        <v>84</v>
      </c>
      <c r="F802" s="1" t="s">
        <v>2446</v>
      </c>
      <c r="G802" s="10" t="s">
        <v>4392</v>
      </c>
      <c r="H802" s="15">
        <v>140000</v>
      </c>
      <c r="I802" s="2">
        <v>98000</v>
      </c>
      <c r="J802" s="192">
        <v>42000</v>
      </c>
      <c r="K802" s="1" t="s">
        <v>4393</v>
      </c>
      <c r="L802" s="11">
        <v>131000</v>
      </c>
      <c r="M802" s="11">
        <v>110084.03361344538</v>
      </c>
      <c r="N802" s="11">
        <v>20915.966386554624</v>
      </c>
      <c r="O802" s="11">
        <v>219000</v>
      </c>
      <c r="P802" s="11">
        <v>184033.61344537817</v>
      </c>
      <c r="Q802" s="11">
        <v>34966.386554621851</v>
      </c>
      <c r="R802" s="11">
        <v>14050.420168067227</v>
      </c>
      <c r="S802" s="11">
        <v>73949.579831932788</v>
      </c>
      <c r="T802" s="11"/>
    </row>
    <row r="803" spans="1:20" hidden="1" x14ac:dyDescent="0.25">
      <c r="A803" s="56">
        <v>44924</v>
      </c>
      <c r="C803" s="191"/>
      <c r="D803" s="1" t="s">
        <v>1647</v>
      </c>
      <c r="E803" s="4" t="s">
        <v>4395</v>
      </c>
      <c r="F803" s="1" t="s">
        <v>2446</v>
      </c>
      <c r="G803" s="10" t="s">
        <v>4396</v>
      </c>
      <c r="H803" s="15">
        <v>40000</v>
      </c>
      <c r="I803" s="2">
        <v>28000</v>
      </c>
      <c r="J803" s="192">
        <v>12000</v>
      </c>
      <c r="K803" s="1" t="s">
        <v>2830</v>
      </c>
      <c r="L803" s="11"/>
      <c r="M803" s="11">
        <v>0</v>
      </c>
      <c r="N803" s="11">
        <v>0</v>
      </c>
      <c r="O803" s="11">
        <v>30000</v>
      </c>
      <c r="P803" s="11"/>
      <c r="Q803" s="11">
        <v>0</v>
      </c>
      <c r="R803" s="11">
        <v>0</v>
      </c>
      <c r="S803" s="11">
        <v>30000</v>
      </c>
      <c r="T803" s="11"/>
    </row>
    <row r="804" spans="1:20" hidden="1" x14ac:dyDescent="0.25">
      <c r="A804" s="56">
        <v>44924</v>
      </c>
      <c r="C804" s="191"/>
      <c r="D804" s="1" t="s">
        <v>2025</v>
      </c>
      <c r="E804" s="4" t="s">
        <v>59</v>
      </c>
      <c r="F804" s="1" t="s">
        <v>34</v>
      </c>
      <c r="G804" s="10" t="s">
        <v>21</v>
      </c>
      <c r="H804" s="15">
        <v>10000</v>
      </c>
      <c r="I804" s="2">
        <v>7000</v>
      </c>
      <c r="J804" s="192">
        <v>3000</v>
      </c>
      <c r="L804" s="11"/>
      <c r="M804" s="11">
        <v>0</v>
      </c>
      <c r="N804" s="11">
        <v>0</v>
      </c>
      <c r="O804" s="11"/>
      <c r="P804" s="11">
        <v>0</v>
      </c>
      <c r="Q804" s="11">
        <v>0</v>
      </c>
      <c r="R804" s="11">
        <v>0</v>
      </c>
      <c r="S804" s="11">
        <v>0</v>
      </c>
      <c r="T804" s="11"/>
    </row>
    <row r="805" spans="1:20" hidden="1" x14ac:dyDescent="0.25">
      <c r="A805" s="56">
        <v>44924</v>
      </c>
      <c r="C805" s="191" t="s">
        <v>4397</v>
      </c>
      <c r="D805" s="1" t="s">
        <v>4398</v>
      </c>
      <c r="E805" s="4" t="s">
        <v>287</v>
      </c>
      <c r="F805" s="1" t="s">
        <v>2446</v>
      </c>
      <c r="G805" s="10" t="s">
        <v>3727</v>
      </c>
      <c r="H805" s="15">
        <v>40000</v>
      </c>
      <c r="I805" s="2">
        <v>28000</v>
      </c>
      <c r="J805" s="192">
        <v>12000</v>
      </c>
      <c r="K805" s="1" t="s">
        <v>4399</v>
      </c>
      <c r="L805" s="11">
        <v>99000</v>
      </c>
      <c r="M805" s="11">
        <v>83193.277310924372</v>
      </c>
      <c r="N805" s="11">
        <v>15806.72268907563</v>
      </c>
      <c r="O805" s="11">
        <v>140000</v>
      </c>
      <c r="P805" s="11">
        <v>117647.05882352941</v>
      </c>
      <c r="Q805" s="11">
        <v>22352.941176470587</v>
      </c>
      <c r="R805" s="11">
        <v>6546.2184873949573</v>
      </c>
      <c r="S805" s="11">
        <v>34453.781512605041</v>
      </c>
      <c r="T805" s="11"/>
    </row>
    <row r="806" spans="1:20" ht="60" hidden="1" x14ac:dyDescent="0.25">
      <c r="A806" s="56">
        <v>44925</v>
      </c>
      <c r="B806" s="4" t="s">
        <v>4400</v>
      </c>
      <c r="C806" s="191" t="s">
        <v>4401</v>
      </c>
      <c r="D806" s="1" t="s">
        <v>4402</v>
      </c>
      <c r="E806" s="4" t="s">
        <v>1203</v>
      </c>
      <c r="F806" s="1" t="s">
        <v>2446</v>
      </c>
      <c r="G806" s="10" t="s">
        <v>4403</v>
      </c>
      <c r="H806" s="15">
        <v>280000</v>
      </c>
      <c r="I806" s="2">
        <v>196000</v>
      </c>
      <c r="J806" s="192">
        <v>84000</v>
      </c>
      <c r="K806" s="1" t="s">
        <v>4404</v>
      </c>
      <c r="L806" s="11">
        <v>532000</v>
      </c>
      <c r="M806" s="11">
        <v>447058.82352941181</v>
      </c>
      <c r="N806" s="11">
        <v>84941.176470588238</v>
      </c>
      <c r="O806" s="11">
        <v>706000</v>
      </c>
      <c r="P806" s="11">
        <v>593277.31092436973</v>
      </c>
      <c r="Q806" s="11">
        <v>112722.68907563025</v>
      </c>
      <c r="R806" s="11">
        <v>27781.512605042008</v>
      </c>
      <c r="S806" s="11">
        <v>146218.48739495804</v>
      </c>
      <c r="T806" s="11"/>
    </row>
    <row r="807" spans="1:20" ht="30" hidden="1" x14ac:dyDescent="0.25">
      <c r="A807" s="56">
        <v>44925</v>
      </c>
      <c r="C807" s="191" t="s">
        <v>646</v>
      </c>
      <c r="D807" s="1" t="s">
        <v>1435</v>
      </c>
      <c r="E807" s="4" t="s">
        <v>1434</v>
      </c>
      <c r="F807" s="1" t="s">
        <v>2446</v>
      </c>
      <c r="G807" s="10" t="s">
        <v>4405</v>
      </c>
      <c r="H807" s="15">
        <v>80000</v>
      </c>
      <c r="I807" s="2">
        <v>56000</v>
      </c>
      <c r="J807" s="192">
        <v>24000</v>
      </c>
      <c r="L807" s="11"/>
      <c r="M807" s="11">
        <v>0</v>
      </c>
      <c r="N807" s="11">
        <v>0</v>
      </c>
      <c r="O807" s="11"/>
      <c r="P807" s="11">
        <v>0</v>
      </c>
      <c r="Q807" s="11">
        <v>0</v>
      </c>
      <c r="R807" s="11">
        <v>0</v>
      </c>
      <c r="S807" s="11">
        <v>0</v>
      </c>
      <c r="T807" s="11"/>
    </row>
    <row r="808" spans="1:20" hidden="1" x14ac:dyDescent="0.25">
      <c r="A808" s="56">
        <v>44925</v>
      </c>
      <c r="C808" s="191"/>
      <c r="E808" s="4"/>
      <c r="F808" s="1" t="s">
        <v>3666</v>
      </c>
      <c r="G808" s="10" t="s">
        <v>4406</v>
      </c>
      <c r="H808" s="15">
        <v>20000</v>
      </c>
      <c r="I808" s="2">
        <v>10000</v>
      </c>
      <c r="J808" s="192">
        <v>10000</v>
      </c>
      <c r="L808" s="11"/>
      <c r="M808" s="11">
        <v>0</v>
      </c>
      <c r="N808" s="11">
        <v>0</v>
      </c>
      <c r="O808" s="11"/>
      <c r="P808" s="11">
        <v>0</v>
      </c>
      <c r="Q808" s="11">
        <v>0</v>
      </c>
      <c r="R808" s="11">
        <v>0</v>
      </c>
      <c r="S808" s="11">
        <v>0</v>
      </c>
      <c r="T808" s="11"/>
    </row>
    <row r="809" spans="1:20" ht="30" hidden="1" x14ac:dyDescent="0.25">
      <c r="A809" s="56">
        <v>44925</v>
      </c>
      <c r="C809" s="191"/>
      <c r="D809" s="1" t="s">
        <v>4410</v>
      </c>
      <c r="E809" s="4" t="s">
        <v>54</v>
      </c>
      <c r="F809" s="1" t="s">
        <v>2446</v>
      </c>
      <c r="G809" s="10" t="s">
        <v>4411</v>
      </c>
      <c r="H809" s="15">
        <v>110000</v>
      </c>
      <c r="I809" s="2">
        <v>77000</v>
      </c>
      <c r="J809" s="192">
        <v>33000</v>
      </c>
      <c r="L809" s="11"/>
      <c r="M809" s="11">
        <v>0</v>
      </c>
      <c r="N809" s="11">
        <v>0</v>
      </c>
      <c r="O809" s="11"/>
      <c r="P809" s="11">
        <v>0</v>
      </c>
      <c r="Q809" s="11">
        <v>0</v>
      </c>
      <c r="R809" s="11">
        <v>0</v>
      </c>
      <c r="S809" s="11">
        <v>0</v>
      </c>
      <c r="T809" s="11"/>
    </row>
    <row r="810" spans="1:20" x14ac:dyDescent="0.25">
      <c r="A810" s="56"/>
      <c r="C810" s="4"/>
      <c r="E810" s="4"/>
      <c r="G810" s="10"/>
      <c r="H810" s="11">
        <f>SUBTOTAL(109,Tabla2456711[TOTAL FACTURA])</f>
        <v>26035000</v>
      </c>
      <c r="I810" s="11">
        <f>SUBTOTAL(109,Tabla2456711[PORCENTAJE A CANCELAR])</f>
        <v>17187500</v>
      </c>
      <c r="J810" s="11">
        <f>SUBTOTAL(109,Tabla2456711[GANANCIA POR SERVICIOS])</f>
        <v>8797500</v>
      </c>
      <c r="L810" s="11">
        <f>SUBTOTAL(109,Tabla2456711[MONTO DE COMPRA])</f>
        <v>22514300</v>
      </c>
      <c r="M810" s="11"/>
      <c r="N810" s="11"/>
      <c r="O810" s="11">
        <f>SUBTOTAL(109,Tabla2456711[[VENTA ]])</f>
        <v>37795901</v>
      </c>
      <c r="P810" s="11"/>
      <c r="Q810" s="11"/>
      <c r="R810" s="11"/>
      <c r="S810" s="11">
        <f>SUBTOTAL(109,Tabla2456711[GANACIA  REPUESTOS])</f>
        <v>12240387.394447057</v>
      </c>
      <c r="T810" s="11"/>
    </row>
    <row r="812" spans="1:20" x14ac:dyDescent="0.25">
      <c r="O812" s="11"/>
    </row>
  </sheetData>
  <pageMargins left="0.70866141732283472" right="0.70866141732283472" top="0.74803149606299213" bottom="0.74803149606299213" header="0.31496062992125984" footer="0.31496062992125984"/>
  <pageSetup paperSize="9" scale="55" orientation="landscape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26B10DB-72D9-4E6B-AFE1-14F9BC2F9A8A}">
          <x14:formula1>
            <xm:f>AREA!$A$2:$A$12</xm:f>
          </x14:formula1>
          <xm:sqref>E811:E1048576 F2:F809</xm:sqref>
        </x14:dataValidation>
        <x14:dataValidation type="list" allowBlank="1" showInputMessage="1" showErrorMessage="1" xr:uid="{5C9F1129-A228-4612-AC97-6DB444929090}">
          <x14:formula1>
            <xm:f>DETALLES!$A$1:$A$2</xm:f>
          </x14:formula1>
          <xm:sqref>T1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2264-4C09-47A6-A8B3-B3008100109D}">
  <dimension ref="A1:K27"/>
  <sheetViews>
    <sheetView zoomScaleNormal="100" workbookViewId="0">
      <selection activeCell="I15" sqref="I15"/>
    </sheetView>
  </sheetViews>
  <sheetFormatPr baseColWidth="10" defaultRowHeight="15" x14ac:dyDescent="0.25"/>
  <cols>
    <col min="1" max="1" width="24.42578125" bestFit="1" customWidth="1"/>
    <col min="2" max="2" width="25" bestFit="1" customWidth="1"/>
    <col min="3" max="3" width="34.5703125" bestFit="1" customWidth="1"/>
    <col min="4" max="4" width="35.5703125" bestFit="1" customWidth="1"/>
    <col min="8" max="8" width="28.140625" customWidth="1"/>
    <col min="9" max="9" width="22.28515625" customWidth="1"/>
    <col min="10" max="10" width="17.42578125" customWidth="1"/>
    <col min="11" max="11" width="17.85546875" customWidth="1"/>
  </cols>
  <sheetData>
    <row r="1" spans="1:11" x14ac:dyDescent="0.25">
      <c r="A1" s="193" t="s">
        <v>0</v>
      </c>
      <c r="B1" s="19" t="s">
        <v>808</v>
      </c>
      <c r="H1" s="6" t="s">
        <v>4427</v>
      </c>
    </row>
    <row r="3" spans="1:11" ht="30" x14ac:dyDescent="0.25">
      <c r="A3" s="193" t="s">
        <v>13</v>
      </c>
      <c r="B3" s="19" t="s">
        <v>32</v>
      </c>
      <c r="C3" s="19" t="s">
        <v>2809</v>
      </c>
      <c r="D3" s="19" t="s">
        <v>4421</v>
      </c>
      <c r="H3" s="63"/>
      <c r="I3" s="22" t="s">
        <v>4428</v>
      </c>
      <c r="J3" s="22" t="s">
        <v>130</v>
      </c>
      <c r="K3" s="22" t="s">
        <v>4429</v>
      </c>
    </row>
    <row r="4" spans="1:11" x14ac:dyDescent="0.25">
      <c r="A4" s="194" t="s">
        <v>34</v>
      </c>
      <c r="B4" s="19">
        <v>3673000</v>
      </c>
      <c r="C4" s="19">
        <v>1469200</v>
      </c>
      <c r="D4" s="19">
        <v>484000</v>
      </c>
      <c r="H4" s="63" t="s">
        <v>17</v>
      </c>
      <c r="I4" s="63">
        <v>38745500</v>
      </c>
      <c r="J4" s="63">
        <v>15236200</v>
      </c>
      <c r="K4" s="63">
        <v>9409148.1899999995</v>
      </c>
    </row>
    <row r="5" spans="1:11" x14ac:dyDescent="0.25">
      <c r="A5" s="194" t="s">
        <v>603</v>
      </c>
      <c r="B5" s="19">
        <v>685000</v>
      </c>
      <c r="C5" s="19">
        <v>266000</v>
      </c>
      <c r="D5" s="19">
        <v>80500</v>
      </c>
      <c r="H5" s="63" t="s">
        <v>4430</v>
      </c>
      <c r="I5" s="63">
        <v>47415000</v>
      </c>
      <c r="J5" s="63">
        <v>17986000</v>
      </c>
      <c r="K5" s="63">
        <v>6441815.3600000003</v>
      </c>
    </row>
    <row r="6" spans="1:11" x14ac:dyDescent="0.25">
      <c r="A6" s="194" t="s">
        <v>1919</v>
      </c>
      <c r="B6" s="19"/>
      <c r="C6" s="19">
        <v>0</v>
      </c>
      <c r="D6" s="19">
        <v>0</v>
      </c>
      <c r="H6" s="63" t="s">
        <v>18</v>
      </c>
      <c r="I6" s="63">
        <f>2701000+22000000</f>
        <v>24701000</v>
      </c>
      <c r="J6" s="63">
        <f>1078400+6698160</f>
        <v>7776560</v>
      </c>
      <c r="K6" s="63"/>
    </row>
    <row r="7" spans="1:11" x14ac:dyDescent="0.25">
      <c r="A7" s="194" t="s">
        <v>30</v>
      </c>
      <c r="B7" s="19">
        <v>16575000</v>
      </c>
      <c r="C7" s="19">
        <v>5630000</v>
      </c>
      <c r="D7" s="19">
        <v>2233686.79</v>
      </c>
      <c r="H7" s="63" t="s">
        <v>4431</v>
      </c>
      <c r="I7" s="63">
        <v>2890000</v>
      </c>
      <c r="J7" s="63">
        <v>1148000</v>
      </c>
      <c r="K7" s="63">
        <v>727127.06</v>
      </c>
    </row>
    <row r="8" spans="1:11" x14ac:dyDescent="0.25">
      <c r="A8" s="194" t="s">
        <v>16</v>
      </c>
      <c r="B8" s="19">
        <v>1790000</v>
      </c>
      <c r="C8" s="19">
        <v>716000</v>
      </c>
      <c r="D8" s="19">
        <v>646627.0588235294</v>
      </c>
      <c r="I8" s="19"/>
      <c r="J8" s="19"/>
      <c r="K8" s="19"/>
    </row>
    <row r="9" spans="1:11" x14ac:dyDescent="0.25">
      <c r="A9" s="194" t="s">
        <v>2011</v>
      </c>
      <c r="B9" s="19">
        <v>335000</v>
      </c>
      <c r="C9" s="19">
        <v>134000</v>
      </c>
      <c r="D9" s="19">
        <v>0</v>
      </c>
    </row>
    <row r="10" spans="1:11" x14ac:dyDescent="0.25">
      <c r="A10" s="194" t="s">
        <v>1039</v>
      </c>
      <c r="B10" s="19">
        <v>3210000</v>
      </c>
      <c r="C10" s="19">
        <v>1283000</v>
      </c>
      <c r="D10" s="19">
        <v>123000</v>
      </c>
    </row>
    <row r="11" spans="1:11" x14ac:dyDescent="0.25">
      <c r="A11" s="194" t="s">
        <v>1590</v>
      </c>
      <c r="B11" s="19">
        <v>80000</v>
      </c>
      <c r="C11" s="19">
        <v>32000</v>
      </c>
      <c r="D11" s="19">
        <v>0</v>
      </c>
    </row>
    <row r="12" spans="1:11" x14ac:dyDescent="0.25">
      <c r="A12" s="194" t="s">
        <v>18</v>
      </c>
      <c r="B12" s="19">
        <v>2701000</v>
      </c>
      <c r="C12" s="19">
        <v>1078400</v>
      </c>
      <c r="D12" s="19">
        <v>18480</v>
      </c>
    </row>
    <row r="13" spans="1:11" x14ac:dyDescent="0.25">
      <c r="A13" s="194" t="s">
        <v>19</v>
      </c>
      <c r="B13" s="19">
        <v>14571500</v>
      </c>
      <c r="C13" s="19">
        <v>5725600</v>
      </c>
      <c r="D13" s="19">
        <v>6379250.1895798314</v>
      </c>
    </row>
    <row r="14" spans="1:11" x14ac:dyDescent="0.25">
      <c r="A14" s="194" t="s">
        <v>408</v>
      </c>
      <c r="B14" s="19">
        <v>17291000</v>
      </c>
      <c r="C14" s="19">
        <v>6758400</v>
      </c>
      <c r="D14" s="19">
        <v>2422898</v>
      </c>
    </row>
    <row r="15" spans="1:11" x14ac:dyDescent="0.25">
      <c r="A15" s="194" t="s">
        <v>10</v>
      </c>
      <c r="B15" s="19">
        <v>30840000</v>
      </c>
      <c r="C15" s="19">
        <v>12356000</v>
      </c>
      <c r="D15" s="19">
        <v>4208128.5714285709</v>
      </c>
    </row>
    <row r="16" spans="1:11" x14ac:dyDescent="0.25">
      <c r="A16" s="194" t="s">
        <v>14</v>
      </c>
      <c r="B16" s="19">
        <v>91751500</v>
      </c>
      <c r="C16" s="19">
        <v>35448600</v>
      </c>
      <c r="D16" s="19">
        <v>16596570.609831933</v>
      </c>
    </row>
    <row r="19" spans="1:10" x14ac:dyDescent="0.25">
      <c r="H19" s="63"/>
      <c r="I19" s="141"/>
      <c r="J19" s="141"/>
    </row>
    <row r="22" spans="1:10" x14ac:dyDescent="0.25">
      <c r="A22" s="63" t="s">
        <v>4422</v>
      </c>
      <c r="B22" s="19">
        <f>5000000+1700000</f>
        <v>6700000</v>
      </c>
      <c r="C22" s="19">
        <f>1560000+522800</f>
        <v>2082800</v>
      </c>
    </row>
    <row r="23" spans="1:10" x14ac:dyDescent="0.25">
      <c r="A23" s="63" t="s">
        <v>4423</v>
      </c>
      <c r="B23" s="19">
        <v>4000000</v>
      </c>
      <c r="C23" s="19">
        <v>1194560</v>
      </c>
    </row>
    <row r="24" spans="1:10" x14ac:dyDescent="0.25">
      <c r="A24" s="63" t="s">
        <v>4424</v>
      </c>
      <c r="B24" s="19">
        <f>3000000+3000000</f>
        <v>6000000</v>
      </c>
      <c r="C24" s="19">
        <f>1001040+900040</f>
        <v>1901080</v>
      </c>
    </row>
    <row r="25" spans="1:10" x14ac:dyDescent="0.25">
      <c r="A25" s="63" t="s">
        <v>4425</v>
      </c>
      <c r="B25" s="19">
        <v>2500000</v>
      </c>
      <c r="C25" s="19">
        <v>699160</v>
      </c>
    </row>
    <row r="26" spans="1:10" x14ac:dyDescent="0.25">
      <c r="A26" s="63" t="s">
        <v>4426</v>
      </c>
      <c r="B26" s="19">
        <v>2800000</v>
      </c>
      <c r="C26" s="19">
        <v>820560</v>
      </c>
    </row>
    <row r="27" spans="1:10" x14ac:dyDescent="0.25">
      <c r="B27" s="19">
        <f>SUM(B22:B26)</f>
        <v>22000000</v>
      </c>
      <c r="C27" s="19">
        <f>SUM(C22:C26)</f>
        <v>6698160</v>
      </c>
    </row>
  </sheetData>
  <sortState xmlns:xlrd2="http://schemas.microsoft.com/office/spreadsheetml/2017/richdata2" ref="A25:C32">
    <sortCondition ref="A25:A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0131-3330-49D7-A768-77B7A39FE8D6}">
  <sheetPr>
    <tabColor theme="5" tint="-0.249977111117893"/>
  </sheetPr>
  <dimension ref="A1:O845"/>
  <sheetViews>
    <sheetView topLeftCell="A150" zoomScale="69" zoomScaleNormal="69" workbookViewId="0">
      <selection activeCell="E170" sqref="E170"/>
    </sheetView>
  </sheetViews>
  <sheetFormatPr baseColWidth="10" defaultRowHeight="15" x14ac:dyDescent="0.25"/>
  <cols>
    <col min="1" max="1" width="16.28515625" style="9" customWidth="1"/>
    <col min="2" max="2" width="22.5703125" style="4" customWidth="1"/>
    <col min="3" max="3" width="27.7109375" style="1" customWidth="1"/>
    <col min="4" max="4" width="20" style="1" customWidth="1"/>
    <col min="5" max="6" width="24" style="1" customWidth="1"/>
    <col min="7" max="7" width="77.28515625" style="2" customWidth="1"/>
    <col min="8" max="9" width="25.85546875" style="2" customWidth="1"/>
    <col min="10" max="10" width="23.5703125" style="1" customWidth="1"/>
    <col min="11" max="11" width="58.85546875" style="1" customWidth="1"/>
    <col min="12" max="12" width="23.7109375" style="1" customWidth="1"/>
    <col min="13" max="13" width="22.5703125" style="1" customWidth="1"/>
    <col min="14" max="14" width="25.140625" style="2" customWidth="1"/>
    <col min="15" max="15" width="36.5703125" style="1" customWidth="1"/>
    <col min="16" max="16384" width="11.42578125" style="1"/>
  </cols>
  <sheetData>
    <row r="1" spans="1:15" x14ac:dyDescent="0.25">
      <c r="A1" s="9" t="s">
        <v>0</v>
      </c>
      <c r="B1" s="4" t="s">
        <v>1</v>
      </c>
      <c r="C1" s="4" t="s">
        <v>597</v>
      </c>
      <c r="D1" s="1" t="s">
        <v>2</v>
      </c>
      <c r="E1" s="1" t="s">
        <v>3</v>
      </c>
      <c r="F1" s="1" t="s">
        <v>15</v>
      </c>
      <c r="G1" s="1" t="s">
        <v>4</v>
      </c>
      <c r="H1" s="2" t="s">
        <v>5</v>
      </c>
      <c r="I1" s="2" t="s">
        <v>6</v>
      </c>
      <c r="J1" s="2" t="s">
        <v>130</v>
      </c>
      <c r="K1" s="1" t="s">
        <v>7</v>
      </c>
      <c r="L1" s="1" t="s">
        <v>8</v>
      </c>
      <c r="M1" s="1" t="s">
        <v>38</v>
      </c>
      <c r="N1" s="1" t="s">
        <v>24</v>
      </c>
      <c r="O1" s="2" t="s">
        <v>131</v>
      </c>
    </row>
    <row r="2" spans="1:15" x14ac:dyDescent="0.25">
      <c r="A2" s="9">
        <v>44561</v>
      </c>
      <c r="B2" s="4">
        <v>363</v>
      </c>
      <c r="C2" s="4"/>
      <c r="D2" s="1" t="s">
        <v>28</v>
      </c>
      <c r="E2" s="4"/>
      <c r="F2" s="1" t="s">
        <v>16</v>
      </c>
      <c r="G2" s="1" t="s">
        <v>35</v>
      </c>
      <c r="H2" s="2">
        <v>30000</v>
      </c>
      <c r="I2" s="2">
        <f>Tabla210[[#This Row],[TOTAL FACTURA]]*0.6</f>
        <v>18000</v>
      </c>
      <c r="J2" s="2">
        <f>Tabla210[[#This Row],[TOTAL FACTURA]]*0.4</f>
        <v>12000</v>
      </c>
      <c r="L2" s="2"/>
      <c r="M2" s="2"/>
      <c r="N2" s="1" t="s">
        <v>25</v>
      </c>
      <c r="O2" s="15">
        <f>Tabla210[[#This Row],[MONTO DE LA VENTA]]-Tabla210[[#This Row],[MONTO DE COMPRA]]</f>
        <v>0</v>
      </c>
    </row>
    <row r="3" spans="1:15" x14ac:dyDescent="0.25">
      <c r="A3" s="9">
        <v>44561</v>
      </c>
      <c r="B3" s="4">
        <v>362</v>
      </c>
      <c r="C3" s="4"/>
      <c r="D3" s="1" t="s">
        <v>29</v>
      </c>
      <c r="E3" s="4" t="s">
        <v>36</v>
      </c>
      <c r="F3" s="1" t="s">
        <v>19</v>
      </c>
      <c r="G3" s="1" t="s">
        <v>37</v>
      </c>
      <c r="H3" s="2">
        <v>80000</v>
      </c>
      <c r="I3" s="2">
        <f>Tabla210[[#This Row],[TOTAL FACTURA]]*0.6</f>
        <v>48000</v>
      </c>
      <c r="J3" s="2">
        <f>Tabla210[[#This Row],[TOTAL FACTURA]]*0.4</f>
        <v>32000</v>
      </c>
      <c r="K3" s="2"/>
      <c r="L3" s="2"/>
      <c r="M3" s="2"/>
      <c r="N3" s="1" t="s">
        <v>25</v>
      </c>
      <c r="O3" s="15">
        <f>Tabla210[[#This Row],[MONTO DE LA VENTA]]-Tabla210[[#This Row],[MONTO DE COMPRA]]</f>
        <v>0</v>
      </c>
    </row>
    <row r="4" spans="1:15" x14ac:dyDescent="0.25">
      <c r="A4" s="9">
        <v>44561</v>
      </c>
      <c r="C4" s="4"/>
      <c r="D4" s="1" t="s">
        <v>22</v>
      </c>
      <c r="E4" s="4" t="s">
        <v>39</v>
      </c>
      <c r="F4" s="1" t="s">
        <v>19</v>
      </c>
      <c r="G4" s="1" t="s">
        <v>40</v>
      </c>
      <c r="H4" s="2">
        <v>30000</v>
      </c>
      <c r="I4" s="2">
        <f>Tabla210[[#This Row],[TOTAL FACTURA]]*0.6</f>
        <v>18000</v>
      </c>
      <c r="J4" s="2">
        <f>Tabla210[[#This Row],[TOTAL FACTURA]]*0.4</f>
        <v>12000</v>
      </c>
      <c r="K4" s="2"/>
      <c r="L4" s="2"/>
      <c r="M4" s="2"/>
      <c r="N4" s="1" t="s">
        <v>25</v>
      </c>
      <c r="O4" s="15">
        <f>Tabla210[[#This Row],[MONTO DE LA VENTA]]-Tabla210[[#This Row],[MONTO DE COMPRA]]</f>
        <v>0</v>
      </c>
    </row>
    <row r="5" spans="1:15" x14ac:dyDescent="0.25">
      <c r="A5" s="9">
        <v>44561</v>
      </c>
      <c r="C5" s="4"/>
      <c r="D5" s="1" t="s">
        <v>23</v>
      </c>
      <c r="E5" s="4" t="s">
        <v>41</v>
      </c>
      <c r="F5" s="1" t="s">
        <v>19</v>
      </c>
      <c r="G5" s="1" t="s">
        <v>42</v>
      </c>
      <c r="H5" s="2">
        <v>30000</v>
      </c>
      <c r="I5" s="2">
        <f>Tabla210[[#This Row],[TOTAL FACTURA]]*0.6</f>
        <v>18000</v>
      </c>
      <c r="J5" s="2">
        <f>Tabla210[[#This Row],[TOTAL FACTURA]]*0.4</f>
        <v>12000</v>
      </c>
      <c r="L5" s="2"/>
      <c r="M5" s="2"/>
      <c r="N5" s="1" t="s">
        <v>25</v>
      </c>
      <c r="O5" s="15">
        <f>Tabla210[[#This Row],[MONTO DE LA VENTA]]-Tabla210[[#This Row],[MONTO DE COMPRA]]</f>
        <v>0</v>
      </c>
    </row>
    <row r="6" spans="1:15" x14ac:dyDescent="0.25">
      <c r="A6" s="9">
        <v>44564</v>
      </c>
      <c r="B6" s="4">
        <v>369</v>
      </c>
      <c r="C6" s="4"/>
      <c r="D6" s="1" t="s">
        <v>96</v>
      </c>
      <c r="E6" s="4" t="s">
        <v>97</v>
      </c>
      <c r="F6" s="1" t="s">
        <v>16</v>
      </c>
      <c r="G6" s="1" t="s">
        <v>98</v>
      </c>
      <c r="H6" s="2">
        <v>50000</v>
      </c>
      <c r="I6" s="2">
        <f>Tabla210[[#This Row],[TOTAL FACTURA]]*0.6</f>
        <v>30000</v>
      </c>
      <c r="J6" s="2">
        <f>Tabla210[[#This Row],[TOTAL FACTURA]]*0.4</f>
        <v>20000</v>
      </c>
      <c r="L6" s="2"/>
      <c r="M6" s="2"/>
      <c r="N6" s="1" t="s">
        <v>25</v>
      </c>
      <c r="O6" s="15">
        <f>Tabla210[[#This Row],[MONTO DE LA VENTA]]-Tabla210[[#This Row],[MONTO DE COMPRA]]</f>
        <v>0</v>
      </c>
    </row>
    <row r="7" spans="1:15" x14ac:dyDescent="0.25">
      <c r="A7" s="9">
        <v>44564</v>
      </c>
      <c r="C7" s="4"/>
      <c r="D7" s="1" t="s">
        <v>43</v>
      </c>
      <c r="E7" s="4" t="s">
        <v>44</v>
      </c>
      <c r="F7" s="1" t="s">
        <v>19</v>
      </c>
      <c r="G7" s="1" t="s">
        <v>45</v>
      </c>
      <c r="H7" s="2">
        <v>25000</v>
      </c>
      <c r="I7" s="2">
        <f>Tabla210[[#This Row],[TOTAL FACTURA]]*0.6</f>
        <v>15000</v>
      </c>
      <c r="J7" s="2">
        <f>Tabla210[[#This Row],[TOTAL FACTURA]]*0.4</f>
        <v>10000</v>
      </c>
      <c r="K7" s="2"/>
      <c r="L7" s="2"/>
      <c r="M7" s="2"/>
      <c r="N7" s="1" t="s">
        <v>25</v>
      </c>
      <c r="O7" s="15">
        <f>Tabla210[[#This Row],[MONTO DE LA VENTA]]-Tabla210[[#This Row],[MONTO DE COMPRA]]</f>
        <v>0</v>
      </c>
    </row>
    <row r="8" spans="1:15" x14ac:dyDescent="0.25">
      <c r="A8" s="9">
        <v>44564</v>
      </c>
      <c r="C8" s="4"/>
      <c r="D8" s="1" t="s">
        <v>46</v>
      </c>
      <c r="E8" s="4" t="s">
        <v>47</v>
      </c>
      <c r="F8" s="1" t="s">
        <v>19</v>
      </c>
      <c r="G8" s="1" t="s">
        <v>21</v>
      </c>
      <c r="H8" s="15">
        <v>10000</v>
      </c>
      <c r="I8" s="15">
        <f>Tabla210[[#This Row],[TOTAL FACTURA]]*0.6</f>
        <v>6000</v>
      </c>
      <c r="J8" s="15">
        <f>Tabla210[[#This Row],[TOTAL FACTURA]]*0.4</f>
        <v>4000</v>
      </c>
      <c r="L8" s="15"/>
      <c r="M8" s="15"/>
      <c r="N8" s="1" t="s">
        <v>25</v>
      </c>
      <c r="O8" s="15">
        <f>Tabla210[[#This Row],[MONTO DE LA VENTA]]-Tabla210[[#This Row],[MONTO DE COMPRA]]</f>
        <v>0</v>
      </c>
    </row>
    <row r="9" spans="1:15" x14ac:dyDescent="0.25">
      <c r="A9" s="9">
        <v>44564</v>
      </c>
      <c r="C9" s="4"/>
      <c r="D9" s="1" t="s">
        <v>48</v>
      </c>
      <c r="E9" s="4" t="s">
        <v>49</v>
      </c>
      <c r="F9" s="1" t="s">
        <v>19</v>
      </c>
      <c r="G9" s="1" t="s">
        <v>50</v>
      </c>
      <c r="H9" s="2">
        <v>60000</v>
      </c>
      <c r="I9" s="2">
        <f>Tabla210[[#This Row],[TOTAL FACTURA]]*0.6</f>
        <v>36000</v>
      </c>
      <c r="J9" s="2">
        <f>Tabla210[[#This Row],[TOTAL FACTURA]]*0.4</f>
        <v>24000</v>
      </c>
      <c r="K9" s="1" t="s">
        <v>51</v>
      </c>
      <c r="L9" s="2">
        <v>110000</v>
      </c>
      <c r="M9" s="2">
        <v>156000</v>
      </c>
      <c r="N9" s="1" t="s">
        <v>25</v>
      </c>
      <c r="O9" s="15">
        <f>Tabla210[[#This Row],[MONTO DE LA VENTA]]-Tabla210[[#This Row],[MONTO DE COMPRA]]</f>
        <v>46000</v>
      </c>
    </row>
    <row r="10" spans="1:15" x14ac:dyDescent="0.25">
      <c r="A10" s="9">
        <v>44564</v>
      </c>
      <c r="C10" s="4"/>
      <c r="D10" s="1" t="s">
        <v>52</v>
      </c>
      <c r="E10" s="4" t="s">
        <v>53</v>
      </c>
      <c r="F10" s="1" t="s">
        <v>34</v>
      </c>
      <c r="G10" s="1" t="s">
        <v>21</v>
      </c>
      <c r="H10" s="2">
        <v>10000</v>
      </c>
      <c r="I10" s="2">
        <f>Tabla210[[#This Row],[TOTAL FACTURA]]*0.6</f>
        <v>6000</v>
      </c>
      <c r="J10" s="2">
        <f>Tabla210[[#This Row],[TOTAL FACTURA]]*0.4</f>
        <v>4000</v>
      </c>
      <c r="K10" s="2"/>
      <c r="L10" s="2"/>
      <c r="M10" s="2"/>
      <c r="N10" s="1" t="s">
        <v>25</v>
      </c>
      <c r="O10" s="15">
        <f>Tabla210[[#This Row],[MONTO DE LA VENTA]]-Tabla210[[#This Row],[MONTO DE COMPRA]]</f>
        <v>0</v>
      </c>
    </row>
    <row r="11" spans="1:15" x14ac:dyDescent="0.25">
      <c r="A11" s="9">
        <v>44564</v>
      </c>
      <c r="B11" s="4">
        <v>366</v>
      </c>
      <c r="C11" s="4"/>
      <c r="D11" s="1" t="s">
        <v>54</v>
      </c>
      <c r="E11" s="4" t="s">
        <v>55</v>
      </c>
      <c r="F11" s="1" t="s">
        <v>19</v>
      </c>
      <c r="G11" s="1" t="s">
        <v>56</v>
      </c>
      <c r="H11" s="2">
        <v>30000</v>
      </c>
      <c r="I11" s="2">
        <f>Tabla210[[#This Row],[TOTAL FACTURA]]*0.6</f>
        <v>18000</v>
      </c>
      <c r="J11" s="2">
        <f>Tabla210[[#This Row],[TOTAL FACTURA]]*0.4</f>
        <v>12000</v>
      </c>
      <c r="K11" s="2" t="s">
        <v>57</v>
      </c>
      <c r="L11" s="2"/>
      <c r="M11" s="2">
        <v>10000</v>
      </c>
      <c r="N11" s="1" t="s">
        <v>25</v>
      </c>
      <c r="O11" s="15">
        <f>Tabla210[[#This Row],[MONTO DE LA VENTA]]-Tabla210[[#This Row],[MONTO DE COMPRA]]</f>
        <v>10000</v>
      </c>
    </row>
    <row r="12" spans="1:15" x14ac:dyDescent="0.25">
      <c r="A12" s="9">
        <v>44564</v>
      </c>
      <c r="B12" s="4" t="s">
        <v>58</v>
      </c>
      <c r="C12" s="4"/>
      <c r="D12" s="1" t="s">
        <v>59</v>
      </c>
      <c r="E12" s="4" t="s">
        <v>60</v>
      </c>
      <c r="F12" s="1" t="s">
        <v>19</v>
      </c>
      <c r="G12" s="1" t="s">
        <v>61</v>
      </c>
      <c r="H12" s="15">
        <v>30000</v>
      </c>
      <c r="I12" s="15">
        <f>Tabla210[[#This Row],[TOTAL FACTURA]]*0.6</f>
        <v>18000</v>
      </c>
      <c r="J12" s="15">
        <f>Tabla210[[#This Row],[TOTAL FACTURA]]*0.4</f>
        <v>12000</v>
      </c>
      <c r="K12" s="15" t="s">
        <v>62</v>
      </c>
      <c r="L12" s="15">
        <v>30000</v>
      </c>
      <c r="M12" s="15">
        <v>30000</v>
      </c>
      <c r="N12" s="1" t="s">
        <v>25</v>
      </c>
      <c r="O12" s="15">
        <f>Tabla210[[#This Row],[MONTO DE LA VENTA]]-Tabla210[[#This Row],[MONTO DE COMPRA]]</f>
        <v>0</v>
      </c>
    </row>
    <row r="13" spans="1:15" ht="18" customHeight="1" x14ac:dyDescent="0.25">
      <c r="A13" s="9">
        <v>44564</v>
      </c>
      <c r="C13" s="4"/>
      <c r="D13" s="1" t="s">
        <v>64</v>
      </c>
      <c r="E13" s="4" t="s">
        <v>63</v>
      </c>
      <c r="F13" s="1" t="s">
        <v>19</v>
      </c>
      <c r="G13" s="1" t="s">
        <v>21</v>
      </c>
      <c r="H13" s="2">
        <v>10000</v>
      </c>
      <c r="I13" s="2">
        <f>Tabla210[[#This Row],[TOTAL FACTURA]]*0.6</f>
        <v>6000</v>
      </c>
      <c r="J13" s="2">
        <f>Tabla210[[#This Row],[TOTAL FACTURA]]*0.4</f>
        <v>4000</v>
      </c>
      <c r="L13" s="2"/>
      <c r="M13" s="2"/>
      <c r="N13" s="1" t="s">
        <v>25</v>
      </c>
      <c r="O13" s="15">
        <f>Tabla210[[#This Row],[MONTO DE LA VENTA]]-Tabla210[[#This Row],[MONTO DE COMPRA]]</f>
        <v>0</v>
      </c>
    </row>
    <row r="14" spans="1:15" s="16" customFormat="1" x14ac:dyDescent="0.25">
      <c r="A14" s="34">
        <v>44564</v>
      </c>
      <c r="B14" s="21">
        <v>367</v>
      </c>
      <c r="C14" s="21"/>
      <c r="D14" s="16" t="s">
        <v>65</v>
      </c>
      <c r="E14" s="21" t="s">
        <v>66</v>
      </c>
      <c r="F14" s="16" t="s">
        <v>19</v>
      </c>
      <c r="G14" s="16" t="s">
        <v>67</v>
      </c>
      <c r="H14" s="20">
        <v>80000</v>
      </c>
      <c r="I14" s="20">
        <f>Tabla210[[#This Row],[TOTAL FACTURA]]*0.6</f>
        <v>48000</v>
      </c>
      <c r="J14" s="20">
        <f>Tabla210[[#This Row],[TOTAL FACTURA]]*0.4</f>
        <v>32000</v>
      </c>
      <c r="K14" s="20" t="s">
        <v>68</v>
      </c>
      <c r="L14" s="20"/>
      <c r="M14" s="20">
        <f>110000+640000</f>
        <v>750000</v>
      </c>
      <c r="N14" s="1" t="s">
        <v>25</v>
      </c>
      <c r="O14" s="15">
        <f>Tabla210[[#This Row],[MONTO DE LA VENTA]]-Tabla210[[#This Row],[MONTO DE COMPRA]]</f>
        <v>750000</v>
      </c>
    </row>
    <row r="15" spans="1:15" s="16" customFormat="1" ht="15" customHeight="1" x14ac:dyDescent="0.25">
      <c r="A15" s="34">
        <v>44564</v>
      </c>
      <c r="B15" s="21"/>
      <c r="C15" s="21"/>
      <c r="D15" s="16" t="s">
        <v>69</v>
      </c>
      <c r="E15" s="21" t="s">
        <v>70</v>
      </c>
      <c r="F15" s="16" t="s">
        <v>19</v>
      </c>
      <c r="G15" s="16" t="s">
        <v>20</v>
      </c>
      <c r="H15" s="20">
        <v>30000</v>
      </c>
      <c r="I15" s="20">
        <f>Tabla210[[#This Row],[TOTAL FACTURA]]*0.6</f>
        <v>18000</v>
      </c>
      <c r="J15" s="20">
        <f>Tabla210[[#This Row],[TOTAL FACTURA]]*0.4</f>
        <v>12000</v>
      </c>
      <c r="K15" s="20" t="s">
        <v>71</v>
      </c>
      <c r="L15" s="20">
        <v>93000</v>
      </c>
      <c r="M15" s="20">
        <v>151000</v>
      </c>
      <c r="N15" s="1" t="s">
        <v>25</v>
      </c>
      <c r="O15" s="15">
        <f>Tabla210[[#This Row],[MONTO DE LA VENTA]]-Tabla210[[#This Row],[MONTO DE COMPRA]]</f>
        <v>58000</v>
      </c>
    </row>
    <row r="16" spans="1:15" s="16" customFormat="1" ht="15" customHeight="1" x14ac:dyDescent="0.25">
      <c r="A16" s="34">
        <v>44565</v>
      </c>
      <c r="B16" s="21"/>
      <c r="C16" s="21"/>
      <c r="D16" s="16" t="s">
        <v>69</v>
      </c>
      <c r="E16" s="21" t="s">
        <v>70</v>
      </c>
      <c r="F16" s="16" t="s">
        <v>19</v>
      </c>
      <c r="G16" s="16" t="s">
        <v>193</v>
      </c>
      <c r="H16" s="20">
        <v>20000</v>
      </c>
      <c r="I16" s="20">
        <f>Tabla210[[#This Row],[TOTAL FACTURA]]*0.6</f>
        <v>12000</v>
      </c>
      <c r="J16" s="20">
        <f>Tabla210[[#This Row],[TOTAL FACTURA]]*0.4</f>
        <v>8000</v>
      </c>
      <c r="K16" s="20" t="s">
        <v>71</v>
      </c>
      <c r="L16" s="20">
        <v>93000</v>
      </c>
      <c r="M16" s="20">
        <v>151000</v>
      </c>
      <c r="N16" s="1" t="s">
        <v>25</v>
      </c>
      <c r="O16" s="15">
        <f>Tabla210[[#This Row],[MONTO DE LA VENTA]]-Tabla210[[#This Row],[MONTO DE COMPRA]]</f>
        <v>58000</v>
      </c>
    </row>
    <row r="17" spans="1:15" ht="15" customHeight="1" x14ac:dyDescent="0.25">
      <c r="A17" s="9">
        <v>44564</v>
      </c>
      <c r="B17" s="4" t="s">
        <v>72</v>
      </c>
      <c r="C17" s="4"/>
      <c r="D17" s="1" t="s">
        <v>22</v>
      </c>
      <c r="E17" s="4" t="s">
        <v>73</v>
      </c>
      <c r="F17" s="1" t="s">
        <v>16</v>
      </c>
      <c r="G17" s="1" t="s">
        <v>74</v>
      </c>
      <c r="H17" s="2">
        <v>50000</v>
      </c>
      <c r="I17" s="2">
        <f>Tabla210[[#This Row],[TOTAL FACTURA]]*0.6</f>
        <v>30000</v>
      </c>
      <c r="J17" s="2">
        <f>Tabla210[[#This Row],[TOTAL FACTURA]]*0.4</f>
        <v>20000</v>
      </c>
      <c r="K17" s="2"/>
      <c r="L17" s="2"/>
      <c r="M17" s="2"/>
      <c r="N17" s="1" t="s">
        <v>25</v>
      </c>
      <c r="O17" s="15">
        <f>Tabla210[[#This Row],[MONTO DE LA VENTA]]-Tabla210[[#This Row],[MONTO DE COMPRA]]</f>
        <v>0</v>
      </c>
    </row>
    <row r="18" spans="1:15" ht="15" customHeight="1" x14ac:dyDescent="0.25">
      <c r="A18" s="9">
        <v>44565</v>
      </c>
      <c r="B18" s="4" t="s">
        <v>75</v>
      </c>
      <c r="C18" s="4"/>
      <c r="D18" s="1" t="s">
        <v>76</v>
      </c>
      <c r="E18" s="4" t="s">
        <v>77</v>
      </c>
      <c r="F18" s="1" t="s">
        <v>34</v>
      </c>
      <c r="G18" s="1" t="s">
        <v>78</v>
      </c>
      <c r="H18" s="2">
        <v>80000</v>
      </c>
      <c r="I18" s="2">
        <f>Tabla210[[#This Row],[TOTAL FACTURA]]*0.6</f>
        <v>48000</v>
      </c>
      <c r="J18" s="2">
        <f>Tabla210[[#This Row],[TOTAL FACTURA]]*0.4</f>
        <v>32000</v>
      </c>
      <c r="K18" s="2" t="s">
        <v>57</v>
      </c>
      <c r="L18" s="2"/>
      <c r="M18" s="2">
        <v>20000</v>
      </c>
      <c r="N18" s="1" t="s">
        <v>25</v>
      </c>
      <c r="O18" s="15">
        <f>Tabla210[[#This Row],[MONTO DE LA VENTA]]-Tabla210[[#This Row],[MONTO DE COMPRA]]</f>
        <v>20000</v>
      </c>
    </row>
    <row r="19" spans="1:15" ht="15" customHeight="1" x14ac:dyDescent="0.25">
      <c r="A19" s="9">
        <v>44565</v>
      </c>
      <c r="B19" s="4" t="s">
        <v>79</v>
      </c>
      <c r="C19" s="4"/>
      <c r="D19" s="1" t="s">
        <v>54</v>
      </c>
      <c r="E19" s="4" t="s">
        <v>80</v>
      </c>
      <c r="F19" s="1" t="s">
        <v>16</v>
      </c>
      <c r="G19" s="1" t="s">
        <v>81</v>
      </c>
      <c r="H19" s="2">
        <v>40000</v>
      </c>
      <c r="I19" s="2">
        <f>Tabla210[[#This Row],[TOTAL FACTURA]]*0.6</f>
        <v>24000</v>
      </c>
      <c r="J19" s="2">
        <f>Tabla210[[#This Row],[TOTAL FACTURA]]*0.4</f>
        <v>16000</v>
      </c>
      <c r="K19" s="2" t="s">
        <v>82</v>
      </c>
      <c r="L19" s="2"/>
      <c r="M19" s="2">
        <v>1000</v>
      </c>
      <c r="N19" s="1" t="s">
        <v>25</v>
      </c>
      <c r="O19" s="15">
        <f>Tabla210[[#This Row],[MONTO DE LA VENTA]]-Tabla210[[#This Row],[MONTO DE COMPRA]]</f>
        <v>1000</v>
      </c>
    </row>
    <row r="20" spans="1:15" s="16" customFormat="1" ht="15" customHeight="1" x14ac:dyDescent="0.25">
      <c r="A20" s="34">
        <v>44565</v>
      </c>
      <c r="B20" s="21" t="s">
        <v>83</v>
      </c>
      <c r="C20" s="21"/>
      <c r="D20" s="16" t="s">
        <v>84</v>
      </c>
      <c r="E20" s="21" t="s">
        <v>85</v>
      </c>
      <c r="F20" s="16" t="s">
        <v>19</v>
      </c>
      <c r="G20" s="16" t="s">
        <v>86</v>
      </c>
      <c r="H20" s="20">
        <v>50000</v>
      </c>
      <c r="I20" s="20">
        <f>Tabla210[[#This Row],[TOTAL FACTURA]]*0.6</f>
        <v>30000</v>
      </c>
      <c r="J20" s="20">
        <f>Tabla210[[#This Row],[TOTAL FACTURA]]*0.4</f>
        <v>20000</v>
      </c>
      <c r="K20" s="20" t="s">
        <v>87</v>
      </c>
      <c r="L20" s="20"/>
      <c r="M20" s="20">
        <f>160000+18000+2000</f>
        <v>180000</v>
      </c>
      <c r="N20" s="1" t="s">
        <v>25</v>
      </c>
      <c r="O20" s="15">
        <f>Tabla210[[#This Row],[MONTO DE LA VENTA]]-Tabla210[[#This Row],[MONTO DE COMPRA]]</f>
        <v>180000</v>
      </c>
    </row>
    <row r="21" spans="1:15" ht="33.75" customHeight="1" x14ac:dyDescent="0.25">
      <c r="A21" s="9">
        <v>44565</v>
      </c>
      <c r="B21" s="4">
        <v>371</v>
      </c>
      <c r="C21" s="4"/>
      <c r="D21" s="1" t="s">
        <v>88</v>
      </c>
      <c r="E21" s="4" t="s">
        <v>89</v>
      </c>
      <c r="F21" s="1" t="s">
        <v>10</v>
      </c>
      <c r="G21" s="1" t="s">
        <v>90</v>
      </c>
      <c r="H21" s="2">
        <v>600000</v>
      </c>
      <c r="I21" s="2">
        <f>Tabla210[[#This Row],[TOTAL FACTURA]]*0.6</f>
        <v>360000</v>
      </c>
      <c r="J21" s="2">
        <f>Tabla210[[#This Row],[TOTAL FACTURA]]*0.4</f>
        <v>240000</v>
      </c>
      <c r="K21" s="22" t="s">
        <v>91</v>
      </c>
      <c r="L21" s="2"/>
      <c r="M21" s="2">
        <v>1890000</v>
      </c>
      <c r="N21" s="1" t="s">
        <v>25</v>
      </c>
      <c r="O21" s="15">
        <f>Tabla210[[#This Row],[MONTO DE LA VENTA]]-Tabla210[[#This Row],[MONTO DE COMPRA]]</f>
        <v>1890000</v>
      </c>
    </row>
    <row r="22" spans="1:15" ht="15" customHeight="1" x14ac:dyDescent="0.25">
      <c r="A22" s="9">
        <v>44565</v>
      </c>
      <c r="B22" s="4" t="s">
        <v>92</v>
      </c>
      <c r="C22" s="4"/>
      <c r="D22" s="1" t="s">
        <v>59</v>
      </c>
      <c r="E22" s="4" t="s">
        <v>93</v>
      </c>
      <c r="F22" s="1" t="s">
        <v>34</v>
      </c>
      <c r="G22" s="1" t="s">
        <v>94</v>
      </c>
      <c r="H22" s="2">
        <v>800000</v>
      </c>
      <c r="I22" s="2">
        <f>Tabla210[[#This Row],[TOTAL FACTURA]]*0.6</f>
        <v>480000</v>
      </c>
      <c r="J22" s="2">
        <f>Tabla210[[#This Row],[TOTAL FACTURA]]*0.4</f>
        <v>320000</v>
      </c>
      <c r="K22" s="2" t="s">
        <v>95</v>
      </c>
      <c r="L22" s="2"/>
      <c r="M22" s="2">
        <v>276000</v>
      </c>
      <c r="N22" s="1" t="s">
        <v>25</v>
      </c>
      <c r="O22" s="15">
        <f>Tabla210[[#This Row],[MONTO DE LA VENTA]]-Tabla210[[#This Row],[MONTO DE COMPRA]]</f>
        <v>276000</v>
      </c>
    </row>
    <row r="23" spans="1:15" ht="15" customHeight="1" x14ac:dyDescent="0.25">
      <c r="A23" s="9">
        <v>44566</v>
      </c>
      <c r="C23" s="4"/>
      <c r="D23" s="1" t="s">
        <v>99</v>
      </c>
      <c r="E23" s="4" t="s">
        <v>100</v>
      </c>
      <c r="F23" s="1" t="s">
        <v>30</v>
      </c>
      <c r="G23" s="1" t="s">
        <v>101</v>
      </c>
      <c r="H23" s="2">
        <v>200000</v>
      </c>
      <c r="I23" s="2">
        <f>Tabla210[[#This Row],[TOTAL FACTURA]]*0.6</f>
        <v>120000</v>
      </c>
      <c r="J23" s="2">
        <f>Tabla210[[#This Row],[TOTAL FACTURA]]*0.4</f>
        <v>80000</v>
      </c>
      <c r="K23" s="2"/>
      <c r="L23" s="2"/>
      <c r="M23" s="2"/>
      <c r="N23" s="1" t="s">
        <v>25</v>
      </c>
      <c r="O23" s="15">
        <f>Tabla210[[#This Row],[MONTO DE LA VENTA]]-Tabla210[[#This Row],[MONTO DE COMPRA]]</f>
        <v>0</v>
      </c>
    </row>
    <row r="24" spans="1:15" ht="15" customHeight="1" x14ac:dyDescent="0.25">
      <c r="A24" s="9">
        <v>44566</v>
      </c>
      <c r="B24" s="4" t="s">
        <v>106</v>
      </c>
      <c r="C24" s="4"/>
      <c r="D24" s="1" t="s">
        <v>102</v>
      </c>
      <c r="E24" s="4" t="s">
        <v>103</v>
      </c>
      <c r="F24" s="1" t="s">
        <v>30</v>
      </c>
      <c r="G24" s="1" t="s">
        <v>104</v>
      </c>
      <c r="H24" s="2">
        <v>50000</v>
      </c>
      <c r="I24" s="2">
        <f>Tabla210[[#This Row],[TOTAL FACTURA]]*0.6</f>
        <v>30000</v>
      </c>
      <c r="J24" s="2">
        <f>Tabla210[[#This Row],[TOTAL FACTURA]]*0.4</f>
        <v>20000</v>
      </c>
      <c r="K24" s="1" t="s">
        <v>105</v>
      </c>
      <c r="L24" s="2">
        <v>50420</v>
      </c>
      <c r="M24" s="2">
        <v>63554</v>
      </c>
      <c r="N24" s="1" t="s">
        <v>25</v>
      </c>
      <c r="O24" s="15">
        <f>Tabla210[[#This Row],[MONTO DE LA VENTA]]-Tabla210[[#This Row],[MONTO DE COMPRA]]</f>
        <v>13134</v>
      </c>
    </row>
    <row r="25" spans="1:15" ht="15" customHeight="1" x14ac:dyDescent="0.25">
      <c r="A25" s="9">
        <v>44566</v>
      </c>
      <c r="C25" s="4"/>
      <c r="D25" s="1" t="s">
        <v>107</v>
      </c>
      <c r="E25" s="4" t="s">
        <v>109</v>
      </c>
      <c r="F25" s="1" t="s">
        <v>16</v>
      </c>
      <c r="G25" s="1" t="s">
        <v>110</v>
      </c>
      <c r="H25" s="2">
        <v>70000</v>
      </c>
      <c r="I25" s="2">
        <f>Tabla210[[#This Row],[TOTAL FACTURA]]*0.6</f>
        <v>42000</v>
      </c>
      <c r="J25" s="2">
        <f>Tabla210[[#This Row],[TOTAL FACTURA]]*0.4</f>
        <v>28000</v>
      </c>
      <c r="K25" s="1" t="s">
        <v>108</v>
      </c>
      <c r="L25" s="2">
        <f>280000/1.19</f>
        <v>235294.11764705883</v>
      </c>
      <c r="M25" s="2">
        <f>420000/1.19</f>
        <v>352941.17647058825</v>
      </c>
      <c r="N25" s="1" t="s">
        <v>25</v>
      </c>
      <c r="O25" s="15">
        <f>Tabla210[[#This Row],[MONTO DE LA VENTA]]-Tabla210[[#This Row],[MONTO DE COMPRA]]</f>
        <v>117647.05882352943</v>
      </c>
    </row>
    <row r="26" spans="1:15" s="16" customFormat="1" ht="15" customHeight="1" x14ac:dyDescent="0.25">
      <c r="A26" s="34">
        <v>44566</v>
      </c>
      <c r="B26" s="21" t="s">
        <v>111</v>
      </c>
      <c r="C26" s="21"/>
      <c r="D26" s="16" t="s">
        <v>112</v>
      </c>
      <c r="E26" s="21" t="s">
        <v>113</v>
      </c>
      <c r="F26" s="16" t="s">
        <v>19</v>
      </c>
      <c r="G26" s="16" t="s">
        <v>114</v>
      </c>
      <c r="H26" s="20">
        <v>80000</v>
      </c>
      <c r="I26" s="20">
        <f>Tabla210[[#This Row],[TOTAL FACTURA]]*0.6</f>
        <v>48000</v>
      </c>
      <c r="J26" s="20">
        <f>Tabla210[[#This Row],[TOTAL FACTURA]]*0.4</f>
        <v>32000</v>
      </c>
      <c r="K26" s="20" t="s">
        <v>115</v>
      </c>
      <c r="L26" s="20"/>
      <c r="M26" s="20">
        <f>220000/1.19</f>
        <v>184873.94957983194</v>
      </c>
      <c r="N26" s="1" t="s">
        <v>25</v>
      </c>
      <c r="O26" s="15">
        <f>Tabla210[[#This Row],[MONTO DE LA VENTA]]-Tabla210[[#This Row],[MONTO DE COMPRA]]</f>
        <v>184873.94957983194</v>
      </c>
    </row>
    <row r="27" spans="1:15" s="16" customFormat="1" ht="15" customHeight="1" x14ac:dyDescent="0.25">
      <c r="A27" s="34">
        <v>44566</v>
      </c>
      <c r="B27" s="21" t="s">
        <v>116</v>
      </c>
      <c r="C27" s="21"/>
      <c r="D27" s="16" t="s">
        <v>48</v>
      </c>
      <c r="E27" s="21" t="s">
        <v>117</v>
      </c>
      <c r="F27" s="16" t="s">
        <v>19</v>
      </c>
      <c r="G27" s="16" t="s">
        <v>21</v>
      </c>
      <c r="H27" s="20">
        <v>10000</v>
      </c>
      <c r="I27" s="20">
        <f>Tabla210[[#This Row],[TOTAL FACTURA]]*0.6</f>
        <v>6000</v>
      </c>
      <c r="J27" s="20">
        <f>Tabla210[[#This Row],[TOTAL FACTURA]]*0.4</f>
        <v>4000</v>
      </c>
      <c r="K27" s="20"/>
      <c r="L27" s="20"/>
      <c r="M27" s="20"/>
      <c r="N27" s="1" t="s">
        <v>25</v>
      </c>
      <c r="O27" s="15">
        <f>Tabla210[[#This Row],[MONTO DE LA VENTA]]-Tabla210[[#This Row],[MONTO DE COMPRA]]</f>
        <v>0</v>
      </c>
    </row>
    <row r="28" spans="1:15" ht="15" customHeight="1" x14ac:dyDescent="0.25">
      <c r="A28" s="9">
        <v>44566</v>
      </c>
      <c r="C28" s="4"/>
      <c r="D28" s="1" t="s">
        <v>96</v>
      </c>
      <c r="E28" s="4" t="s">
        <v>118</v>
      </c>
      <c r="F28" s="1" t="s">
        <v>10</v>
      </c>
      <c r="G28" s="1" t="s">
        <v>119</v>
      </c>
      <c r="H28" s="2">
        <v>30000</v>
      </c>
      <c r="I28" s="2">
        <f>Tabla210[[#This Row],[TOTAL FACTURA]]*0.6</f>
        <v>18000</v>
      </c>
      <c r="J28" s="2">
        <f>Tabla210[[#This Row],[TOTAL FACTURA]]*0.4</f>
        <v>12000</v>
      </c>
      <c r="K28" s="2" t="s">
        <v>120</v>
      </c>
      <c r="L28" s="2">
        <f>60000/1.19</f>
        <v>50420.168067226892</v>
      </c>
      <c r="M28" s="2">
        <f>120000/1.19</f>
        <v>100840.33613445378</v>
      </c>
      <c r="N28" s="1" t="s">
        <v>25</v>
      </c>
      <c r="O28" s="15">
        <f>Tabla210[[#This Row],[MONTO DE LA VENTA]]-Tabla210[[#This Row],[MONTO DE COMPRA]]</f>
        <v>50420.168067226892</v>
      </c>
    </row>
    <row r="29" spans="1:15" ht="15" customHeight="1" x14ac:dyDescent="0.25">
      <c r="A29" s="9">
        <v>44566</v>
      </c>
      <c r="B29" s="4" t="s">
        <v>121</v>
      </c>
      <c r="C29" s="4"/>
      <c r="D29" s="1" t="s">
        <v>122</v>
      </c>
      <c r="E29" s="4" t="s">
        <v>123</v>
      </c>
      <c r="F29" s="1" t="s">
        <v>18</v>
      </c>
      <c r="G29" s="1" t="s">
        <v>124</v>
      </c>
      <c r="H29" s="2">
        <v>30000</v>
      </c>
      <c r="I29" s="2">
        <v>30000</v>
      </c>
      <c r="J29" s="2">
        <f>Tabla210[[#This Row],[TOTAL FACTURA]]*0.4</f>
        <v>12000</v>
      </c>
      <c r="K29" s="2"/>
      <c r="L29" s="2"/>
      <c r="M29" s="2"/>
      <c r="N29" s="1" t="s">
        <v>25</v>
      </c>
      <c r="O29" s="15">
        <f>Tabla210[[#This Row],[MONTO DE LA VENTA]]-Tabla210[[#This Row],[MONTO DE COMPRA]]</f>
        <v>0</v>
      </c>
    </row>
    <row r="30" spans="1:15" ht="15" customHeight="1" x14ac:dyDescent="0.25">
      <c r="A30" s="9">
        <v>44566</v>
      </c>
      <c r="C30" s="4"/>
      <c r="D30" s="1" t="s">
        <v>126</v>
      </c>
      <c r="E30" s="4" t="s">
        <v>127</v>
      </c>
      <c r="F30" s="1" t="s">
        <v>16</v>
      </c>
      <c r="G30" s="1" t="s">
        <v>128</v>
      </c>
      <c r="H30" s="2">
        <v>15000</v>
      </c>
      <c r="I30" s="2">
        <f>Tabla210[[#This Row],[TOTAL FACTURA]]*0.6</f>
        <v>9000</v>
      </c>
      <c r="J30" s="2">
        <f>Tabla210[[#This Row],[TOTAL FACTURA]]*0.4</f>
        <v>6000</v>
      </c>
      <c r="K30" s="2"/>
      <c r="L30" s="2"/>
      <c r="M30" s="2"/>
      <c r="N30" s="1" t="s">
        <v>25</v>
      </c>
      <c r="O30" s="15">
        <f>Tabla210[[#This Row],[MONTO DE LA VENTA]]-Tabla210[[#This Row],[MONTO DE COMPRA]]</f>
        <v>0</v>
      </c>
    </row>
    <row r="31" spans="1:15" ht="15" customHeight="1" x14ac:dyDescent="0.25">
      <c r="A31" s="9">
        <v>44567</v>
      </c>
      <c r="B31" s="4" t="s">
        <v>134</v>
      </c>
      <c r="C31" s="4"/>
      <c r="D31" s="1" t="s">
        <v>136</v>
      </c>
      <c r="E31" s="4" t="s">
        <v>135</v>
      </c>
      <c r="F31" s="1" t="s">
        <v>30</v>
      </c>
      <c r="G31" s="1" t="s">
        <v>137</v>
      </c>
      <c r="H31" s="2">
        <v>70000</v>
      </c>
      <c r="I31" s="2">
        <f>Tabla210[[#This Row],[TOTAL FACTURA]]*0.6</f>
        <v>42000</v>
      </c>
      <c r="J31" s="2">
        <f>Tabla210[[#This Row],[TOTAL FACTURA]]*0.4</f>
        <v>28000</v>
      </c>
      <c r="K31" s="2"/>
      <c r="L31" s="2"/>
      <c r="M31" s="2"/>
      <c r="N31" s="1" t="s">
        <v>25</v>
      </c>
      <c r="O31" s="15">
        <f>Tabla210[[#This Row],[MONTO DE LA VENTA]]-Tabla210[[#This Row],[MONTO DE COMPRA]]</f>
        <v>0</v>
      </c>
    </row>
    <row r="32" spans="1:15" ht="15" customHeight="1" x14ac:dyDescent="0.25">
      <c r="A32" s="9">
        <v>44567</v>
      </c>
      <c r="B32" s="4" t="s">
        <v>134</v>
      </c>
      <c r="C32" s="4"/>
      <c r="D32" s="1" t="s">
        <v>136</v>
      </c>
      <c r="E32" s="4" t="s">
        <v>135</v>
      </c>
      <c r="F32" s="1" t="s">
        <v>34</v>
      </c>
      <c r="G32" s="1" t="s">
        <v>138</v>
      </c>
      <c r="H32" s="2">
        <v>50000</v>
      </c>
      <c r="I32" s="2">
        <f>Tabla210[[#This Row],[TOTAL FACTURA]]*0.6</f>
        <v>30000</v>
      </c>
      <c r="J32" s="2">
        <f>Tabla210[[#This Row],[TOTAL FACTURA]]*0.4</f>
        <v>20000</v>
      </c>
      <c r="K32" s="2"/>
      <c r="L32" s="2"/>
      <c r="M32" s="2"/>
      <c r="N32" s="1" t="s">
        <v>25</v>
      </c>
      <c r="O32" s="15">
        <f>Tabla210[[#This Row],[MONTO DE LA VENTA]]-Tabla210[[#This Row],[MONTO DE COMPRA]]</f>
        <v>0</v>
      </c>
    </row>
    <row r="33" spans="1:15" s="16" customFormat="1" ht="15" customHeight="1" x14ac:dyDescent="0.25">
      <c r="A33" s="34">
        <v>44567</v>
      </c>
      <c r="B33" s="21"/>
      <c r="C33" s="21"/>
      <c r="D33" s="16" t="s">
        <v>22</v>
      </c>
      <c r="E33" s="21" t="s">
        <v>139</v>
      </c>
      <c r="F33" s="16" t="s">
        <v>19</v>
      </c>
      <c r="G33" s="16" t="s">
        <v>140</v>
      </c>
      <c r="H33" s="20">
        <v>50000</v>
      </c>
      <c r="I33" s="20">
        <f>Tabla210[[#This Row],[TOTAL FACTURA]]*0.6</f>
        <v>30000</v>
      </c>
      <c r="J33" s="20">
        <f>Tabla210[[#This Row],[TOTAL FACTURA]]*0.4</f>
        <v>20000</v>
      </c>
      <c r="K33" s="20"/>
      <c r="L33" s="20"/>
      <c r="M33" s="20"/>
      <c r="N33" s="1" t="s">
        <v>25</v>
      </c>
      <c r="O33" s="15">
        <f>Tabla210[[#This Row],[MONTO DE LA VENTA]]-Tabla210[[#This Row],[MONTO DE COMPRA]]</f>
        <v>0</v>
      </c>
    </row>
    <row r="34" spans="1:15" ht="15" customHeight="1" x14ac:dyDescent="0.25">
      <c r="A34" s="9">
        <v>44567</v>
      </c>
      <c r="B34" s="4" t="s">
        <v>141</v>
      </c>
      <c r="C34" s="4"/>
      <c r="D34" s="1" t="s">
        <v>142</v>
      </c>
      <c r="E34" s="4" t="s">
        <v>143</v>
      </c>
      <c r="F34" s="1" t="s">
        <v>16</v>
      </c>
      <c r="G34" s="1" t="s">
        <v>144</v>
      </c>
      <c r="H34" s="2">
        <v>80000</v>
      </c>
      <c r="I34" s="2">
        <f>Tabla210[[#This Row],[TOTAL FACTURA]]*0.6</f>
        <v>48000</v>
      </c>
      <c r="J34" s="2">
        <f>Tabla210[[#This Row],[TOTAL FACTURA]]*0.4</f>
        <v>32000</v>
      </c>
      <c r="K34" s="2"/>
      <c r="L34" s="2"/>
      <c r="M34" s="2"/>
      <c r="N34" s="1" t="s">
        <v>25</v>
      </c>
      <c r="O34" s="15">
        <f>Tabla210[[#This Row],[MONTO DE LA VENTA]]-Tabla210[[#This Row],[MONTO DE COMPRA]]</f>
        <v>0</v>
      </c>
    </row>
    <row r="35" spans="1:15" s="16" customFormat="1" ht="15" customHeight="1" x14ac:dyDescent="0.25">
      <c r="A35" s="34">
        <v>44567</v>
      </c>
      <c r="B35" s="21"/>
      <c r="C35" s="21"/>
      <c r="D35" s="16" t="s">
        <v>46</v>
      </c>
      <c r="E35" s="21" t="s">
        <v>145</v>
      </c>
      <c r="F35" s="16" t="s">
        <v>19</v>
      </c>
      <c r="G35" s="35" t="s">
        <v>21</v>
      </c>
      <c r="H35" s="20">
        <v>10000</v>
      </c>
      <c r="I35" s="20">
        <f>Tabla210[[#This Row],[TOTAL FACTURA]]*0.6</f>
        <v>6000</v>
      </c>
      <c r="J35" s="20">
        <f>Tabla210[[#This Row],[TOTAL FACTURA]]*0.4</f>
        <v>4000</v>
      </c>
      <c r="K35" s="20"/>
      <c r="L35" s="20"/>
      <c r="M35" s="20"/>
      <c r="N35" s="1" t="s">
        <v>25</v>
      </c>
      <c r="O35" s="15">
        <f>Tabla210[[#This Row],[MONTO DE LA VENTA]]-Tabla210[[#This Row],[MONTO DE COMPRA]]</f>
        <v>0</v>
      </c>
    </row>
    <row r="36" spans="1:15" ht="15" customHeight="1" x14ac:dyDescent="0.25">
      <c r="A36" s="9">
        <v>44567</v>
      </c>
      <c r="B36" s="4" t="s">
        <v>146</v>
      </c>
      <c r="C36" s="4"/>
      <c r="D36" s="1" t="s">
        <v>84</v>
      </c>
      <c r="E36" s="4" t="s">
        <v>85</v>
      </c>
      <c r="F36" s="1" t="s">
        <v>18</v>
      </c>
      <c r="G36" s="1" t="s">
        <v>147</v>
      </c>
      <c r="H36" s="2">
        <v>80000</v>
      </c>
      <c r="I36" s="2">
        <f>Tabla210[[#This Row],[TOTAL FACTURA]]*0.6</f>
        <v>48000</v>
      </c>
      <c r="J36" s="2">
        <f>Tabla210[[#This Row],[TOTAL FACTURA]]*0.4</f>
        <v>32000</v>
      </c>
      <c r="K36" s="2"/>
      <c r="L36" s="2"/>
      <c r="M36" s="2"/>
      <c r="N36" s="1" t="s">
        <v>25</v>
      </c>
      <c r="O36" s="15">
        <f>Tabla210[[#This Row],[MONTO DE LA VENTA]]-Tabla210[[#This Row],[MONTO DE COMPRA]]</f>
        <v>0</v>
      </c>
    </row>
    <row r="37" spans="1:15" s="16" customFormat="1" ht="15.75" customHeight="1" x14ac:dyDescent="0.25">
      <c r="A37" s="34">
        <v>44567</v>
      </c>
      <c r="B37" s="21"/>
      <c r="C37" s="21"/>
      <c r="D37" s="16" t="s">
        <v>54</v>
      </c>
      <c r="E37" s="21" t="s">
        <v>148</v>
      </c>
      <c r="F37" s="16" t="s">
        <v>19</v>
      </c>
      <c r="G37" s="16" t="s">
        <v>149</v>
      </c>
      <c r="H37" s="20">
        <v>80000</v>
      </c>
      <c r="I37" s="20">
        <f>Tabla210[[#This Row],[TOTAL FACTURA]]*0.6</f>
        <v>48000</v>
      </c>
      <c r="J37" s="20">
        <f>Tabla210[[#This Row],[TOTAL FACTURA]]*0.4</f>
        <v>32000</v>
      </c>
      <c r="K37" s="20"/>
      <c r="L37" s="20"/>
      <c r="M37" s="20"/>
      <c r="N37" s="1" t="s">
        <v>25</v>
      </c>
      <c r="O37" s="15">
        <f>Tabla210[[#This Row],[MONTO DE LA VENTA]]-Tabla210[[#This Row],[MONTO DE COMPRA]]</f>
        <v>0</v>
      </c>
    </row>
    <row r="38" spans="1:15" ht="15" customHeight="1" x14ac:dyDescent="0.25">
      <c r="A38" s="9">
        <v>44567</v>
      </c>
      <c r="B38" s="4" t="s">
        <v>150</v>
      </c>
      <c r="C38" s="4"/>
      <c r="D38" s="1" t="s">
        <v>151</v>
      </c>
      <c r="E38" s="4" t="s">
        <v>152</v>
      </c>
      <c r="F38" s="1" t="s">
        <v>34</v>
      </c>
      <c r="G38" s="1" t="s">
        <v>21</v>
      </c>
      <c r="H38" s="2">
        <v>10000</v>
      </c>
      <c r="I38" s="2">
        <f>Tabla210[[#This Row],[TOTAL FACTURA]]*0.6</f>
        <v>6000</v>
      </c>
      <c r="J38" s="2">
        <f>Tabla210[[#This Row],[TOTAL FACTURA]]*0.4</f>
        <v>4000</v>
      </c>
      <c r="K38" s="2"/>
      <c r="L38" s="2"/>
      <c r="M38" s="2"/>
      <c r="N38" s="1" t="s">
        <v>25</v>
      </c>
      <c r="O38" s="15">
        <f>Tabla210[[#This Row],[MONTO DE LA VENTA]]-Tabla210[[#This Row],[MONTO DE COMPRA]]</f>
        <v>0</v>
      </c>
    </row>
    <row r="39" spans="1:15" ht="15" customHeight="1" x14ac:dyDescent="0.25">
      <c r="A39" s="9">
        <v>44567</v>
      </c>
      <c r="B39" s="4" t="s">
        <v>150</v>
      </c>
      <c r="C39" s="4"/>
      <c r="D39" s="1" t="s">
        <v>151</v>
      </c>
      <c r="E39" s="4" t="s">
        <v>152</v>
      </c>
      <c r="F39" s="1" t="s">
        <v>30</v>
      </c>
      <c r="G39" s="1" t="s">
        <v>153</v>
      </c>
      <c r="H39" s="2">
        <v>90000</v>
      </c>
      <c r="I39" s="2">
        <f>Tabla210[[#This Row],[TOTAL FACTURA]]*0.6</f>
        <v>54000</v>
      </c>
      <c r="J39" s="2">
        <f>Tabla210[[#This Row],[TOTAL FACTURA]]*0.4</f>
        <v>36000</v>
      </c>
      <c r="K39" s="2"/>
      <c r="L39" s="2"/>
      <c r="M39" s="2"/>
      <c r="N39" s="1" t="s">
        <v>25</v>
      </c>
      <c r="O39" s="15">
        <f>Tabla210[[#This Row],[MONTO DE LA VENTA]]-Tabla210[[#This Row],[MONTO DE COMPRA]]</f>
        <v>0</v>
      </c>
    </row>
    <row r="40" spans="1:15" ht="15" customHeight="1" x14ac:dyDescent="0.25">
      <c r="A40" s="9">
        <v>44567</v>
      </c>
      <c r="B40" s="4" t="s">
        <v>150</v>
      </c>
      <c r="C40" s="4"/>
      <c r="D40" s="1" t="s">
        <v>151</v>
      </c>
      <c r="E40" s="4" t="s">
        <v>152</v>
      </c>
      <c r="F40" s="1" t="s">
        <v>16</v>
      </c>
      <c r="G40" s="10" t="s">
        <v>154</v>
      </c>
      <c r="H40" s="2">
        <v>50000</v>
      </c>
      <c r="I40" s="2">
        <f>Tabla210[[#This Row],[TOTAL FACTURA]]*0.6</f>
        <v>30000</v>
      </c>
      <c r="J40" s="2">
        <f>Tabla210[[#This Row],[TOTAL FACTURA]]*0.4</f>
        <v>20000</v>
      </c>
      <c r="L40" s="2"/>
      <c r="M40" s="2"/>
      <c r="N40" s="1" t="s">
        <v>25</v>
      </c>
      <c r="O40" s="15">
        <f>Tabla210[[#This Row],[MONTO DE LA VENTA]]-Tabla210[[#This Row],[MONTO DE COMPRA]]</f>
        <v>0</v>
      </c>
    </row>
    <row r="41" spans="1:15" ht="15" customHeight="1" x14ac:dyDescent="0.25">
      <c r="A41" s="9">
        <v>44567</v>
      </c>
      <c r="B41" s="4" t="s">
        <v>150</v>
      </c>
      <c r="C41" s="4"/>
      <c r="D41" s="1" t="s">
        <v>151</v>
      </c>
      <c r="E41" s="4" t="s">
        <v>152</v>
      </c>
      <c r="F41" s="1" t="s">
        <v>16</v>
      </c>
      <c r="G41" s="10" t="s">
        <v>155</v>
      </c>
      <c r="H41" s="2">
        <v>30000</v>
      </c>
      <c r="I41" s="2">
        <f>Tabla210[[#This Row],[TOTAL FACTURA]]*0.6</f>
        <v>18000</v>
      </c>
      <c r="J41" s="2">
        <f>Tabla210[[#This Row],[TOTAL FACTURA]]*0.4</f>
        <v>12000</v>
      </c>
      <c r="K41" s="1" t="s">
        <v>156</v>
      </c>
      <c r="L41" s="2"/>
      <c r="M41" s="2">
        <v>13680</v>
      </c>
      <c r="N41" s="1" t="s">
        <v>25</v>
      </c>
      <c r="O41" s="15">
        <f>Tabla210[[#This Row],[MONTO DE LA VENTA]]-Tabla210[[#This Row],[MONTO DE COMPRA]]</f>
        <v>13680</v>
      </c>
    </row>
    <row r="42" spans="1:15" ht="15" customHeight="1" x14ac:dyDescent="0.25">
      <c r="A42" s="9">
        <v>44567</v>
      </c>
      <c r="B42" s="4" t="s">
        <v>150</v>
      </c>
      <c r="C42" s="4"/>
      <c r="D42" s="1" t="s">
        <v>151</v>
      </c>
      <c r="E42" s="4" t="s">
        <v>152</v>
      </c>
      <c r="F42" s="1" t="s">
        <v>18</v>
      </c>
      <c r="G42" s="10" t="s">
        <v>157</v>
      </c>
      <c r="H42" s="2">
        <v>30000</v>
      </c>
      <c r="I42" s="2">
        <f>Tabla210[[#This Row],[TOTAL FACTURA]]*0.6</f>
        <v>18000</v>
      </c>
      <c r="J42" s="2">
        <f>Tabla210[[#This Row],[TOTAL FACTURA]]*0.4</f>
        <v>12000</v>
      </c>
      <c r="K42" s="1" t="s">
        <v>158</v>
      </c>
      <c r="L42" s="2"/>
      <c r="M42" s="2">
        <v>10080</v>
      </c>
      <c r="N42" s="1" t="s">
        <v>25</v>
      </c>
      <c r="O42" s="15">
        <f>Tabla210[[#This Row],[MONTO DE LA VENTA]]-Tabla210[[#This Row],[MONTO DE COMPRA]]</f>
        <v>10080</v>
      </c>
    </row>
    <row r="43" spans="1:15" ht="15" customHeight="1" x14ac:dyDescent="0.25">
      <c r="A43" s="9">
        <v>44567</v>
      </c>
      <c r="B43" s="4" t="s">
        <v>150</v>
      </c>
      <c r="C43" s="4"/>
      <c r="D43" s="1" t="s">
        <v>151</v>
      </c>
      <c r="E43" s="4" t="s">
        <v>152</v>
      </c>
      <c r="F43" s="1" t="s">
        <v>18</v>
      </c>
      <c r="G43" s="1" t="s">
        <v>159</v>
      </c>
      <c r="H43" s="2">
        <v>50000</v>
      </c>
      <c r="I43" s="2">
        <f>Tabla210[[#This Row],[TOTAL FACTURA]]*0.6</f>
        <v>30000</v>
      </c>
      <c r="J43" s="2">
        <f>Tabla210[[#This Row],[TOTAL FACTURA]]*0.4</f>
        <v>20000</v>
      </c>
      <c r="L43" s="2"/>
      <c r="M43" s="2"/>
      <c r="N43" s="1" t="s">
        <v>25</v>
      </c>
      <c r="O43" s="15">
        <f>Tabla210[[#This Row],[MONTO DE LA VENTA]]-Tabla210[[#This Row],[MONTO DE COMPRA]]</f>
        <v>0</v>
      </c>
    </row>
    <row r="44" spans="1:15" ht="15" customHeight="1" x14ac:dyDescent="0.25">
      <c r="A44" s="9">
        <v>44567</v>
      </c>
      <c r="B44" s="4" t="s">
        <v>160</v>
      </c>
      <c r="C44" s="4"/>
      <c r="D44" s="1" t="s">
        <v>161</v>
      </c>
      <c r="E44" s="4" t="s">
        <v>162</v>
      </c>
      <c r="F44" s="1" t="s">
        <v>16</v>
      </c>
      <c r="G44" s="10" t="s">
        <v>155</v>
      </c>
      <c r="H44" s="2">
        <v>30000</v>
      </c>
      <c r="I44" s="2">
        <f>Tabla210[[#This Row],[TOTAL FACTURA]]*0.6</f>
        <v>18000</v>
      </c>
      <c r="J44" s="2">
        <f>Tabla210[[#This Row],[TOTAL FACTURA]]*0.4</f>
        <v>12000</v>
      </c>
      <c r="K44" s="2"/>
      <c r="L44" s="2"/>
      <c r="M44" s="2"/>
      <c r="N44" s="1" t="s">
        <v>25</v>
      </c>
      <c r="O44" s="15">
        <f>Tabla210[[#This Row],[MONTO DE LA VENTA]]-Tabla210[[#This Row],[MONTO DE COMPRA]]</f>
        <v>0</v>
      </c>
    </row>
    <row r="45" spans="1:15" ht="15" customHeight="1" x14ac:dyDescent="0.25">
      <c r="A45" s="9">
        <v>44567</v>
      </c>
      <c r="B45" s="4" t="s">
        <v>160</v>
      </c>
      <c r="C45" s="4"/>
      <c r="D45" s="1" t="s">
        <v>161</v>
      </c>
      <c r="E45" s="4" t="s">
        <v>162</v>
      </c>
      <c r="F45" s="1" t="s">
        <v>16</v>
      </c>
      <c r="G45" s="1" t="s">
        <v>163</v>
      </c>
      <c r="H45" s="2">
        <v>80000</v>
      </c>
      <c r="I45" s="2">
        <f>Tabla210[[#This Row],[TOTAL FACTURA]]*0.6</f>
        <v>48000</v>
      </c>
      <c r="J45" s="2">
        <f>Tabla210[[#This Row],[TOTAL FACTURA]]*0.4</f>
        <v>32000</v>
      </c>
      <c r="K45" s="2" t="s">
        <v>165</v>
      </c>
      <c r="L45" s="2"/>
      <c r="M45" s="2">
        <f>15000+12000+3600</f>
        <v>30600</v>
      </c>
      <c r="N45" s="1" t="s">
        <v>25</v>
      </c>
      <c r="O45" s="15">
        <f>Tabla210[[#This Row],[MONTO DE LA VENTA]]-Tabla210[[#This Row],[MONTO DE COMPRA]]</f>
        <v>30600</v>
      </c>
    </row>
    <row r="46" spans="1:15" ht="15" customHeight="1" x14ac:dyDescent="0.25">
      <c r="A46" s="9">
        <v>44567</v>
      </c>
      <c r="B46" s="4" t="s">
        <v>160</v>
      </c>
      <c r="C46" s="4"/>
      <c r="D46" s="1" t="s">
        <v>161</v>
      </c>
      <c r="E46" s="4" t="s">
        <v>162</v>
      </c>
      <c r="F46" s="1" t="s">
        <v>18</v>
      </c>
      <c r="G46" s="1" t="s">
        <v>157</v>
      </c>
      <c r="H46" s="2">
        <v>30000</v>
      </c>
      <c r="I46" s="2">
        <f>Tabla210[[#This Row],[TOTAL FACTURA]]*0.6</f>
        <v>18000</v>
      </c>
      <c r="J46" s="2">
        <f>Tabla210[[#This Row],[TOTAL FACTURA]]*0.4</f>
        <v>12000</v>
      </c>
      <c r="K46" s="2" t="s">
        <v>158</v>
      </c>
      <c r="L46" s="2"/>
      <c r="M46" s="2">
        <v>8400</v>
      </c>
      <c r="N46" s="1" t="s">
        <v>25</v>
      </c>
      <c r="O46" s="15">
        <f>Tabla210[[#This Row],[MONTO DE LA VENTA]]-Tabla210[[#This Row],[MONTO DE COMPRA]]</f>
        <v>8400</v>
      </c>
    </row>
    <row r="47" spans="1:15" ht="15" customHeight="1" x14ac:dyDescent="0.25">
      <c r="A47" s="9">
        <v>44567</v>
      </c>
      <c r="B47" s="4" t="s">
        <v>160</v>
      </c>
      <c r="C47" s="4"/>
      <c r="D47" s="1" t="s">
        <v>161</v>
      </c>
      <c r="E47" s="4" t="s">
        <v>162</v>
      </c>
      <c r="F47" s="1" t="s">
        <v>18</v>
      </c>
      <c r="G47" s="1" t="s">
        <v>164</v>
      </c>
      <c r="H47" s="2">
        <v>30000</v>
      </c>
      <c r="I47" s="2">
        <f>Tabla210[[#This Row],[TOTAL FACTURA]]*0.6</f>
        <v>18000</v>
      </c>
      <c r="J47" s="2">
        <f>Tabla210[[#This Row],[TOTAL FACTURA]]*0.4</f>
        <v>12000</v>
      </c>
      <c r="K47" s="2"/>
      <c r="L47" s="2"/>
      <c r="M47" s="2"/>
      <c r="N47" s="1" t="s">
        <v>25</v>
      </c>
      <c r="O47" s="15">
        <f>Tabla210[[#This Row],[MONTO DE LA VENTA]]-Tabla210[[#This Row],[MONTO DE COMPRA]]</f>
        <v>0</v>
      </c>
    </row>
    <row r="48" spans="1:15" ht="15" customHeight="1" x14ac:dyDescent="0.25">
      <c r="A48" s="9">
        <v>44567</v>
      </c>
      <c r="B48" s="4" t="s">
        <v>166</v>
      </c>
      <c r="C48" s="4"/>
      <c r="D48" s="1" t="s">
        <v>59</v>
      </c>
      <c r="E48" s="4" t="s">
        <v>93</v>
      </c>
      <c r="F48" s="1" t="s">
        <v>30</v>
      </c>
      <c r="G48" s="1" t="s">
        <v>167</v>
      </c>
      <c r="H48" s="2">
        <v>180000</v>
      </c>
      <c r="I48" s="2">
        <f>Tabla210[[#This Row],[TOTAL FACTURA]]*0.6</f>
        <v>108000</v>
      </c>
      <c r="J48" s="2">
        <f>Tabla210[[#This Row],[TOTAL FACTURA]]*0.4</f>
        <v>72000</v>
      </c>
      <c r="K48" s="2"/>
      <c r="L48" s="2"/>
      <c r="M48" s="2"/>
      <c r="N48" s="1" t="s">
        <v>25</v>
      </c>
      <c r="O48" s="15">
        <f>Tabla210[[#This Row],[MONTO DE LA VENTA]]-Tabla210[[#This Row],[MONTO DE COMPRA]]</f>
        <v>0</v>
      </c>
    </row>
    <row r="49" spans="1:15" ht="15" customHeight="1" x14ac:dyDescent="0.25">
      <c r="A49" s="9">
        <v>44568</v>
      </c>
      <c r="C49" s="4"/>
      <c r="D49" s="1" t="s">
        <v>168</v>
      </c>
      <c r="E49" s="4" t="s">
        <v>169</v>
      </c>
      <c r="F49" s="1" t="s">
        <v>10</v>
      </c>
      <c r="G49" s="1" t="s">
        <v>170</v>
      </c>
      <c r="H49" s="2">
        <v>30000</v>
      </c>
      <c r="I49" s="2">
        <f>Tabla210[[#This Row],[TOTAL FACTURA]]*0.6</f>
        <v>18000</v>
      </c>
      <c r="J49" s="2">
        <f>Tabla210[[#This Row],[TOTAL FACTURA]]*0.4</f>
        <v>12000</v>
      </c>
      <c r="K49" s="2" t="s">
        <v>171</v>
      </c>
      <c r="L49" s="2">
        <f>35000/1.19</f>
        <v>29411.764705882353</v>
      </c>
      <c r="M49" s="2">
        <f>60000/1.19</f>
        <v>50420.168067226892</v>
      </c>
      <c r="N49" s="1" t="s">
        <v>25</v>
      </c>
      <c r="O49" s="15">
        <f>Tabla210[[#This Row],[MONTO DE LA VENTA]]-Tabla210[[#This Row],[MONTO DE COMPRA]]</f>
        <v>21008.403361344539</v>
      </c>
    </row>
    <row r="50" spans="1:15" ht="15" customHeight="1" x14ac:dyDescent="0.25">
      <c r="A50" s="9">
        <v>44568</v>
      </c>
      <c r="B50" s="4" t="s">
        <v>172</v>
      </c>
      <c r="C50" s="4"/>
      <c r="D50" s="1" t="s">
        <v>96</v>
      </c>
      <c r="E50" s="4" t="s">
        <v>173</v>
      </c>
      <c r="F50" s="1" t="s">
        <v>19</v>
      </c>
      <c r="G50" s="10" t="s">
        <v>174</v>
      </c>
      <c r="H50" s="2">
        <v>80000</v>
      </c>
      <c r="I50" s="2">
        <f>Tabla210[[#This Row],[TOTAL FACTURA]]*0.6</f>
        <v>48000</v>
      </c>
      <c r="J50" s="2">
        <f>Tabla210[[#This Row],[TOTAL FACTURA]]*0.4</f>
        <v>32000</v>
      </c>
      <c r="K50" s="1" t="s">
        <v>175</v>
      </c>
      <c r="L50" s="2">
        <f>92436.76+30000+74000</f>
        <v>196436.76</v>
      </c>
      <c r="M50" s="2">
        <f>92436+30000+163025</f>
        <v>285461</v>
      </c>
      <c r="N50" s="1" t="s">
        <v>25</v>
      </c>
      <c r="O50" s="15">
        <f>Tabla210[[#This Row],[MONTO DE LA VENTA]]-Tabla210[[#This Row],[MONTO DE COMPRA]]</f>
        <v>89024.239999999991</v>
      </c>
    </row>
    <row r="51" spans="1:15" ht="15" customHeight="1" x14ac:dyDescent="0.25">
      <c r="A51" s="9">
        <v>44568</v>
      </c>
      <c r="B51" s="4" t="s">
        <v>176</v>
      </c>
      <c r="C51" s="4"/>
      <c r="D51" s="1" t="s">
        <v>194</v>
      </c>
      <c r="E51" s="4" t="s">
        <v>177</v>
      </c>
      <c r="F51" s="1" t="s">
        <v>19</v>
      </c>
      <c r="G51" s="10" t="s">
        <v>94</v>
      </c>
      <c r="H51" s="2">
        <v>30000</v>
      </c>
      <c r="I51" s="2">
        <f>Tabla210[[#This Row],[TOTAL FACTURA]]*0.6</f>
        <v>18000</v>
      </c>
      <c r="J51" s="2">
        <f>Tabla210[[#This Row],[TOTAL FACTURA]]*0.4</f>
        <v>12000</v>
      </c>
      <c r="K51" s="1" t="s">
        <v>178</v>
      </c>
      <c r="L51" s="2">
        <f>27731+78150</f>
        <v>105881</v>
      </c>
      <c r="M51" s="2">
        <v>151260</v>
      </c>
      <c r="N51" s="1" t="s">
        <v>25</v>
      </c>
      <c r="O51" s="15">
        <f>Tabla210[[#This Row],[MONTO DE LA VENTA]]-Tabla210[[#This Row],[MONTO DE COMPRA]]</f>
        <v>45379</v>
      </c>
    </row>
    <row r="52" spans="1:15" ht="15" customHeight="1" x14ac:dyDescent="0.25">
      <c r="A52" s="9">
        <v>44568</v>
      </c>
      <c r="C52" s="4"/>
      <c r="D52" s="1" t="s">
        <v>122</v>
      </c>
      <c r="E52" s="4" t="s">
        <v>195</v>
      </c>
      <c r="F52" s="1" t="s">
        <v>30</v>
      </c>
      <c r="G52" s="10" t="s">
        <v>196</v>
      </c>
      <c r="H52" s="2">
        <v>300000</v>
      </c>
      <c r="I52" s="2">
        <f>Tabla210[[#This Row],[TOTAL FACTURA]]*0.6</f>
        <v>180000</v>
      </c>
      <c r="J52" s="2">
        <f>Tabla210[[#This Row],[TOTAL FACTURA]]*0.4</f>
        <v>120000</v>
      </c>
      <c r="L52" s="2"/>
      <c r="M52" s="2"/>
      <c r="N52" s="1" t="s">
        <v>25</v>
      </c>
      <c r="O52" s="15">
        <f>Tabla210[[#This Row],[MONTO DE LA VENTA]]-Tabla210[[#This Row],[MONTO DE COMPRA]]</f>
        <v>0</v>
      </c>
    </row>
    <row r="53" spans="1:15" ht="15" customHeight="1" x14ac:dyDescent="0.25">
      <c r="A53" s="9">
        <v>44568</v>
      </c>
      <c r="C53" s="4"/>
      <c r="D53" s="1" t="s">
        <v>201</v>
      </c>
      <c r="E53" s="4"/>
      <c r="F53" s="1" t="s">
        <v>10</v>
      </c>
      <c r="G53" s="1" t="s">
        <v>12</v>
      </c>
      <c r="H53" s="2">
        <v>1600000</v>
      </c>
      <c r="I53" s="2">
        <f>Tabla210[[#This Row],[TOTAL FACTURA]]*0.6</f>
        <v>960000</v>
      </c>
      <c r="J53" s="2">
        <f>Tabla210[[#This Row],[TOTAL FACTURA]]*0.4</f>
        <v>640000</v>
      </c>
      <c r="L53" s="2"/>
      <c r="M53" s="2"/>
      <c r="N53" s="1" t="s">
        <v>25</v>
      </c>
      <c r="O53" s="15">
        <f>Tabla210[[#This Row],[MONTO DE LA VENTA]]-Tabla210[[#This Row],[MONTO DE COMPRA]]</f>
        <v>0</v>
      </c>
    </row>
    <row r="54" spans="1:15" ht="15" customHeight="1" x14ac:dyDescent="0.25">
      <c r="A54" s="9">
        <v>44569</v>
      </c>
      <c r="B54" s="4" t="s">
        <v>198</v>
      </c>
      <c r="C54" s="4"/>
      <c r="D54" s="1" t="s">
        <v>200</v>
      </c>
      <c r="E54" s="4" t="s">
        <v>199</v>
      </c>
      <c r="F54" s="1" t="s">
        <v>16</v>
      </c>
      <c r="G54" s="1" t="s">
        <v>197</v>
      </c>
      <c r="H54" s="2">
        <v>40000</v>
      </c>
      <c r="I54" s="2">
        <f>Tabla210[[#This Row],[TOTAL FACTURA]]*0.6</f>
        <v>24000</v>
      </c>
      <c r="J54" s="2">
        <f>Tabla210[[#This Row],[TOTAL FACTURA]]*0.4</f>
        <v>16000</v>
      </c>
      <c r="L54" s="2"/>
      <c r="M54" s="2"/>
      <c r="N54" s="1" t="s">
        <v>25</v>
      </c>
      <c r="O54" s="15">
        <f>Tabla210[[#This Row],[MONTO DE LA VENTA]]-Tabla210[[#This Row],[MONTO DE COMPRA]]</f>
        <v>0</v>
      </c>
    </row>
    <row r="55" spans="1:15" ht="15" customHeight="1" x14ac:dyDescent="0.25">
      <c r="A55" s="9">
        <v>44569</v>
      </c>
      <c r="B55" s="4" t="s">
        <v>283</v>
      </c>
      <c r="C55" s="4"/>
      <c r="D55" s="1" t="s">
        <v>28</v>
      </c>
      <c r="E55" s="4" t="s">
        <v>284</v>
      </c>
      <c r="F55" s="1" t="s">
        <v>19</v>
      </c>
      <c r="G55" s="1" t="s">
        <v>20</v>
      </c>
      <c r="H55" s="15">
        <v>60000</v>
      </c>
      <c r="I55" s="15">
        <f>Tabla210[[#This Row],[TOTAL FACTURA]]*0.6</f>
        <v>36000</v>
      </c>
      <c r="J55" s="39">
        <f>Tabla210[[#This Row],[TOTAL FACTURA]]*0.4</f>
        <v>24000</v>
      </c>
      <c r="L55" s="15"/>
      <c r="M55" s="15">
        <v>150000</v>
      </c>
      <c r="N55" s="1" t="s">
        <v>25</v>
      </c>
      <c r="O55" s="15">
        <f>Tabla210[[#This Row],[MONTO DE LA VENTA]]-Tabla210[[#This Row],[MONTO DE COMPRA]]</f>
        <v>150000</v>
      </c>
    </row>
    <row r="56" spans="1:15" ht="15" customHeight="1" x14ac:dyDescent="0.25">
      <c r="A56" s="9">
        <v>44569</v>
      </c>
      <c r="B56" s="4" t="s">
        <v>203</v>
      </c>
      <c r="C56" s="4"/>
      <c r="D56" s="1" t="s">
        <v>204</v>
      </c>
      <c r="E56" s="4" t="s">
        <v>205</v>
      </c>
      <c r="F56" s="1" t="s">
        <v>30</v>
      </c>
      <c r="G56" s="1" t="s">
        <v>206</v>
      </c>
      <c r="H56" s="2">
        <v>50000</v>
      </c>
      <c r="I56" s="2">
        <f>Tabla210[[#This Row],[TOTAL FACTURA]]*0.6</f>
        <v>30000</v>
      </c>
      <c r="J56" s="2">
        <f>Tabla210[[#This Row],[TOTAL FACTURA]]*0.4</f>
        <v>20000</v>
      </c>
      <c r="K56" s="2"/>
      <c r="L56" s="2"/>
      <c r="M56" s="2"/>
      <c r="N56" s="1" t="s">
        <v>25</v>
      </c>
      <c r="O56" s="15">
        <f>Tabla210[[#This Row],[MONTO DE LA VENTA]]-Tabla210[[#This Row],[MONTO DE COMPRA]]</f>
        <v>0</v>
      </c>
    </row>
    <row r="57" spans="1:15" x14ac:dyDescent="0.25">
      <c r="A57" s="9">
        <v>44569</v>
      </c>
      <c r="B57" s="4" t="s">
        <v>207</v>
      </c>
      <c r="C57" s="4"/>
      <c r="D57" s="1" t="s">
        <v>208</v>
      </c>
      <c r="E57" s="4" t="s">
        <v>209</v>
      </c>
      <c r="F57" s="1" t="s">
        <v>19</v>
      </c>
      <c r="G57" s="10" t="s">
        <v>206</v>
      </c>
      <c r="H57" s="15">
        <v>80000</v>
      </c>
      <c r="I57" s="15">
        <f>Tabla210[[#This Row],[TOTAL FACTURA]]*0.6</f>
        <v>48000</v>
      </c>
      <c r="J57" s="15">
        <f>Tabla210[[#This Row],[TOTAL FACTURA]]*0.4</f>
        <v>32000</v>
      </c>
      <c r="K57" s="1" t="s">
        <v>210</v>
      </c>
      <c r="L57" s="15"/>
      <c r="M57" s="15">
        <v>60000</v>
      </c>
      <c r="N57" s="1" t="s">
        <v>25</v>
      </c>
      <c r="O57" s="15">
        <f>Tabla210[[#This Row],[MONTO DE LA VENTA]]-Tabla210[[#This Row],[MONTO DE COMPRA]]</f>
        <v>60000</v>
      </c>
    </row>
    <row r="58" spans="1:15" x14ac:dyDescent="0.25">
      <c r="A58" s="9">
        <v>44569</v>
      </c>
      <c r="C58" s="4"/>
      <c r="D58" s="1" t="s">
        <v>23</v>
      </c>
      <c r="E58" s="4" t="s">
        <v>99</v>
      </c>
      <c r="F58" s="1" t="s">
        <v>19</v>
      </c>
      <c r="G58" s="1" t="s">
        <v>211</v>
      </c>
      <c r="H58" s="15">
        <v>50000</v>
      </c>
      <c r="I58" s="15">
        <f>Tabla210[[#This Row],[TOTAL FACTURA]]*0.6</f>
        <v>30000</v>
      </c>
      <c r="J58" s="15">
        <f>Tabla210[[#This Row],[TOTAL FACTURA]]*0.4</f>
        <v>20000</v>
      </c>
      <c r="K58" s="1" t="s">
        <v>217</v>
      </c>
      <c r="L58" s="15">
        <v>112000</v>
      </c>
      <c r="M58" s="15"/>
      <c r="N58" s="1" t="s">
        <v>25</v>
      </c>
      <c r="O58" s="15">
        <v>112000</v>
      </c>
    </row>
    <row r="59" spans="1:15" ht="15.75" customHeight="1" x14ac:dyDescent="0.25">
      <c r="A59" s="9">
        <v>44569</v>
      </c>
      <c r="C59" s="4"/>
      <c r="D59" s="1" t="s">
        <v>23</v>
      </c>
      <c r="E59" s="4" t="s">
        <v>99</v>
      </c>
      <c r="F59" s="1" t="s">
        <v>16</v>
      </c>
      <c r="G59" s="1" t="s">
        <v>212</v>
      </c>
      <c r="H59" s="2">
        <v>100000</v>
      </c>
      <c r="I59" s="2">
        <f>Tabla210[[#This Row],[TOTAL FACTURA]]*0.6</f>
        <v>60000</v>
      </c>
      <c r="J59" s="2">
        <f>Tabla210[[#This Row],[TOTAL FACTURA]]*0.4</f>
        <v>40000</v>
      </c>
      <c r="K59" s="1" t="s">
        <v>108</v>
      </c>
      <c r="L59" s="2"/>
      <c r="M59" s="2">
        <v>380000</v>
      </c>
      <c r="N59" s="1" t="s">
        <v>25</v>
      </c>
      <c r="O59" s="15">
        <f>Tabla210[[#This Row],[MONTO DE LA VENTA]]-Tabla210[[#This Row],[MONTO DE COMPRA]]</f>
        <v>380000</v>
      </c>
    </row>
    <row r="60" spans="1:15" ht="14.25" customHeight="1" x14ac:dyDescent="0.25">
      <c r="A60" s="9">
        <v>44569</v>
      </c>
      <c r="B60" s="4" t="s">
        <v>213</v>
      </c>
      <c r="C60" s="4"/>
      <c r="E60" s="4"/>
      <c r="F60" s="1" t="s">
        <v>16</v>
      </c>
      <c r="G60" s="1" t="s">
        <v>214</v>
      </c>
      <c r="H60" s="2">
        <v>80000</v>
      </c>
      <c r="I60" s="2">
        <f>Tabla210[[#This Row],[TOTAL FACTURA]]*0.6</f>
        <v>48000</v>
      </c>
      <c r="J60" s="2">
        <f>Tabla210[[#This Row],[TOTAL FACTURA]]*0.4</f>
        <v>32000</v>
      </c>
      <c r="K60" s="2"/>
      <c r="L60" s="2"/>
      <c r="M60" s="2"/>
      <c r="N60" s="1" t="s">
        <v>25</v>
      </c>
      <c r="O60" s="15">
        <f>Tabla210[[#This Row],[MONTO DE LA VENTA]]-Tabla210[[#This Row],[MONTO DE COMPRA]]</f>
        <v>0</v>
      </c>
    </row>
    <row r="61" spans="1:15" x14ac:dyDescent="0.25">
      <c r="A61" s="9">
        <v>44569</v>
      </c>
      <c r="C61" s="4"/>
      <c r="D61" s="1" t="s">
        <v>54</v>
      </c>
      <c r="E61" s="4" t="s">
        <v>148</v>
      </c>
      <c r="F61" s="1" t="s">
        <v>16</v>
      </c>
      <c r="G61" s="1" t="s">
        <v>98</v>
      </c>
      <c r="H61" s="2">
        <v>80000</v>
      </c>
      <c r="I61" s="2">
        <f>Tabla210[[#This Row],[TOTAL FACTURA]]*0.6</f>
        <v>48000</v>
      </c>
      <c r="J61" s="2">
        <f>Tabla210[[#This Row],[TOTAL FACTURA]]*0.4</f>
        <v>32000</v>
      </c>
      <c r="K61" s="2" t="s">
        <v>216</v>
      </c>
      <c r="L61" s="2"/>
      <c r="M61" s="2">
        <f>4000+22000+2000+6000</f>
        <v>34000</v>
      </c>
      <c r="N61" s="1" t="s">
        <v>25</v>
      </c>
      <c r="O61" s="15">
        <f>Tabla210[[#This Row],[MONTO DE LA VENTA]]-Tabla210[[#This Row],[MONTO DE COMPRA]]</f>
        <v>34000</v>
      </c>
    </row>
    <row r="62" spans="1:15" x14ac:dyDescent="0.25">
      <c r="A62" s="9">
        <v>44569</v>
      </c>
      <c r="C62" s="4"/>
      <c r="D62" s="1" t="s">
        <v>54</v>
      </c>
      <c r="E62" s="4" t="s">
        <v>215</v>
      </c>
      <c r="F62" s="1" t="s">
        <v>16</v>
      </c>
      <c r="G62" s="1" t="s">
        <v>197</v>
      </c>
      <c r="H62" s="2">
        <v>50000</v>
      </c>
      <c r="I62" s="2">
        <f>Tabla210[[#This Row],[TOTAL FACTURA]]*0.6</f>
        <v>30000</v>
      </c>
      <c r="J62" s="2">
        <f>Tabla210[[#This Row],[TOTAL FACTURA]]*0.4</f>
        <v>20000</v>
      </c>
      <c r="K62" s="2"/>
      <c r="L62" s="2"/>
      <c r="M62" s="2"/>
      <c r="N62" s="1" t="s">
        <v>25</v>
      </c>
      <c r="O62" s="15">
        <f>Tabla210[[#This Row],[MONTO DE LA VENTA]]-Tabla210[[#This Row],[MONTO DE COMPRA]]</f>
        <v>0</v>
      </c>
    </row>
    <row r="63" spans="1:15" x14ac:dyDescent="0.25">
      <c r="A63" s="9">
        <v>44569</v>
      </c>
      <c r="C63" s="4"/>
      <c r="D63" s="1" t="s">
        <v>287</v>
      </c>
      <c r="E63" s="4"/>
      <c r="F63" s="1" t="s">
        <v>19</v>
      </c>
      <c r="G63" s="1" t="s">
        <v>288</v>
      </c>
      <c r="H63" s="2">
        <v>20000</v>
      </c>
      <c r="I63" s="2">
        <f>Tabla210[[#This Row],[TOTAL FACTURA]]*0.6</f>
        <v>12000</v>
      </c>
      <c r="J63" s="38">
        <f>Tabla210[[#This Row],[TOTAL FACTURA]]*0.4</f>
        <v>8000</v>
      </c>
      <c r="K63" s="2"/>
      <c r="L63" s="2"/>
      <c r="M63" s="2"/>
      <c r="N63" s="1" t="s">
        <v>25</v>
      </c>
      <c r="O63" s="15">
        <f>Tabla210[[#This Row],[MONTO DE LA VENTA]]-Tabla210[[#This Row],[MONTO DE COMPRA]]</f>
        <v>0</v>
      </c>
    </row>
    <row r="64" spans="1:15" ht="15" customHeight="1" x14ac:dyDescent="0.25">
      <c r="A64" s="9">
        <v>44569</v>
      </c>
      <c r="B64" s="4" t="s">
        <v>129</v>
      </c>
      <c r="C64" s="4"/>
      <c r="D64" s="1" t="s">
        <v>202</v>
      </c>
      <c r="E64" s="4" t="s">
        <v>125</v>
      </c>
      <c r="F64" s="1" t="s">
        <v>16</v>
      </c>
      <c r="G64" s="1" t="s">
        <v>98</v>
      </c>
      <c r="H64" s="15">
        <v>100000</v>
      </c>
      <c r="I64" s="15">
        <v>100000</v>
      </c>
      <c r="J64" s="15">
        <f>Tabla210[[#This Row],[TOTAL FACTURA]]*0.4</f>
        <v>40000</v>
      </c>
      <c r="L64" s="15"/>
      <c r="M64" s="15"/>
      <c r="N64" s="1" t="s">
        <v>25</v>
      </c>
      <c r="O64" s="15">
        <f>Tabla210[[#This Row],[MONTO DE LA VENTA]]-Tabla210[[#This Row],[MONTO DE COMPRA]]</f>
        <v>0</v>
      </c>
    </row>
    <row r="65" spans="1:15" x14ac:dyDescent="0.25">
      <c r="A65" s="9">
        <v>44572</v>
      </c>
      <c r="B65" s="4">
        <v>32</v>
      </c>
      <c r="C65" s="4"/>
      <c r="D65" s="1" t="s">
        <v>218</v>
      </c>
      <c r="E65" s="4" t="s">
        <v>219</v>
      </c>
      <c r="F65" s="1" t="s">
        <v>10</v>
      </c>
      <c r="G65" s="1" t="s">
        <v>220</v>
      </c>
      <c r="H65" s="2">
        <v>150000</v>
      </c>
      <c r="I65" s="2">
        <f>Tabla210[[#This Row],[TOTAL FACTURA]]*0.6</f>
        <v>90000</v>
      </c>
      <c r="J65" s="2">
        <f>Tabla210[[#This Row],[TOTAL FACTURA]]*0.4</f>
        <v>60000</v>
      </c>
      <c r="K65" s="2" t="s">
        <v>221</v>
      </c>
      <c r="L65" s="2">
        <v>434000</v>
      </c>
      <c r="M65" s="2">
        <v>541500</v>
      </c>
      <c r="N65" s="1" t="s">
        <v>25</v>
      </c>
      <c r="O65" s="15">
        <f>Tabla210[[#This Row],[MONTO DE LA VENTA]]-Tabla210[[#This Row],[MONTO DE COMPRA]]</f>
        <v>107500</v>
      </c>
    </row>
    <row r="66" spans="1:15" x14ac:dyDescent="0.25">
      <c r="A66" s="9">
        <v>44572</v>
      </c>
      <c r="C66" s="4"/>
      <c r="D66" s="1" t="s">
        <v>222</v>
      </c>
      <c r="E66" s="4" t="s">
        <v>223</v>
      </c>
      <c r="F66" s="1" t="s">
        <v>19</v>
      </c>
      <c r="G66" s="1" t="s">
        <v>21</v>
      </c>
      <c r="H66" s="15">
        <v>10000</v>
      </c>
      <c r="I66" s="15">
        <f>Tabla210[[#This Row],[TOTAL FACTURA]]*0.6</f>
        <v>6000</v>
      </c>
      <c r="J66" s="15">
        <f>Tabla210[[#This Row],[TOTAL FACTURA]]*0.4</f>
        <v>4000</v>
      </c>
      <c r="L66" s="15"/>
      <c r="M66" s="15"/>
      <c r="N66" s="1" t="s">
        <v>25</v>
      </c>
      <c r="O66" s="15">
        <f>Tabla210[[#This Row],[MONTO DE LA VENTA]]-Tabla210[[#This Row],[MONTO DE COMPRA]]</f>
        <v>0</v>
      </c>
    </row>
    <row r="67" spans="1:15" x14ac:dyDescent="0.25">
      <c r="A67" s="9">
        <v>44572</v>
      </c>
      <c r="B67" s="4">
        <v>33</v>
      </c>
      <c r="C67" s="4"/>
      <c r="D67" s="1" t="s">
        <v>224</v>
      </c>
      <c r="E67" s="4" t="s">
        <v>225</v>
      </c>
      <c r="F67" s="1" t="s">
        <v>30</v>
      </c>
      <c r="G67" s="1" t="s">
        <v>226</v>
      </c>
      <c r="H67" s="2">
        <v>200000</v>
      </c>
      <c r="I67" s="2">
        <f>Tabla210[[#This Row],[TOTAL FACTURA]]*0.6</f>
        <v>120000</v>
      </c>
      <c r="J67" s="2">
        <f>Tabla210[[#This Row],[TOTAL FACTURA]]*0.4</f>
        <v>80000</v>
      </c>
      <c r="K67" s="1" t="s">
        <v>226</v>
      </c>
      <c r="L67" s="2"/>
      <c r="M67" s="2">
        <v>392352.79</v>
      </c>
      <c r="N67" s="1" t="s">
        <v>25</v>
      </c>
      <c r="O67" s="15">
        <f>Tabla210[[#This Row],[MONTO DE LA VENTA]]-Tabla210[[#This Row],[MONTO DE COMPRA]]</f>
        <v>392352.79</v>
      </c>
    </row>
    <row r="68" spans="1:15" x14ac:dyDescent="0.25">
      <c r="A68" s="9">
        <v>44572</v>
      </c>
      <c r="C68" s="4"/>
      <c r="D68" s="1" t="s">
        <v>227</v>
      </c>
      <c r="E68" s="4" t="s">
        <v>228</v>
      </c>
      <c r="F68" s="1" t="s">
        <v>19</v>
      </c>
      <c r="G68" s="1" t="s">
        <v>229</v>
      </c>
      <c r="H68" s="15">
        <v>50000</v>
      </c>
      <c r="I68" s="15">
        <f>Tabla210[[#This Row],[TOTAL FACTURA]]*0.6</f>
        <v>30000</v>
      </c>
      <c r="J68" s="15">
        <f>Tabla210[[#This Row],[TOTAL FACTURA]]*0.4</f>
        <v>20000</v>
      </c>
      <c r="K68" s="1" t="s">
        <v>230</v>
      </c>
      <c r="L68" s="15">
        <v>30000</v>
      </c>
      <c r="M68" s="15">
        <v>30000</v>
      </c>
      <c r="N68" s="1" t="s">
        <v>25</v>
      </c>
      <c r="O68" s="15">
        <f>Tabla210[[#This Row],[MONTO DE LA VENTA]]-Tabla210[[#This Row],[MONTO DE COMPRA]]</f>
        <v>0</v>
      </c>
    </row>
    <row r="69" spans="1:15" x14ac:dyDescent="0.25">
      <c r="A69" s="9">
        <v>44572</v>
      </c>
      <c r="B69" s="4">
        <v>378</v>
      </c>
      <c r="C69" s="4"/>
      <c r="D69" s="1" t="s">
        <v>231</v>
      </c>
      <c r="E69" s="4" t="s">
        <v>232</v>
      </c>
      <c r="F69" s="1" t="s">
        <v>30</v>
      </c>
      <c r="G69" s="1" t="s">
        <v>233</v>
      </c>
      <c r="H69" s="15">
        <v>40000</v>
      </c>
      <c r="I69" s="15">
        <f>Tabla210[[#This Row],[TOTAL FACTURA]]*0.6</f>
        <v>24000</v>
      </c>
      <c r="J69" s="15">
        <f>Tabla210[[#This Row],[TOTAL FACTURA]]*0.4</f>
        <v>16000</v>
      </c>
      <c r="K69" s="1" t="s">
        <v>234</v>
      </c>
      <c r="L69" s="15"/>
      <c r="M69" s="15">
        <v>280000</v>
      </c>
      <c r="N69" s="1" t="s">
        <v>25</v>
      </c>
      <c r="O69" s="15">
        <f>Tabla210[[#This Row],[MONTO DE LA VENTA]]-Tabla210[[#This Row],[MONTO DE COMPRA]]</f>
        <v>280000</v>
      </c>
    </row>
    <row r="70" spans="1:15" x14ac:dyDescent="0.25">
      <c r="A70" s="9">
        <v>44572</v>
      </c>
      <c r="C70" s="4"/>
      <c r="D70" s="1" t="s">
        <v>235</v>
      </c>
      <c r="E70" s="4" t="s">
        <v>236</v>
      </c>
      <c r="F70" s="1" t="s">
        <v>19</v>
      </c>
      <c r="G70" s="10" t="s">
        <v>237</v>
      </c>
      <c r="H70" s="15">
        <v>50000</v>
      </c>
      <c r="I70" s="15">
        <f>Tabla210[[#This Row],[TOTAL FACTURA]]*0.6</f>
        <v>30000</v>
      </c>
      <c r="J70" s="15">
        <f>Tabla210[[#This Row],[TOTAL FACTURA]]*0.4</f>
        <v>20000</v>
      </c>
      <c r="K70" s="1" t="s">
        <v>238</v>
      </c>
      <c r="L70" s="15"/>
      <c r="M70" s="15">
        <v>45000</v>
      </c>
      <c r="N70" s="1" t="s">
        <v>25</v>
      </c>
      <c r="O70" s="15">
        <f>Tabla210[[#This Row],[MONTO DE LA VENTA]]-Tabla210[[#This Row],[MONTO DE COMPRA]]</f>
        <v>45000</v>
      </c>
    </row>
    <row r="71" spans="1:15" x14ac:dyDescent="0.25">
      <c r="A71" s="9">
        <v>44572</v>
      </c>
      <c r="C71" s="4"/>
      <c r="D71" s="1" t="s">
        <v>239</v>
      </c>
      <c r="E71" s="4" t="s">
        <v>240</v>
      </c>
      <c r="F71" s="1" t="s">
        <v>30</v>
      </c>
      <c r="G71" s="1" t="s">
        <v>21</v>
      </c>
      <c r="H71" s="2">
        <v>10000</v>
      </c>
      <c r="I71" s="2">
        <f>Tabla210[[#This Row],[TOTAL FACTURA]]*0.6</f>
        <v>6000</v>
      </c>
      <c r="J71" s="2">
        <f>Tabla210[[#This Row],[TOTAL FACTURA]]*0.4</f>
        <v>4000</v>
      </c>
      <c r="L71" s="2"/>
      <c r="M71" s="2"/>
      <c r="N71" s="1" t="s">
        <v>25</v>
      </c>
      <c r="O71" s="15">
        <f>Tabla210[[#This Row],[MONTO DE LA VENTA]]-Tabla210[[#This Row],[MONTO DE COMPRA]]</f>
        <v>0</v>
      </c>
    </row>
    <row r="72" spans="1:15" x14ac:dyDescent="0.25">
      <c r="A72" s="9">
        <v>44573</v>
      </c>
      <c r="C72" s="4"/>
      <c r="D72" s="1" t="s">
        <v>200</v>
      </c>
      <c r="E72" s="4" t="s">
        <v>199</v>
      </c>
      <c r="F72" s="1" t="s">
        <v>16</v>
      </c>
      <c r="G72" s="1" t="s">
        <v>128</v>
      </c>
      <c r="H72" s="2">
        <v>20000</v>
      </c>
      <c r="I72" s="2">
        <f>Tabla210[[#This Row],[TOTAL FACTURA]]*0.6</f>
        <v>12000</v>
      </c>
      <c r="J72" s="2">
        <f>Tabla210[[#This Row],[TOTAL FACTURA]]*0.4</f>
        <v>8000</v>
      </c>
      <c r="L72" s="2"/>
      <c r="M72" s="2"/>
      <c r="N72" s="1" t="s">
        <v>25</v>
      </c>
      <c r="O72" s="15">
        <f>Tabla210[[#This Row],[MONTO DE LA VENTA]]-Tabla210[[#This Row],[MONTO DE COMPRA]]</f>
        <v>0</v>
      </c>
    </row>
    <row r="73" spans="1:15" x14ac:dyDescent="0.25">
      <c r="A73" s="9">
        <v>44573</v>
      </c>
      <c r="B73" s="4" t="s">
        <v>241</v>
      </c>
      <c r="C73" s="4"/>
      <c r="D73" s="1" t="s">
        <v>242</v>
      </c>
      <c r="E73" s="4" t="s">
        <v>243</v>
      </c>
      <c r="F73" s="1" t="s">
        <v>30</v>
      </c>
      <c r="G73" s="1" t="s">
        <v>244</v>
      </c>
      <c r="H73" s="2">
        <v>160000</v>
      </c>
      <c r="I73" s="2">
        <f>Tabla210[[#This Row],[TOTAL FACTURA]]*0.6</f>
        <v>96000</v>
      </c>
      <c r="J73" s="2">
        <f>Tabla210[[#This Row],[TOTAL FACTURA]]*0.4</f>
        <v>64000</v>
      </c>
      <c r="K73" s="1" t="s">
        <v>245</v>
      </c>
      <c r="L73" s="2">
        <f>35000+6000</f>
        <v>41000</v>
      </c>
      <c r="M73" s="2">
        <v>58000</v>
      </c>
      <c r="N73" s="1" t="s">
        <v>25</v>
      </c>
      <c r="O73" s="15">
        <f>Tabla210[[#This Row],[MONTO DE LA VENTA]]-Tabla210[[#This Row],[MONTO DE COMPRA]]</f>
        <v>17000</v>
      </c>
    </row>
    <row r="74" spans="1:15" x14ac:dyDescent="0.25">
      <c r="A74" s="9">
        <v>44573</v>
      </c>
      <c r="B74" s="4" t="s">
        <v>246</v>
      </c>
      <c r="C74" s="4"/>
      <c r="D74" s="1" t="s">
        <v>247</v>
      </c>
      <c r="E74" s="4" t="s">
        <v>248</v>
      </c>
      <c r="F74" s="1" t="s">
        <v>10</v>
      </c>
      <c r="G74" s="1" t="s">
        <v>249</v>
      </c>
      <c r="H74" s="2">
        <v>100000</v>
      </c>
      <c r="I74" s="2">
        <f>Tabla210[[#This Row],[TOTAL FACTURA]]*0.6</f>
        <v>60000</v>
      </c>
      <c r="J74" s="2">
        <f>Tabla210[[#This Row],[TOTAL FACTURA]]*0.4</f>
        <v>40000</v>
      </c>
      <c r="K74" s="1" t="s">
        <v>252</v>
      </c>
      <c r="L74" s="2">
        <f>120000+6000+26600</f>
        <v>152600</v>
      </c>
      <c r="M74" s="2">
        <v>195000</v>
      </c>
      <c r="N74" s="1" t="s">
        <v>25</v>
      </c>
      <c r="O74" s="15">
        <f>Tabla210[[#This Row],[MONTO DE LA VENTA]]-Tabla210[[#This Row],[MONTO DE COMPRA]]</f>
        <v>42400</v>
      </c>
    </row>
    <row r="75" spans="1:15" x14ac:dyDescent="0.25">
      <c r="A75" s="9">
        <v>44573</v>
      </c>
      <c r="B75" s="4" t="s">
        <v>246</v>
      </c>
      <c r="C75" s="4"/>
      <c r="D75" s="1" t="s">
        <v>247</v>
      </c>
      <c r="E75" s="4" t="s">
        <v>248</v>
      </c>
      <c r="F75" s="1" t="s">
        <v>16</v>
      </c>
      <c r="G75" s="1" t="s">
        <v>250</v>
      </c>
      <c r="H75" s="2">
        <v>20000</v>
      </c>
      <c r="I75" s="2">
        <f>Tabla210[[#This Row],[TOTAL FACTURA]]*0.6</f>
        <v>12000</v>
      </c>
      <c r="J75" s="2">
        <f>Tabla210[[#This Row],[TOTAL FACTURA]]*0.4</f>
        <v>8000</v>
      </c>
      <c r="K75" s="1" t="s">
        <v>251</v>
      </c>
      <c r="L75" s="2"/>
      <c r="M75" s="2">
        <v>45000</v>
      </c>
      <c r="N75" s="1" t="s">
        <v>25</v>
      </c>
      <c r="O75" s="15">
        <f>Tabla210[[#This Row],[MONTO DE LA VENTA]]-Tabla210[[#This Row],[MONTO DE COMPRA]]</f>
        <v>45000</v>
      </c>
    </row>
    <row r="76" spans="1:15" x14ac:dyDescent="0.25">
      <c r="A76" s="9">
        <v>44573</v>
      </c>
      <c r="B76" s="4" t="s">
        <v>253</v>
      </c>
      <c r="C76" s="4"/>
      <c r="D76" s="1" t="s">
        <v>285</v>
      </c>
      <c r="E76" s="4" t="s">
        <v>254</v>
      </c>
      <c r="F76" s="1" t="s">
        <v>19</v>
      </c>
      <c r="G76" s="1" t="s">
        <v>255</v>
      </c>
      <c r="H76" s="15">
        <v>25000</v>
      </c>
      <c r="I76" s="15">
        <f>Tabla210[[#This Row],[TOTAL FACTURA]]*0.6</f>
        <v>15000</v>
      </c>
      <c r="J76" s="15">
        <f>Tabla210[[#This Row],[TOTAL FACTURA]]*0.4</f>
        <v>10000</v>
      </c>
      <c r="K76" s="1" t="s">
        <v>256</v>
      </c>
      <c r="L76" s="15"/>
      <c r="M76" s="15">
        <v>25000</v>
      </c>
      <c r="N76" s="1" t="s">
        <v>25</v>
      </c>
      <c r="O76" s="15">
        <f>Tabla210[[#This Row],[MONTO DE LA VENTA]]-Tabla210[[#This Row],[MONTO DE COMPRA]]</f>
        <v>25000</v>
      </c>
    </row>
    <row r="77" spans="1:15" x14ac:dyDescent="0.25">
      <c r="A77" s="9">
        <v>44573</v>
      </c>
      <c r="C77" s="4"/>
      <c r="D77" s="1" t="s">
        <v>257</v>
      </c>
      <c r="E77" s="4"/>
      <c r="F77" s="1" t="s">
        <v>18</v>
      </c>
      <c r="G77" s="1" t="s">
        <v>258</v>
      </c>
      <c r="H77" s="2">
        <f>200000-52000</f>
        <v>148000</v>
      </c>
      <c r="I77" s="2">
        <f>Tabla210[[#This Row],[TOTAL FACTURA]]*0.6</f>
        <v>88800</v>
      </c>
      <c r="J77" s="2">
        <f>Tabla210[[#This Row],[TOTAL FACTURA]]*0.4</f>
        <v>59200</v>
      </c>
      <c r="L77" s="2"/>
      <c r="M77" s="2"/>
      <c r="N77" s="1" t="s">
        <v>25</v>
      </c>
      <c r="O77" s="15">
        <f>Tabla210[[#This Row],[MONTO DE LA VENTA]]-Tabla210[[#This Row],[MONTO DE COMPRA]]</f>
        <v>0</v>
      </c>
    </row>
    <row r="78" spans="1:15" ht="14.25" customHeight="1" x14ac:dyDescent="0.25">
      <c r="A78" s="9">
        <v>44574</v>
      </c>
      <c r="C78" s="4"/>
      <c r="D78" s="1" t="s">
        <v>260</v>
      </c>
      <c r="E78" s="4" t="s">
        <v>261</v>
      </c>
      <c r="F78" s="1" t="s">
        <v>19</v>
      </c>
      <c r="G78" s="1" t="s">
        <v>262</v>
      </c>
      <c r="H78" s="15">
        <v>80000</v>
      </c>
      <c r="I78" s="15">
        <f>Tabla210[[#This Row],[TOTAL FACTURA]]*0.6</f>
        <v>48000</v>
      </c>
      <c r="J78" s="15">
        <f>Tabla210[[#This Row],[TOTAL FACTURA]]*0.4</f>
        <v>32000</v>
      </c>
      <c r="L78" s="15"/>
      <c r="M78" s="15"/>
      <c r="N78" s="1" t="s">
        <v>25</v>
      </c>
      <c r="O78" s="15">
        <f>Tabla210[[#This Row],[MONTO DE LA VENTA]]-Tabla210[[#This Row],[MONTO DE COMPRA]]</f>
        <v>0</v>
      </c>
    </row>
    <row r="79" spans="1:15" x14ac:dyDescent="0.25">
      <c r="A79" s="9">
        <v>44574</v>
      </c>
      <c r="B79" s="4" t="s">
        <v>259</v>
      </c>
      <c r="C79" s="4"/>
      <c r="D79" s="1" t="s">
        <v>48</v>
      </c>
      <c r="E79" s="4" t="s">
        <v>263</v>
      </c>
      <c r="F79" s="1" t="s">
        <v>30</v>
      </c>
      <c r="G79" s="1" t="s">
        <v>264</v>
      </c>
      <c r="H79" s="2">
        <v>170000</v>
      </c>
      <c r="I79" s="2">
        <f>Tabla210[[#This Row],[TOTAL FACTURA]]*0.6</f>
        <v>102000</v>
      </c>
      <c r="J79" s="2">
        <f>Tabla210[[#This Row],[TOTAL FACTURA]]*0.4</f>
        <v>68000</v>
      </c>
      <c r="K79" s="1" t="s">
        <v>265</v>
      </c>
      <c r="L79" s="2">
        <v>170000</v>
      </c>
      <c r="M79" s="2">
        <v>196000</v>
      </c>
      <c r="N79" s="1" t="s">
        <v>25</v>
      </c>
      <c r="O79" s="15">
        <f>Tabla210[[#This Row],[MONTO DE LA VENTA]]-Tabla210[[#This Row],[MONTO DE COMPRA]]</f>
        <v>26000</v>
      </c>
    </row>
    <row r="80" spans="1:15" x14ac:dyDescent="0.25">
      <c r="A80" s="9">
        <v>44574</v>
      </c>
      <c r="C80" s="4"/>
      <c r="D80" s="1" t="s">
        <v>59</v>
      </c>
      <c r="E80" s="4" t="s">
        <v>266</v>
      </c>
      <c r="F80" s="1" t="s">
        <v>19</v>
      </c>
      <c r="G80" s="1" t="s">
        <v>21</v>
      </c>
      <c r="H80" s="15">
        <v>10000</v>
      </c>
      <c r="I80" s="15">
        <f>Tabla210[[#This Row],[TOTAL FACTURA]]*0.6</f>
        <v>6000</v>
      </c>
      <c r="J80" s="15">
        <f>Tabla210[[#This Row],[TOTAL FACTURA]]*0.4</f>
        <v>4000</v>
      </c>
      <c r="L80" s="15"/>
      <c r="M80" s="15"/>
      <c r="N80" s="1" t="s">
        <v>25</v>
      </c>
      <c r="O80" s="15">
        <f>Tabla210[[#This Row],[MONTO DE LA VENTA]]-Tabla210[[#This Row],[MONTO DE COMPRA]]</f>
        <v>0</v>
      </c>
    </row>
    <row r="81" spans="1:15" x14ac:dyDescent="0.25">
      <c r="A81" s="9">
        <v>44575</v>
      </c>
      <c r="B81" s="4" t="s">
        <v>267</v>
      </c>
      <c r="C81" s="4"/>
      <c r="D81" s="1" t="s">
        <v>268</v>
      </c>
      <c r="E81" s="4" t="s">
        <v>269</v>
      </c>
      <c r="F81" s="1" t="s">
        <v>16</v>
      </c>
      <c r="G81" s="1" t="s">
        <v>270</v>
      </c>
      <c r="H81" s="2">
        <v>100000</v>
      </c>
      <c r="I81" s="2">
        <v>100000</v>
      </c>
      <c r="J81" s="2">
        <f>Tabla210[[#This Row],[TOTAL FACTURA]]*0.4</f>
        <v>40000</v>
      </c>
      <c r="L81" s="2"/>
      <c r="M81" s="2"/>
      <c r="N81" s="1" t="s">
        <v>25</v>
      </c>
      <c r="O81" s="15">
        <f>Tabla210[[#This Row],[MONTO DE LA VENTA]]-Tabla210[[#This Row],[MONTO DE COMPRA]]</f>
        <v>0</v>
      </c>
    </row>
    <row r="82" spans="1:15" x14ac:dyDescent="0.25">
      <c r="A82" s="9">
        <v>44575</v>
      </c>
      <c r="C82" s="4"/>
      <c r="D82" s="1" t="s">
        <v>271</v>
      </c>
      <c r="E82" s="4"/>
      <c r="F82" s="1" t="s">
        <v>19</v>
      </c>
      <c r="G82" s="1" t="s">
        <v>272</v>
      </c>
      <c r="H82" s="15">
        <v>30000</v>
      </c>
      <c r="I82" s="15">
        <f>Tabla210[[#This Row],[TOTAL FACTURA]]*0.6</f>
        <v>18000</v>
      </c>
      <c r="J82" s="15">
        <f>Tabla210[[#This Row],[TOTAL FACTURA]]*0.4</f>
        <v>12000</v>
      </c>
      <c r="L82" s="15"/>
      <c r="M82" s="15"/>
      <c r="N82" s="1" t="s">
        <v>25</v>
      </c>
      <c r="O82" s="15">
        <f>Tabla210[[#This Row],[MONTO DE LA VENTA]]-Tabla210[[#This Row],[MONTO DE COMPRA]]</f>
        <v>0</v>
      </c>
    </row>
    <row r="83" spans="1:15" x14ac:dyDescent="0.25">
      <c r="A83" s="9">
        <v>44575</v>
      </c>
      <c r="C83" s="4"/>
      <c r="D83" s="1" t="s">
        <v>59</v>
      </c>
      <c r="E83" s="4" t="s">
        <v>273</v>
      </c>
      <c r="F83" s="1" t="s">
        <v>30</v>
      </c>
      <c r="G83" s="1" t="s">
        <v>274</v>
      </c>
      <c r="H83" s="2">
        <v>40000</v>
      </c>
      <c r="I83" s="2">
        <f>Tabla210[[#This Row],[TOTAL FACTURA]]*0.6</f>
        <v>24000</v>
      </c>
      <c r="J83" s="2">
        <f>Tabla210[[#This Row],[TOTAL FACTURA]]*0.4</f>
        <v>16000</v>
      </c>
      <c r="K83" s="1" t="s">
        <v>278</v>
      </c>
      <c r="L83" s="2"/>
      <c r="M83" s="2">
        <v>80000</v>
      </c>
      <c r="N83" s="1" t="s">
        <v>25</v>
      </c>
      <c r="O83" s="15">
        <f>Tabla210[[#This Row],[MONTO DE LA VENTA]]-Tabla210[[#This Row],[MONTO DE COMPRA]]</f>
        <v>80000</v>
      </c>
    </row>
    <row r="84" spans="1:15" x14ac:dyDescent="0.25">
      <c r="A84" s="9">
        <v>44575</v>
      </c>
      <c r="B84" s="4" t="s">
        <v>275</v>
      </c>
      <c r="C84" s="4"/>
      <c r="D84" s="1" t="s">
        <v>76</v>
      </c>
      <c r="E84" s="4" t="s">
        <v>276</v>
      </c>
      <c r="F84" s="1" t="s">
        <v>19</v>
      </c>
      <c r="G84" s="1" t="s">
        <v>286</v>
      </c>
      <c r="H84" s="15">
        <v>130000</v>
      </c>
      <c r="I84" s="15">
        <f>Tabla210[[#This Row],[TOTAL FACTURA]]*0.6</f>
        <v>78000</v>
      </c>
      <c r="J84" s="15">
        <f>Tabla210[[#This Row],[TOTAL FACTURA]]*0.4</f>
        <v>52000</v>
      </c>
      <c r="K84" s="1" t="s">
        <v>277</v>
      </c>
      <c r="L84" s="15">
        <v>25000</v>
      </c>
      <c r="M84" s="15">
        <v>90000</v>
      </c>
      <c r="N84" s="1" t="s">
        <v>25</v>
      </c>
      <c r="O84" s="15">
        <f>Tabla210[[#This Row],[MONTO DE LA VENTA]]-Tabla210[[#This Row],[MONTO DE COMPRA]]</f>
        <v>65000</v>
      </c>
    </row>
    <row r="85" spans="1:15" x14ac:dyDescent="0.25">
      <c r="A85" s="9">
        <v>44576</v>
      </c>
      <c r="B85" s="4" t="s">
        <v>289</v>
      </c>
      <c r="C85" s="4"/>
      <c r="D85" s="1" t="s">
        <v>290</v>
      </c>
      <c r="E85" s="4" t="s">
        <v>291</v>
      </c>
      <c r="F85" s="1" t="s">
        <v>19</v>
      </c>
      <c r="G85" s="1" t="s">
        <v>292</v>
      </c>
      <c r="H85" s="15">
        <v>80000</v>
      </c>
      <c r="I85" s="15">
        <f>Tabla210[[#This Row],[TOTAL FACTURA]]*0.6</f>
        <v>48000</v>
      </c>
      <c r="J85" s="15">
        <f>Tabla210[[#This Row],[TOTAL FACTURA]]*0.4</f>
        <v>32000</v>
      </c>
      <c r="K85" s="1" t="s">
        <v>293</v>
      </c>
      <c r="L85" s="15">
        <v>42000</v>
      </c>
      <c r="M85" s="15">
        <v>100000</v>
      </c>
      <c r="N85" s="1" t="s">
        <v>25</v>
      </c>
      <c r="O85" s="15">
        <f>Tabla210[[#This Row],[MONTO DE LA VENTA]]-Tabla210[[#This Row],[MONTO DE COMPRA]]</f>
        <v>58000</v>
      </c>
    </row>
    <row r="86" spans="1:15" x14ac:dyDescent="0.25">
      <c r="A86" s="9">
        <v>44576</v>
      </c>
      <c r="C86" s="4"/>
      <c r="D86" s="1" t="s">
        <v>242</v>
      </c>
      <c r="E86" s="4" t="s">
        <v>294</v>
      </c>
      <c r="F86" s="1" t="s">
        <v>19</v>
      </c>
      <c r="G86" s="1" t="s">
        <v>295</v>
      </c>
      <c r="H86" s="15">
        <v>90000</v>
      </c>
      <c r="I86" s="15">
        <f>Tabla210[[#This Row],[TOTAL FACTURA]]*0.6</f>
        <v>54000</v>
      </c>
      <c r="J86" s="15">
        <f>Tabla210[[#This Row],[TOTAL FACTURA]]*0.4</f>
        <v>36000</v>
      </c>
      <c r="K86" s="1" t="s">
        <v>296</v>
      </c>
      <c r="L86" s="15">
        <f>16000+240000</f>
        <v>256000</v>
      </c>
      <c r="M86" s="15">
        <v>350000</v>
      </c>
      <c r="N86" s="1" t="s">
        <v>25</v>
      </c>
      <c r="O86" s="15">
        <f>Tabla210[[#This Row],[MONTO DE LA VENTA]]-Tabla210[[#This Row],[MONTO DE COMPRA]]</f>
        <v>94000</v>
      </c>
    </row>
    <row r="87" spans="1:15" x14ac:dyDescent="0.25">
      <c r="A87" s="9">
        <v>44576</v>
      </c>
      <c r="B87" s="4" t="s">
        <v>300</v>
      </c>
      <c r="C87" s="4"/>
      <c r="D87" s="1" t="s">
        <v>297</v>
      </c>
      <c r="E87" s="4"/>
      <c r="F87" s="1" t="s">
        <v>34</v>
      </c>
      <c r="G87" s="1" t="s">
        <v>298</v>
      </c>
      <c r="H87" s="2">
        <v>100000</v>
      </c>
      <c r="I87" s="2">
        <f>Tabla210[[#This Row],[TOTAL FACTURA]]*0.6</f>
        <v>60000</v>
      </c>
      <c r="J87" s="2">
        <f>Tabla210[[#This Row],[TOTAL FACTURA]]*0.4</f>
        <v>40000</v>
      </c>
      <c r="K87" s="1" t="s">
        <v>299</v>
      </c>
      <c r="L87" s="2">
        <v>404000</v>
      </c>
      <c r="M87" s="2">
        <v>580000</v>
      </c>
      <c r="N87" s="1" t="s">
        <v>25</v>
      </c>
      <c r="O87" s="15">
        <f>Tabla210[[#This Row],[MONTO DE LA VENTA]]-Tabla210[[#This Row],[MONTO DE COMPRA]]</f>
        <v>176000</v>
      </c>
    </row>
    <row r="88" spans="1:15" x14ac:dyDescent="0.25">
      <c r="A88" s="9">
        <v>44578</v>
      </c>
      <c r="C88" s="4"/>
      <c r="D88" s="1" t="s">
        <v>54</v>
      </c>
      <c r="E88" s="4" t="s">
        <v>301</v>
      </c>
      <c r="F88" s="1" t="s">
        <v>19</v>
      </c>
      <c r="G88" s="1" t="s">
        <v>21</v>
      </c>
      <c r="H88" s="15">
        <v>10000</v>
      </c>
      <c r="I88" s="15">
        <f>Tabla210[[#This Row],[TOTAL FACTURA]]*0.6</f>
        <v>6000</v>
      </c>
      <c r="J88" s="15">
        <f>Tabla210[[#This Row],[TOTAL FACTURA]]*0.4+2000</f>
        <v>6000</v>
      </c>
      <c r="L88" s="15"/>
      <c r="M88" s="15"/>
      <c r="N88" s="1" t="s">
        <v>25</v>
      </c>
      <c r="O88" s="15">
        <f>Tabla210[[#This Row],[MONTO DE LA VENTA]]-Tabla210[[#This Row],[MONTO DE COMPRA]]</f>
        <v>0</v>
      </c>
    </row>
    <row r="89" spans="1:15" x14ac:dyDescent="0.25">
      <c r="A89" s="9">
        <v>44578</v>
      </c>
      <c r="C89" s="4"/>
      <c r="D89" s="1" t="s">
        <v>213</v>
      </c>
      <c r="E89" s="4" t="s">
        <v>302</v>
      </c>
      <c r="F89" s="1" t="s">
        <v>19</v>
      </c>
      <c r="G89" s="1" t="s">
        <v>21</v>
      </c>
      <c r="H89" s="15">
        <v>10000</v>
      </c>
      <c r="I89" s="15">
        <f>Tabla210[[#This Row],[TOTAL FACTURA]]*0.6</f>
        <v>6000</v>
      </c>
      <c r="J89" s="15">
        <f>Tabla210[[#This Row],[TOTAL FACTURA]]*0.4+2000</f>
        <v>6000</v>
      </c>
      <c r="L89" s="15"/>
      <c r="M89" s="15"/>
      <c r="N89" s="1" t="s">
        <v>25</v>
      </c>
      <c r="O89" s="15">
        <f>Tabla210[[#This Row],[MONTO DE LA VENTA]]-Tabla210[[#This Row],[MONTO DE COMPRA]]</f>
        <v>0</v>
      </c>
    </row>
    <row r="90" spans="1:15" x14ac:dyDescent="0.25">
      <c r="A90" s="9">
        <v>44578</v>
      </c>
      <c r="C90" s="4"/>
      <c r="D90" s="1" t="s">
        <v>303</v>
      </c>
      <c r="E90" s="4" t="s">
        <v>304</v>
      </c>
      <c r="F90" s="1" t="s">
        <v>10</v>
      </c>
      <c r="G90" s="1" t="s">
        <v>305</v>
      </c>
      <c r="H90" s="2">
        <v>50000</v>
      </c>
      <c r="I90" s="2">
        <f>Tabla210[[#This Row],[TOTAL FACTURA]]*0.6</f>
        <v>30000</v>
      </c>
      <c r="J90" s="2">
        <f>Tabla210[[#This Row],[TOTAL FACTURA]]*0.4</f>
        <v>20000</v>
      </c>
      <c r="L90" s="2"/>
      <c r="M90" s="2"/>
      <c r="N90" s="1" t="s">
        <v>25</v>
      </c>
      <c r="O90" s="15">
        <f>Tabla210[[#This Row],[MONTO DE LA VENTA]]-Tabla210[[#This Row],[MONTO DE COMPRA]]</f>
        <v>0</v>
      </c>
    </row>
    <row r="91" spans="1:15" x14ac:dyDescent="0.25">
      <c r="A91" s="9">
        <v>44579</v>
      </c>
      <c r="B91" s="4" t="s">
        <v>306</v>
      </c>
      <c r="C91" s="4"/>
      <c r="D91" s="1" t="s">
        <v>65</v>
      </c>
      <c r="E91" s="4" t="s">
        <v>307</v>
      </c>
      <c r="F91" s="1" t="s">
        <v>16</v>
      </c>
      <c r="G91" s="1" t="s">
        <v>308</v>
      </c>
      <c r="H91" s="2">
        <v>20000</v>
      </c>
      <c r="I91" s="2">
        <f>Tabla210[[#This Row],[TOTAL FACTURA]]*0.6</f>
        <v>12000</v>
      </c>
      <c r="J91" s="2">
        <f>Tabla210[[#This Row],[TOTAL FACTURA]]*0.4</f>
        <v>8000</v>
      </c>
      <c r="K91" s="1" t="s">
        <v>82</v>
      </c>
      <c r="L91" s="2">
        <v>500</v>
      </c>
      <c r="M91" s="2">
        <v>1000</v>
      </c>
      <c r="N91" s="1" t="s">
        <v>25</v>
      </c>
      <c r="O91" s="15">
        <f>Tabla210[[#This Row],[MONTO DE LA VENTA]]-Tabla210[[#This Row],[MONTO DE COMPRA]]</f>
        <v>500</v>
      </c>
    </row>
    <row r="92" spans="1:15" x14ac:dyDescent="0.25">
      <c r="A92" s="9">
        <v>44579</v>
      </c>
      <c r="C92" s="4"/>
      <c r="D92" s="1" t="s">
        <v>54</v>
      </c>
      <c r="E92" s="4" t="s">
        <v>309</v>
      </c>
      <c r="F92" s="1" t="s">
        <v>19</v>
      </c>
      <c r="G92" s="1" t="s">
        <v>310</v>
      </c>
      <c r="H92" s="15">
        <v>30000</v>
      </c>
      <c r="I92" s="15">
        <f>Tabla210[[#This Row],[TOTAL FACTURA]]*0.6</f>
        <v>18000</v>
      </c>
      <c r="J92" s="15">
        <f>Tabla210[[#This Row],[TOTAL FACTURA]]*0.4</f>
        <v>12000</v>
      </c>
      <c r="L92" s="15"/>
      <c r="M92" s="15"/>
      <c r="N92" s="1" t="s">
        <v>25</v>
      </c>
      <c r="O92" s="15">
        <f>Tabla210[[#This Row],[MONTO DE LA VENTA]]-Tabla210[[#This Row],[MONTO DE COMPRA]]</f>
        <v>0</v>
      </c>
    </row>
    <row r="93" spans="1:15" x14ac:dyDescent="0.25">
      <c r="A93" s="9">
        <v>44579</v>
      </c>
      <c r="B93" s="4">
        <v>384</v>
      </c>
      <c r="C93" s="4"/>
      <c r="D93" s="1" t="s">
        <v>311</v>
      </c>
      <c r="E93" s="4" t="s">
        <v>312</v>
      </c>
      <c r="F93" s="1" t="s">
        <v>19</v>
      </c>
      <c r="G93" s="1" t="s">
        <v>313</v>
      </c>
      <c r="H93" s="15">
        <v>30000</v>
      </c>
      <c r="I93" s="15">
        <v>30000</v>
      </c>
      <c r="J93" s="15">
        <f>Tabla210[[#This Row],[TOTAL FACTURA]]*0.4</f>
        <v>12000</v>
      </c>
      <c r="L93" s="15"/>
      <c r="M93" s="15"/>
      <c r="N93" s="1" t="s">
        <v>25</v>
      </c>
      <c r="O93" s="15">
        <f>Tabla210[[#This Row],[MONTO DE LA VENTA]]-Tabla210[[#This Row],[MONTO DE COMPRA]]</f>
        <v>0</v>
      </c>
    </row>
    <row r="94" spans="1:15" x14ac:dyDescent="0.25">
      <c r="A94" s="9">
        <v>44579</v>
      </c>
      <c r="B94" s="4">
        <v>384</v>
      </c>
      <c r="C94" s="4"/>
      <c r="D94" s="1" t="s">
        <v>311</v>
      </c>
      <c r="E94" s="4" t="s">
        <v>312</v>
      </c>
      <c r="F94" s="1" t="s">
        <v>30</v>
      </c>
      <c r="G94" s="1" t="s">
        <v>314</v>
      </c>
      <c r="H94" s="2">
        <v>150000</v>
      </c>
      <c r="I94" s="2">
        <f>Tabla210[[#This Row],[TOTAL FACTURA]]*0.6</f>
        <v>90000</v>
      </c>
      <c r="J94" s="2">
        <f>Tabla210[[#This Row],[TOTAL FACTURA]]*0.4</f>
        <v>60000</v>
      </c>
      <c r="K94" s="1" t="s">
        <v>315</v>
      </c>
      <c r="L94" s="2">
        <f>64000+16000</f>
        <v>80000</v>
      </c>
      <c r="M94" s="2">
        <v>150000</v>
      </c>
      <c r="N94" s="1" t="s">
        <v>25</v>
      </c>
      <c r="O94" s="15">
        <f>Tabla210[[#This Row],[MONTO DE LA VENTA]]-Tabla210[[#This Row],[MONTO DE COMPRA]]</f>
        <v>70000</v>
      </c>
    </row>
    <row r="95" spans="1:15" x14ac:dyDescent="0.25">
      <c r="A95" s="9">
        <v>44579</v>
      </c>
      <c r="B95" s="4">
        <v>385</v>
      </c>
      <c r="C95" s="4"/>
      <c r="D95" s="1" t="s">
        <v>22</v>
      </c>
      <c r="E95" s="4" t="s">
        <v>316</v>
      </c>
      <c r="F95" s="1" t="s">
        <v>16</v>
      </c>
      <c r="G95" s="1" t="s">
        <v>317</v>
      </c>
      <c r="H95" s="2">
        <v>10000</v>
      </c>
      <c r="I95" s="2">
        <f>Tabla210[[#This Row],[TOTAL FACTURA]]*0.6</f>
        <v>6000</v>
      </c>
      <c r="J95" s="2">
        <f>Tabla210[[#This Row],[TOTAL FACTURA]]*0.4</f>
        <v>4000</v>
      </c>
      <c r="K95" s="1" t="s">
        <v>318</v>
      </c>
      <c r="L95" s="2">
        <f>3800+500+500</f>
        <v>4800</v>
      </c>
      <c r="M95" s="2">
        <v>8000</v>
      </c>
      <c r="N95" s="1" t="s">
        <v>25</v>
      </c>
      <c r="O95" s="15">
        <f>Tabla210[[#This Row],[MONTO DE LA VENTA]]-Tabla210[[#This Row],[MONTO DE COMPRA]]</f>
        <v>3200</v>
      </c>
    </row>
    <row r="96" spans="1:15" x14ac:dyDescent="0.25">
      <c r="A96" s="9">
        <v>44579</v>
      </c>
      <c r="B96" s="4" t="s">
        <v>324</v>
      </c>
      <c r="C96" s="4"/>
      <c r="D96" s="1" t="s">
        <v>151</v>
      </c>
      <c r="E96" s="4" t="s">
        <v>152</v>
      </c>
      <c r="F96" s="1" t="s">
        <v>10</v>
      </c>
      <c r="G96" s="1" t="s">
        <v>325</v>
      </c>
      <c r="H96" s="2">
        <v>600000</v>
      </c>
      <c r="I96" s="2">
        <f>Tabla210[[#This Row],[TOTAL FACTURA]]*0.6</f>
        <v>360000</v>
      </c>
      <c r="J96" s="2">
        <f>(Tabla210[[#This Row],[TOTAL FACTURA]]*0.4)+100000</f>
        <v>340000</v>
      </c>
      <c r="K96" s="1" t="s">
        <v>326</v>
      </c>
      <c r="L96" s="2">
        <v>63000</v>
      </c>
      <c r="M96" s="2">
        <v>110000</v>
      </c>
      <c r="N96" s="1" t="s">
        <v>25</v>
      </c>
      <c r="O96" s="15">
        <f>Tabla210[[#This Row],[MONTO DE LA VENTA]]-Tabla210[[#This Row],[MONTO DE COMPRA]]</f>
        <v>47000</v>
      </c>
    </row>
    <row r="97" spans="1:15" x14ac:dyDescent="0.25">
      <c r="A97" s="9">
        <v>44580</v>
      </c>
      <c r="B97" s="4" t="s">
        <v>319</v>
      </c>
      <c r="C97" s="4"/>
      <c r="D97" s="1" t="s">
        <v>168</v>
      </c>
      <c r="E97" s="4" t="s">
        <v>320</v>
      </c>
      <c r="F97" s="1" t="s">
        <v>30</v>
      </c>
      <c r="G97" s="1" t="s">
        <v>321</v>
      </c>
      <c r="H97" s="2">
        <v>100000</v>
      </c>
      <c r="I97" s="2">
        <f>Tabla210[[#This Row],[TOTAL FACTURA]]*0.6</f>
        <v>60000</v>
      </c>
      <c r="J97" s="2">
        <f>Tabla210[[#This Row],[TOTAL FACTURA]]*0.4</f>
        <v>40000</v>
      </c>
      <c r="K97" s="1" t="s">
        <v>322</v>
      </c>
      <c r="L97" s="2">
        <v>20000</v>
      </c>
      <c r="M97" s="2">
        <v>40000</v>
      </c>
      <c r="N97" s="1" t="s">
        <v>25</v>
      </c>
      <c r="O97" s="15">
        <f>Tabla210[[#This Row],[MONTO DE LA VENTA]]-Tabla210[[#This Row],[MONTO DE COMPRA]]</f>
        <v>20000</v>
      </c>
    </row>
    <row r="98" spans="1:15" x14ac:dyDescent="0.25">
      <c r="A98" s="9">
        <v>44580</v>
      </c>
      <c r="B98" s="4" t="s">
        <v>323</v>
      </c>
      <c r="C98" s="4"/>
      <c r="D98" s="1" t="s">
        <v>208</v>
      </c>
      <c r="E98" s="4" t="s">
        <v>209</v>
      </c>
      <c r="F98" s="1" t="s">
        <v>16</v>
      </c>
      <c r="G98" s="1" t="s">
        <v>270</v>
      </c>
      <c r="H98" s="2">
        <v>100000</v>
      </c>
      <c r="I98" s="2">
        <f>Tabla210[[#This Row],[TOTAL FACTURA]]*0.6</f>
        <v>60000</v>
      </c>
      <c r="J98" s="2">
        <f>Tabla210[[#This Row],[TOTAL FACTURA]]*0.4</f>
        <v>40000</v>
      </c>
      <c r="L98" s="2"/>
      <c r="M98" s="2"/>
      <c r="N98" s="1" t="s">
        <v>25</v>
      </c>
      <c r="O98" s="15">
        <f>Tabla210[[#This Row],[MONTO DE LA VENTA]]-Tabla210[[#This Row],[MONTO DE COMPRA]]</f>
        <v>0</v>
      </c>
    </row>
    <row r="99" spans="1:15" ht="14.25" customHeight="1" x14ac:dyDescent="0.25">
      <c r="A99" s="9">
        <v>44580</v>
      </c>
      <c r="B99" s="4" t="s">
        <v>327</v>
      </c>
      <c r="C99" s="4"/>
      <c r="D99" s="1" t="s">
        <v>218</v>
      </c>
      <c r="E99" s="4" t="s">
        <v>328</v>
      </c>
      <c r="F99" s="1" t="s">
        <v>19</v>
      </c>
      <c r="G99" s="1" t="s">
        <v>329</v>
      </c>
      <c r="H99" s="15">
        <v>30000</v>
      </c>
      <c r="I99" s="15">
        <f>Tabla210[[#This Row],[TOTAL FACTURA]]*0.6</f>
        <v>18000</v>
      </c>
      <c r="J99" s="15">
        <f>Tabla210[[#This Row],[TOTAL FACTURA]]*0.4</f>
        <v>12000</v>
      </c>
      <c r="K99" s="1" t="s">
        <v>330</v>
      </c>
      <c r="L99" s="15">
        <v>19000</v>
      </c>
      <c r="M99" s="15">
        <v>28000</v>
      </c>
      <c r="N99" s="1" t="s">
        <v>25</v>
      </c>
      <c r="O99" s="15">
        <f>Tabla210[[#This Row],[MONTO DE LA VENTA]]-Tabla210[[#This Row],[MONTO DE COMPRA]]</f>
        <v>9000</v>
      </c>
    </row>
    <row r="100" spans="1:15" x14ac:dyDescent="0.25">
      <c r="A100" s="9">
        <v>44580</v>
      </c>
      <c r="C100" s="4"/>
      <c r="D100" s="1" t="s">
        <v>194</v>
      </c>
      <c r="E100" s="4" t="s">
        <v>331</v>
      </c>
      <c r="F100" s="1" t="s">
        <v>19</v>
      </c>
      <c r="G100" s="1" t="s">
        <v>21</v>
      </c>
      <c r="H100" s="15">
        <v>10000</v>
      </c>
      <c r="I100" s="15">
        <f>Tabla210[[#This Row],[TOTAL FACTURA]]*0.6</f>
        <v>6000</v>
      </c>
      <c r="J100" s="15">
        <f>Tabla210[[#This Row],[TOTAL FACTURA]]*0.4</f>
        <v>4000</v>
      </c>
      <c r="L100" s="15"/>
      <c r="M100" s="15"/>
      <c r="N100" s="1" t="s">
        <v>25</v>
      </c>
      <c r="O100" s="15">
        <f>Tabla210[[#This Row],[MONTO DE LA VENTA]]-Tabla210[[#This Row],[MONTO DE COMPRA]]</f>
        <v>0</v>
      </c>
    </row>
    <row r="101" spans="1:15" x14ac:dyDescent="0.25">
      <c r="A101" s="9">
        <v>44581</v>
      </c>
      <c r="B101" s="4" t="s">
        <v>332</v>
      </c>
      <c r="C101" s="4"/>
      <c r="D101" s="1" t="s">
        <v>333</v>
      </c>
      <c r="E101" s="4" t="s">
        <v>334</v>
      </c>
      <c r="F101" s="1" t="s">
        <v>19</v>
      </c>
      <c r="G101" s="1" t="s">
        <v>335</v>
      </c>
      <c r="H101" s="15">
        <v>40000</v>
      </c>
      <c r="I101" s="15">
        <f>Tabla210[[#This Row],[TOTAL FACTURA]]*0.6</f>
        <v>24000</v>
      </c>
      <c r="J101" s="15">
        <f>Tabla210[[#This Row],[TOTAL FACTURA]]*0.4</f>
        <v>16000</v>
      </c>
      <c r="K101" s="1" t="s">
        <v>336</v>
      </c>
      <c r="L101" s="15">
        <v>38000</v>
      </c>
      <c r="M101" s="15">
        <v>55000</v>
      </c>
      <c r="N101" s="1" t="s">
        <v>25</v>
      </c>
      <c r="O101" s="15">
        <f>Tabla210[[#This Row],[MONTO DE LA VENTA]]-Tabla210[[#This Row],[MONTO DE COMPRA]]</f>
        <v>17000</v>
      </c>
    </row>
    <row r="102" spans="1:15" x14ac:dyDescent="0.25">
      <c r="A102" s="9">
        <v>44581</v>
      </c>
      <c r="C102" s="4"/>
      <c r="D102" s="1" t="s">
        <v>23</v>
      </c>
      <c r="E102" s="4" t="s">
        <v>337</v>
      </c>
      <c r="F102" s="1" t="s">
        <v>30</v>
      </c>
      <c r="G102" s="1" t="s">
        <v>338</v>
      </c>
      <c r="H102" s="15">
        <v>120000</v>
      </c>
      <c r="I102" s="15">
        <v>100000</v>
      </c>
      <c r="J102" s="15">
        <v>20000</v>
      </c>
      <c r="L102" s="15"/>
      <c r="M102" s="15"/>
      <c r="N102" s="1" t="s">
        <v>25</v>
      </c>
      <c r="O102" s="15">
        <f>Tabla210[[#This Row],[MONTO DE LA VENTA]]-Tabla210[[#This Row],[MONTO DE COMPRA]]</f>
        <v>0</v>
      </c>
    </row>
    <row r="103" spans="1:15" x14ac:dyDescent="0.25">
      <c r="A103" s="9">
        <v>44582</v>
      </c>
      <c r="C103" s="4"/>
      <c r="D103" s="1" t="s">
        <v>339</v>
      </c>
      <c r="E103" s="4" t="s">
        <v>340</v>
      </c>
      <c r="F103" s="1" t="s">
        <v>34</v>
      </c>
      <c r="G103" s="1" t="s">
        <v>341</v>
      </c>
      <c r="H103" s="2">
        <v>10000</v>
      </c>
      <c r="I103" s="2">
        <f>Tabla210[[#This Row],[TOTAL FACTURA]]*0.6</f>
        <v>6000</v>
      </c>
      <c r="J103" s="2">
        <f>Tabla210[[#This Row],[TOTAL FACTURA]]*0.4</f>
        <v>4000</v>
      </c>
      <c r="L103" s="2"/>
      <c r="M103" s="2"/>
      <c r="N103" s="1" t="s">
        <v>25</v>
      </c>
      <c r="O103" s="15">
        <f>Tabla210[[#This Row],[MONTO DE LA VENTA]]-Tabla210[[#This Row],[MONTO DE COMPRA]]</f>
        <v>0</v>
      </c>
    </row>
    <row r="104" spans="1:15" x14ac:dyDescent="0.25">
      <c r="A104" s="9">
        <v>44582</v>
      </c>
      <c r="C104" s="4"/>
      <c r="D104" s="1" t="s">
        <v>54</v>
      </c>
      <c r="E104" s="4" t="s">
        <v>342</v>
      </c>
      <c r="F104" s="1" t="s">
        <v>10</v>
      </c>
      <c r="G104" s="1" t="s">
        <v>343</v>
      </c>
      <c r="H104" s="2">
        <v>120000</v>
      </c>
      <c r="I104" s="2">
        <f>Tabla210[[#This Row],[TOTAL FACTURA]]*0.6</f>
        <v>72000</v>
      </c>
      <c r="J104" s="2">
        <f>Tabla210[[#This Row],[TOTAL FACTURA]]*0.4</f>
        <v>48000</v>
      </c>
      <c r="L104" s="2"/>
      <c r="M104" s="2"/>
      <c r="N104" s="1" t="s">
        <v>25</v>
      </c>
      <c r="O104" s="15">
        <f>Tabla210[[#This Row],[MONTO DE LA VENTA]]-Tabla210[[#This Row],[MONTO DE COMPRA]]</f>
        <v>0</v>
      </c>
    </row>
    <row r="105" spans="1:15" x14ac:dyDescent="0.25">
      <c r="A105" s="9">
        <v>44582</v>
      </c>
      <c r="B105" s="4" t="s">
        <v>344</v>
      </c>
      <c r="C105" s="4"/>
      <c r="D105" s="1" t="s">
        <v>22</v>
      </c>
      <c r="E105" s="4" t="s">
        <v>345</v>
      </c>
      <c r="F105" s="1" t="s">
        <v>19</v>
      </c>
      <c r="G105" s="1" t="s">
        <v>346</v>
      </c>
      <c r="H105" s="15">
        <v>20000</v>
      </c>
      <c r="I105" s="15">
        <f>Tabla210[[#This Row],[TOTAL FACTURA]]*0.6</f>
        <v>12000</v>
      </c>
      <c r="J105" s="15">
        <f>Tabla210[[#This Row],[TOTAL FACTURA]]*0.4</f>
        <v>8000</v>
      </c>
      <c r="K105" s="1" t="s">
        <v>347</v>
      </c>
      <c r="L105" s="15">
        <v>18000</v>
      </c>
      <c r="M105" s="15">
        <v>24000</v>
      </c>
      <c r="N105" s="1" t="s">
        <v>25</v>
      </c>
      <c r="O105" s="15">
        <f>Tabla210[[#This Row],[MONTO DE LA VENTA]]-Tabla210[[#This Row],[MONTO DE COMPRA]]</f>
        <v>6000</v>
      </c>
    </row>
    <row r="106" spans="1:15" x14ac:dyDescent="0.25">
      <c r="A106" s="9">
        <v>44582</v>
      </c>
      <c r="C106" s="4"/>
      <c r="D106" s="1" t="s">
        <v>54</v>
      </c>
      <c r="E106" s="4" t="s">
        <v>350</v>
      </c>
      <c r="F106" s="1" t="s">
        <v>16</v>
      </c>
      <c r="G106" s="1" t="s">
        <v>348</v>
      </c>
      <c r="H106" s="15">
        <v>20000</v>
      </c>
      <c r="I106" s="15">
        <f>Tabla210[[#This Row],[TOTAL FACTURA]]*0.6</f>
        <v>12000</v>
      </c>
      <c r="J106" s="15">
        <f>Tabla210[[#This Row],[TOTAL FACTURA]]*0.4</f>
        <v>8000</v>
      </c>
      <c r="K106" s="1" t="s">
        <v>349</v>
      </c>
      <c r="L106" s="15">
        <v>15000</v>
      </c>
      <c r="M106" s="15">
        <v>20000</v>
      </c>
      <c r="N106" s="1" t="s">
        <v>25</v>
      </c>
      <c r="O106" s="15">
        <f>Tabla210[[#This Row],[MONTO DE LA VENTA]]-Tabla210[[#This Row],[MONTO DE COMPRA]]</f>
        <v>5000</v>
      </c>
    </row>
    <row r="107" spans="1:15" x14ac:dyDescent="0.25">
      <c r="A107" s="9">
        <v>44582</v>
      </c>
      <c r="B107" s="4" t="s">
        <v>351</v>
      </c>
      <c r="C107" s="4"/>
      <c r="D107" s="1" t="s">
        <v>352</v>
      </c>
      <c r="E107" s="4" t="s">
        <v>353</v>
      </c>
      <c r="F107" s="1" t="s">
        <v>19</v>
      </c>
      <c r="G107" s="1" t="s">
        <v>354</v>
      </c>
      <c r="H107" s="15">
        <v>30000</v>
      </c>
      <c r="I107" s="15">
        <f>Tabla210[[#This Row],[TOTAL FACTURA]]*0.6</f>
        <v>18000</v>
      </c>
      <c r="J107" s="15">
        <f>Tabla210[[#This Row],[TOTAL FACTURA]]*0.4</f>
        <v>12000</v>
      </c>
      <c r="K107" s="1" t="s">
        <v>355</v>
      </c>
      <c r="L107" s="15">
        <v>41000</v>
      </c>
      <c r="M107" s="15">
        <v>90000</v>
      </c>
      <c r="N107" s="1" t="s">
        <v>25</v>
      </c>
      <c r="O107" s="15">
        <f>Tabla210[[#This Row],[MONTO DE LA VENTA]]-Tabla210[[#This Row],[MONTO DE COMPRA]]</f>
        <v>49000</v>
      </c>
    </row>
    <row r="108" spans="1:15" x14ac:dyDescent="0.25">
      <c r="A108" s="9">
        <v>44582</v>
      </c>
      <c r="B108" s="4" t="s">
        <v>360</v>
      </c>
      <c r="C108" s="4"/>
      <c r="D108" s="1" t="s">
        <v>356</v>
      </c>
      <c r="E108" s="4" t="s">
        <v>357</v>
      </c>
      <c r="F108" s="1" t="s">
        <v>19</v>
      </c>
      <c r="G108" s="1" t="s">
        <v>358</v>
      </c>
      <c r="H108" s="15">
        <v>80000</v>
      </c>
      <c r="I108" s="15">
        <f>Tabla210[[#This Row],[TOTAL FACTURA]]*0.6</f>
        <v>48000</v>
      </c>
      <c r="J108" s="15">
        <f>Tabla210[[#This Row],[TOTAL FACTURA]]*0.4</f>
        <v>32000</v>
      </c>
      <c r="K108" s="1" t="s">
        <v>359</v>
      </c>
      <c r="L108" s="15">
        <v>245000</v>
      </c>
      <c r="M108" s="15">
        <f>240000+130000</f>
        <v>370000</v>
      </c>
      <c r="N108" s="1" t="s">
        <v>25</v>
      </c>
      <c r="O108" s="15">
        <f>Tabla210[[#This Row],[MONTO DE LA VENTA]]-Tabla210[[#This Row],[MONTO DE COMPRA]]</f>
        <v>125000</v>
      </c>
    </row>
    <row r="109" spans="1:15" x14ac:dyDescent="0.25">
      <c r="A109" s="9">
        <v>44582</v>
      </c>
      <c r="B109" s="4" t="s">
        <v>361</v>
      </c>
      <c r="C109" s="4"/>
      <c r="D109" s="1" t="s">
        <v>240</v>
      </c>
      <c r="E109" s="4" t="s">
        <v>362</v>
      </c>
      <c r="F109" s="1" t="s">
        <v>19</v>
      </c>
      <c r="G109" s="1" t="s">
        <v>20</v>
      </c>
      <c r="H109" s="15">
        <v>70000</v>
      </c>
      <c r="I109" s="15">
        <f>Tabla210[[#This Row],[TOTAL FACTURA]]*0.6</f>
        <v>42000</v>
      </c>
      <c r="J109" s="15">
        <f>Tabla210[[#This Row],[TOTAL FACTURA]]*0.4</f>
        <v>28000</v>
      </c>
      <c r="K109" s="1" t="s">
        <v>71</v>
      </c>
      <c r="L109" s="15">
        <v>133000</v>
      </c>
      <c r="M109" s="15">
        <v>196000</v>
      </c>
      <c r="N109" s="1" t="s">
        <v>25</v>
      </c>
      <c r="O109" s="15">
        <f>Tabla210[[#This Row],[MONTO DE LA VENTA]]-Tabla210[[#This Row],[MONTO DE COMPRA]]</f>
        <v>63000</v>
      </c>
    </row>
    <row r="110" spans="1:15" x14ac:dyDescent="0.25">
      <c r="A110" s="9">
        <v>44582</v>
      </c>
      <c r="B110" s="4" t="s">
        <v>363</v>
      </c>
      <c r="C110" s="4"/>
      <c r="D110" s="1" t="s">
        <v>48</v>
      </c>
      <c r="E110" s="4" t="s">
        <v>364</v>
      </c>
      <c r="F110" s="1" t="s">
        <v>16</v>
      </c>
      <c r="G110" s="1" t="s">
        <v>365</v>
      </c>
      <c r="H110" s="2">
        <v>50000</v>
      </c>
      <c r="I110" s="2">
        <f>Tabla210[[#This Row],[TOTAL FACTURA]]*0.6</f>
        <v>30000</v>
      </c>
      <c r="J110" s="2">
        <f>Tabla210[[#This Row],[TOTAL FACTURA]]*0.4</f>
        <v>20000</v>
      </c>
      <c r="K110" s="1" t="s">
        <v>366</v>
      </c>
      <c r="L110" s="2">
        <v>19000</v>
      </c>
      <c r="M110" s="2">
        <v>25000</v>
      </c>
      <c r="N110" s="1" t="s">
        <v>25</v>
      </c>
      <c r="O110" s="15">
        <f>Tabla210[[#This Row],[MONTO DE LA VENTA]]-Tabla210[[#This Row],[MONTO DE COMPRA]]</f>
        <v>6000</v>
      </c>
    </row>
    <row r="111" spans="1:15" x14ac:dyDescent="0.25">
      <c r="A111" s="9">
        <v>44582</v>
      </c>
      <c r="C111" s="4"/>
      <c r="D111" s="1" t="s">
        <v>218</v>
      </c>
      <c r="E111" s="4" t="s">
        <v>368</v>
      </c>
      <c r="F111" s="1" t="s">
        <v>19</v>
      </c>
      <c r="G111" s="1" t="s">
        <v>369</v>
      </c>
      <c r="H111" s="15">
        <v>60000</v>
      </c>
      <c r="I111" s="15">
        <f>Tabla210[[#This Row],[TOTAL FACTURA]]*0.6</f>
        <v>36000</v>
      </c>
      <c r="J111" s="15">
        <f>Tabla210[[#This Row],[TOTAL FACTURA]]*0.4</f>
        <v>24000</v>
      </c>
      <c r="K111" s="1" t="s">
        <v>370</v>
      </c>
      <c r="L111" s="15">
        <v>55000</v>
      </c>
      <c r="M111" s="15">
        <v>35000</v>
      </c>
      <c r="N111" s="1" t="s">
        <v>25</v>
      </c>
      <c r="O111" s="15">
        <f>Tabla210[[#This Row],[MONTO DE LA VENTA]]-Tabla210[[#This Row],[MONTO DE COMPRA]]</f>
        <v>-20000</v>
      </c>
    </row>
    <row r="112" spans="1:15" x14ac:dyDescent="0.25">
      <c r="A112" s="9">
        <v>44582</v>
      </c>
      <c r="B112" s="41"/>
      <c r="C112" s="41"/>
      <c r="D112" s="1" t="s">
        <v>22</v>
      </c>
      <c r="E112" s="4"/>
      <c r="F112" s="1" t="s">
        <v>30</v>
      </c>
      <c r="G112" s="14" t="s">
        <v>371</v>
      </c>
      <c r="H112" s="2">
        <v>30000</v>
      </c>
      <c r="I112" s="2">
        <f>Tabla210[[#This Row],[TOTAL FACTURA]]*0.6</f>
        <v>18000</v>
      </c>
      <c r="J112" s="2">
        <f>Tabla210[[#This Row],[TOTAL FACTURA]]*0.4</f>
        <v>12000</v>
      </c>
      <c r="L112" s="2"/>
      <c r="M112" s="2"/>
      <c r="N112" s="1" t="s">
        <v>25</v>
      </c>
      <c r="O112" s="15">
        <f>Tabla210[[#This Row],[MONTO DE LA VENTA]]-Tabla210[[#This Row],[MONTO DE COMPRA]]</f>
        <v>0</v>
      </c>
    </row>
    <row r="113" spans="1:15" x14ac:dyDescent="0.25">
      <c r="A113" s="9">
        <v>44583</v>
      </c>
      <c r="B113" s="4" t="s">
        <v>375</v>
      </c>
      <c r="C113" s="4"/>
      <c r="D113" s="1" t="s">
        <v>96</v>
      </c>
      <c r="E113" s="4" t="s">
        <v>376</v>
      </c>
      <c r="F113" s="1" t="s">
        <v>19</v>
      </c>
      <c r="G113" s="1" t="s">
        <v>378</v>
      </c>
      <c r="H113" s="2">
        <v>60000</v>
      </c>
      <c r="I113" s="2">
        <v>50000</v>
      </c>
      <c r="J113" s="2">
        <f>Tabla210[[#This Row],[TOTAL FACTURA]]*0.4</f>
        <v>24000</v>
      </c>
      <c r="K113" s="1" t="s">
        <v>451</v>
      </c>
      <c r="L113" s="2">
        <f>126051+20000</f>
        <v>146051</v>
      </c>
      <c r="M113" s="2">
        <v>420000</v>
      </c>
      <c r="N113" s="1" t="s">
        <v>25</v>
      </c>
      <c r="O113" s="15">
        <f>Tabla210[[#This Row],[MONTO DE LA VENTA]]-Tabla210[[#This Row],[MONTO DE COMPRA]]</f>
        <v>273949</v>
      </c>
    </row>
    <row r="114" spans="1:15" x14ac:dyDescent="0.25">
      <c r="A114" s="9">
        <v>44583</v>
      </c>
      <c r="B114" s="4" t="s">
        <v>375</v>
      </c>
      <c r="C114" s="4"/>
      <c r="D114" s="1" t="s">
        <v>96</v>
      </c>
      <c r="E114" s="4" t="s">
        <v>376</v>
      </c>
      <c r="F114" s="1" t="s">
        <v>10</v>
      </c>
      <c r="G114" s="1" t="s">
        <v>377</v>
      </c>
      <c r="H114" s="2">
        <v>100000</v>
      </c>
      <c r="I114" s="2">
        <f>Tabla210[[#This Row],[TOTAL FACTURA]]*0.6</f>
        <v>60000</v>
      </c>
      <c r="J114" s="2">
        <f>Tabla210[[#This Row],[TOTAL FACTURA]]*0.4</f>
        <v>40000</v>
      </c>
      <c r="K114" s="1" t="s">
        <v>383</v>
      </c>
      <c r="L114" s="2"/>
      <c r="M114" s="2"/>
      <c r="N114" s="1" t="s">
        <v>25</v>
      </c>
      <c r="O114" s="15">
        <f>Tabla210[[#This Row],[MONTO DE LA VENTA]]-Tabla210[[#This Row],[MONTO DE COMPRA]]</f>
        <v>0</v>
      </c>
    </row>
    <row r="115" spans="1:15" ht="22.5" customHeight="1" x14ac:dyDescent="0.25">
      <c r="A115" s="9">
        <v>44583</v>
      </c>
      <c r="B115" s="4" t="s">
        <v>379</v>
      </c>
      <c r="C115" s="4"/>
      <c r="D115" s="1" t="s">
        <v>59</v>
      </c>
      <c r="E115" s="4" t="s">
        <v>380</v>
      </c>
      <c r="F115" s="1" t="s">
        <v>19</v>
      </c>
      <c r="G115" s="1" t="s">
        <v>381</v>
      </c>
      <c r="H115" s="2">
        <v>40000</v>
      </c>
      <c r="I115" s="2">
        <f>Tabla210[[#This Row],[TOTAL FACTURA]]*0.6</f>
        <v>24000</v>
      </c>
      <c r="J115" s="2">
        <f>Tabla210[[#This Row],[TOTAL FACTURA]]*0.4</f>
        <v>16000</v>
      </c>
      <c r="K115" s="1" t="s">
        <v>382</v>
      </c>
      <c r="L115" s="2"/>
      <c r="M115" s="2"/>
      <c r="N115" s="1" t="s">
        <v>25</v>
      </c>
      <c r="O115" s="15">
        <f>Tabla210[[#This Row],[MONTO DE LA VENTA]]-Tabla210[[#This Row],[MONTO DE COMPRA]]</f>
        <v>0</v>
      </c>
    </row>
    <row r="116" spans="1:15" x14ac:dyDescent="0.25">
      <c r="A116" s="9">
        <v>44585</v>
      </c>
      <c r="B116" s="4" t="s">
        <v>428</v>
      </c>
      <c r="C116" s="4"/>
      <c r="D116" s="1" t="s">
        <v>48</v>
      </c>
      <c r="E116" s="4" t="s">
        <v>364</v>
      </c>
      <c r="F116" s="1" t="s">
        <v>30</v>
      </c>
      <c r="G116" s="1" t="s">
        <v>429</v>
      </c>
      <c r="H116" s="15">
        <v>200000</v>
      </c>
      <c r="I116" s="2">
        <f>Tabla210[[#This Row],[TOTAL FACTURA]]*0.6</f>
        <v>120000</v>
      </c>
      <c r="J116" s="43">
        <f>Tabla210[[#This Row],[TOTAL FACTURA]]*0.4</f>
        <v>80000</v>
      </c>
      <c r="L116" s="15"/>
      <c r="M116" s="15"/>
      <c r="N116" s="1" t="s">
        <v>25</v>
      </c>
      <c r="O116" s="15">
        <f>Tabla210[[#This Row],[MONTO DE COMPRA]]-Tabla210[[#This Row],[MONTO DE LA VENTA]]</f>
        <v>0</v>
      </c>
    </row>
    <row r="117" spans="1:15" x14ac:dyDescent="0.25">
      <c r="A117" s="9">
        <v>44585</v>
      </c>
      <c r="C117" s="4"/>
      <c r="D117" s="1" t="s">
        <v>385</v>
      </c>
      <c r="E117" s="4" t="s">
        <v>54</v>
      </c>
      <c r="F117" s="1" t="s">
        <v>408</v>
      </c>
      <c r="G117" s="1" t="s">
        <v>138</v>
      </c>
      <c r="H117" s="15">
        <v>30000</v>
      </c>
      <c r="I117" s="2">
        <v>30000</v>
      </c>
      <c r="J117" s="43">
        <v>20000</v>
      </c>
      <c r="L117" s="15"/>
      <c r="M117" s="15"/>
      <c r="N117" s="1" t="s">
        <v>25</v>
      </c>
      <c r="O117" s="15">
        <f>Tabla210[[#This Row],[MONTO DE COMPRA]]-Tabla210[[#This Row],[MONTO DE LA VENTA]]</f>
        <v>0</v>
      </c>
    </row>
    <row r="118" spans="1:15" x14ac:dyDescent="0.25">
      <c r="A118" s="9">
        <v>44585</v>
      </c>
      <c r="C118" s="4"/>
      <c r="D118" s="1" t="s">
        <v>385</v>
      </c>
      <c r="E118" s="4" t="s">
        <v>54</v>
      </c>
      <c r="F118" s="1" t="s">
        <v>30</v>
      </c>
      <c r="G118" s="1" t="s">
        <v>483</v>
      </c>
      <c r="H118" s="2">
        <v>100000</v>
      </c>
      <c r="I118" s="2">
        <f>Tabla210[[#This Row],[TOTAL FACTURA]]*0.6</f>
        <v>60000</v>
      </c>
      <c r="J118" s="2">
        <f>Tabla210[[#This Row],[TOTAL FACTURA]]*0.4</f>
        <v>40000</v>
      </c>
      <c r="L118" s="2"/>
      <c r="M118" s="2"/>
      <c r="N118" s="1" t="s">
        <v>25</v>
      </c>
      <c r="O118" s="15">
        <f>Tabla210[[#This Row],[MONTO DE LA VENTA]]-Tabla210[[#This Row],[MONTO DE COMPRA]]</f>
        <v>0</v>
      </c>
    </row>
    <row r="119" spans="1:15" x14ac:dyDescent="0.25">
      <c r="A119" s="9">
        <v>44585</v>
      </c>
      <c r="C119" s="4"/>
      <c r="D119" s="1" t="s">
        <v>46</v>
      </c>
      <c r="E119" s="4" t="s">
        <v>386</v>
      </c>
      <c r="F119" s="1" t="s">
        <v>16</v>
      </c>
      <c r="G119" s="1" t="s">
        <v>140</v>
      </c>
      <c r="H119" s="15">
        <v>35000</v>
      </c>
      <c r="I119" s="15">
        <v>35000</v>
      </c>
      <c r="J119" s="15">
        <f>Tabla210[[#This Row],[TOTAL FACTURA]]*0.4</f>
        <v>14000</v>
      </c>
      <c r="L119" s="15"/>
      <c r="M119" s="15"/>
      <c r="N119" s="1" t="s">
        <v>25</v>
      </c>
      <c r="O119" s="15">
        <f>Tabla210[[#This Row],[MONTO DE LA VENTA]]-Tabla210[[#This Row],[MONTO DE COMPRA]]</f>
        <v>0</v>
      </c>
    </row>
    <row r="120" spans="1:15" x14ac:dyDescent="0.25">
      <c r="A120" s="9">
        <v>44585</v>
      </c>
      <c r="C120" s="4"/>
      <c r="D120" s="1" t="s">
        <v>46</v>
      </c>
      <c r="E120" s="4" t="s">
        <v>386</v>
      </c>
      <c r="F120" s="1" t="s">
        <v>19</v>
      </c>
      <c r="G120" s="1" t="s">
        <v>140</v>
      </c>
      <c r="H120" s="15">
        <v>35000</v>
      </c>
      <c r="I120" s="15">
        <v>35000</v>
      </c>
      <c r="J120" s="15">
        <f>Tabla210[[#This Row],[TOTAL FACTURA]]*0.4</f>
        <v>14000</v>
      </c>
      <c r="L120" s="15"/>
      <c r="M120" s="15"/>
      <c r="N120" s="1" t="s">
        <v>25</v>
      </c>
      <c r="O120" s="15">
        <f>Tabla210[[#This Row],[MONTO DE LA VENTA]]-Tabla210[[#This Row],[MONTO DE COMPRA]]</f>
        <v>0</v>
      </c>
    </row>
    <row r="121" spans="1:15" x14ac:dyDescent="0.25">
      <c r="A121" s="9">
        <v>44585</v>
      </c>
      <c r="C121" s="4"/>
      <c r="D121" s="1" t="s">
        <v>96</v>
      </c>
      <c r="E121" s="4" t="s">
        <v>387</v>
      </c>
      <c r="F121" s="1" t="s">
        <v>10</v>
      </c>
      <c r="G121" s="1" t="s">
        <v>388</v>
      </c>
      <c r="H121" s="2">
        <v>150000</v>
      </c>
      <c r="I121" s="2">
        <f>Tabla210[[#This Row],[TOTAL FACTURA]]*0.6</f>
        <v>90000</v>
      </c>
      <c r="J121" s="2">
        <f>Tabla210[[#This Row],[TOTAL FACTURA]]*0.4</f>
        <v>60000</v>
      </c>
      <c r="L121" s="2"/>
      <c r="M121" s="2"/>
      <c r="N121" s="1" t="s">
        <v>25</v>
      </c>
      <c r="O121" s="15">
        <f>Tabla210[[#This Row],[MONTO DE LA VENTA]]-Tabla210[[#This Row],[MONTO DE COMPRA]]</f>
        <v>0</v>
      </c>
    </row>
    <row r="122" spans="1:15" x14ac:dyDescent="0.25">
      <c r="A122" s="9">
        <v>44585</v>
      </c>
      <c r="B122" s="4" t="s">
        <v>417</v>
      </c>
      <c r="C122" s="4"/>
      <c r="D122" s="1" t="s">
        <v>389</v>
      </c>
      <c r="E122" s="4" t="s">
        <v>390</v>
      </c>
      <c r="F122" s="1" t="s">
        <v>19</v>
      </c>
      <c r="G122" s="1" t="s">
        <v>391</v>
      </c>
      <c r="H122" s="2">
        <v>150000</v>
      </c>
      <c r="I122" s="2">
        <f>Tabla210[[#This Row],[TOTAL FACTURA]]*0.6</f>
        <v>90000</v>
      </c>
      <c r="J122" s="2">
        <f>Tabla210[[#This Row],[TOTAL FACTURA]]*0.4</f>
        <v>60000</v>
      </c>
      <c r="L122" s="2"/>
      <c r="M122" s="2"/>
      <c r="N122" s="1" t="s">
        <v>25</v>
      </c>
      <c r="O122" s="15">
        <f>Tabla210[[#This Row],[MONTO DE LA VENTA]]-Tabla210[[#This Row],[MONTO DE COMPRA]]</f>
        <v>0</v>
      </c>
    </row>
    <row r="123" spans="1:15" x14ac:dyDescent="0.25">
      <c r="A123" s="9">
        <v>44585</v>
      </c>
      <c r="B123" s="4" t="s">
        <v>418</v>
      </c>
      <c r="C123" s="4"/>
      <c r="D123" s="1" t="s">
        <v>392</v>
      </c>
      <c r="E123" s="4" t="s">
        <v>393</v>
      </c>
      <c r="F123" s="1" t="s">
        <v>408</v>
      </c>
      <c r="G123" s="1" t="s">
        <v>394</v>
      </c>
      <c r="H123" s="2">
        <v>410000</v>
      </c>
      <c r="I123" s="2">
        <f>Tabla210[[#This Row],[TOTAL FACTURA]]*0.6</f>
        <v>246000</v>
      </c>
      <c r="J123" s="2">
        <f>Tabla210[[#This Row],[TOTAL FACTURA]]*0.4</f>
        <v>164000</v>
      </c>
      <c r="K123" s="1" t="s">
        <v>433</v>
      </c>
      <c r="L123" s="2">
        <v>1050000</v>
      </c>
      <c r="M123" s="2">
        <v>1380000</v>
      </c>
      <c r="N123" s="1" t="s">
        <v>25</v>
      </c>
      <c r="O123" s="15">
        <f>Tabla210[[#This Row],[MONTO DE LA VENTA]]-Tabla210[[#This Row],[MONTO DE COMPRA]]</f>
        <v>330000</v>
      </c>
    </row>
    <row r="124" spans="1:15" x14ac:dyDescent="0.25">
      <c r="A124" s="9">
        <v>44585</v>
      </c>
      <c r="B124" s="4" t="s">
        <v>419</v>
      </c>
      <c r="C124" s="4"/>
      <c r="D124" s="1" t="s">
        <v>484</v>
      </c>
      <c r="E124" s="4" t="s">
        <v>395</v>
      </c>
      <c r="F124" s="1" t="s">
        <v>19</v>
      </c>
      <c r="G124" s="1" t="s">
        <v>206</v>
      </c>
      <c r="H124" s="2">
        <v>70000</v>
      </c>
      <c r="I124" s="2">
        <f>Tabla210[[#This Row],[TOTAL FACTURA]]*0.6</f>
        <v>42000</v>
      </c>
      <c r="J124" s="2">
        <f>Tabla210[[#This Row],[TOTAL FACTURA]]*0.4</f>
        <v>28000</v>
      </c>
      <c r="L124" s="2"/>
      <c r="M124" s="2"/>
      <c r="N124" s="1" t="s">
        <v>25</v>
      </c>
      <c r="O124" s="15">
        <f>Tabla210[[#This Row],[MONTO DE LA VENTA]]-Tabla210[[#This Row],[MONTO DE COMPRA]]</f>
        <v>0</v>
      </c>
    </row>
    <row r="125" spans="1:15" x14ac:dyDescent="0.25">
      <c r="A125" s="9">
        <v>44585</v>
      </c>
      <c r="B125" s="4" t="s">
        <v>420</v>
      </c>
      <c r="C125" s="4"/>
      <c r="D125" s="1" t="s">
        <v>22</v>
      </c>
      <c r="E125" s="4" t="s">
        <v>396</v>
      </c>
      <c r="F125" s="1" t="s">
        <v>10</v>
      </c>
      <c r="G125" s="1" t="s">
        <v>397</v>
      </c>
      <c r="H125" s="15">
        <v>200000</v>
      </c>
      <c r="I125" s="2">
        <f>Tabla210[[#This Row],[TOTAL FACTURA]]*0.6</f>
        <v>120000</v>
      </c>
      <c r="J125" s="2">
        <f>Tabla210[[#This Row],[TOTAL FACTURA]]*0.4</f>
        <v>80000</v>
      </c>
      <c r="L125" s="2"/>
      <c r="M125" s="2"/>
      <c r="N125" s="1" t="s">
        <v>25</v>
      </c>
      <c r="O125" s="15">
        <f>Tabla210[[#This Row],[MONTO DE LA VENTA]]-Tabla210[[#This Row],[MONTO DE COMPRA]]</f>
        <v>0</v>
      </c>
    </row>
    <row r="126" spans="1:15" x14ac:dyDescent="0.25">
      <c r="A126" s="9">
        <v>44585</v>
      </c>
      <c r="B126" s="4" t="s">
        <v>421</v>
      </c>
      <c r="C126" s="4"/>
      <c r="D126" s="1" t="s">
        <v>398</v>
      </c>
      <c r="E126" s="4" t="s">
        <v>399</v>
      </c>
      <c r="F126" s="1" t="s">
        <v>19</v>
      </c>
      <c r="G126" s="1" t="s">
        <v>400</v>
      </c>
      <c r="H126" s="2">
        <v>50000</v>
      </c>
      <c r="I126" s="2">
        <f>Tabla210[[#This Row],[TOTAL FACTURA]]*0.6</f>
        <v>30000</v>
      </c>
      <c r="J126" s="2">
        <f>Tabla210[[#This Row],[TOTAL FACTURA]]*0.4</f>
        <v>20000</v>
      </c>
      <c r="K126" s="1" t="s">
        <v>431</v>
      </c>
      <c r="L126" s="2">
        <v>220000</v>
      </c>
      <c r="M126" s="2">
        <v>250000</v>
      </c>
      <c r="N126" s="1" t="s">
        <v>25</v>
      </c>
      <c r="O126" s="15">
        <f>Tabla210[[#This Row],[MONTO DE LA VENTA]]-Tabla210[[#This Row],[MONTO DE COMPRA]]</f>
        <v>30000</v>
      </c>
    </row>
    <row r="127" spans="1:15" x14ac:dyDescent="0.25">
      <c r="A127" s="9">
        <v>44585</v>
      </c>
      <c r="B127" s="4" t="s">
        <v>422</v>
      </c>
      <c r="C127" s="4"/>
      <c r="D127" s="1" t="s">
        <v>398</v>
      </c>
      <c r="E127" s="4" t="s">
        <v>399</v>
      </c>
      <c r="F127" s="1" t="s">
        <v>16</v>
      </c>
      <c r="G127" s="1" t="s">
        <v>401</v>
      </c>
      <c r="H127" s="2">
        <v>70000</v>
      </c>
      <c r="I127" s="2">
        <f>Tabla210[[#This Row],[TOTAL FACTURA]]*0.6</f>
        <v>42000</v>
      </c>
      <c r="J127" s="2">
        <f>Tabla210[[#This Row],[TOTAL FACTURA]]*0.4</f>
        <v>28000</v>
      </c>
      <c r="K127" s="1" t="s">
        <v>432</v>
      </c>
      <c r="L127" s="2">
        <v>140000</v>
      </c>
      <c r="M127" s="2">
        <v>150000</v>
      </c>
      <c r="N127" s="1" t="s">
        <v>25</v>
      </c>
      <c r="O127" s="15">
        <f>Tabla210[[#This Row],[MONTO DE LA VENTA]]-Tabla210[[#This Row],[MONTO DE COMPRA]]</f>
        <v>10000</v>
      </c>
    </row>
    <row r="128" spans="1:15" ht="18.75" customHeight="1" x14ac:dyDescent="0.25">
      <c r="A128" s="9">
        <v>44585</v>
      </c>
      <c r="C128" s="4"/>
      <c r="D128" s="1" t="s">
        <v>402</v>
      </c>
      <c r="E128" s="4" t="s">
        <v>403</v>
      </c>
      <c r="F128" s="1" t="s">
        <v>408</v>
      </c>
      <c r="G128" s="1" t="s">
        <v>471</v>
      </c>
      <c r="H128" s="2">
        <v>250000</v>
      </c>
      <c r="I128" s="2">
        <f>Tabla210[[#This Row],[TOTAL FACTURA]]*0.6</f>
        <v>150000</v>
      </c>
      <c r="J128" s="2">
        <f>Tabla210[[#This Row],[TOTAL FACTURA]]*0.4</f>
        <v>100000</v>
      </c>
      <c r="K128" s="1" t="s">
        <v>430</v>
      </c>
      <c r="L128" s="2">
        <v>322000</v>
      </c>
      <c r="M128" s="2">
        <v>397000</v>
      </c>
      <c r="N128" s="1" t="s">
        <v>25</v>
      </c>
      <c r="O128" s="15">
        <f>Tabla210[[#This Row],[MONTO DE LA VENTA]]-Tabla210[[#This Row],[MONTO DE COMPRA]]</f>
        <v>75000</v>
      </c>
    </row>
    <row r="129" spans="1:15" x14ac:dyDescent="0.25">
      <c r="A129" s="9">
        <v>44585</v>
      </c>
      <c r="C129" s="4"/>
      <c r="D129" s="1" t="s">
        <v>240</v>
      </c>
      <c r="E129" s="4" t="s">
        <v>404</v>
      </c>
      <c r="F129" s="1" t="s">
        <v>19</v>
      </c>
      <c r="G129" s="1" t="s">
        <v>21</v>
      </c>
      <c r="H129" s="2">
        <v>10000</v>
      </c>
      <c r="I129" s="2">
        <f>Tabla210[[#This Row],[TOTAL FACTURA]]*0.6</f>
        <v>6000</v>
      </c>
      <c r="J129" s="2">
        <f>Tabla210[[#This Row],[TOTAL FACTURA]]*0.4</f>
        <v>4000</v>
      </c>
      <c r="L129" s="2"/>
      <c r="M129" s="2"/>
      <c r="N129" s="1" t="s">
        <v>25</v>
      </c>
      <c r="O129" s="15">
        <f>Tabla210[[#This Row],[MONTO DE LA VENTA]]-Tabla210[[#This Row],[MONTO DE COMPRA]]</f>
        <v>0</v>
      </c>
    </row>
    <row r="130" spans="1:15" x14ac:dyDescent="0.25">
      <c r="A130" s="9">
        <v>44585</v>
      </c>
      <c r="C130" s="4"/>
      <c r="D130" s="1" t="s">
        <v>405</v>
      </c>
      <c r="E130" s="4" t="s">
        <v>406</v>
      </c>
      <c r="F130" s="1" t="s">
        <v>19</v>
      </c>
      <c r="G130" s="1" t="s">
        <v>407</v>
      </c>
      <c r="H130" s="2">
        <v>40000</v>
      </c>
      <c r="I130" s="2">
        <f>Tabla210[[#This Row],[TOTAL FACTURA]]*0.6</f>
        <v>24000</v>
      </c>
      <c r="J130" s="2">
        <f>Tabla210[[#This Row],[TOTAL FACTURA]]*0.4</f>
        <v>16000</v>
      </c>
      <c r="L130" s="2"/>
      <c r="M130" s="2"/>
      <c r="N130" s="1" t="s">
        <v>25</v>
      </c>
      <c r="O130" s="15">
        <f>Tabla210[[#This Row],[MONTO DE LA VENTA]]-Tabla210[[#This Row],[MONTO DE COMPRA]]</f>
        <v>0</v>
      </c>
    </row>
    <row r="131" spans="1:15" x14ac:dyDescent="0.25">
      <c r="A131" s="9">
        <v>44586</v>
      </c>
      <c r="C131" s="4"/>
      <c r="D131" s="1" t="s">
        <v>410</v>
      </c>
      <c r="E131" s="4" t="s">
        <v>409</v>
      </c>
      <c r="F131" s="1" t="s">
        <v>408</v>
      </c>
      <c r="G131" s="1" t="s">
        <v>411</v>
      </c>
      <c r="H131" s="15">
        <v>10000</v>
      </c>
      <c r="I131" s="15">
        <f>Tabla210[[#This Row],[TOTAL FACTURA]]*0.6</f>
        <v>6000</v>
      </c>
      <c r="J131" s="15">
        <f>Tabla210[[#This Row],[TOTAL FACTURA]]*0.4</f>
        <v>4000</v>
      </c>
      <c r="L131" s="15"/>
      <c r="M131" s="15"/>
      <c r="N131" s="1" t="s">
        <v>25</v>
      </c>
      <c r="O131" s="15">
        <f>Tabla210[[#This Row],[MONTO DE LA VENTA]]-Tabla210[[#This Row],[MONTO DE COMPRA]]</f>
        <v>0</v>
      </c>
    </row>
    <row r="132" spans="1:15" x14ac:dyDescent="0.25">
      <c r="A132" s="9">
        <v>44586</v>
      </c>
      <c r="B132" s="4" t="s">
        <v>416</v>
      </c>
      <c r="C132" s="4"/>
      <c r="D132" s="1" t="s">
        <v>412</v>
      </c>
      <c r="E132" s="4" t="s">
        <v>413</v>
      </c>
      <c r="F132" s="1" t="s">
        <v>408</v>
      </c>
      <c r="G132" s="1" t="s">
        <v>414</v>
      </c>
      <c r="H132" s="2">
        <v>100000</v>
      </c>
      <c r="I132" s="2">
        <f>Tabla210[[#This Row],[TOTAL FACTURA]]*0.6</f>
        <v>60000</v>
      </c>
      <c r="J132" s="2">
        <f>Tabla210[[#This Row],[TOTAL FACTURA]]*0.4</f>
        <v>40000</v>
      </c>
      <c r="K132" s="1" t="s">
        <v>415</v>
      </c>
      <c r="L132" s="2">
        <f>265000+1200+15000</f>
        <v>281200</v>
      </c>
      <c r="M132" s="2">
        <f>380000+25000+5000</f>
        <v>410000</v>
      </c>
      <c r="N132" s="1" t="s">
        <v>25</v>
      </c>
      <c r="O132" s="15">
        <f>Tabla210[[#This Row],[MONTO DE LA VENTA]]-Tabla210[[#This Row],[MONTO DE COMPRA]]</f>
        <v>128800</v>
      </c>
    </row>
    <row r="133" spans="1:15" x14ac:dyDescent="0.25">
      <c r="A133" s="9">
        <v>44586</v>
      </c>
      <c r="C133" s="4"/>
      <c r="D133" s="1" t="s">
        <v>54</v>
      </c>
      <c r="E133" s="4" t="s">
        <v>424</v>
      </c>
      <c r="F133" s="1" t="s">
        <v>19</v>
      </c>
      <c r="G133" s="1" t="s">
        <v>423</v>
      </c>
      <c r="H133" s="2">
        <v>100000</v>
      </c>
      <c r="I133" s="2">
        <f>Tabla210[[#This Row],[TOTAL FACTURA]]*0.6</f>
        <v>60000</v>
      </c>
      <c r="J133" s="2">
        <f>Tabla210[[#This Row],[TOTAL FACTURA]]*0.4</f>
        <v>40000</v>
      </c>
      <c r="L133" s="2"/>
      <c r="M133" s="2"/>
      <c r="N133" s="1" t="s">
        <v>25</v>
      </c>
      <c r="O133" s="15">
        <f>Tabla210[[#This Row],[MONTO DE LA VENTA]]-Tabla210[[#This Row],[MONTO DE COMPRA]]</f>
        <v>0</v>
      </c>
    </row>
    <row r="134" spans="1:15" x14ac:dyDescent="0.25">
      <c r="A134" s="9">
        <v>44586</v>
      </c>
      <c r="C134" s="4"/>
      <c r="D134" s="1" t="s">
        <v>213</v>
      </c>
      <c r="E134" s="4">
        <v>72</v>
      </c>
      <c r="F134" s="1" t="s">
        <v>30</v>
      </c>
      <c r="G134" s="1" t="s">
        <v>101</v>
      </c>
      <c r="H134" s="2">
        <v>450000</v>
      </c>
      <c r="I134" s="2">
        <v>270000</v>
      </c>
      <c r="J134" s="45">
        <f>Tabla210[[#This Row],[TOTAL FACTURA]]*0.4</f>
        <v>180000</v>
      </c>
      <c r="L134" s="2"/>
      <c r="M134" s="2"/>
      <c r="N134" s="1" t="s">
        <v>25</v>
      </c>
      <c r="O134" s="15">
        <f>Tabla210[[#This Row],[MONTO DE COMPRA]]-Tabla210[[#This Row],[MONTO DE LA VENTA]]</f>
        <v>0</v>
      </c>
    </row>
    <row r="135" spans="1:15" x14ac:dyDescent="0.25">
      <c r="A135" s="9">
        <v>44586</v>
      </c>
      <c r="B135" s="4" t="s">
        <v>427</v>
      </c>
      <c r="C135" s="4"/>
      <c r="D135" s="1" t="s">
        <v>425</v>
      </c>
      <c r="E135" s="4" t="s">
        <v>426</v>
      </c>
      <c r="F135" s="1" t="s">
        <v>19</v>
      </c>
      <c r="G135" s="1" t="s">
        <v>140</v>
      </c>
      <c r="H135" s="2">
        <v>50000</v>
      </c>
      <c r="I135" s="2">
        <f>Tabla210[[#This Row],[TOTAL FACTURA]]*0.6</f>
        <v>30000</v>
      </c>
      <c r="J135" s="2">
        <f>Tabla210[[#This Row],[TOTAL FACTURA]]*0.4</f>
        <v>20000</v>
      </c>
      <c r="L135" s="2"/>
      <c r="M135" s="2"/>
      <c r="N135" s="1" t="s">
        <v>25</v>
      </c>
      <c r="O135" s="15">
        <f>Tabla210[[#This Row],[MONTO DE LA VENTA]]-Tabla210[[#This Row],[MONTO DE COMPRA]]</f>
        <v>0</v>
      </c>
    </row>
    <row r="136" spans="1:15" x14ac:dyDescent="0.25">
      <c r="A136" s="9">
        <v>44587</v>
      </c>
      <c r="C136" s="4"/>
      <c r="E136" s="4"/>
      <c r="F136" s="1" t="s">
        <v>16</v>
      </c>
      <c r="G136" s="1" t="s">
        <v>434</v>
      </c>
      <c r="H136" s="2">
        <v>20000</v>
      </c>
      <c r="I136" s="2">
        <f>Tabla210[[#This Row],[TOTAL FACTURA]]*0.6</f>
        <v>12000</v>
      </c>
      <c r="J136" s="2">
        <f>Tabla210[[#This Row],[TOTAL FACTURA]]*0.4</f>
        <v>8000</v>
      </c>
      <c r="L136" s="2"/>
      <c r="M136" s="2"/>
      <c r="N136" s="1" t="s">
        <v>25</v>
      </c>
      <c r="O136" s="15">
        <f>Tabla210[[#This Row],[MONTO DE LA VENTA]]-Tabla210[[#This Row],[MONTO DE COMPRA]]</f>
        <v>0</v>
      </c>
    </row>
    <row r="137" spans="1:15" x14ac:dyDescent="0.25">
      <c r="A137" s="9">
        <v>44587</v>
      </c>
      <c r="C137" s="4"/>
      <c r="D137" s="1" t="s">
        <v>435</v>
      </c>
      <c r="E137" s="4" t="s">
        <v>436</v>
      </c>
      <c r="F137" s="1" t="s">
        <v>10</v>
      </c>
      <c r="G137" s="1" t="s">
        <v>437</v>
      </c>
      <c r="H137" s="2">
        <v>20000</v>
      </c>
      <c r="I137" s="2">
        <f>Tabla210[[#This Row],[TOTAL FACTURA]]*0.6</f>
        <v>12000</v>
      </c>
      <c r="J137" s="2">
        <f>Tabla210[[#This Row],[TOTAL FACTURA]]*0.4</f>
        <v>8000</v>
      </c>
      <c r="L137" s="2"/>
      <c r="M137" s="2"/>
      <c r="N137" s="1" t="s">
        <v>25</v>
      </c>
      <c r="O137" s="15">
        <f>Tabla210[[#This Row],[MONTO DE LA VENTA]]-Tabla210[[#This Row],[MONTO DE COMPRA]]</f>
        <v>0</v>
      </c>
    </row>
    <row r="138" spans="1:15" x14ac:dyDescent="0.25">
      <c r="A138" s="9">
        <v>44587</v>
      </c>
      <c r="C138" s="4"/>
      <c r="D138" s="1" t="s">
        <v>96</v>
      </c>
      <c r="E138" s="4" t="s">
        <v>438</v>
      </c>
      <c r="F138" s="1" t="s">
        <v>19</v>
      </c>
      <c r="G138" s="1" t="s">
        <v>206</v>
      </c>
      <c r="H138" s="2">
        <v>50000</v>
      </c>
      <c r="I138" s="2">
        <f>Tabla210[[#This Row],[TOTAL FACTURA]]*0.6</f>
        <v>30000</v>
      </c>
      <c r="J138" s="2">
        <f>Tabla210[[#This Row],[TOTAL FACTURA]]*0.4</f>
        <v>20000</v>
      </c>
      <c r="L138" s="2"/>
      <c r="M138" s="2"/>
      <c r="N138" s="1" t="s">
        <v>25</v>
      </c>
      <c r="O138" s="15">
        <f>Tabla210[[#This Row],[MONTO DE LA VENTA]]-Tabla210[[#This Row],[MONTO DE COMPRA]]</f>
        <v>0</v>
      </c>
    </row>
    <row r="139" spans="1:15" ht="14.25" customHeight="1" x14ac:dyDescent="0.25">
      <c r="A139" s="9">
        <v>44587</v>
      </c>
      <c r="C139" s="4"/>
      <c r="D139" s="1" t="s">
        <v>439</v>
      </c>
      <c r="E139" s="4" t="s">
        <v>440</v>
      </c>
      <c r="F139" s="1" t="s">
        <v>408</v>
      </c>
      <c r="G139" s="1" t="s">
        <v>441</v>
      </c>
      <c r="H139" s="15">
        <v>150000</v>
      </c>
      <c r="I139" s="15">
        <v>80000</v>
      </c>
      <c r="J139" s="15">
        <f>Tabla210[[#This Row],[TOTAL FACTURA]]*0.4</f>
        <v>60000</v>
      </c>
      <c r="K139" s="1" t="s">
        <v>448</v>
      </c>
      <c r="L139" s="15">
        <v>58000</v>
      </c>
      <c r="M139" s="15">
        <f>52000+23000</f>
        <v>75000</v>
      </c>
      <c r="N139" s="1" t="s">
        <v>25</v>
      </c>
      <c r="O139" s="15">
        <f>Tabla210[[#This Row],[MONTO DE LA VENTA]]-Tabla210[[#This Row],[MONTO DE COMPRA]]</f>
        <v>17000</v>
      </c>
    </row>
    <row r="140" spans="1:15" x14ac:dyDescent="0.25">
      <c r="A140" s="9">
        <v>44587</v>
      </c>
      <c r="C140" s="4"/>
      <c r="D140" s="1" t="s">
        <v>23</v>
      </c>
      <c r="E140" s="4" t="s">
        <v>442</v>
      </c>
      <c r="F140" s="1" t="s">
        <v>10</v>
      </c>
      <c r="G140" s="1" t="s">
        <v>443</v>
      </c>
      <c r="H140" s="2">
        <v>300000</v>
      </c>
      <c r="I140" s="2">
        <f>Tabla210[[#This Row],[TOTAL FACTURA]]*0.6</f>
        <v>180000</v>
      </c>
      <c r="J140" s="2">
        <f>Tabla210[[#This Row],[TOTAL FACTURA]]*0.4</f>
        <v>120000</v>
      </c>
      <c r="K140" s="1" t="s">
        <v>447</v>
      </c>
      <c r="L140" s="2"/>
      <c r="M140" s="2"/>
      <c r="N140" s="1" t="s">
        <v>25</v>
      </c>
      <c r="O140" s="15">
        <f>Tabla210[[#This Row],[MONTO DE LA VENTA]]-Tabla210[[#This Row],[MONTO DE COMPRA]]</f>
        <v>0</v>
      </c>
    </row>
    <row r="141" spans="1:15" x14ac:dyDescent="0.25">
      <c r="A141" s="9">
        <v>44587</v>
      </c>
      <c r="C141" s="4"/>
      <c r="D141" s="1" t="s">
        <v>48</v>
      </c>
      <c r="E141" s="4" t="s">
        <v>444</v>
      </c>
      <c r="F141" s="1" t="s">
        <v>30</v>
      </c>
      <c r="G141" s="1" t="s">
        <v>446</v>
      </c>
      <c r="H141" s="2">
        <v>120000</v>
      </c>
      <c r="I141" s="2">
        <f>Tabla210[[#This Row],[TOTAL FACTURA]]*0.6</f>
        <v>72000</v>
      </c>
      <c r="J141" s="2">
        <f>Tabla210[[#This Row],[TOTAL FACTURA]]*0.4</f>
        <v>48000</v>
      </c>
      <c r="K141" s="1" t="s">
        <v>445</v>
      </c>
      <c r="L141" s="2">
        <f>310000+40000</f>
        <v>350000</v>
      </c>
      <c r="M141" s="2">
        <v>520000</v>
      </c>
      <c r="N141" s="1" t="s">
        <v>25</v>
      </c>
      <c r="O141" s="15">
        <f>Tabla210[[#This Row],[MONTO DE LA VENTA]]-Tabla210[[#This Row],[MONTO DE COMPRA]]</f>
        <v>170000</v>
      </c>
    </row>
    <row r="142" spans="1:15" x14ac:dyDescent="0.25">
      <c r="A142" s="9">
        <v>44587</v>
      </c>
      <c r="C142" s="4"/>
      <c r="D142" s="1" t="s">
        <v>450</v>
      </c>
      <c r="E142" s="4" t="s">
        <v>449</v>
      </c>
      <c r="F142" s="1" t="s">
        <v>34</v>
      </c>
      <c r="G142" s="1" t="s">
        <v>341</v>
      </c>
      <c r="H142" s="15">
        <v>10000</v>
      </c>
      <c r="I142" s="15">
        <f>Tabla210[[#This Row],[TOTAL FACTURA]]*0.6</f>
        <v>6000</v>
      </c>
      <c r="J142" s="15">
        <f>Tabla210[[#This Row],[TOTAL FACTURA]]*0.4</f>
        <v>4000</v>
      </c>
      <c r="L142" s="15"/>
      <c r="M142" s="15"/>
      <c r="N142" s="1" t="s">
        <v>25</v>
      </c>
      <c r="O142" s="15">
        <f>Tabla210[[#This Row],[MONTO DE LA VENTA]]-Tabla210[[#This Row],[MONTO DE COMPRA]]</f>
        <v>0</v>
      </c>
    </row>
    <row r="143" spans="1:15" x14ac:dyDescent="0.25">
      <c r="A143" s="9">
        <v>44586</v>
      </c>
      <c r="C143" s="4"/>
      <c r="D143" s="1" t="s">
        <v>452</v>
      </c>
      <c r="E143" s="4" t="s">
        <v>453</v>
      </c>
      <c r="F143" s="1" t="s">
        <v>34</v>
      </c>
      <c r="G143" s="1" t="s">
        <v>454</v>
      </c>
      <c r="H143" s="2">
        <v>150000</v>
      </c>
      <c r="I143" s="2">
        <f>Tabla210[[#This Row],[TOTAL FACTURA]]*0.6</f>
        <v>90000</v>
      </c>
      <c r="J143" s="2">
        <f>Tabla210[[#This Row],[TOTAL FACTURA]]*0.4</f>
        <v>60000</v>
      </c>
      <c r="L143" s="2"/>
      <c r="M143" s="2"/>
      <c r="N143" s="1" t="s">
        <v>25</v>
      </c>
      <c r="O143" s="15">
        <f>Tabla210[[#This Row],[MONTO DE LA VENTA]]-Tabla210[[#This Row],[MONTO DE COMPRA]]</f>
        <v>0</v>
      </c>
    </row>
    <row r="144" spans="1:15" x14ac:dyDescent="0.25">
      <c r="A144" s="9">
        <v>44588</v>
      </c>
      <c r="B144" s="4" t="s">
        <v>455</v>
      </c>
      <c r="C144" s="4"/>
      <c r="D144" s="1" t="s">
        <v>242</v>
      </c>
      <c r="E144" s="4" t="s">
        <v>456</v>
      </c>
      <c r="F144" s="1" t="s">
        <v>408</v>
      </c>
      <c r="G144" s="1" t="s">
        <v>457</v>
      </c>
      <c r="H144" s="2">
        <v>40000</v>
      </c>
      <c r="I144" s="2">
        <f>Tabla210[[#This Row],[TOTAL FACTURA]]*0.6</f>
        <v>24000</v>
      </c>
      <c r="J144" s="2">
        <f>Tabla210[[#This Row],[TOTAL FACTURA]]*0.4</f>
        <v>16000</v>
      </c>
      <c r="K144" s="1" t="s">
        <v>458</v>
      </c>
      <c r="L144" s="2">
        <f>60000+34000</f>
        <v>94000</v>
      </c>
      <c r="M144" s="2">
        <v>120000</v>
      </c>
      <c r="N144" s="1" t="s">
        <v>25</v>
      </c>
      <c r="O144" s="15">
        <f>Tabla210[[#This Row],[MONTO DE LA VENTA]]-Tabla210[[#This Row],[MONTO DE COMPRA]]</f>
        <v>26000</v>
      </c>
    </row>
    <row r="145" spans="1:15" x14ac:dyDescent="0.25">
      <c r="A145" s="9">
        <v>44588</v>
      </c>
      <c r="B145" s="4" t="s">
        <v>459</v>
      </c>
      <c r="C145" s="4"/>
      <c r="D145" s="1" t="s">
        <v>460</v>
      </c>
      <c r="E145" s="4" t="s">
        <v>461</v>
      </c>
      <c r="F145" s="1" t="s">
        <v>19</v>
      </c>
      <c r="G145" s="1" t="s">
        <v>211</v>
      </c>
      <c r="H145" s="2">
        <v>30000</v>
      </c>
      <c r="I145" s="2">
        <f>Tabla210[[#This Row],[TOTAL FACTURA]]*0.6</f>
        <v>18000</v>
      </c>
      <c r="J145" s="2">
        <f>Tabla210[[#This Row],[TOTAL FACTURA]]*0.4</f>
        <v>12000</v>
      </c>
      <c r="K145" s="1" t="s">
        <v>217</v>
      </c>
      <c r="L145" s="2">
        <v>120000</v>
      </c>
      <c r="M145" s="2">
        <v>180000</v>
      </c>
      <c r="N145" s="1" t="s">
        <v>25</v>
      </c>
      <c r="O145" s="15">
        <f>Tabla210[[#This Row],[MONTO DE LA VENTA]]-Tabla210[[#This Row],[MONTO DE COMPRA]]</f>
        <v>60000</v>
      </c>
    </row>
    <row r="146" spans="1:15" x14ac:dyDescent="0.25">
      <c r="A146" s="9">
        <v>44588</v>
      </c>
      <c r="C146" s="4"/>
      <c r="D146" s="1" t="s">
        <v>462</v>
      </c>
      <c r="E146" s="4" t="s">
        <v>463</v>
      </c>
      <c r="F146" s="1" t="s">
        <v>408</v>
      </c>
      <c r="G146" s="1" t="s">
        <v>464</v>
      </c>
      <c r="H146" s="15">
        <v>80000</v>
      </c>
      <c r="I146" s="15">
        <f>Tabla210[[#This Row],[TOTAL FACTURA]]*0.6</f>
        <v>48000</v>
      </c>
      <c r="J146" s="15">
        <f>Tabla210[[#This Row],[TOTAL FACTURA]]*0.4</f>
        <v>32000</v>
      </c>
      <c r="L146" s="15"/>
      <c r="M146" s="15"/>
      <c r="N146" s="1" t="s">
        <v>25</v>
      </c>
      <c r="O146" s="15">
        <f>Tabla210[[#This Row],[MONTO DE LA VENTA]]-Tabla210[[#This Row],[MONTO DE COMPRA]]</f>
        <v>0</v>
      </c>
    </row>
    <row r="147" spans="1:15" x14ac:dyDescent="0.25">
      <c r="A147" s="9">
        <v>44588</v>
      </c>
      <c r="B147" s="4" t="s">
        <v>465</v>
      </c>
      <c r="C147" s="4"/>
      <c r="D147" s="1" t="s">
        <v>466</v>
      </c>
      <c r="E147" s="4" t="s">
        <v>467</v>
      </c>
      <c r="F147" s="1" t="s">
        <v>408</v>
      </c>
      <c r="G147" s="1" t="s">
        <v>468</v>
      </c>
      <c r="H147" s="2">
        <v>160000</v>
      </c>
      <c r="I147" s="2">
        <f>Tabla210[[#This Row],[TOTAL FACTURA]]*0.6</f>
        <v>96000</v>
      </c>
      <c r="J147" s="2">
        <f>Tabla210[[#This Row],[TOTAL FACTURA]]*0.4</f>
        <v>64000</v>
      </c>
      <c r="K147" s="1" t="s">
        <v>469</v>
      </c>
      <c r="L147" s="2">
        <f>240000+35000</f>
        <v>275000</v>
      </c>
      <c r="M147" s="2">
        <v>350000</v>
      </c>
      <c r="N147" s="1" t="s">
        <v>25</v>
      </c>
      <c r="O147" s="15">
        <f>Tabla210[[#This Row],[MONTO DE LA VENTA]]-Tabla210[[#This Row],[MONTO DE COMPRA]]</f>
        <v>75000</v>
      </c>
    </row>
    <row r="148" spans="1:15" x14ac:dyDescent="0.25">
      <c r="A148" s="9">
        <v>44588</v>
      </c>
      <c r="C148" s="4"/>
      <c r="D148" s="1" t="s">
        <v>84</v>
      </c>
      <c r="E148" s="4" t="s">
        <v>470</v>
      </c>
      <c r="F148" s="1" t="s">
        <v>34</v>
      </c>
      <c r="G148" s="1" t="s">
        <v>21</v>
      </c>
      <c r="H148" s="2">
        <v>10000</v>
      </c>
      <c r="I148" s="2">
        <f>Tabla210[[#This Row],[TOTAL FACTURA]]*0.6</f>
        <v>6000</v>
      </c>
      <c r="J148" s="2">
        <f>Tabla210[[#This Row],[TOTAL FACTURA]]*0.4</f>
        <v>4000</v>
      </c>
      <c r="L148" s="2"/>
      <c r="M148" s="2"/>
      <c r="N148" s="1" t="s">
        <v>25</v>
      </c>
      <c r="O148" s="15">
        <f>Tabla210[[#This Row],[MONTO DE LA VENTA]]-Tabla210[[#This Row],[MONTO DE COMPRA]]</f>
        <v>0</v>
      </c>
    </row>
    <row r="149" spans="1:15" x14ac:dyDescent="0.25">
      <c r="A149" s="9">
        <v>44589</v>
      </c>
      <c r="B149" s="4" t="s">
        <v>472</v>
      </c>
      <c r="C149" s="4"/>
      <c r="D149" s="1" t="s">
        <v>473</v>
      </c>
      <c r="E149" s="4" t="s">
        <v>474</v>
      </c>
      <c r="F149" s="1" t="s">
        <v>10</v>
      </c>
      <c r="G149" s="1" t="s">
        <v>475</v>
      </c>
      <c r="H149" s="2">
        <v>180000</v>
      </c>
      <c r="I149" s="2">
        <f>Tabla210[[#This Row],[TOTAL FACTURA]]*0.6</f>
        <v>108000</v>
      </c>
      <c r="J149" s="2">
        <f>Tabla210[[#This Row],[TOTAL FACTURA]]*0.4</f>
        <v>72000</v>
      </c>
      <c r="K149" s="1" t="s">
        <v>476</v>
      </c>
      <c r="L149" s="2">
        <v>445000</v>
      </c>
      <c r="M149" s="2">
        <v>565000</v>
      </c>
      <c r="N149" s="1" t="s">
        <v>25</v>
      </c>
      <c r="O149" s="15">
        <f>Tabla210[[#This Row],[MONTO DE LA VENTA]]-Tabla210[[#This Row],[MONTO DE COMPRA]]</f>
        <v>120000</v>
      </c>
    </row>
    <row r="150" spans="1:15" x14ac:dyDescent="0.25">
      <c r="A150" s="9">
        <v>44589</v>
      </c>
      <c r="B150" s="4" t="s">
        <v>477</v>
      </c>
      <c r="C150" s="4"/>
      <c r="D150" s="1" t="s">
        <v>402</v>
      </c>
      <c r="E150" s="4" t="s">
        <v>478</v>
      </c>
      <c r="F150" s="1" t="s">
        <v>19</v>
      </c>
      <c r="G150" s="1" t="s">
        <v>479</v>
      </c>
      <c r="H150" s="2">
        <v>30000</v>
      </c>
      <c r="I150" s="2">
        <f>Tabla210[[#This Row],[TOTAL FACTURA]]*0.6</f>
        <v>18000</v>
      </c>
      <c r="J150" s="2">
        <f>Tabla210[[#This Row],[TOTAL FACTURA]]*0.4</f>
        <v>12000</v>
      </c>
      <c r="K150" s="1" t="s">
        <v>480</v>
      </c>
      <c r="L150" s="2">
        <v>28000</v>
      </c>
      <c r="M150" s="2">
        <v>45000</v>
      </c>
      <c r="N150" s="1" t="s">
        <v>25</v>
      </c>
      <c r="O150" s="15">
        <f>Tabla210[[#This Row],[MONTO DE LA VENTA]]-Tabla210[[#This Row],[MONTO DE COMPRA]]</f>
        <v>17000</v>
      </c>
    </row>
    <row r="151" spans="1:15" x14ac:dyDescent="0.25">
      <c r="A151" s="9">
        <v>44590</v>
      </c>
      <c r="C151" s="4"/>
      <c r="D151" s="1" t="s">
        <v>485</v>
      </c>
      <c r="E151" s="4" t="s">
        <v>486</v>
      </c>
      <c r="F151" s="1" t="s">
        <v>19</v>
      </c>
      <c r="G151" s="1" t="s">
        <v>21</v>
      </c>
      <c r="H151" s="2">
        <v>10000</v>
      </c>
      <c r="I151" s="2">
        <f>Tabla210[[#This Row],[TOTAL FACTURA]]*0.6</f>
        <v>6000</v>
      </c>
      <c r="J151" s="2">
        <f>Tabla210[[#This Row],[TOTAL FACTURA]]*0.4</f>
        <v>4000</v>
      </c>
      <c r="L151" s="2"/>
      <c r="M151" s="2"/>
      <c r="N151" s="1" t="s">
        <v>25</v>
      </c>
      <c r="O151" s="15">
        <f>Tabla210[[#This Row],[MONTO DE LA VENTA]]-Tabla210[[#This Row],[MONTO DE COMPRA]]</f>
        <v>0</v>
      </c>
    </row>
    <row r="152" spans="1:15" x14ac:dyDescent="0.25">
      <c r="A152" s="9">
        <v>44590</v>
      </c>
      <c r="C152" s="4"/>
      <c r="D152" s="1" t="s">
        <v>487</v>
      </c>
      <c r="E152" s="4"/>
      <c r="F152" s="1" t="s">
        <v>408</v>
      </c>
      <c r="G152" s="1" t="s">
        <v>21</v>
      </c>
      <c r="H152" s="2">
        <v>10000</v>
      </c>
      <c r="I152" s="2">
        <f>Tabla210[[#This Row],[TOTAL FACTURA]]*0.6</f>
        <v>6000</v>
      </c>
      <c r="J152" s="2">
        <f>Tabla210[[#This Row],[TOTAL FACTURA]]*0.4</f>
        <v>4000</v>
      </c>
      <c r="L152" s="2"/>
      <c r="M152" s="2"/>
      <c r="N152" s="1" t="s">
        <v>25</v>
      </c>
      <c r="O152" s="15">
        <f>Tabla210[[#This Row],[MONTO DE LA VENTA]]-Tabla210[[#This Row],[MONTO DE COMPRA]]</f>
        <v>0</v>
      </c>
    </row>
    <row r="153" spans="1:15" x14ac:dyDescent="0.25">
      <c r="A153" s="9">
        <v>44590</v>
      </c>
      <c r="B153" s="4" t="s">
        <v>488</v>
      </c>
      <c r="C153" s="4"/>
      <c r="D153" s="1" t="s">
        <v>385</v>
      </c>
      <c r="E153" s="4" t="s">
        <v>489</v>
      </c>
      <c r="F153" s="1" t="s">
        <v>10</v>
      </c>
      <c r="G153" s="1" t="s">
        <v>174</v>
      </c>
      <c r="H153" s="2">
        <v>130000</v>
      </c>
      <c r="I153" s="2">
        <f>Tabla210[[#This Row],[TOTAL FACTURA]]*0.6</f>
        <v>78000</v>
      </c>
      <c r="J153" s="2">
        <f>Tabla210[[#This Row],[TOTAL FACTURA]]*0.4</f>
        <v>52000</v>
      </c>
      <c r="K153" s="1" t="s">
        <v>491</v>
      </c>
      <c r="L153" s="2">
        <v>215600</v>
      </c>
      <c r="M153" s="2">
        <v>310000</v>
      </c>
      <c r="N153" s="1" t="s">
        <v>25</v>
      </c>
      <c r="O153" s="15">
        <f>Tabla210[[#This Row],[MONTO DE LA VENTA]]-Tabla210[[#This Row],[MONTO DE COMPRA]]</f>
        <v>94400</v>
      </c>
    </row>
    <row r="154" spans="1:15" x14ac:dyDescent="0.25">
      <c r="A154" s="9">
        <v>44590</v>
      </c>
      <c r="B154" s="4" t="s">
        <v>488</v>
      </c>
      <c r="C154" s="4"/>
      <c r="D154" s="1" t="s">
        <v>385</v>
      </c>
      <c r="E154" s="4" t="s">
        <v>489</v>
      </c>
      <c r="F154" s="1" t="s">
        <v>408</v>
      </c>
      <c r="G154" s="1" t="s">
        <v>490</v>
      </c>
      <c r="H154" s="15">
        <v>40000</v>
      </c>
      <c r="I154" s="2">
        <f>Tabla210[[#This Row],[TOTAL FACTURA]]*0.6</f>
        <v>24000</v>
      </c>
      <c r="J154" s="2">
        <f>Tabla210[[#This Row],[TOTAL FACTURA]]*0.4</f>
        <v>16000</v>
      </c>
      <c r="L154" s="2"/>
      <c r="M154" s="2"/>
      <c r="N154" s="1" t="s">
        <v>25</v>
      </c>
      <c r="O154" s="15">
        <f>Tabla210[[#This Row],[MONTO DE LA VENTA]]-Tabla210[[#This Row],[MONTO DE COMPRA]]</f>
        <v>0</v>
      </c>
    </row>
    <row r="155" spans="1:15" x14ac:dyDescent="0.25">
      <c r="A155" s="9">
        <v>44590</v>
      </c>
      <c r="B155" s="4" t="s">
        <v>492</v>
      </c>
      <c r="C155" s="4"/>
      <c r="D155" s="1" t="s">
        <v>493</v>
      </c>
      <c r="E155" s="4" t="s">
        <v>494</v>
      </c>
      <c r="F155" s="1" t="s">
        <v>19</v>
      </c>
      <c r="G155" s="1" t="s">
        <v>495</v>
      </c>
      <c r="H155" s="2">
        <v>90000</v>
      </c>
      <c r="I155" s="2">
        <f>Tabla210[[#This Row],[TOTAL FACTURA]]*0.6</f>
        <v>54000</v>
      </c>
      <c r="J155" s="2">
        <f>Tabla210[[#This Row],[TOTAL FACTURA]]*0.4</f>
        <v>36000</v>
      </c>
      <c r="K155" s="1" t="s">
        <v>496</v>
      </c>
      <c r="L155" s="2">
        <f>545000+13025+30000+13025</f>
        <v>601050</v>
      </c>
      <c r="M155" s="2">
        <v>872000</v>
      </c>
      <c r="N155" s="1" t="s">
        <v>25</v>
      </c>
      <c r="O155" s="15">
        <f>Tabla210[[#This Row],[MONTO DE LA VENTA]]-Tabla210[[#This Row],[MONTO DE COMPRA]]</f>
        <v>270950</v>
      </c>
    </row>
    <row r="156" spans="1:15" x14ac:dyDescent="0.25">
      <c r="A156" s="9">
        <v>44592</v>
      </c>
      <c r="C156" s="4"/>
      <c r="D156" s="1" t="s">
        <v>142</v>
      </c>
      <c r="E156" s="4" t="s">
        <v>497</v>
      </c>
      <c r="F156" s="1" t="s">
        <v>16</v>
      </c>
      <c r="G156" s="1" t="s">
        <v>498</v>
      </c>
      <c r="H156" s="2">
        <v>50000</v>
      </c>
      <c r="I156" s="2">
        <f>Tabla210[[#This Row],[TOTAL FACTURA]]*0.6</f>
        <v>30000</v>
      </c>
      <c r="J156" s="2">
        <f>Tabla210[[#This Row],[TOTAL FACTURA]]*0.4</f>
        <v>20000</v>
      </c>
      <c r="L156" s="2"/>
      <c r="M156" s="2"/>
      <c r="N156" s="1" t="s">
        <v>25</v>
      </c>
      <c r="O156" s="15">
        <f>Tabla210[[#This Row],[MONTO DE LA VENTA]]-Tabla210[[#This Row],[MONTO DE COMPRA]]</f>
        <v>0</v>
      </c>
    </row>
    <row r="157" spans="1:15" x14ac:dyDescent="0.25">
      <c r="A157" s="9">
        <v>44592</v>
      </c>
      <c r="B157" s="4" t="s">
        <v>499</v>
      </c>
      <c r="C157" s="4"/>
      <c r="D157" s="1" t="s">
        <v>500</v>
      </c>
      <c r="E157" s="4" t="s">
        <v>501</v>
      </c>
      <c r="F157" s="1" t="s">
        <v>408</v>
      </c>
      <c r="G157" s="1" t="s">
        <v>502</v>
      </c>
      <c r="H157" s="15">
        <v>40000</v>
      </c>
      <c r="I157" s="2">
        <f>Tabla210[[#This Row],[TOTAL FACTURA]]*0.6</f>
        <v>24000</v>
      </c>
      <c r="J157" s="2">
        <f>Tabla210[[#This Row],[TOTAL FACTURA]]*0.4</f>
        <v>16000</v>
      </c>
      <c r="K157" s="1" t="s">
        <v>503</v>
      </c>
      <c r="L157" s="2">
        <v>4500</v>
      </c>
      <c r="M157" s="2"/>
      <c r="N157" s="1" t="s">
        <v>25</v>
      </c>
      <c r="O157" s="15">
        <f>Tabla210[[#This Row],[MONTO DE LA VENTA]]-Tabla210[[#This Row],[MONTO DE COMPRA]]</f>
        <v>-4500</v>
      </c>
    </row>
    <row r="158" spans="1:15" x14ac:dyDescent="0.25">
      <c r="A158" s="9">
        <v>44592</v>
      </c>
      <c r="B158" s="4" t="s">
        <v>508</v>
      </c>
      <c r="C158" s="4"/>
      <c r="D158" s="1" t="s">
        <v>505</v>
      </c>
      <c r="E158" s="4" t="s">
        <v>504</v>
      </c>
      <c r="F158" s="1" t="s">
        <v>408</v>
      </c>
      <c r="G158" s="1" t="s">
        <v>506</v>
      </c>
      <c r="H158" s="15">
        <v>80000</v>
      </c>
      <c r="I158" s="2">
        <f>Tabla210[[#This Row],[TOTAL FACTURA]]*0.6</f>
        <v>48000</v>
      </c>
      <c r="J158" s="2">
        <f>Tabla210[[#This Row],[TOTAL FACTURA]]*0.4</f>
        <v>32000</v>
      </c>
      <c r="K158" s="1" t="s">
        <v>507</v>
      </c>
      <c r="L158" s="2">
        <f>30757+227000</f>
        <v>257757</v>
      </c>
      <c r="M158" s="2">
        <f>182000+134000+55000</f>
        <v>371000</v>
      </c>
      <c r="N158" s="1" t="s">
        <v>25</v>
      </c>
      <c r="O158" s="15">
        <f>Tabla210[[#This Row],[MONTO DE LA VENTA]]-Tabla210[[#This Row],[MONTO DE COMPRA]]</f>
        <v>113243</v>
      </c>
    </row>
    <row r="159" spans="1:15" x14ac:dyDescent="0.25">
      <c r="A159" s="9">
        <v>44592</v>
      </c>
      <c r="B159" s="4" t="s">
        <v>509</v>
      </c>
      <c r="C159" s="4"/>
      <c r="D159" s="1" t="s">
        <v>96</v>
      </c>
      <c r="E159" s="4" t="s">
        <v>510</v>
      </c>
      <c r="F159" s="1" t="s">
        <v>10</v>
      </c>
      <c r="G159" s="1" t="s">
        <v>511</v>
      </c>
      <c r="H159" s="2">
        <v>380000</v>
      </c>
      <c r="I159" s="2">
        <f>Tabla210[[#This Row],[TOTAL FACTURA]]*0.6</f>
        <v>228000</v>
      </c>
      <c r="J159" s="2">
        <f>Tabla210[[#This Row],[TOTAL FACTURA]]*0.4</f>
        <v>152000</v>
      </c>
      <c r="L159" s="2"/>
      <c r="M159" s="2"/>
      <c r="N159" s="1" t="s">
        <v>25</v>
      </c>
      <c r="O159" s="15">
        <f>Tabla210[[#This Row],[MONTO DE LA VENTA]]-Tabla210[[#This Row],[MONTO DE COMPRA]]</f>
        <v>0</v>
      </c>
    </row>
    <row r="160" spans="1:15" x14ac:dyDescent="0.25">
      <c r="A160" s="9">
        <v>44592</v>
      </c>
      <c r="B160" s="4" t="s">
        <v>512</v>
      </c>
      <c r="C160" s="4"/>
      <c r="D160" s="1" t="s">
        <v>513</v>
      </c>
      <c r="E160" s="4" t="s">
        <v>514</v>
      </c>
      <c r="F160" s="1" t="s">
        <v>34</v>
      </c>
      <c r="G160" s="1" t="s">
        <v>515</v>
      </c>
      <c r="H160" s="2">
        <v>60000</v>
      </c>
      <c r="I160" s="2">
        <f>Tabla210[[#This Row],[TOTAL FACTURA]]*0.6</f>
        <v>36000</v>
      </c>
      <c r="J160" s="2">
        <f>Tabla210[[#This Row],[TOTAL FACTURA]]*0.4</f>
        <v>24000</v>
      </c>
      <c r="K160" s="1" t="s">
        <v>516</v>
      </c>
      <c r="L160" s="2">
        <v>360000</v>
      </c>
      <c r="M160" s="2">
        <v>490000</v>
      </c>
      <c r="N160" s="1" t="s">
        <v>25</v>
      </c>
      <c r="O160" s="15">
        <f>Tabla210[[#This Row],[MONTO DE LA VENTA]]-Tabla210[[#This Row],[MONTO DE COMPRA]]</f>
        <v>130000</v>
      </c>
    </row>
    <row r="161" spans="1:15" x14ac:dyDescent="0.25">
      <c r="A161" s="9">
        <v>44593</v>
      </c>
      <c r="B161" s="4" t="s">
        <v>517</v>
      </c>
      <c r="C161" s="4"/>
      <c r="D161" s="1" t="s">
        <v>410</v>
      </c>
      <c r="E161" s="4" t="s">
        <v>518</v>
      </c>
      <c r="F161" s="1" t="s">
        <v>408</v>
      </c>
      <c r="G161" s="1" t="s">
        <v>519</v>
      </c>
      <c r="H161" s="15">
        <v>35000</v>
      </c>
      <c r="I161" s="2">
        <f>Tabla210[[#This Row],[TOTAL FACTURA]]*0.6</f>
        <v>21000</v>
      </c>
      <c r="J161" s="2">
        <f>Tabla210[[#This Row],[TOTAL FACTURA]]*0.4</f>
        <v>14000</v>
      </c>
      <c r="K161" s="1" t="s">
        <v>520</v>
      </c>
      <c r="L161" s="2">
        <f>55000+500+5000</f>
        <v>60500</v>
      </c>
      <c r="M161" s="2">
        <f>76000+5000</f>
        <v>81000</v>
      </c>
      <c r="N161" s="1" t="s">
        <v>25</v>
      </c>
      <c r="O161" s="15">
        <f>Tabla210[[#This Row],[MONTO DE LA VENTA]]-Tabla210[[#This Row],[MONTO DE COMPRA]]</f>
        <v>20500</v>
      </c>
    </row>
    <row r="162" spans="1:15" x14ac:dyDescent="0.25">
      <c r="A162" s="9">
        <v>44593</v>
      </c>
      <c r="C162" s="4"/>
      <c r="D162" s="1" t="s">
        <v>352</v>
      </c>
      <c r="E162" s="4" t="s">
        <v>353</v>
      </c>
      <c r="F162" s="1" t="s">
        <v>19</v>
      </c>
      <c r="G162" s="1" t="s">
        <v>523</v>
      </c>
      <c r="H162" s="2">
        <v>30000</v>
      </c>
      <c r="I162" s="2">
        <f>Tabla210[[#This Row],[TOTAL FACTURA]]*0.6</f>
        <v>18000</v>
      </c>
      <c r="J162" s="2">
        <f>Tabla210[[#This Row],[TOTAL FACTURA]]*0.4</f>
        <v>12000</v>
      </c>
      <c r="K162" s="1" t="s">
        <v>524</v>
      </c>
      <c r="L162" s="2">
        <f>65000+20000</f>
        <v>85000</v>
      </c>
      <c r="M162" s="2">
        <v>180000</v>
      </c>
      <c r="N162" s="1" t="s">
        <v>25</v>
      </c>
      <c r="O162" s="15">
        <f>Tabla210[[#This Row],[MONTO DE LA VENTA]]-Tabla210[[#This Row],[MONTO DE COMPRA]]</f>
        <v>95000</v>
      </c>
    </row>
    <row r="163" spans="1:15" ht="20.25" customHeight="1" x14ac:dyDescent="0.25">
      <c r="A163" s="9">
        <v>44593</v>
      </c>
      <c r="C163" s="4"/>
      <c r="D163" s="1" t="s">
        <v>521</v>
      </c>
      <c r="E163" s="4" t="s">
        <v>522</v>
      </c>
      <c r="F163" s="1" t="s">
        <v>19</v>
      </c>
      <c r="G163" s="10" t="s">
        <v>525</v>
      </c>
      <c r="H163" s="15">
        <v>160000</v>
      </c>
      <c r="I163" s="15">
        <f>Tabla210[[#This Row],[TOTAL FACTURA]]*0.6</f>
        <v>96000</v>
      </c>
      <c r="J163" s="15">
        <f>Tabla210[[#This Row],[TOTAL FACTURA]]*0.4</f>
        <v>64000</v>
      </c>
      <c r="K163" s="10" t="s">
        <v>526</v>
      </c>
      <c r="L163" s="15">
        <f>13025+10000</f>
        <v>23025</v>
      </c>
      <c r="M163" s="15">
        <f>593000</f>
        <v>593000</v>
      </c>
      <c r="N163" s="1" t="s">
        <v>25</v>
      </c>
      <c r="O163" s="15">
        <f>Tabla210[[#This Row],[MONTO DE LA VENTA]]-Tabla210[[#This Row],[MONTO DE COMPRA]]</f>
        <v>569975</v>
      </c>
    </row>
    <row r="164" spans="1:15" x14ac:dyDescent="0.25">
      <c r="A164" s="9">
        <v>44594</v>
      </c>
      <c r="C164" s="4"/>
      <c r="D164" s="1" t="s">
        <v>43</v>
      </c>
      <c r="E164" s="4"/>
      <c r="F164" s="1" t="s">
        <v>18</v>
      </c>
      <c r="G164" s="1" t="s">
        <v>527</v>
      </c>
      <c r="H164" s="15">
        <v>120000</v>
      </c>
      <c r="I164" s="2">
        <f>Tabla210[[#This Row],[TOTAL FACTURA]]*0.6</f>
        <v>72000</v>
      </c>
      <c r="J164" s="2">
        <f>Tabla210[[#This Row],[TOTAL FACTURA]]*0.4</f>
        <v>48000</v>
      </c>
      <c r="L164" s="2"/>
      <c r="M164" s="2"/>
      <c r="N164" s="1" t="s">
        <v>25</v>
      </c>
      <c r="O164" s="15">
        <f>Tabla210[[#This Row],[MONTO DE LA VENTA]]-Tabla210[[#This Row],[MONTO DE COMPRA]]</f>
        <v>0</v>
      </c>
    </row>
    <row r="165" spans="1:15" x14ac:dyDescent="0.25">
      <c r="A165" s="9">
        <v>44594</v>
      </c>
      <c r="C165" s="4"/>
      <c r="D165" s="1" t="s">
        <v>84</v>
      </c>
      <c r="E165" s="4" t="s">
        <v>571</v>
      </c>
      <c r="F165" s="1" t="s">
        <v>408</v>
      </c>
      <c r="G165" s="1" t="s">
        <v>434</v>
      </c>
      <c r="H165" s="15">
        <v>45000</v>
      </c>
      <c r="I165" s="2">
        <v>45000</v>
      </c>
      <c r="J165" s="52">
        <f>Tabla210[[#This Row],[TOTAL FACTURA]]*0.4</f>
        <v>18000</v>
      </c>
      <c r="L165" s="2"/>
      <c r="M165" s="2"/>
      <c r="N165" s="1" t="s">
        <v>25</v>
      </c>
      <c r="O165" s="15">
        <f>Tabla210[[#This Row],[MONTO DE COMPRA]]-Tabla210[[#This Row],[MONTO DE LA VENTA]]</f>
        <v>0</v>
      </c>
    </row>
    <row r="166" spans="1:15" x14ac:dyDescent="0.25">
      <c r="A166" s="9">
        <v>44594</v>
      </c>
      <c r="C166" s="4"/>
      <c r="D166" s="1" t="s">
        <v>84</v>
      </c>
      <c r="E166" s="4" t="s">
        <v>571</v>
      </c>
      <c r="F166" s="1" t="s">
        <v>19</v>
      </c>
      <c r="G166" s="1" t="s">
        <v>434</v>
      </c>
      <c r="H166" s="15">
        <v>45000</v>
      </c>
      <c r="I166" s="2">
        <v>45000</v>
      </c>
      <c r="J166" s="52">
        <f>Tabla210[[#This Row],[TOTAL FACTURA]]*0.4</f>
        <v>18000</v>
      </c>
      <c r="L166" s="2"/>
      <c r="M166" s="2"/>
      <c r="N166" s="1" t="s">
        <v>25</v>
      </c>
      <c r="O166" s="15">
        <f>Tabla210[[#This Row],[MONTO DE COMPRA]]-Tabla210[[#This Row],[MONTO DE LA VENTA]]</f>
        <v>0</v>
      </c>
    </row>
    <row r="167" spans="1:15" x14ac:dyDescent="0.25">
      <c r="A167" s="9">
        <v>44594</v>
      </c>
      <c r="B167" s="4" t="s">
        <v>528</v>
      </c>
      <c r="C167" s="4"/>
      <c r="D167" s="1" t="s">
        <v>529</v>
      </c>
      <c r="E167" s="4" t="s">
        <v>530</v>
      </c>
      <c r="F167" s="1" t="s">
        <v>16</v>
      </c>
      <c r="G167" s="1" t="s">
        <v>531</v>
      </c>
      <c r="H167" s="15">
        <v>80000</v>
      </c>
      <c r="I167" s="2">
        <f>Tabla210[[#This Row],[TOTAL FACTURA]]*0.6</f>
        <v>48000</v>
      </c>
      <c r="J167" s="2">
        <f>Tabla210[[#This Row],[TOTAL FACTURA]]*0.4</f>
        <v>32000</v>
      </c>
      <c r="L167" s="2"/>
      <c r="M167" s="2"/>
      <c r="N167" s="1" t="s">
        <v>25</v>
      </c>
      <c r="O167" s="15">
        <f>Tabla210[[#This Row],[MONTO DE LA VENTA]]-Tabla210[[#This Row],[MONTO DE COMPRA]]</f>
        <v>0</v>
      </c>
    </row>
    <row r="168" spans="1:15" x14ac:dyDescent="0.25">
      <c r="A168" s="9">
        <v>44594</v>
      </c>
      <c r="B168" s="4" t="s">
        <v>532</v>
      </c>
      <c r="C168" s="4"/>
      <c r="D168" s="1" t="s">
        <v>356</v>
      </c>
      <c r="E168" s="4" t="s">
        <v>357</v>
      </c>
      <c r="F168" s="1" t="s">
        <v>10</v>
      </c>
      <c r="G168" s="1" t="s">
        <v>533</v>
      </c>
      <c r="H168" s="15">
        <v>220000</v>
      </c>
      <c r="I168" s="2">
        <f>Tabla210[[#This Row],[TOTAL FACTURA]]*0.6</f>
        <v>132000</v>
      </c>
      <c r="J168" s="2">
        <f>Tabla210[[#This Row],[TOTAL FACTURA]]*0.4</f>
        <v>88000</v>
      </c>
      <c r="K168" s="1" t="s">
        <v>534</v>
      </c>
      <c r="L168" s="2">
        <f>38000+9000</f>
        <v>47000</v>
      </c>
      <c r="M168" s="2">
        <v>67000</v>
      </c>
      <c r="N168" s="1" t="s">
        <v>25</v>
      </c>
      <c r="O168" s="15">
        <f>Tabla210[[#This Row],[MONTO DE LA VENTA]]-Tabla210[[#This Row],[MONTO DE COMPRA]]</f>
        <v>20000</v>
      </c>
    </row>
    <row r="169" spans="1:15" x14ac:dyDescent="0.25">
      <c r="A169" s="9">
        <v>44594</v>
      </c>
      <c r="B169" s="4" t="s">
        <v>535</v>
      </c>
      <c r="C169" s="4"/>
      <c r="D169" s="1" t="s">
        <v>466</v>
      </c>
      <c r="E169" s="4" t="s">
        <v>536</v>
      </c>
      <c r="F169" s="1" t="s">
        <v>408</v>
      </c>
      <c r="G169" s="1" t="s">
        <v>537</v>
      </c>
      <c r="H169" s="15">
        <v>50000</v>
      </c>
      <c r="I169" s="2">
        <f>Tabla210[[#This Row],[TOTAL FACTURA]]*0.6</f>
        <v>30000</v>
      </c>
      <c r="J169" s="2">
        <f>Tabla210[[#This Row],[TOTAL FACTURA]]*0.4</f>
        <v>20000</v>
      </c>
      <c r="K169" s="1" t="s">
        <v>538</v>
      </c>
      <c r="L169" s="2">
        <f>27000+9000+2500</f>
        <v>38500</v>
      </c>
      <c r="M169" s="2">
        <f>90000+20000</f>
        <v>110000</v>
      </c>
      <c r="N169" s="1" t="s">
        <v>25</v>
      </c>
      <c r="O169" s="15">
        <f>Tabla210[[#This Row],[MONTO DE LA VENTA]]-Tabla210[[#This Row],[MONTO DE COMPRA]]</f>
        <v>71500</v>
      </c>
    </row>
    <row r="170" spans="1:15" x14ac:dyDescent="0.25">
      <c r="A170" s="9">
        <v>44594</v>
      </c>
      <c r="B170" s="4" t="s">
        <v>539</v>
      </c>
      <c r="C170" s="4"/>
      <c r="D170" s="1" t="s">
        <v>540</v>
      </c>
      <c r="E170" s="4" t="s">
        <v>541</v>
      </c>
      <c r="F170" s="1" t="s">
        <v>19</v>
      </c>
      <c r="G170" s="1" t="s">
        <v>542</v>
      </c>
      <c r="H170" s="15">
        <v>100000</v>
      </c>
      <c r="I170" s="2">
        <f>Tabla210[[#This Row],[TOTAL FACTURA]]*0.6</f>
        <v>60000</v>
      </c>
      <c r="J170" s="2">
        <f>Tabla210[[#This Row],[TOTAL FACTURA]]*0.4</f>
        <v>40000</v>
      </c>
      <c r="K170" s="1" t="s">
        <v>543</v>
      </c>
      <c r="L170" s="2">
        <f>25000</f>
        <v>25000</v>
      </c>
      <c r="M170" s="2">
        <v>40000</v>
      </c>
      <c r="N170" s="1" t="s">
        <v>25</v>
      </c>
      <c r="O170" s="15">
        <f>Tabla210[[#This Row],[MONTO DE LA VENTA]]-Tabla210[[#This Row],[MONTO DE COMPRA]]</f>
        <v>15000</v>
      </c>
    </row>
    <row r="171" spans="1:15" x14ac:dyDescent="0.25">
      <c r="A171" s="9">
        <v>44594</v>
      </c>
      <c r="C171" s="4"/>
      <c r="E171" s="4" t="s">
        <v>574</v>
      </c>
      <c r="F171" s="1" t="s">
        <v>16</v>
      </c>
      <c r="G171" s="1" t="s">
        <v>250</v>
      </c>
      <c r="H171" s="15">
        <v>10000</v>
      </c>
      <c r="I171" s="2">
        <f>Tabla210[[#This Row],[TOTAL FACTURA]]*0.6</f>
        <v>6000</v>
      </c>
      <c r="J171" s="52">
        <f>Tabla210[[#This Row],[TOTAL FACTURA]]*0.4</f>
        <v>4000</v>
      </c>
      <c r="L171" s="2"/>
      <c r="M171" s="2"/>
      <c r="N171" s="1" t="s">
        <v>25</v>
      </c>
      <c r="O171" s="15">
        <f>Tabla210[[#This Row],[MONTO DE COMPRA]]-Tabla210[[#This Row],[MONTO DE LA VENTA]]</f>
        <v>0</v>
      </c>
    </row>
    <row r="172" spans="1:15" x14ac:dyDescent="0.25">
      <c r="A172" s="9">
        <v>44595</v>
      </c>
      <c r="C172" s="4"/>
      <c r="E172" s="4"/>
      <c r="F172" s="1" t="s">
        <v>408</v>
      </c>
      <c r="G172" s="1" t="s">
        <v>570</v>
      </c>
      <c r="H172" s="15">
        <v>30000</v>
      </c>
      <c r="I172" s="2">
        <f>Tabla210[[#This Row],[TOTAL FACTURA]]*0.6</f>
        <v>18000</v>
      </c>
      <c r="J172" s="52">
        <f>Tabla210[[#This Row],[TOTAL FACTURA]]*0.4</f>
        <v>12000</v>
      </c>
      <c r="L172" s="2"/>
      <c r="M172" s="2"/>
      <c r="N172" s="1" t="s">
        <v>25</v>
      </c>
      <c r="O172" s="15">
        <f>Tabla210[[#This Row],[MONTO DE COMPRA]]-Tabla210[[#This Row],[MONTO DE LA VENTA]]</f>
        <v>0</v>
      </c>
    </row>
    <row r="173" spans="1:15" x14ac:dyDescent="0.25">
      <c r="A173" s="9">
        <v>44595</v>
      </c>
      <c r="C173" s="4"/>
      <c r="E173" s="4"/>
      <c r="F173" s="1" t="s">
        <v>408</v>
      </c>
      <c r="G173" s="1" t="s">
        <v>572</v>
      </c>
      <c r="H173" s="15">
        <v>20000</v>
      </c>
      <c r="I173" s="2">
        <f>Tabla210[[#This Row],[TOTAL FACTURA]]*0.6</f>
        <v>12000</v>
      </c>
      <c r="J173" s="52">
        <f>Tabla210[[#This Row],[TOTAL FACTURA]]*0.4</f>
        <v>8000</v>
      </c>
      <c r="L173" s="2"/>
      <c r="M173" s="2"/>
      <c r="N173" s="1" t="s">
        <v>25</v>
      </c>
      <c r="O173" s="15">
        <f>Tabla210[[#This Row],[MONTO DE COMPRA]]-Tabla210[[#This Row],[MONTO DE LA VENTA]]</f>
        <v>0</v>
      </c>
    </row>
    <row r="174" spans="1:15" x14ac:dyDescent="0.25">
      <c r="A174" s="9">
        <v>44595</v>
      </c>
      <c r="C174" s="4"/>
      <c r="D174" s="1" t="s">
        <v>107</v>
      </c>
      <c r="E174" s="4" t="s">
        <v>573</v>
      </c>
      <c r="F174" s="1" t="s">
        <v>408</v>
      </c>
      <c r="G174" s="1" t="s">
        <v>437</v>
      </c>
      <c r="H174" s="15">
        <v>35000</v>
      </c>
      <c r="I174" s="2">
        <f>Tabla210[[#This Row],[TOTAL FACTURA]]*0.6</f>
        <v>21000</v>
      </c>
      <c r="J174" s="52">
        <f>Tabla210[[#This Row],[TOTAL FACTURA]]*0.4</f>
        <v>14000</v>
      </c>
      <c r="L174" s="2"/>
      <c r="M174" s="2"/>
      <c r="N174" s="1" t="s">
        <v>25</v>
      </c>
      <c r="O174" s="15">
        <f>Tabla210[[#This Row],[MONTO DE COMPRA]]-Tabla210[[#This Row],[MONTO DE LA VENTA]]</f>
        <v>0</v>
      </c>
    </row>
    <row r="175" spans="1:15" x14ac:dyDescent="0.25">
      <c r="A175" s="9">
        <v>44595</v>
      </c>
      <c r="B175" s="4" t="s">
        <v>544</v>
      </c>
      <c r="C175" s="4"/>
      <c r="D175" s="1" t="s">
        <v>545</v>
      </c>
      <c r="E175" s="4" t="s">
        <v>546</v>
      </c>
      <c r="F175" s="1" t="s">
        <v>16</v>
      </c>
      <c r="G175" s="1" t="s">
        <v>329</v>
      </c>
      <c r="H175" s="15">
        <v>50000</v>
      </c>
      <c r="I175" s="2">
        <f>Tabla210[[#This Row],[TOTAL FACTURA]]*0.6</f>
        <v>30000</v>
      </c>
      <c r="J175" s="2">
        <f>Tabla210[[#This Row],[TOTAL FACTURA]]*0.4</f>
        <v>20000</v>
      </c>
      <c r="L175" s="2"/>
      <c r="M175" s="2"/>
      <c r="N175" s="1" t="s">
        <v>25</v>
      </c>
      <c r="O175" s="15">
        <f>Tabla210[[#This Row],[MONTO DE LA VENTA]]-Tabla210[[#This Row],[MONTO DE COMPRA]]</f>
        <v>0</v>
      </c>
    </row>
    <row r="176" spans="1:15" ht="30" x14ac:dyDescent="0.25">
      <c r="A176" s="9">
        <v>44595</v>
      </c>
      <c r="B176" s="4" t="s">
        <v>547</v>
      </c>
      <c r="C176" s="4"/>
      <c r="D176" s="1" t="s">
        <v>548</v>
      </c>
      <c r="E176" s="4" t="s">
        <v>549</v>
      </c>
      <c r="F176" s="1" t="s">
        <v>19</v>
      </c>
      <c r="G176" s="10" t="s">
        <v>550</v>
      </c>
      <c r="H176" s="15">
        <v>50000</v>
      </c>
      <c r="I176" s="2">
        <f>Tabla210[[#This Row],[TOTAL FACTURA]]*0.6</f>
        <v>30000</v>
      </c>
      <c r="J176" s="2">
        <f>Tabla210[[#This Row],[TOTAL FACTURA]]*0.4</f>
        <v>20000</v>
      </c>
      <c r="K176" s="1" t="s">
        <v>551</v>
      </c>
      <c r="L176" s="2"/>
      <c r="M176" s="2">
        <v>5000</v>
      </c>
      <c r="N176" s="1" t="s">
        <v>25</v>
      </c>
      <c r="O176" s="15">
        <f>Tabla210[[#This Row],[MONTO DE LA VENTA]]-Tabla210[[#This Row],[MONTO DE COMPRA]]</f>
        <v>5000</v>
      </c>
    </row>
    <row r="177" spans="1:15" x14ac:dyDescent="0.25">
      <c r="A177" s="9">
        <v>44595</v>
      </c>
      <c r="C177" s="4"/>
      <c r="E177" s="4"/>
      <c r="F177" s="1" t="s">
        <v>16</v>
      </c>
      <c r="G177" s="1" t="s">
        <v>250</v>
      </c>
      <c r="H177" s="15">
        <v>10000</v>
      </c>
      <c r="I177" s="2">
        <f>Tabla210[[#This Row],[TOTAL FACTURA]]*0.6</f>
        <v>6000</v>
      </c>
      <c r="J177" s="52">
        <f>Tabla210[[#This Row],[TOTAL FACTURA]]*0.4</f>
        <v>4000</v>
      </c>
      <c r="L177" s="2"/>
      <c r="M177" s="2"/>
      <c r="N177" s="1" t="s">
        <v>25</v>
      </c>
      <c r="O177" s="15">
        <f>Tabla210[[#This Row],[MONTO DE COMPRA]]-Tabla210[[#This Row],[MONTO DE LA VENTA]]</f>
        <v>0</v>
      </c>
    </row>
    <row r="178" spans="1:15" x14ac:dyDescent="0.25">
      <c r="A178" s="9">
        <v>44595</v>
      </c>
      <c r="C178" s="4"/>
      <c r="D178" s="1" t="s">
        <v>540</v>
      </c>
      <c r="E178" s="4"/>
      <c r="F178" s="1" t="s">
        <v>19</v>
      </c>
      <c r="G178" s="1" t="s">
        <v>552</v>
      </c>
      <c r="H178" s="15">
        <v>20000</v>
      </c>
      <c r="I178" s="15">
        <v>20000</v>
      </c>
      <c r="J178" s="15">
        <f>Tabla210[[#This Row],[TOTAL FACTURA]]*0.4</f>
        <v>8000</v>
      </c>
      <c r="L178" s="15"/>
      <c r="M178" s="15"/>
      <c r="N178" s="1" t="s">
        <v>25</v>
      </c>
      <c r="O178" s="15">
        <f>Tabla210[[#This Row],[MONTO DE LA VENTA]]-Tabla210[[#This Row],[MONTO DE COMPRA]]</f>
        <v>0</v>
      </c>
    </row>
    <row r="179" spans="1:15" x14ac:dyDescent="0.25">
      <c r="A179" s="9">
        <v>44596</v>
      </c>
      <c r="C179" s="4"/>
      <c r="E179" s="4"/>
      <c r="F179" s="1" t="s">
        <v>30</v>
      </c>
      <c r="G179" s="1" t="s">
        <v>553</v>
      </c>
      <c r="H179" s="15">
        <v>15000</v>
      </c>
      <c r="I179" s="2">
        <f>Tabla210[[#This Row],[TOTAL FACTURA]]*0.6</f>
        <v>9000</v>
      </c>
      <c r="J179" s="2">
        <f>Tabla210[[#This Row],[TOTAL FACTURA]]*0.4</f>
        <v>6000</v>
      </c>
      <c r="L179" s="2"/>
      <c r="M179" s="2"/>
      <c r="N179" s="1" t="s">
        <v>25</v>
      </c>
      <c r="O179" s="15">
        <f>Tabla210[[#This Row],[MONTO DE LA VENTA]]-Tabla210[[#This Row],[MONTO DE COMPRA]]</f>
        <v>0</v>
      </c>
    </row>
    <row r="180" spans="1:15" x14ac:dyDescent="0.25">
      <c r="A180" s="9">
        <v>44596</v>
      </c>
      <c r="B180" s="4" t="s">
        <v>592</v>
      </c>
      <c r="C180" s="4"/>
      <c r="D180" s="1" t="s">
        <v>43</v>
      </c>
      <c r="E180" s="4" t="s">
        <v>554</v>
      </c>
      <c r="F180" s="1" t="s">
        <v>30</v>
      </c>
      <c r="G180" s="1" t="s">
        <v>555</v>
      </c>
      <c r="H180" s="15">
        <v>750000</v>
      </c>
      <c r="I180" s="2">
        <f>Tabla210[[#This Row],[TOTAL FACTURA]]*0.6</f>
        <v>450000</v>
      </c>
      <c r="J180" s="2">
        <f>Tabla210[[#This Row],[TOTAL FACTURA]]*0.4</f>
        <v>300000</v>
      </c>
      <c r="K180" s="1" t="s">
        <v>591</v>
      </c>
      <c r="L180" s="2">
        <f>112000+65000+5000+3000+4000</f>
        <v>189000</v>
      </c>
      <c r="M180" s="2">
        <v>262000</v>
      </c>
      <c r="N180" s="1" t="s">
        <v>25</v>
      </c>
      <c r="O180" s="15">
        <f>Tabla210[[#This Row],[MONTO DE LA VENTA]]-Tabla210[[#This Row],[MONTO DE COMPRA]]</f>
        <v>73000</v>
      </c>
    </row>
    <row r="181" spans="1:15" x14ac:dyDescent="0.25">
      <c r="A181" s="9">
        <v>44596</v>
      </c>
      <c r="C181" s="4"/>
      <c r="D181" s="1" t="s">
        <v>202</v>
      </c>
      <c r="E181" s="4" t="s">
        <v>125</v>
      </c>
      <c r="F181" s="1" t="s">
        <v>30</v>
      </c>
      <c r="G181" s="1" t="s">
        <v>556</v>
      </c>
      <c r="H181" s="15">
        <v>90000</v>
      </c>
      <c r="I181" s="2">
        <f>Tabla210[[#This Row],[TOTAL FACTURA]]*0.6</f>
        <v>54000</v>
      </c>
      <c r="J181" s="2">
        <f>Tabla210[[#This Row],[TOTAL FACTURA]]*0.4</f>
        <v>36000</v>
      </c>
      <c r="L181" s="2"/>
      <c r="M181" s="2"/>
      <c r="N181" s="1" t="s">
        <v>25</v>
      </c>
      <c r="O181" s="15">
        <f>Tabla210[[#This Row],[MONTO DE LA VENTA]]-Tabla210[[#This Row],[MONTO DE COMPRA]]</f>
        <v>0</v>
      </c>
    </row>
    <row r="182" spans="1:15" x14ac:dyDescent="0.25">
      <c r="A182" s="9">
        <v>44596</v>
      </c>
      <c r="C182" s="4"/>
      <c r="D182" s="1" t="s">
        <v>559</v>
      </c>
      <c r="E182" s="4" t="s">
        <v>558</v>
      </c>
      <c r="F182" s="1" t="s">
        <v>408</v>
      </c>
      <c r="G182" s="1" t="s">
        <v>557</v>
      </c>
      <c r="H182" s="15">
        <v>250000</v>
      </c>
      <c r="I182" s="2">
        <f>Tabla210[[#This Row],[TOTAL FACTURA]]*0.6</f>
        <v>150000</v>
      </c>
      <c r="J182" s="2">
        <f>Tabla210[[#This Row],[TOTAL FACTURA]]*0.4</f>
        <v>100000</v>
      </c>
      <c r="L182" s="2"/>
      <c r="M182" s="2"/>
      <c r="N182" s="1" t="s">
        <v>25</v>
      </c>
      <c r="O182" s="15">
        <f>Tabla210[[#This Row],[MONTO DE LA VENTA]]-Tabla210[[#This Row],[MONTO DE COMPRA]]</f>
        <v>0</v>
      </c>
    </row>
    <row r="183" spans="1:15" x14ac:dyDescent="0.25">
      <c r="A183" s="9">
        <v>44596</v>
      </c>
      <c r="C183" s="4"/>
      <c r="D183" s="1" t="s">
        <v>559</v>
      </c>
      <c r="E183" s="4" t="s">
        <v>558</v>
      </c>
      <c r="F183" s="1" t="s">
        <v>19</v>
      </c>
      <c r="G183" s="1" t="s">
        <v>560</v>
      </c>
      <c r="H183" s="15">
        <v>50000</v>
      </c>
      <c r="I183" s="2">
        <f>Tabla210[[#This Row],[TOTAL FACTURA]]*0.6</f>
        <v>30000</v>
      </c>
      <c r="J183" s="2">
        <f>Tabla210[[#This Row],[TOTAL FACTURA]]*0.4</f>
        <v>20000</v>
      </c>
      <c r="L183" s="2"/>
      <c r="M183" s="2"/>
      <c r="N183" s="1" t="s">
        <v>25</v>
      </c>
      <c r="O183" s="15">
        <f>Tabla210[[#This Row],[MONTO DE LA VENTA]]-Tabla210[[#This Row],[MONTO DE COMPRA]]</f>
        <v>0</v>
      </c>
    </row>
    <row r="184" spans="1:15" x14ac:dyDescent="0.25">
      <c r="A184" s="9">
        <v>44596</v>
      </c>
      <c r="C184" s="4"/>
      <c r="D184" s="1" t="s">
        <v>218</v>
      </c>
      <c r="E184" s="4" t="s">
        <v>561</v>
      </c>
      <c r="F184" s="1" t="s">
        <v>30</v>
      </c>
      <c r="G184" s="1" t="s">
        <v>562</v>
      </c>
      <c r="H184" s="15">
        <v>20000</v>
      </c>
      <c r="I184" s="2">
        <f>Tabla210[[#This Row],[TOTAL FACTURA]]*0.6</f>
        <v>12000</v>
      </c>
      <c r="J184" s="2">
        <f>Tabla210[[#This Row],[TOTAL FACTURA]]*0.4</f>
        <v>8000</v>
      </c>
      <c r="K184" s="1" t="s">
        <v>593</v>
      </c>
      <c r="L184" s="2">
        <v>100000</v>
      </c>
      <c r="M184" s="2">
        <v>110000</v>
      </c>
      <c r="N184" s="1" t="s">
        <v>25</v>
      </c>
      <c r="O184" s="15">
        <f>Tabla210[[#This Row],[MONTO DE LA VENTA]]-Tabla210[[#This Row],[MONTO DE COMPRA]]</f>
        <v>10000</v>
      </c>
    </row>
    <row r="185" spans="1:15" x14ac:dyDescent="0.25">
      <c r="A185" s="9">
        <v>44596</v>
      </c>
      <c r="C185" s="4"/>
      <c r="D185" s="1" t="s">
        <v>563</v>
      </c>
      <c r="E185" s="4" t="s">
        <v>564</v>
      </c>
      <c r="F185" s="1" t="s">
        <v>30</v>
      </c>
      <c r="G185" s="1" t="s">
        <v>565</v>
      </c>
      <c r="H185" s="15">
        <v>30000</v>
      </c>
      <c r="I185" s="2">
        <f>Tabla210[[#This Row],[TOTAL FACTURA]]*0.6</f>
        <v>18000</v>
      </c>
      <c r="J185" s="2">
        <f>Tabla210[[#This Row],[TOTAL FACTURA]]*0.4</f>
        <v>12000</v>
      </c>
      <c r="K185" s="1" t="s">
        <v>230</v>
      </c>
      <c r="L185" s="2">
        <v>16000</v>
      </c>
      <c r="M185" s="2">
        <f>38000</f>
        <v>38000</v>
      </c>
      <c r="N185" s="1" t="s">
        <v>25</v>
      </c>
      <c r="O185" s="15">
        <f>Tabla210[[#This Row],[MONTO DE LA VENTA]]-Tabla210[[#This Row],[MONTO DE COMPRA]]</f>
        <v>22000</v>
      </c>
    </row>
    <row r="186" spans="1:15" s="16" customFormat="1" x14ac:dyDescent="0.25">
      <c r="A186" s="9">
        <v>44596</v>
      </c>
      <c r="B186" s="21"/>
      <c r="C186" s="21"/>
      <c r="D186" s="16" t="s">
        <v>566</v>
      </c>
      <c r="E186" s="21" t="s">
        <v>567</v>
      </c>
      <c r="F186" s="16" t="s">
        <v>10</v>
      </c>
      <c r="G186" s="16" t="s">
        <v>568</v>
      </c>
      <c r="H186" s="17">
        <v>350000</v>
      </c>
      <c r="I186" s="2">
        <f>Tabla210[[#This Row],[TOTAL FACTURA]]*0.6</f>
        <v>210000</v>
      </c>
      <c r="J186" s="2">
        <f>Tabla210[[#This Row],[TOTAL FACTURA]]*0.4</f>
        <v>140000</v>
      </c>
      <c r="L186" s="2"/>
      <c r="M186" s="2"/>
      <c r="N186" s="18"/>
      <c r="O186" s="15">
        <f>Tabla210[[#This Row],[MONTO DE LA VENTA]]-Tabla210[[#This Row],[MONTO DE COMPRA]]</f>
        <v>0</v>
      </c>
    </row>
    <row r="187" spans="1:15" x14ac:dyDescent="0.25">
      <c r="A187" s="9">
        <v>44596</v>
      </c>
      <c r="C187" s="4"/>
      <c r="D187" s="1" t="s">
        <v>161</v>
      </c>
      <c r="E187" s="4" t="s">
        <v>162</v>
      </c>
      <c r="F187" s="1" t="s">
        <v>10</v>
      </c>
      <c r="G187" s="1" t="s">
        <v>569</v>
      </c>
      <c r="H187" s="2">
        <v>650000</v>
      </c>
      <c r="I187" s="2">
        <f>Tabla210[[#This Row],[TOTAL FACTURA]]*0.6</f>
        <v>390000</v>
      </c>
      <c r="J187" s="2">
        <f>Tabla210[[#This Row],[TOTAL FACTURA]]*0.4</f>
        <v>260000</v>
      </c>
      <c r="L187" s="2"/>
      <c r="M187" s="2"/>
      <c r="N187" s="11"/>
      <c r="O187" s="15">
        <f>Tabla210[[#This Row],[MONTO DE LA VENTA]]-Tabla210[[#This Row],[MONTO DE COMPRA]]</f>
        <v>0</v>
      </c>
    </row>
    <row r="188" spans="1:15" ht="14.25" customHeight="1" x14ac:dyDescent="0.25">
      <c r="A188" s="9">
        <v>44593</v>
      </c>
      <c r="B188" s="4" t="s">
        <v>517</v>
      </c>
      <c r="C188" s="4"/>
      <c r="D188" s="1" t="s">
        <v>410</v>
      </c>
      <c r="E188" s="4" t="s">
        <v>518</v>
      </c>
      <c r="F188" s="1" t="s">
        <v>408</v>
      </c>
      <c r="G188" s="1" t="s">
        <v>519</v>
      </c>
      <c r="H188" s="2">
        <v>35000</v>
      </c>
      <c r="I188" s="2">
        <v>21000</v>
      </c>
      <c r="J188" s="2">
        <v>14000</v>
      </c>
      <c r="K188" s="1" t="s">
        <v>520</v>
      </c>
      <c r="L188" s="2">
        <v>60500</v>
      </c>
      <c r="M188" s="2">
        <v>81000</v>
      </c>
      <c r="N188" s="11" t="s">
        <v>25</v>
      </c>
      <c r="O188" s="15">
        <v>20500</v>
      </c>
    </row>
    <row r="189" spans="1:15" ht="14.25" customHeight="1" x14ac:dyDescent="0.25">
      <c r="A189" s="9">
        <v>44593</v>
      </c>
      <c r="C189" s="4"/>
      <c r="D189" s="1" t="s">
        <v>352</v>
      </c>
      <c r="E189" s="4" t="s">
        <v>353</v>
      </c>
      <c r="F189" s="1" t="s">
        <v>19</v>
      </c>
      <c r="G189" s="1" t="s">
        <v>523</v>
      </c>
      <c r="H189" s="2">
        <v>30000</v>
      </c>
      <c r="I189" s="2">
        <v>18000</v>
      </c>
      <c r="J189" s="2">
        <v>12000</v>
      </c>
      <c r="K189" s="1" t="s">
        <v>524</v>
      </c>
      <c r="L189" s="2">
        <v>85000</v>
      </c>
      <c r="M189" s="2">
        <v>180000</v>
      </c>
      <c r="N189" s="11" t="s">
        <v>25</v>
      </c>
      <c r="O189" s="15">
        <v>95000</v>
      </c>
    </row>
    <row r="190" spans="1:15" ht="14.25" customHeight="1" x14ac:dyDescent="0.25">
      <c r="A190" s="9">
        <v>44593</v>
      </c>
      <c r="C190" s="4"/>
      <c r="D190" s="1" t="s">
        <v>521</v>
      </c>
      <c r="E190" s="4" t="s">
        <v>522</v>
      </c>
      <c r="F190" s="1" t="s">
        <v>19</v>
      </c>
      <c r="G190" s="1" t="s">
        <v>525</v>
      </c>
      <c r="H190" s="2">
        <v>160000</v>
      </c>
      <c r="I190" s="2">
        <v>96000</v>
      </c>
      <c r="J190" s="2">
        <v>64000</v>
      </c>
      <c r="K190" s="1" t="s">
        <v>526</v>
      </c>
      <c r="L190" s="2">
        <v>23025</v>
      </c>
      <c r="M190" s="2">
        <v>593000</v>
      </c>
      <c r="N190" s="11" t="s">
        <v>25</v>
      </c>
      <c r="O190" s="15">
        <v>569975</v>
      </c>
    </row>
    <row r="191" spans="1:15" ht="14.25" customHeight="1" x14ac:dyDescent="0.25">
      <c r="A191" s="9">
        <v>44594</v>
      </c>
      <c r="C191" s="4"/>
      <c r="D191" s="1" t="s">
        <v>43</v>
      </c>
      <c r="E191" s="4"/>
      <c r="F191" s="1" t="s">
        <v>18</v>
      </c>
      <c r="G191" s="1" t="s">
        <v>527</v>
      </c>
      <c r="H191" s="2">
        <v>120000</v>
      </c>
      <c r="I191" s="2">
        <v>72000</v>
      </c>
      <c r="J191" s="2">
        <v>48000</v>
      </c>
      <c r="L191" s="2"/>
      <c r="M191" s="2"/>
      <c r="N191" s="11" t="s">
        <v>25</v>
      </c>
      <c r="O191" s="15">
        <v>0</v>
      </c>
    </row>
    <row r="192" spans="1:15" ht="14.25" customHeight="1" x14ac:dyDescent="0.25">
      <c r="A192" s="9">
        <v>44594</v>
      </c>
      <c r="C192" s="4"/>
      <c r="D192" s="1" t="s">
        <v>84</v>
      </c>
      <c r="E192" s="4" t="s">
        <v>571</v>
      </c>
      <c r="F192" s="1" t="s">
        <v>408</v>
      </c>
      <c r="G192" s="1" t="s">
        <v>434</v>
      </c>
      <c r="H192" s="2">
        <v>45000</v>
      </c>
      <c r="I192" s="2">
        <v>45000</v>
      </c>
      <c r="J192" s="2">
        <v>18000</v>
      </c>
      <c r="L192" s="2"/>
      <c r="M192" s="2"/>
      <c r="N192" s="11" t="s">
        <v>25</v>
      </c>
      <c r="O192" s="15">
        <v>0</v>
      </c>
    </row>
    <row r="193" spans="1:15" ht="14.25" customHeight="1" x14ac:dyDescent="0.25">
      <c r="A193" s="9">
        <v>44594</v>
      </c>
      <c r="C193" s="4"/>
      <c r="D193" s="1" t="s">
        <v>84</v>
      </c>
      <c r="E193" s="4" t="s">
        <v>571</v>
      </c>
      <c r="F193" s="1" t="s">
        <v>19</v>
      </c>
      <c r="G193" s="1" t="s">
        <v>434</v>
      </c>
      <c r="H193" s="15">
        <v>45000</v>
      </c>
      <c r="I193" s="2">
        <v>45000</v>
      </c>
      <c r="J193" s="2">
        <v>18000</v>
      </c>
      <c r="L193" s="2"/>
      <c r="M193" s="2"/>
      <c r="N193" s="11" t="s">
        <v>25</v>
      </c>
      <c r="O193" s="15">
        <v>0</v>
      </c>
    </row>
    <row r="194" spans="1:15" ht="14.25" customHeight="1" x14ac:dyDescent="0.25">
      <c r="A194" s="9">
        <v>44594</v>
      </c>
      <c r="B194" s="4" t="s">
        <v>528</v>
      </c>
      <c r="C194" s="4"/>
      <c r="D194" s="1" t="s">
        <v>529</v>
      </c>
      <c r="E194" s="4" t="s">
        <v>530</v>
      </c>
      <c r="F194" s="1" t="s">
        <v>16</v>
      </c>
      <c r="G194" s="1" t="s">
        <v>531</v>
      </c>
      <c r="H194" s="15">
        <v>80000</v>
      </c>
      <c r="I194" s="2">
        <v>48000</v>
      </c>
      <c r="J194" s="2">
        <v>32000</v>
      </c>
      <c r="L194" s="2"/>
      <c r="M194" s="2"/>
      <c r="N194" s="11" t="s">
        <v>25</v>
      </c>
      <c r="O194" s="15">
        <v>0</v>
      </c>
    </row>
    <row r="195" spans="1:15" ht="14.25" customHeight="1" x14ac:dyDescent="0.25">
      <c r="A195" s="9">
        <v>44594</v>
      </c>
      <c r="B195" s="4" t="s">
        <v>532</v>
      </c>
      <c r="C195" s="4"/>
      <c r="D195" s="1" t="s">
        <v>356</v>
      </c>
      <c r="E195" s="4" t="s">
        <v>357</v>
      </c>
      <c r="F195" s="1" t="s">
        <v>10</v>
      </c>
      <c r="G195" s="1" t="s">
        <v>533</v>
      </c>
      <c r="H195" s="2">
        <v>220000</v>
      </c>
      <c r="I195" s="2">
        <v>132000</v>
      </c>
      <c r="J195" s="2">
        <v>88000</v>
      </c>
      <c r="K195" s="1" t="s">
        <v>534</v>
      </c>
      <c r="L195" s="2">
        <v>47000</v>
      </c>
      <c r="M195" s="2">
        <v>67000</v>
      </c>
      <c r="N195" s="11" t="s">
        <v>25</v>
      </c>
      <c r="O195" s="15">
        <v>20000</v>
      </c>
    </row>
    <row r="196" spans="1:15" ht="14.25" customHeight="1" x14ac:dyDescent="0.25">
      <c r="A196" s="9">
        <v>44594</v>
      </c>
      <c r="B196" s="4" t="s">
        <v>535</v>
      </c>
      <c r="C196" s="4"/>
      <c r="D196" s="1" t="s">
        <v>466</v>
      </c>
      <c r="E196" s="4" t="s">
        <v>536</v>
      </c>
      <c r="F196" s="1" t="s">
        <v>408</v>
      </c>
      <c r="G196" s="1" t="s">
        <v>537</v>
      </c>
      <c r="H196" s="2">
        <v>50000</v>
      </c>
      <c r="I196" s="2">
        <v>30000</v>
      </c>
      <c r="J196" s="2">
        <v>20000</v>
      </c>
      <c r="K196" s="1" t="s">
        <v>538</v>
      </c>
      <c r="L196" s="2">
        <v>38500</v>
      </c>
      <c r="M196" s="2">
        <v>110000</v>
      </c>
      <c r="N196" s="11" t="s">
        <v>25</v>
      </c>
      <c r="O196" s="15">
        <v>71500</v>
      </c>
    </row>
    <row r="197" spans="1:15" ht="14.25" customHeight="1" x14ac:dyDescent="0.25">
      <c r="A197" s="9">
        <v>44594</v>
      </c>
      <c r="B197" s="4" t="s">
        <v>539</v>
      </c>
      <c r="C197" s="4"/>
      <c r="D197" s="1" t="s">
        <v>540</v>
      </c>
      <c r="E197" s="4" t="s">
        <v>541</v>
      </c>
      <c r="F197" s="1" t="s">
        <v>19</v>
      </c>
      <c r="G197" s="1" t="s">
        <v>542</v>
      </c>
      <c r="H197" s="2">
        <v>100000</v>
      </c>
      <c r="I197" s="2">
        <v>60000</v>
      </c>
      <c r="J197" s="2">
        <v>40000</v>
      </c>
      <c r="K197" s="1" t="s">
        <v>543</v>
      </c>
      <c r="L197" s="2">
        <v>25000</v>
      </c>
      <c r="M197" s="2">
        <v>40000</v>
      </c>
      <c r="N197" s="11" t="s">
        <v>25</v>
      </c>
      <c r="O197" s="15">
        <v>15000</v>
      </c>
    </row>
    <row r="198" spans="1:15" s="16" customFormat="1" ht="14.25" customHeight="1" x14ac:dyDescent="0.25">
      <c r="A198" s="9">
        <v>44594</v>
      </c>
      <c r="B198" s="21"/>
      <c r="C198" s="21"/>
      <c r="E198" s="21" t="s">
        <v>574</v>
      </c>
      <c r="F198" s="16" t="s">
        <v>16</v>
      </c>
      <c r="G198" s="16" t="s">
        <v>250</v>
      </c>
      <c r="H198" s="20">
        <v>10000</v>
      </c>
      <c r="I198" s="2">
        <v>6000</v>
      </c>
      <c r="J198" s="2">
        <v>4000</v>
      </c>
      <c r="L198" s="2"/>
      <c r="M198" s="2"/>
      <c r="N198" s="18" t="s">
        <v>25</v>
      </c>
      <c r="O198" s="15">
        <v>0</v>
      </c>
    </row>
    <row r="199" spans="1:15" ht="14.25" customHeight="1" x14ac:dyDescent="0.25">
      <c r="A199" s="9">
        <v>44595</v>
      </c>
      <c r="C199" s="4"/>
      <c r="E199" s="4"/>
      <c r="F199" s="1" t="s">
        <v>408</v>
      </c>
      <c r="G199" s="1" t="s">
        <v>570</v>
      </c>
      <c r="H199" s="2">
        <v>30000</v>
      </c>
      <c r="I199" s="2">
        <v>18000</v>
      </c>
      <c r="J199" s="2">
        <v>12000</v>
      </c>
      <c r="L199" s="2"/>
      <c r="M199" s="2"/>
      <c r="N199" s="11" t="s">
        <v>25</v>
      </c>
      <c r="O199" s="15">
        <v>0</v>
      </c>
    </row>
    <row r="200" spans="1:15" ht="14.25" customHeight="1" x14ac:dyDescent="0.25">
      <c r="A200" s="9">
        <v>44595</v>
      </c>
      <c r="C200" s="4"/>
      <c r="E200" s="4"/>
      <c r="F200" s="1" t="s">
        <v>408</v>
      </c>
      <c r="G200" s="1" t="s">
        <v>572</v>
      </c>
      <c r="H200" s="2">
        <v>20000</v>
      </c>
      <c r="I200" s="2">
        <v>12000</v>
      </c>
      <c r="J200" s="2">
        <v>8000</v>
      </c>
      <c r="L200" s="2"/>
      <c r="M200" s="2"/>
      <c r="N200" s="11" t="s">
        <v>25</v>
      </c>
      <c r="O200" s="15">
        <v>0</v>
      </c>
    </row>
    <row r="201" spans="1:15" ht="14.25" customHeight="1" x14ac:dyDescent="0.25">
      <c r="A201" s="9">
        <v>44595</v>
      </c>
      <c r="C201" s="4"/>
      <c r="D201" s="1" t="s">
        <v>107</v>
      </c>
      <c r="E201" s="4" t="s">
        <v>573</v>
      </c>
      <c r="F201" s="1" t="s">
        <v>408</v>
      </c>
      <c r="G201" s="1" t="s">
        <v>437</v>
      </c>
      <c r="H201" s="2">
        <v>35000</v>
      </c>
      <c r="I201" s="2">
        <v>21000</v>
      </c>
      <c r="J201" s="2">
        <v>14000</v>
      </c>
      <c r="L201" s="2"/>
      <c r="M201" s="2"/>
      <c r="N201" s="11" t="s">
        <v>25</v>
      </c>
      <c r="O201" s="15">
        <v>0</v>
      </c>
    </row>
    <row r="202" spans="1:15" ht="14.25" customHeight="1" x14ac:dyDescent="0.25">
      <c r="A202" s="9">
        <v>44595</v>
      </c>
      <c r="B202" s="4" t="s">
        <v>544</v>
      </c>
      <c r="C202" s="4"/>
      <c r="D202" s="1" t="s">
        <v>545</v>
      </c>
      <c r="E202" s="4" t="s">
        <v>546</v>
      </c>
      <c r="F202" s="1" t="s">
        <v>16</v>
      </c>
      <c r="G202" s="1" t="s">
        <v>329</v>
      </c>
      <c r="H202" s="2">
        <v>50000</v>
      </c>
      <c r="I202" s="2">
        <v>30000</v>
      </c>
      <c r="J202" s="2">
        <v>20000</v>
      </c>
      <c r="L202" s="2"/>
      <c r="M202" s="2"/>
      <c r="N202" s="11" t="s">
        <v>25</v>
      </c>
      <c r="O202" s="15">
        <v>0</v>
      </c>
    </row>
    <row r="203" spans="1:15" ht="14.25" customHeight="1" x14ac:dyDescent="0.25">
      <c r="A203" s="9">
        <v>44595</v>
      </c>
      <c r="B203" s="4" t="s">
        <v>547</v>
      </c>
      <c r="C203" s="4"/>
      <c r="D203" s="1" t="s">
        <v>548</v>
      </c>
      <c r="E203" s="4" t="s">
        <v>549</v>
      </c>
      <c r="F203" s="1" t="s">
        <v>19</v>
      </c>
      <c r="G203" s="1" t="s">
        <v>550</v>
      </c>
      <c r="H203" s="2">
        <v>50000</v>
      </c>
      <c r="I203" s="2">
        <v>30000</v>
      </c>
      <c r="J203" s="2">
        <v>20000</v>
      </c>
      <c r="K203" s="1" t="s">
        <v>551</v>
      </c>
      <c r="L203" s="2"/>
      <c r="M203" s="2">
        <v>5000</v>
      </c>
      <c r="N203" s="11" t="s">
        <v>25</v>
      </c>
      <c r="O203" s="15">
        <v>5000</v>
      </c>
    </row>
    <row r="204" spans="1:15" ht="14.25" customHeight="1" x14ac:dyDescent="0.25">
      <c r="A204" s="9">
        <v>44595</v>
      </c>
      <c r="C204" s="4"/>
      <c r="E204" s="4"/>
      <c r="F204" s="1" t="s">
        <v>16</v>
      </c>
      <c r="G204" s="1" t="s">
        <v>250</v>
      </c>
      <c r="H204" s="2">
        <v>10000</v>
      </c>
      <c r="I204" s="2">
        <v>6000</v>
      </c>
      <c r="J204" s="2">
        <v>4000</v>
      </c>
      <c r="L204" s="2"/>
      <c r="M204" s="2"/>
      <c r="N204" s="11" t="s">
        <v>25</v>
      </c>
      <c r="O204" s="15">
        <v>0</v>
      </c>
    </row>
    <row r="205" spans="1:15" ht="14.25" customHeight="1" x14ac:dyDescent="0.25">
      <c r="A205" s="9">
        <v>44595</v>
      </c>
      <c r="C205" s="4"/>
      <c r="D205" s="1" t="s">
        <v>540</v>
      </c>
      <c r="E205" s="4">
        <v>640000</v>
      </c>
      <c r="F205" s="1" t="s">
        <v>19</v>
      </c>
      <c r="G205" s="1" t="s">
        <v>552</v>
      </c>
      <c r="H205" s="2">
        <v>20000</v>
      </c>
      <c r="I205" s="2">
        <v>20000</v>
      </c>
      <c r="J205" s="2">
        <v>8000</v>
      </c>
      <c r="L205" s="2"/>
      <c r="M205" s="2"/>
      <c r="N205" s="11" t="s">
        <v>25</v>
      </c>
      <c r="O205" s="15">
        <v>0</v>
      </c>
    </row>
    <row r="206" spans="1:15" ht="14.25" customHeight="1" x14ac:dyDescent="0.25">
      <c r="A206" s="9">
        <v>44596</v>
      </c>
      <c r="C206" s="4"/>
      <c r="E206" s="4"/>
      <c r="F206" s="1" t="s">
        <v>30</v>
      </c>
      <c r="G206" s="1" t="s">
        <v>553</v>
      </c>
      <c r="H206" s="2">
        <v>15000</v>
      </c>
      <c r="I206" s="2">
        <v>9000</v>
      </c>
      <c r="J206" s="2">
        <v>6000</v>
      </c>
      <c r="L206" s="2"/>
      <c r="M206" s="2"/>
      <c r="N206" s="11" t="s">
        <v>25</v>
      </c>
      <c r="O206" s="15">
        <v>0</v>
      </c>
    </row>
    <row r="207" spans="1:15" ht="14.25" customHeight="1" x14ac:dyDescent="0.25">
      <c r="A207" s="9">
        <v>44596</v>
      </c>
      <c r="B207" s="4" t="s">
        <v>592</v>
      </c>
      <c r="C207" s="4"/>
      <c r="D207" s="1" t="s">
        <v>43</v>
      </c>
      <c r="E207" s="4" t="s">
        <v>554</v>
      </c>
      <c r="F207" s="1" t="s">
        <v>30</v>
      </c>
      <c r="G207" s="1" t="s">
        <v>555</v>
      </c>
      <c r="H207" s="2">
        <v>750000</v>
      </c>
      <c r="I207" s="2">
        <v>450000</v>
      </c>
      <c r="J207" s="2">
        <v>300000</v>
      </c>
      <c r="K207" s="1" t="s">
        <v>591</v>
      </c>
      <c r="L207" s="2">
        <v>189000</v>
      </c>
      <c r="M207" s="2">
        <v>262000</v>
      </c>
      <c r="N207" s="11" t="s">
        <v>25</v>
      </c>
      <c r="O207" s="15">
        <v>73000</v>
      </c>
    </row>
    <row r="208" spans="1:15" ht="14.25" customHeight="1" x14ac:dyDescent="0.25">
      <c r="A208" s="9">
        <v>44596</v>
      </c>
      <c r="C208" s="4"/>
      <c r="D208" s="1" t="s">
        <v>202</v>
      </c>
      <c r="E208" s="4" t="s">
        <v>125</v>
      </c>
      <c r="F208" s="1" t="s">
        <v>30</v>
      </c>
      <c r="G208" s="1" t="s">
        <v>556</v>
      </c>
      <c r="H208" s="2">
        <v>90000</v>
      </c>
      <c r="I208" s="2">
        <v>54000</v>
      </c>
      <c r="J208" s="2">
        <v>36000</v>
      </c>
      <c r="L208" s="2"/>
      <c r="M208" s="2"/>
      <c r="N208" s="11" t="s">
        <v>25</v>
      </c>
      <c r="O208" s="15">
        <v>0</v>
      </c>
    </row>
    <row r="209" spans="1:15" ht="14.25" customHeight="1" x14ac:dyDescent="0.25">
      <c r="A209" s="9">
        <v>44596</v>
      </c>
      <c r="C209" s="4"/>
      <c r="D209" s="1" t="s">
        <v>559</v>
      </c>
      <c r="E209" s="4" t="s">
        <v>558</v>
      </c>
      <c r="F209" s="1" t="s">
        <v>408</v>
      </c>
      <c r="G209" s="1" t="s">
        <v>557</v>
      </c>
      <c r="H209" s="2">
        <v>250000</v>
      </c>
      <c r="I209" s="2">
        <v>150000</v>
      </c>
      <c r="J209" s="2">
        <v>100000</v>
      </c>
      <c r="L209" s="2"/>
      <c r="M209" s="2"/>
      <c r="N209" s="11" t="s">
        <v>25</v>
      </c>
      <c r="O209" s="15">
        <v>0</v>
      </c>
    </row>
    <row r="210" spans="1:15" ht="14.25" customHeight="1" x14ac:dyDescent="0.25">
      <c r="A210" s="9">
        <v>44596</v>
      </c>
      <c r="C210" s="4"/>
      <c r="D210" s="1" t="s">
        <v>559</v>
      </c>
      <c r="E210" s="4" t="s">
        <v>558</v>
      </c>
      <c r="F210" s="1" t="s">
        <v>19</v>
      </c>
      <c r="G210" s="1" t="s">
        <v>560</v>
      </c>
      <c r="H210" s="2">
        <v>50000</v>
      </c>
      <c r="I210" s="2">
        <v>30000</v>
      </c>
      <c r="J210" s="2">
        <v>20000</v>
      </c>
      <c r="L210" s="2"/>
      <c r="M210" s="2"/>
      <c r="N210" s="11" t="s">
        <v>25</v>
      </c>
      <c r="O210" s="15">
        <v>0</v>
      </c>
    </row>
    <row r="211" spans="1:15" ht="14.25" customHeight="1" x14ac:dyDescent="0.25">
      <c r="A211" s="9">
        <v>44596</v>
      </c>
      <c r="C211" s="4"/>
      <c r="D211" s="1" t="s">
        <v>218</v>
      </c>
      <c r="E211" s="4" t="s">
        <v>561</v>
      </c>
      <c r="F211" s="1" t="s">
        <v>30</v>
      </c>
      <c r="G211" s="1" t="s">
        <v>562</v>
      </c>
      <c r="H211" s="2">
        <v>20000</v>
      </c>
      <c r="I211" s="2">
        <v>12000</v>
      </c>
      <c r="J211" s="2">
        <v>8000</v>
      </c>
      <c r="K211" s="1" t="s">
        <v>593</v>
      </c>
      <c r="L211" s="2">
        <v>100000</v>
      </c>
      <c r="M211" s="2">
        <v>110000</v>
      </c>
      <c r="N211" s="11" t="s">
        <v>25</v>
      </c>
      <c r="O211" s="15">
        <v>10000</v>
      </c>
    </row>
    <row r="212" spans="1:15" ht="14.25" customHeight="1" x14ac:dyDescent="0.25">
      <c r="A212" s="9">
        <v>44596</v>
      </c>
      <c r="C212" s="4"/>
      <c r="D212" s="1" t="s">
        <v>563</v>
      </c>
      <c r="E212" s="4" t="s">
        <v>564</v>
      </c>
      <c r="F212" s="1" t="s">
        <v>30</v>
      </c>
      <c r="G212" s="1" t="s">
        <v>565</v>
      </c>
      <c r="H212" s="15">
        <v>30000</v>
      </c>
      <c r="I212" s="2">
        <v>18000</v>
      </c>
      <c r="J212" s="2">
        <v>12000</v>
      </c>
      <c r="K212" s="1" t="s">
        <v>230</v>
      </c>
      <c r="L212" s="2">
        <v>16000</v>
      </c>
      <c r="M212" s="2">
        <v>38000</v>
      </c>
      <c r="N212" s="11" t="s">
        <v>25</v>
      </c>
      <c r="O212" s="15">
        <v>22000</v>
      </c>
    </row>
    <row r="213" spans="1:15" ht="14.25" customHeight="1" x14ac:dyDescent="0.25">
      <c r="A213" s="9">
        <v>44596</v>
      </c>
      <c r="C213" s="4"/>
      <c r="D213" s="1" t="s">
        <v>566</v>
      </c>
      <c r="E213" s="4" t="s">
        <v>567</v>
      </c>
      <c r="F213" s="1" t="s">
        <v>10</v>
      </c>
      <c r="G213" s="1" t="s">
        <v>568</v>
      </c>
      <c r="H213" s="2">
        <v>350000</v>
      </c>
      <c r="I213" s="2">
        <v>210000</v>
      </c>
      <c r="J213" s="2">
        <v>140000</v>
      </c>
      <c r="L213" s="2"/>
      <c r="M213" s="2"/>
      <c r="N213" s="11" t="s">
        <v>25</v>
      </c>
      <c r="O213" s="15">
        <v>0</v>
      </c>
    </row>
    <row r="214" spans="1:15" ht="14.25" customHeight="1" x14ac:dyDescent="0.25">
      <c r="A214" s="9">
        <v>44596</v>
      </c>
      <c r="C214" s="4"/>
      <c r="D214" s="1" t="s">
        <v>161</v>
      </c>
      <c r="E214" s="4" t="s">
        <v>162</v>
      </c>
      <c r="F214" s="1" t="s">
        <v>10</v>
      </c>
      <c r="G214" s="1" t="s">
        <v>569</v>
      </c>
      <c r="H214" s="2">
        <v>650000</v>
      </c>
      <c r="I214" s="2">
        <v>390000</v>
      </c>
      <c r="J214" s="2">
        <v>260000</v>
      </c>
      <c r="L214" s="2"/>
      <c r="M214" s="2"/>
      <c r="N214" s="11" t="s">
        <v>25</v>
      </c>
      <c r="O214" s="15">
        <v>0</v>
      </c>
    </row>
    <row r="215" spans="1:15" ht="14.25" customHeight="1" x14ac:dyDescent="0.25">
      <c r="A215" s="9">
        <v>44597</v>
      </c>
      <c r="B215" s="4" t="s">
        <v>575</v>
      </c>
      <c r="C215" s="4"/>
      <c r="D215" s="1" t="s">
        <v>576</v>
      </c>
      <c r="E215" s="4" t="s">
        <v>577</v>
      </c>
      <c r="F215" s="1" t="s">
        <v>34</v>
      </c>
      <c r="G215" s="1" t="s">
        <v>211</v>
      </c>
      <c r="H215" s="15">
        <v>40000</v>
      </c>
      <c r="I215" s="2">
        <v>24000</v>
      </c>
      <c r="J215" s="2">
        <v>16000</v>
      </c>
      <c r="K215" s="1" t="s">
        <v>578</v>
      </c>
      <c r="L215" s="2">
        <v>109000</v>
      </c>
      <c r="M215" s="2">
        <v>160000</v>
      </c>
      <c r="N215" s="11" t="s">
        <v>25</v>
      </c>
      <c r="O215" s="15">
        <v>51000</v>
      </c>
    </row>
    <row r="216" spans="1:15" ht="14.25" customHeight="1" x14ac:dyDescent="0.25">
      <c r="A216" s="9">
        <v>44597</v>
      </c>
      <c r="B216" s="4" t="s">
        <v>579</v>
      </c>
      <c r="C216" s="4"/>
      <c r="D216" s="1" t="s">
        <v>580</v>
      </c>
      <c r="E216" s="4" t="s">
        <v>581</v>
      </c>
      <c r="F216" s="1" t="s">
        <v>10</v>
      </c>
      <c r="G216" s="1" t="s">
        <v>560</v>
      </c>
      <c r="H216" s="2">
        <v>30000</v>
      </c>
      <c r="I216" s="2">
        <v>18000</v>
      </c>
      <c r="J216" s="2">
        <v>12000</v>
      </c>
      <c r="K216" s="1" t="s">
        <v>582</v>
      </c>
      <c r="L216" s="2">
        <v>90000</v>
      </c>
      <c r="M216" s="2">
        <v>130000</v>
      </c>
      <c r="N216" s="11" t="s">
        <v>25</v>
      </c>
      <c r="O216" s="15">
        <v>40000</v>
      </c>
    </row>
    <row r="217" spans="1:15" ht="14.25" customHeight="1" x14ac:dyDescent="0.25">
      <c r="A217" s="9">
        <v>44597</v>
      </c>
      <c r="B217" s="4" t="s">
        <v>583</v>
      </c>
      <c r="C217" s="4"/>
      <c r="D217" s="1" t="s">
        <v>584</v>
      </c>
      <c r="E217" s="4" t="s">
        <v>585</v>
      </c>
      <c r="F217" s="1" t="s">
        <v>30</v>
      </c>
      <c r="G217" s="1" t="s">
        <v>586</v>
      </c>
      <c r="H217" s="2">
        <v>300000</v>
      </c>
      <c r="I217" s="2">
        <v>180000</v>
      </c>
      <c r="J217" s="2">
        <v>120000</v>
      </c>
      <c r="K217" s="1" t="s">
        <v>433</v>
      </c>
      <c r="L217" s="2">
        <v>1400000</v>
      </c>
      <c r="M217" s="2">
        <v>1600000</v>
      </c>
      <c r="N217" s="11" t="s">
        <v>25</v>
      </c>
      <c r="O217" s="15">
        <v>200000</v>
      </c>
    </row>
    <row r="218" spans="1:15" ht="14.25" customHeight="1" x14ac:dyDescent="0.25">
      <c r="A218" s="9">
        <v>44597</v>
      </c>
      <c r="B218" s="4" t="s">
        <v>587</v>
      </c>
      <c r="C218" s="4"/>
      <c r="D218" s="1" t="s">
        <v>548</v>
      </c>
      <c r="E218" s="4" t="s">
        <v>588</v>
      </c>
      <c r="F218" s="1" t="s">
        <v>19</v>
      </c>
      <c r="G218" s="1" t="s">
        <v>589</v>
      </c>
      <c r="H218" s="2">
        <v>80000</v>
      </c>
      <c r="I218" s="2">
        <v>48000</v>
      </c>
      <c r="J218" s="2">
        <v>32000</v>
      </c>
      <c r="K218" s="1" t="s">
        <v>590</v>
      </c>
      <c r="L218" s="2">
        <v>155000</v>
      </c>
      <c r="M218" s="2">
        <v>230000</v>
      </c>
      <c r="N218" s="1" t="s">
        <v>25</v>
      </c>
      <c r="O218" s="15">
        <v>75000</v>
      </c>
    </row>
    <row r="219" spans="1:15" ht="14.25" customHeight="1" x14ac:dyDescent="0.25">
      <c r="A219" s="9">
        <v>44599</v>
      </c>
      <c r="B219" s="4" t="s">
        <v>596</v>
      </c>
      <c r="C219" s="4" t="s">
        <v>612</v>
      </c>
      <c r="D219" s="1" t="s">
        <v>88</v>
      </c>
      <c r="E219" s="4" t="s">
        <v>594</v>
      </c>
      <c r="F219" s="1" t="s">
        <v>603</v>
      </c>
      <c r="G219" s="1" t="s">
        <v>595</v>
      </c>
      <c r="H219" s="2">
        <v>80000</v>
      </c>
      <c r="I219" s="2">
        <v>48000</v>
      </c>
      <c r="J219" s="2">
        <v>32000</v>
      </c>
      <c r="L219" s="2"/>
      <c r="M219" s="2"/>
      <c r="N219" s="1" t="s">
        <v>25</v>
      </c>
      <c r="O219" s="15">
        <v>0</v>
      </c>
    </row>
    <row r="220" spans="1:15" ht="14.25" customHeight="1" x14ac:dyDescent="0.25">
      <c r="A220" s="9">
        <v>44599</v>
      </c>
      <c r="B220" s="4">
        <v>93</v>
      </c>
      <c r="C220" s="4" t="s">
        <v>598</v>
      </c>
      <c r="D220" s="1" t="s">
        <v>151</v>
      </c>
      <c r="E220" s="4" t="s">
        <v>152</v>
      </c>
      <c r="F220" s="1" t="s">
        <v>18</v>
      </c>
      <c r="G220" s="1" t="s">
        <v>599</v>
      </c>
      <c r="H220" s="15">
        <v>100000</v>
      </c>
      <c r="I220" s="2">
        <v>60000</v>
      </c>
      <c r="J220" s="2">
        <v>40000</v>
      </c>
      <c r="K220" s="1" t="s">
        <v>600</v>
      </c>
      <c r="L220" s="2"/>
      <c r="M220" s="2"/>
      <c r="N220" s="1" t="s">
        <v>25</v>
      </c>
      <c r="O220" s="15">
        <v>0</v>
      </c>
    </row>
    <row r="221" spans="1:15" ht="14.25" customHeight="1" x14ac:dyDescent="0.25">
      <c r="A221" s="9">
        <v>44599</v>
      </c>
      <c r="C221" s="4" t="s">
        <v>601</v>
      </c>
      <c r="D221" s="1" t="s">
        <v>200</v>
      </c>
      <c r="E221" s="4" t="s">
        <v>602</v>
      </c>
      <c r="F221" s="1" t="s">
        <v>603</v>
      </c>
      <c r="G221" s="1" t="s">
        <v>604</v>
      </c>
      <c r="H221" s="15">
        <v>30000</v>
      </c>
      <c r="I221" s="2">
        <v>18000</v>
      </c>
      <c r="J221" s="2">
        <v>12000</v>
      </c>
      <c r="L221" s="2"/>
      <c r="M221" s="2"/>
      <c r="N221" s="1" t="s">
        <v>25</v>
      </c>
      <c r="O221" s="15">
        <v>0</v>
      </c>
    </row>
    <row r="222" spans="1:15" ht="14.25" customHeight="1" x14ac:dyDescent="0.25">
      <c r="A222" s="9">
        <v>44599</v>
      </c>
      <c r="C222" s="4" t="s">
        <v>605</v>
      </c>
      <c r="D222" s="1" t="s">
        <v>529</v>
      </c>
      <c r="E222" s="4" t="s">
        <v>606</v>
      </c>
      <c r="F222" s="1" t="s">
        <v>19</v>
      </c>
      <c r="G222" s="1" t="s">
        <v>607</v>
      </c>
      <c r="H222" s="2">
        <v>40000</v>
      </c>
      <c r="I222" s="2">
        <v>24000</v>
      </c>
      <c r="J222" s="2">
        <v>16000</v>
      </c>
      <c r="K222" s="1" t="s">
        <v>608</v>
      </c>
      <c r="L222" s="2">
        <v>45500</v>
      </c>
      <c r="M222" s="2">
        <v>20000</v>
      </c>
      <c r="N222" s="1" t="s">
        <v>25</v>
      </c>
      <c r="O222" s="15">
        <v>-25500</v>
      </c>
    </row>
    <row r="223" spans="1:15" ht="14.25" customHeight="1" x14ac:dyDescent="0.25">
      <c r="A223" s="9">
        <v>44599</v>
      </c>
      <c r="B223" s="4" t="s">
        <v>613</v>
      </c>
      <c r="C223" s="4" t="s">
        <v>609</v>
      </c>
      <c r="D223" s="1" t="s">
        <v>107</v>
      </c>
      <c r="E223" s="4" t="s">
        <v>573</v>
      </c>
      <c r="F223" s="1" t="s">
        <v>19</v>
      </c>
      <c r="G223" s="1" t="s">
        <v>610</v>
      </c>
      <c r="H223" s="2">
        <v>40000</v>
      </c>
      <c r="I223" s="2">
        <v>24000</v>
      </c>
      <c r="J223" s="2">
        <v>16000</v>
      </c>
      <c r="K223" s="1" t="s">
        <v>611</v>
      </c>
      <c r="L223" s="2">
        <v>15000</v>
      </c>
      <c r="M223" s="2">
        <v>22000</v>
      </c>
      <c r="N223" s="1" t="s">
        <v>25</v>
      </c>
      <c r="O223" s="15">
        <v>7000</v>
      </c>
    </row>
    <row r="224" spans="1:15" ht="14.25" customHeight="1" x14ac:dyDescent="0.25">
      <c r="A224" s="9">
        <v>44599</v>
      </c>
      <c r="B224" s="4" t="s">
        <v>613</v>
      </c>
      <c r="C224" s="4" t="s">
        <v>609</v>
      </c>
      <c r="D224" s="1" t="s">
        <v>107</v>
      </c>
      <c r="E224" s="4" t="s">
        <v>573</v>
      </c>
      <c r="F224" s="1" t="s">
        <v>603</v>
      </c>
      <c r="G224" s="1" t="s">
        <v>308</v>
      </c>
      <c r="H224" s="2">
        <v>10000</v>
      </c>
      <c r="I224" s="2">
        <v>6000</v>
      </c>
      <c r="J224" s="2">
        <v>4000</v>
      </c>
      <c r="K224" s="1" t="s">
        <v>82</v>
      </c>
      <c r="L224" s="2">
        <v>1000</v>
      </c>
      <c r="M224" s="2">
        <v>2000</v>
      </c>
      <c r="N224" s="1" t="s">
        <v>25</v>
      </c>
      <c r="O224" s="15">
        <v>1000</v>
      </c>
    </row>
    <row r="225" spans="1:15" ht="14.25" customHeight="1" x14ac:dyDescent="0.25">
      <c r="A225" s="9">
        <v>44600</v>
      </c>
      <c r="B225" s="4" t="s">
        <v>614</v>
      </c>
      <c r="C225" s="4" t="s">
        <v>615</v>
      </c>
      <c r="D225" s="1" t="s">
        <v>385</v>
      </c>
      <c r="E225" s="4" t="s">
        <v>616</v>
      </c>
      <c r="F225" s="1" t="s">
        <v>30</v>
      </c>
      <c r="G225" s="1" t="s">
        <v>174</v>
      </c>
      <c r="H225" s="2">
        <v>60000</v>
      </c>
      <c r="I225" s="2">
        <v>36000</v>
      </c>
      <c r="J225" s="2">
        <v>24000</v>
      </c>
      <c r="L225" s="2"/>
      <c r="M225" s="2"/>
      <c r="N225" s="1" t="s">
        <v>25</v>
      </c>
      <c r="O225" s="15">
        <v>0</v>
      </c>
    </row>
    <row r="226" spans="1:15" ht="14.25" customHeight="1" x14ac:dyDescent="0.25">
      <c r="A226" s="9">
        <v>44600</v>
      </c>
      <c r="B226" s="4" t="s">
        <v>617</v>
      </c>
      <c r="C226" s="4" t="s">
        <v>618</v>
      </c>
      <c r="D226" s="1" t="s">
        <v>96</v>
      </c>
      <c r="E226" s="4" t="s">
        <v>619</v>
      </c>
      <c r="F226" s="1" t="s">
        <v>408</v>
      </c>
      <c r="G226" s="1" t="s">
        <v>620</v>
      </c>
      <c r="H226" s="15">
        <v>60000</v>
      </c>
      <c r="I226" s="2">
        <v>36000</v>
      </c>
      <c r="J226" s="2">
        <v>24000</v>
      </c>
      <c r="K226" s="1" t="s">
        <v>621</v>
      </c>
      <c r="L226" s="2">
        <v>143000</v>
      </c>
      <c r="M226" s="2">
        <v>228000</v>
      </c>
      <c r="N226" s="1" t="s">
        <v>25</v>
      </c>
      <c r="O226" s="15">
        <v>85000</v>
      </c>
    </row>
    <row r="227" spans="1:15" ht="14.25" customHeight="1" x14ac:dyDescent="0.25">
      <c r="A227" s="9">
        <v>44600</v>
      </c>
      <c r="B227" s="4" t="s">
        <v>622</v>
      </c>
      <c r="C227" s="4" t="s">
        <v>623</v>
      </c>
      <c r="D227" s="1" t="s">
        <v>624</v>
      </c>
      <c r="E227" s="4" t="s">
        <v>628</v>
      </c>
      <c r="F227" s="1" t="s">
        <v>30</v>
      </c>
      <c r="G227" s="1" t="s">
        <v>629</v>
      </c>
      <c r="H227" s="2">
        <v>30000</v>
      </c>
      <c r="I227" s="2">
        <v>18000</v>
      </c>
      <c r="J227" s="2">
        <v>12000</v>
      </c>
      <c r="L227" s="2"/>
      <c r="M227" s="2"/>
      <c r="N227" s="1" t="s">
        <v>25</v>
      </c>
      <c r="O227" s="15">
        <v>0</v>
      </c>
    </row>
    <row r="228" spans="1:15" ht="14.25" customHeight="1" x14ac:dyDescent="0.25">
      <c r="A228" s="9">
        <v>44600</v>
      </c>
      <c r="B228" s="4" t="s">
        <v>625</v>
      </c>
      <c r="C228" s="4" t="s">
        <v>626</v>
      </c>
      <c r="D228" s="1" t="s">
        <v>627</v>
      </c>
      <c r="E228" s="4" t="s">
        <v>630</v>
      </c>
      <c r="F228" s="1" t="s">
        <v>408</v>
      </c>
      <c r="G228" s="1" t="s">
        <v>631</v>
      </c>
      <c r="H228" s="2">
        <v>600000</v>
      </c>
      <c r="I228" s="2">
        <v>360000</v>
      </c>
      <c r="J228" s="2">
        <v>240000</v>
      </c>
      <c r="K228" s="1" t="s">
        <v>632</v>
      </c>
      <c r="L228" s="2">
        <v>117000</v>
      </c>
      <c r="M228" s="2">
        <v>190000</v>
      </c>
      <c r="N228" s="1" t="s">
        <v>25</v>
      </c>
      <c r="O228" s="15">
        <v>73000</v>
      </c>
    </row>
    <row r="229" spans="1:15" ht="14.25" customHeight="1" x14ac:dyDescent="0.25">
      <c r="A229" s="9">
        <v>44600</v>
      </c>
      <c r="C229" s="4"/>
      <c r="D229" s="1" t="s">
        <v>634</v>
      </c>
      <c r="E229" s="4" t="s">
        <v>633</v>
      </c>
      <c r="F229" s="1" t="s">
        <v>19</v>
      </c>
      <c r="G229" s="1" t="s">
        <v>21</v>
      </c>
      <c r="H229" s="2">
        <v>10000</v>
      </c>
      <c r="I229" s="2">
        <v>6000</v>
      </c>
      <c r="J229" s="2">
        <v>4000</v>
      </c>
      <c r="L229" s="2"/>
      <c r="M229" s="2"/>
      <c r="N229" s="1" t="s">
        <v>25</v>
      </c>
      <c r="O229" s="15">
        <v>0</v>
      </c>
    </row>
    <row r="230" spans="1:15" ht="14.25" customHeight="1" x14ac:dyDescent="0.25">
      <c r="A230" s="9">
        <v>44601</v>
      </c>
      <c r="B230" s="4" t="s">
        <v>635</v>
      </c>
      <c r="C230" s="4" t="s">
        <v>636</v>
      </c>
      <c r="D230" s="1" t="s">
        <v>637</v>
      </c>
      <c r="E230" s="4" t="s">
        <v>638</v>
      </c>
      <c r="F230" s="1" t="s">
        <v>30</v>
      </c>
      <c r="G230" s="1" t="s">
        <v>639</v>
      </c>
      <c r="H230" s="2">
        <v>400000</v>
      </c>
      <c r="I230" s="2">
        <v>240000</v>
      </c>
      <c r="J230" s="2">
        <v>160000</v>
      </c>
      <c r="K230" s="1" t="s">
        <v>640</v>
      </c>
      <c r="L230" s="2"/>
      <c r="M230" s="2"/>
      <c r="N230" s="1" t="s">
        <v>25</v>
      </c>
      <c r="O230" s="15">
        <v>0</v>
      </c>
    </row>
    <row r="231" spans="1:15" ht="14.25" customHeight="1" x14ac:dyDescent="0.25">
      <c r="A231" s="9">
        <v>44601</v>
      </c>
      <c r="B231" s="4" t="s">
        <v>641</v>
      </c>
      <c r="C231" s="4" t="s">
        <v>642</v>
      </c>
      <c r="D231" s="1" t="s">
        <v>112</v>
      </c>
      <c r="E231" s="4" t="s">
        <v>643</v>
      </c>
      <c r="F231" s="1" t="s">
        <v>408</v>
      </c>
      <c r="G231" s="1" t="s">
        <v>644</v>
      </c>
      <c r="H231" s="2">
        <v>100000</v>
      </c>
      <c r="I231" s="2">
        <v>90000</v>
      </c>
      <c r="J231" s="2">
        <v>40000</v>
      </c>
      <c r="L231" s="2"/>
      <c r="M231" s="2"/>
      <c r="N231" s="1" t="s">
        <v>25</v>
      </c>
      <c r="O231" s="15">
        <v>0</v>
      </c>
    </row>
    <row r="232" spans="1:15" ht="14.25" customHeight="1" x14ac:dyDescent="0.25">
      <c r="A232" s="9">
        <v>44602</v>
      </c>
      <c r="B232" s="4" t="s">
        <v>645</v>
      </c>
      <c r="C232" s="4" t="s">
        <v>646</v>
      </c>
      <c r="D232" s="1" t="s">
        <v>647</v>
      </c>
      <c r="E232" s="4" t="s">
        <v>648</v>
      </c>
      <c r="F232" s="1" t="s">
        <v>408</v>
      </c>
      <c r="G232" s="1" t="s">
        <v>649</v>
      </c>
      <c r="H232" s="2">
        <v>340000</v>
      </c>
      <c r="I232" s="2">
        <v>204000</v>
      </c>
      <c r="J232" s="2">
        <v>136000</v>
      </c>
      <c r="K232" s="1" t="s">
        <v>671</v>
      </c>
      <c r="L232" s="2"/>
      <c r="M232" s="2"/>
      <c r="N232" s="1" t="s">
        <v>25</v>
      </c>
      <c r="O232" s="15">
        <v>0</v>
      </c>
    </row>
    <row r="233" spans="1:15" ht="14.25" customHeight="1" x14ac:dyDescent="0.25">
      <c r="A233" s="9">
        <v>44602</v>
      </c>
      <c r="C233" s="4"/>
      <c r="D233" s="1" t="s">
        <v>103</v>
      </c>
      <c r="E233" s="4"/>
      <c r="F233" s="1" t="s">
        <v>30</v>
      </c>
      <c r="G233" s="1" t="s">
        <v>673</v>
      </c>
      <c r="H233" s="2">
        <v>20000</v>
      </c>
      <c r="I233" s="2">
        <v>12000</v>
      </c>
      <c r="J233" s="2">
        <v>8000</v>
      </c>
      <c r="L233" s="2"/>
      <c r="M233" s="2"/>
      <c r="N233" s="1" t="s">
        <v>25</v>
      </c>
      <c r="O233" s="15">
        <v>0</v>
      </c>
    </row>
    <row r="234" spans="1:15" ht="14.25" customHeight="1" x14ac:dyDescent="0.25">
      <c r="A234" s="9">
        <v>44602</v>
      </c>
      <c r="C234" s="4" t="s">
        <v>650</v>
      </c>
      <c r="D234" s="1" t="s">
        <v>59</v>
      </c>
      <c r="E234" s="4" t="s">
        <v>273</v>
      </c>
      <c r="F234" s="1" t="s">
        <v>19</v>
      </c>
      <c r="G234" s="1" t="s">
        <v>21</v>
      </c>
      <c r="H234" s="2">
        <v>10000</v>
      </c>
      <c r="I234" s="2">
        <v>6000</v>
      </c>
      <c r="J234" s="2">
        <v>4000</v>
      </c>
      <c r="L234" s="2"/>
      <c r="M234" s="2"/>
      <c r="N234" s="1" t="s">
        <v>25</v>
      </c>
      <c r="O234" s="15">
        <v>0</v>
      </c>
    </row>
    <row r="235" spans="1:15" ht="14.25" customHeight="1" x14ac:dyDescent="0.25">
      <c r="A235" s="9">
        <v>44603</v>
      </c>
      <c r="B235" s="4" t="s">
        <v>651</v>
      </c>
      <c r="C235" s="4" t="s">
        <v>652</v>
      </c>
      <c r="D235" s="1" t="s">
        <v>240</v>
      </c>
      <c r="E235" s="4" t="s">
        <v>653</v>
      </c>
      <c r="F235" s="1" t="s">
        <v>408</v>
      </c>
      <c r="G235" s="1" t="s">
        <v>654</v>
      </c>
      <c r="H235" s="15">
        <v>40000</v>
      </c>
      <c r="I235" s="2">
        <v>40000</v>
      </c>
      <c r="J235" s="2" t="s">
        <v>655</v>
      </c>
      <c r="L235" s="2"/>
      <c r="M235" s="2"/>
      <c r="N235" s="1" t="s">
        <v>25</v>
      </c>
      <c r="O235" s="15">
        <v>0</v>
      </c>
    </row>
    <row r="236" spans="1:15" ht="14.25" customHeight="1" x14ac:dyDescent="0.25">
      <c r="A236" s="9">
        <v>44603</v>
      </c>
      <c r="B236" s="4" t="s">
        <v>656</v>
      </c>
      <c r="C236" s="4" t="s">
        <v>657</v>
      </c>
      <c r="D236" s="1" t="s">
        <v>412</v>
      </c>
      <c r="E236" s="4" t="s">
        <v>658</v>
      </c>
      <c r="F236" s="1" t="s">
        <v>19</v>
      </c>
      <c r="G236" s="1" t="s">
        <v>659</v>
      </c>
      <c r="H236" s="2">
        <v>100000</v>
      </c>
      <c r="I236" s="2">
        <v>60000</v>
      </c>
      <c r="J236" s="2">
        <v>40000</v>
      </c>
      <c r="K236" s="1" t="s">
        <v>660</v>
      </c>
      <c r="L236" s="2">
        <v>160000</v>
      </c>
      <c r="M236" s="2">
        <v>232000</v>
      </c>
      <c r="N236" s="1" t="s">
        <v>25</v>
      </c>
      <c r="O236" s="15">
        <v>72000</v>
      </c>
    </row>
    <row r="237" spans="1:15" ht="14.25" customHeight="1" x14ac:dyDescent="0.25">
      <c r="A237" s="9">
        <v>44603</v>
      </c>
      <c r="B237" s="4" t="s">
        <v>661</v>
      </c>
      <c r="C237" s="4" t="s">
        <v>662</v>
      </c>
      <c r="D237" s="1" t="s">
        <v>54</v>
      </c>
      <c r="E237" s="4" t="s">
        <v>663</v>
      </c>
      <c r="F237" s="1" t="s">
        <v>603</v>
      </c>
      <c r="G237" s="1" t="s">
        <v>664</v>
      </c>
      <c r="H237" s="2">
        <v>50000</v>
      </c>
      <c r="I237" s="2">
        <v>30000</v>
      </c>
      <c r="J237" s="2">
        <v>20000</v>
      </c>
      <c r="L237" s="2"/>
      <c r="M237" s="2"/>
      <c r="N237" s="1" t="s">
        <v>25</v>
      </c>
      <c r="O237" s="15">
        <v>0</v>
      </c>
    </row>
    <row r="238" spans="1:15" ht="14.25" customHeight="1" x14ac:dyDescent="0.25">
      <c r="A238" s="9">
        <v>44603</v>
      </c>
      <c r="C238" s="4"/>
      <c r="D238" s="1" t="s">
        <v>665</v>
      </c>
      <c r="E238" s="4" t="s">
        <v>666</v>
      </c>
      <c r="F238" s="1" t="s">
        <v>19</v>
      </c>
      <c r="G238" s="1" t="s">
        <v>667</v>
      </c>
      <c r="H238" s="2">
        <v>80000</v>
      </c>
      <c r="I238" s="2">
        <v>48000</v>
      </c>
      <c r="J238" s="2">
        <v>32000</v>
      </c>
      <c r="L238" s="2"/>
      <c r="M238" s="2"/>
      <c r="N238" s="1" t="s">
        <v>25</v>
      </c>
      <c r="O238" s="15">
        <v>0</v>
      </c>
    </row>
    <row r="239" spans="1:15" ht="14.25" customHeight="1" x14ac:dyDescent="0.25">
      <c r="A239" s="9">
        <v>44603</v>
      </c>
      <c r="C239" s="4"/>
      <c r="D239" s="1" t="s">
        <v>665</v>
      </c>
      <c r="E239" s="4" t="s">
        <v>666</v>
      </c>
      <c r="F239" s="1" t="s">
        <v>10</v>
      </c>
      <c r="G239" s="1" t="s">
        <v>668</v>
      </c>
      <c r="H239" s="2">
        <v>190000</v>
      </c>
      <c r="I239" s="2">
        <v>114000</v>
      </c>
      <c r="J239" s="2">
        <v>76000</v>
      </c>
      <c r="L239" s="2"/>
      <c r="M239" s="2"/>
      <c r="N239" s="1" t="s">
        <v>25</v>
      </c>
      <c r="O239" s="15">
        <v>0</v>
      </c>
    </row>
    <row r="240" spans="1:15" ht="14.25" customHeight="1" x14ac:dyDescent="0.25">
      <c r="A240" s="9">
        <v>44603</v>
      </c>
      <c r="C240" s="4"/>
      <c r="E240" s="4" t="s">
        <v>669</v>
      </c>
      <c r="F240" s="1" t="s">
        <v>18</v>
      </c>
      <c r="G240" s="1" t="s">
        <v>670</v>
      </c>
      <c r="H240" s="2">
        <v>206000</v>
      </c>
      <c r="I240" s="2">
        <v>123600</v>
      </c>
      <c r="J240" s="2">
        <v>82400</v>
      </c>
      <c r="L240" s="2"/>
      <c r="M240" s="2"/>
      <c r="N240" s="1" t="s">
        <v>25</v>
      </c>
      <c r="O240" s="15">
        <v>0</v>
      </c>
    </row>
    <row r="241" spans="1:15" ht="14.25" customHeight="1" x14ac:dyDescent="0.25">
      <c r="A241" s="9">
        <v>44604</v>
      </c>
      <c r="C241" s="4"/>
      <c r="D241" s="1" t="s">
        <v>574</v>
      </c>
      <c r="E241" s="4" t="s">
        <v>674</v>
      </c>
      <c r="F241" s="1" t="s">
        <v>10</v>
      </c>
      <c r="G241" s="1" t="s">
        <v>675</v>
      </c>
      <c r="H241" s="2">
        <v>50000</v>
      </c>
      <c r="I241" s="2">
        <v>30000</v>
      </c>
      <c r="J241" s="2">
        <v>20000</v>
      </c>
      <c r="K241" s="1" t="s">
        <v>676</v>
      </c>
      <c r="L241" s="2">
        <v>30000</v>
      </c>
      <c r="M241" s="2">
        <v>40000</v>
      </c>
      <c r="N241" s="1" t="s">
        <v>25</v>
      </c>
      <c r="O241" s="15">
        <v>10000</v>
      </c>
    </row>
    <row r="242" spans="1:15" ht="14.25" customHeight="1" x14ac:dyDescent="0.25">
      <c r="A242" s="9">
        <v>44604</v>
      </c>
      <c r="C242" s="4"/>
      <c r="D242" s="1" t="s">
        <v>677</v>
      </c>
      <c r="E242" s="4" t="s">
        <v>678</v>
      </c>
      <c r="F242" s="1" t="s">
        <v>408</v>
      </c>
      <c r="G242" s="1" t="s">
        <v>679</v>
      </c>
      <c r="H242" s="2">
        <v>70000</v>
      </c>
      <c r="I242" s="2">
        <v>42000</v>
      </c>
      <c r="J242" s="2">
        <v>28000</v>
      </c>
      <c r="K242" s="1" t="s">
        <v>680</v>
      </c>
      <c r="L242" s="2">
        <v>198000</v>
      </c>
      <c r="M242" s="2">
        <v>270000</v>
      </c>
      <c r="N242" s="1" t="s">
        <v>25</v>
      </c>
      <c r="O242" s="15">
        <v>72000</v>
      </c>
    </row>
    <row r="243" spans="1:15" ht="14.25" customHeight="1" x14ac:dyDescent="0.25">
      <c r="A243" s="9">
        <v>44604</v>
      </c>
      <c r="B243" s="4" t="s">
        <v>681</v>
      </c>
      <c r="C243" s="4" t="s">
        <v>682</v>
      </c>
      <c r="D243" s="1" t="s">
        <v>683</v>
      </c>
      <c r="E243" s="4" t="s">
        <v>684</v>
      </c>
      <c r="F243" s="1" t="s">
        <v>408</v>
      </c>
      <c r="G243" s="1" t="s">
        <v>685</v>
      </c>
      <c r="H243" s="2">
        <v>50000</v>
      </c>
      <c r="I243" s="2">
        <v>30000</v>
      </c>
      <c r="J243" s="2">
        <v>20000</v>
      </c>
      <c r="K243" s="1" t="s">
        <v>686</v>
      </c>
      <c r="L243" s="2">
        <v>140000</v>
      </c>
      <c r="M243" s="2">
        <v>170000</v>
      </c>
      <c r="N243" s="1" t="s">
        <v>25</v>
      </c>
      <c r="O243" s="15">
        <v>30000</v>
      </c>
    </row>
    <row r="244" spans="1:15" ht="14.25" customHeight="1" x14ac:dyDescent="0.25">
      <c r="A244" s="9">
        <v>44604</v>
      </c>
      <c r="B244" s="4" t="s">
        <v>681</v>
      </c>
      <c r="C244" s="4" t="s">
        <v>682</v>
      </c>
      <c r="D244" s="1" t="s">
        <v>683</v>
      </c>
      <c r="E244" s="4" t="s">
        <v>684</v>
      </c>
      <c r="F244" s="1" t="s">
        <v>603</v>
      </c>
      <c r="G244" s="1" t="s">
        <v>687</v>
      </c>
      <c r="H244" s="2">
        <v>15000</v>
      </c>
      <c r="I244" s="2">
        <v>9000</v>
      </c>
      <c r="J244" s="2">
        <v>6000</v>
      </c>
      <c r="L244" s="2"/>
      <c r="M244" s="2"/>
      <c r="N244" s="1" t="s">
        <v>25</v>
      </c>
      <c r="O244" s="15">
        <v>0</v>
      </c>
    </row>
    <row r="245" spans="1:15" ht="14.25" customHeight="1" x14ac:dyDescent="0.25">
      <c r="A245" s="9">
        <v>44604</v>
      </c>
      <c r="C245" s="4"/>
      <c r="E245" s="4"/>
      <c r="F245" s="1" t="s">
        <v>603</v>
      </c>
      <c r="G245" s="1" t="s">
        <v>434</v>
      </c>
      <c r="H245" s="2">
        <v>50000</v>
      </c>
      <c r="I245" s="2">
        <v>50000</v>
      </c>
      <c r="J245" s="2">
        <v>20000</v>
      </c>
      <c r="L245" s="2"/>
      <c r="M245" s="2"/>
      <c r="N245" s="1" t="s">
        <v>25</v>
      </c>
      <c r="O245" s="15">
        <v>0</v>
      </c>
    </row>
    <row r="246" spans="1:15" ht="14.25" customHeight="1" x14ac:dyDescent="0.25">
      <c r="A246" s="9">
        <v>44604</v>
      </c>
      <c r="C246" s="4"/>
      <c r="D246" s="1" t="s">
        <v>540</v>
      </c>
      <c r="E246" s="4"/>
      <c r="F246" s="1" t="s">
        <v>19</v>
      </c>
      <c r="G246" s="1" t="s">
        <v>779</v>
      </c>
      <c r="H246" s="2">
        <v>20000</v>
      </c>
      <c r="I246" s="2">
        <v>20000</v>
      </c>
      <c r="J246" s="2">
        <v>8000</v>
      </c>
      <c r="L246" s="2"/>
      <c r="M246" s="2"/>
      <c r="N246" s="1" t="s">
        <v>25</v>
      </c>
      <c r="O246" s="15">
        <v>0</v>
      </c>
    </row>
    <row r="247" spans="1:15" ht="14.25" customHeight="1" x14ac:dyDescent="0.25">
      <c r="A247" s="9">
        <v>44604</v>
      </c>
      <c r="B247" s="4" t="s">
        <v>681</v>
      </c>
      <c r="C247" s="4" t="s">
        <v>682</v>
      </c>
      <c r="D247" s="1" t="s">
        <v>683</v>
      </c>
      <c r="E247" s="4" t="s">
        <v>684</v>
      </c>
      <c r="F247" s="1" t="s">
        <v>19</v>
      </c>
      <c r="G247" s="1" t="s">
        <v>778</v>
      </c>
      <c r="H247" s="2">
        <v>20000</v>
      </c>
      <c r="I247" s="2">
        <v>20000</v>
      </c>
      <c r="J247" s="2">
        <v>8000</v>
      </c>
      <c r="L247" s="2"/>
      <c r="M247" s="2"/>
      <c r="N247" s="1" t="s">
        <v>25</v>
      </c>
      <c r="O247" s="15">
        <v>0</v>
      </c>
    </row>
    <row r="248" spans="1:15" ht="14.25" customHeight="1" x14ac:dyDescent="0.25">
      <c r="A248" s="9">
        <v>44604</v>
      </c>
      <c r="C248" s="4"/>
      <c r="D248" s="1" t="s">
        <v>781</v>
      </c>
      <c r="E248" s="4"/>
      <c r="F248" s="1" t="s">
        <v>10</v>
      </c>
      <c r="G248" s="1" t="s">
        <v>782</v>
      </c>
      <c r="H248" s="2">
        <v>100000</v>
      </c>
      <c r="I248" s="2">
        <v>60000</v>
      </c>
      <c r="J248" s="2">
        <v>40000</v>
      </c>
      <c r="L248" s="2"/>
      <c r="M248" s="2"/>
      <c r="N248" s="1" t="s">
        <v>25</v>
      </c>
      <c r="O248" s="15">
        <v>0</v>
      </c>
    </row>
    <row r="249" spans="1:15" ht="14.25" customHeight="1" x14ac:dyDescent="0.25">
      <c r="A249" s="9">
        <v>44606</v>
      </c>
      <c r="C249" s="4"/>
      <c r="D249" s="1" t="s">
        <v>84</v>
      </c>
      <c r="E249" s="4"/>
      <c r="F249" s="1" t="s">
        <v>19</v>
      </c>
      <c r="G249" s="1" t="s">
        <v>21</v>
      </c>
      <c r="H249" s="2">
        <v>10000</v>
      </c>
      <c r="I249" s="2">
        <v>6000</v>
      </c>
      <c r="J249" s="2">
        <v>4000</v>
      </c>
      <c r="L249" s="11"/>
      <c r="M249" s="11"/>
      <c r="N249" s="1" t="s">
        <v>25</v>
      </c>
      <c r="O249" s="15">
        <v>0</v>
      </c>
    </row>
    <row r="250" spans="1:15" ht="14.25" customHeight="1" x14ac:dyDescent="0.25">
      <c r="A250" s="9">
        <v>44606</v>
      </c>
      <c r="C250" s="4"/>
      <c r="D250" s="1" t="s">
        <v>688</v>
      </c>
      <c r="E250" s="4" t="s">
        <v>689</v>
      </c>
      <c r="F250" s="1" t="s">
        <v>603</v>
      </c>
      <c r="G250" s="1" t="s">
        <v>690</v>
      </c>
      <c r="H250" s="2">
        <v>10000</v>
      </c>
      <c r="I250" s="2">
        <v>6000</v>
      </c>
      <c r="J250" s="2">
        <v>4000</v>
      </c>
      <c r="L250" s="11"/>
      <c r="M250" s="11"/>
      <c r="N250" s="1" t="s">
        <v>25</v>
      </c>
      <c r="O250" s="15">
        <v>0</v>
      </c>
    </row>
    <row r="251" spans="1:15" ht="14.25" customHeight="1" x14ac:dyDescent="0.25">
      <c r="A251" s="9">
        <v>44606</v>
      </c>
      <c r="C251" s="4"/>
      <c r="D251" s="1" t="s">
        <v>574</v>
      </c>
      <c r="E251" s="4" t="s">
        <v>666</v>
      </c>
      <c r="F251" s="1" t="s">
        <v>10</v>
      </c>
      <c r="G251" s="1" t="s">
        <v>691</v>
      </c>
      <c r="H251" s="2">
        <v>20000</v>
      </c>
      <c r="I251" s="2">
        <v>12000</v>
      </c>
      <c r="J251" s="2">
        <v>8000</v>
      </c>
      <c r="L251" s="11"/>
      <c r="M251" s="11"/>
      <c r="N251" s="1" t="s">
        <v>25</v>
      </c>
      <c r="O251" s="15">
        <v>0</v>
      </c>
    </row>
    <row r="252" spans="1:15" ht="14.25" customHeight="1" x14ac:dyDescent="0.25">
      <c r="A252" s="9">
        <v>44606</v>
      </c>
      <c r="B252" s="4" t="s">
        <v>692</v>
      </c>
      <c r="C252" s="4" t="s">
        <v>693</v>
      </c>
      <c r="D252" s="1" t="s">
        <v>694</v>
      </c>
      <c r="E252" s="4" t="s">
        <v>695</v>
      </c>
      <c r="F252" s="1" t="s">
        <v>19</v>
      </c>
      <c r="G252" s="1" t="s">
        <v>211</v>
      </c>
      <c r="H252" s="2">
        <v>30000</v>
      </c>
      <c r="I252" s="2">
        <v>18000</v>
      </c>
      <c r="J252" s="2">
        <v>12000</v>
      </c>
      <c r="K252" s="1" t="s">
        <v>71</v>
      </c>
      <c r="L252" s="11">
        <v>127000</v>
      </c>
      <c r="M252" s="11">
        <v>170000</v>
      </c>
      <c r="N252" s="1" t="s">
        <v>25</v>
      </c>
      <c r="O252" s="15">
        <v>43000</v>
      </c>
    </row>
    <row r="253" spans="1:15" ht="14.25" customHeight="1" x14ac:dyDescent="0.25">
      <c r="A253" s="9">
        <v>44606</v>
      </c>
      <c r="B253" s="4" t="s">
        <v>696</v>
      </c>
      <c r="C253" s="4" t="s">
        <v>697</v>
      </c>
      <c r="D253" s="1" t="s">
        <v>698</v>
      </c>
      <c r="E253" s="4" t="s">
        <v>699</v>
      </c>
      <c r="F253" s="1" t="s">
        <v>603</v>
      </c>
      <c r="G253" s="1" t="s">
        <v>700</v>
      </c>
      <c r="H253" s="2">
        <v>30000</v>
      </c>
      <c r="I253" s="2">
        <v>18000</v>
      </c>
      <c r="J253" s="2">
        <v>12000</v>
      </c>
      <c r="L253" s="11"/>
      <c r="M253" s="11"/>
      <c r="N253" s="1" t="s">
        <v>25</v>
      </c>
      <c r="O253" s="15">
        <v>0</v>
      </c>
    </row>
    <row r="254" spans="1:15" ht="14.25" customHeight="1" x14ac:dyDescent="0.25">
      <c r="A254" s="9">
        <v>44606</v>
      </c>
      <c r="B254" s="4" t="s">
        <v>696</v>
      </c>
      <c r="C254" s="4" t="s">
        <v>697</v>
      </c>
      <c r="D254" s="1" t="s">
        <v>698</v>
      </c>
      <c r="E254" s="4" t="s">
        <v>699</v>
      </c>
      <c r="F254" s="1" t="s">
        <v>18</v>
      </c>
      <c r="G254" s="1" t="s">
        <v>701</v>
      </c>
      <c r="H254" s="2">
        <v>25000</v>
      </c>
      <c r="I254" s="2">
        <v>20000</v>
      </c>
      <c r="J254" s="2">
        <v>10000</v>
      </c>
      <c r="L254" s="11"/>
      <c r="M254" s="11"/>
      <c r="N254" s="1" t="s">
        <v>25</v>
      </c>
      <c r="O254" s="15">
        <v>0</v>
      </c>
    </row>
    <row r="255" spans="1:15" ht="14.25" customHeight="1" x14ac:dyDescent="0.25">
      <c r="A255" s="9">
        <v>44606</v>
      </c>
      <c r="B255" s="4" t="s">
        <v>696</v>
      </c>
      <c r="C255" s="4" t="s">
        <v>697</v>
      </c>
      <c r="D255" s="1" t="s">
        <v>698</v>
      </c>
      <c r="E255" s="4" t="s">
        <v>699</v>
      </c>
      <c r="F255" s="1" t="s">
        <v>19</v>
      </c>
      <c r="G255" s="1" t="s">
        <v>329</v>
      </c>
      <c r="H255" s="2">
        <v>40000</v>
      </c>
      <c r="I255" s="2">
        <v>24000</v>
      </c>
      <c r="J255" s="2">
        <v>16000</v>
      </c>
      <c r="K255" s="1" t="s">
        <v>702</v>
      </c>
      <c r="L255" s="11">
        <v>62000</v>
      </c>
      <c r="M255" s="11">
        <v>120000</v>
      </c>
      <c r="N255" s="1" t="s">
        <v>25</v>
      </c>
      <c r="O255" s="15">
        <v>58000</v>
      </c>
    </row>
    <row r="256" spans="1:15" ht="14.25" customHeight="1" x14ac:dyDescent="0.25">
      <c r="A256" s="9">
        <v>44606</v>
      </c>
      <c r="C256" s="4" t="s">
        <v>703</v>
      </c>
      <c r="D256" s="1" t="s">
        <v>704</v>
      </c>
      <c r="E256" s="4" t="s">
        <v>705</v>
      </c>
      <c r="F256" s="1" t="s">
        <v>603</v>
      </c>
      <c r="G256" s="1" t="s">
        <v>706</v>
      </c>
      <c r="H256" s="2">
        <v>30000</v>
      </c>
      <c r="I256" s="2">
        <v>18000</v>
      </c>
      <c r="J256" s="2">
        <v>12000</v>
      </c>
      <c r="L256" s="11"/>
      <c r="M256" s="11"/>
      <c r="N256" s="1" t="s">
        <v>25</v>
      </c>
      <c r="O256" s="15">
        <v>0</v>
      </c>
    </row>
    <row r="257" spans="1:15" ht="14.25" customHeight="1" x14ac:dyDescent="0.25">
      <c r="A257" s="9">
        <v>44607</v>
      </c>
      <c r="B257" s="4" t="s">
        <v>707</v>
      </c>
      <c r="C257" s="4" t="s">
        <v>708</v>
      </c>
      <c r="D257" s="1" t="s">
        <v>48</v>
      </c>
      <c r="E257" s="4" t="s">
        <v>709</v>
      </c>
      <c r="F257" s="1" t="s">
        <v>19</v>
      </c>
      <c r="G257" s="1" t="s">
        <v>780</v>
      </c>
      <c r="H257" s="2">
        <v>30000</v>
      </c>
      <c r="I257" s="2">
        <v>18000</v>
      </c>
      <c r="J257" s="2">
        <v>12000</v>
      </c>
      <c r="L257" s="11"/>
      <c r="M257" s="11"/>
      <c r="N257" s="1" t="s">
        <v>25</v>
      </c>
      <c r="O257" s="15">
        <v>0</v>
      </c>
    </row>
    <row r="258" spans="1:15" ht="14.25" customHeight="1" x14ac:dyDescent="0.25">
      <c r="A258" s="9">
        <v>44607</v>
      </c>
      <c r="B258" s="4" t="s">
        <v>710</v>
      </c>
      <c r="C258" s="4" t="s">
        <v>711</v>
      </c>
      <c r="D258" s="1" t="s">
        <v>65</v>
      </c>
      <c r="E258" s="4" t="s">
        <v>712</v>
      </c>
      <c r="F258" s="1" t="s">
        <v>30</v>
      </c>
      <c r="G258" s="1" t="s">
        <v>713</v>
      </c>
      <c r="H258" s="2">
        <v>70000</v>
      </c>
      <c r="I258" s="2">
        <v>42000</v>
      </c>
      <c r="J258" s="2">
        <v>28000</v>
      </c>
      <c r="K258" s="1" t="s">
        <v>714</v>
      </c>
      <c r="L258" s="11">
        <v>68000</v>
      </c>
      <c r="M258" s="11">
        <v>107000</v>
      </c>
      <c r="N258" s="1" t="s">
        <v>25</v>
      </c>
      <c r="O258" s="15">
        <v>39000</v>
      </c>
    </row>
    <row r="259" spans="1:15" ht="14.25" customHeight="1" x14ac:dyDescent="0.25">
      <c r="A259" s="56">
        <v>44607</v>
      </c>
      <c r="C259" s="191" t="s">
        <v>716</v>
      </c>
      <c r="D259" s="1" t="s">
        <v>717</v>
      </c>
      <c r="E259" s="4" t="s">
        <v>715</v>
      </c>
      <c r="F259" s="1" t="s">
        <v>603</v>
      </c>
      <c r="G259" s="1" t="s">
        <v>718</v>
      </c>
      <c r="H259" s="2">
        <v>30000</v>
      </c>
      <c r="I259" s="2">
        <v>18000</v>
      </c>
      <c r="J259" s="192">
        <v>12000</v>
      </c>
      <c r="L259" s="11"/>
      <c r="M259" s="11"/>
      <c r="N259" s="1" t="s">
        <v>25</v>
      </c>
      <c r="O259" s="15">
        <v>0</v>
      </c>
    </row>
    <row r="260" spans="1:15" ht="14.25" customHeight="1" x14ac:dyDescent="0.25">
      <c r="A260" s="56">
        <v>44607</v>
      </c>
      <c r="B260" s="4" t="s">
        <v>719</v>
      </c>
      <c r="C260" s="191" t="s">
        <v>720</v>
      </c>
      <c r="D260" s="1" t="s">
        <v>240</v>
      </c>
      <c r="E260" s="4" t="s">
        <v>633</v>
      </c>
      <c r="F260" s="1" t="s">
        <v>19</v>
      </c>
      <c r="G260" s="1" t="s">
        <v>721</v>
      </c>
      <c r="H260" s="2">
        <v>70000</v>
      </c>
      <c r="I260" s="2">
        <v>42000</v>
      </c>
      <c r="J260" s="192">
        <v>28000</v>
      </c>
      <c r="K260" s="1" t="s">
        <v>722</v>
      </c>
      <c r="L260" s="11"/>
      <c r="M260" s="11"/>
      <c r="N260" s="1" t="s">
        <v>25</v>
      </c>
      <c r="O260" s="15">
        <v>0</v>
      </c>
    </row>
    <row r="261" spans="1:15" ht="14.25" customHeight="1" x14ac:dyDescent="0.25">
      <c r="A261" s="56">
        <v>44607</v>
      </c>
      <c r="C261" s="191"/>
      <c r="D261" s="1" t="s">
        <v>574</v>
      </c>
      <c r="E261" s="4" t="s">
        <v>674</v>
      </c>
      <c r="F261" s="1" t="s">
        <v>10</v>
      </c>
      <c r="G261" s="1" t="s">
        <v>723</v>
      </c>
      <c r="H261" s="2">
        <v>30000</v>
      </c>
      <c r="I261" s="2">
        <v>18000</v>
      </c>
      <c r="J261" s="192">
        <v>12000</v>
      </c>
      <c r="L261" s="11"/>
      <c r="M261" s="11"/>
      <c r="N261" s="1" t="s">
        <v>25</v>
      </c>
      <c r="O261" s="15">
        <v>0</v>
      </c>
    </row>
    <row r="262" spans="1:15" ht="14.25" customHeight="1" x14ac:dyDescent="0.25">
      <c r="A262" s="56">
        <v>44607</v>
      </c>
      <c r="C262" s="191"/>
      <c r="D262" s="1" t="s">
        <v>574</v>
      </c>
      <c r="E262" s="4" t="s">
        <v>674</v>
      </c>
      <c r="F262" s="1" t="s">
        <v>18</v>
      </c>
      <c r="G262" s="1" t="s">
        <v>724</v>
      </c>
      <c r="H262" s="2">
        <v>150000</v>
      </c>
      <c r="I262" s="2">
        <v>90000</v>
      </c>
      <c r="J262" s="192">
        <v>60000</v>
      </c>
      <c r="L262" s="11"/>
      <c r="M262" s="11"/>
      <c r="N262" s="1" t="s">
        <v>25</v>
      </c>
      <c r="O262" s="15">
        <v>0</v>
      </c>
    </row>
    <row r="263" spans="1:15" ht="14.25" customHeight="1" x14ac:dyDescent="0.25">
      <c r="A263" s="56">
        <v>44607</v>
      </c>
      <c r="B263" s="4" t="s">
        <v>729</v>
      </c>
      <c r="C263" s="191" t="s">
        <v>725</v>
      </c>
      <c r="D263" s="1" t="s">
        <v>726</v>
      </c>
      <c r="E263" s="4" t="s">
        <v>727</v>
      </c>
      <c r="F263" s="1" t="s">
        <v>408</v>
      </c>
      <c r="G263" s="1" t="s">
        <v>639</v>
      </c>
      <c r="H263" s="2">
        <v>470000</v>
      </c>
      <c r="I263" s="2">
        <v>282000</v>
      </c>
      <c r="J263" s="192">
        <v>188000</v>
      </c>
      <c r="L263" s="11"/>
      <c r="M263" s="11"/>
      <c r="N263" s="1" t="s">
        <v>25</v>
      </c>
      <c r="O263" s="15">
        <v>0</v>
      </c>
    </row>
    <row r="264" spans="1:15" ht="14.25" customHeight="1" x14ac:dyDescent="0.25">
      <c r="A264" s="56">
        <v>44607</v>
      </c>
      <c r="B264" s="4" t="s">
        <v>729</v>
      </c>
      <c r="C264" s="191" t="s">
        <v>725</v>
      </c>
      <c r="D264" s="1" t="s">
        <v>726</v>
      </c>
      <c r="E264" s="4" t="s">
        <v>727</v>
      </c>
      <c r="F264" s="1" t="s">
        <v>18</v>
      </c>
      <c r="G264" s="1" t="s">
        <v>728</v>
      </c>
      <c r="H264" s="2">
        <v>80000</v>
      </c>
      <c r="I264" s="2">
        <v>48000</v>
      </c>
      <c r="J264" s="192">
        <v>32000</v>
      </c>
      <c r="L264" s="11"/>
      <c r="M264" s="11"/>
      <c r="N264" s="1" t="s">
        <v>25</v>
      </c>
      <c r="O264" s="15">
        <v>0</v>
      </c>
    </row>
    <row r="265" spans="1:15" ht="14.25" customHeight="1" x14ac:dyDescent="0.25">
      <c r="A265" s="56">
        <v>44608</v>
      </c>
      <c r="B265" s="4" t="s">
        <v>730</v>
      </c>
      <c r="C265" s="191" t="s">
        <v>731</v>
      </c>
      <c r="D265" s="1" t="s">
        <v>84</v>
      </c>
      <c r="E265" s="4" t="s">
        <v>732</v>
      </c>
      <c r="F265" s="1" t="s">
        <v>19</v>
      </c>
      <c r="G265" s="1" t="s">
        <v>288</v>
      </c>
      <c r="H265" s="2">
        <v>35000</v>
      </c>
      <c r="I265" s="2">
        <v>21000</v>
      </c>
      <c r="J265" s="192">
        <v>14000</v>
      </c>
      <c r="L265" s="11"/>
      <c r="M265" s="11"/>
      <c r="N265" s="1" t="s">
        <v>25</v>
      </c>
      <c r="O265" s="15">
        <v>0</v>
      </c>
    </row>
    <row r="266" spans="1:15" ht="14.25" customHeight="1" x14ac:dyDescent="0.25">
      <c r="A266" s="56">
        <v>44608</v>
      </c>
      <c r="B266" s="4" t="s">
        <v>733</v>
      </c>
      <c r="C266" s="191" t="s">
        <v>734</v>
      </c>
      <c r="D266" s="1" t="s">
        <v>76</v>
      </c>
      <c r="E266" s="4" t="s">
        <v>735</v>
      </c>
      <c r="F266" s="1" t="s">
        <v>30</v>
      </c>
      <c r="G266" s="1" t="s">
        <v>736</v>
      </c>
      <c r="H266" s="2">
        <v>80000</v>
      </c>
      <c r="I266" s="2">
        <v>48000</v>
      </c>
      <c r="J266" s="192">
        <v>32000</v>
      </c>
      <c r="K266" s="1" t="s">
        <v>737</v>
      </c>
      <c r="L266" s="11">
        <v>128000</v>
      </c>
      <c r="M266" s="11">
        <v>200000</v>
      </c>
      <c r="N266" s="1" t="s">
        <v>25</v>
      </c>
      <c r="O266" s="15">
        <v>72000</v>
      </c>
    </row>
    <row r="267" spans="1:15" ht="14.25" customHeight="1" x14ac:dyDescent="0.25">
      <c r="A267" s="56">
        <v>44608</v>
      </c>
      <c r="B267" s="4" t="s">
        <v>738</v>
      </c>
      <c r="C267" s="191" t="s">
        <v>739</v>
      </c>
      <c r="D267" s="1" t="s">
        <v>122</v>
      </c>
      <c r="E267" s="4" t="s">
        <v>740</v>
      </c>
      <c r="F267" s="1" t="s">
        <v>10</v>
      </c>
      <c r="G267" s="1" t="s">
        <v>741</v>
      </c>
      <c r="H267" s="2">
        <v>680000</v>
      </c>
      <c r="I267" s="2">
        <v>408000</v>
      </c>
      <c r="J267" s="192">
        <v>272000</v>
      </c>
      <c r="L267" s="11"/>
      <c r="M267" s="11"/>
      <c r="N267" s="1" t="s">
        <v>25</v>
      </c>
      <c r="O267" s="15">
        <v>0</v>
      </c>
    </row>
    <row r="268" spans="1:15" ht="14.25" customHeight="1" x14ac:dyDescent="0.25">
      <c r="A268" s="56">
        <v>44608</v>
      </c>
      <c r="B268" s="4" t="s">
        <v>742</v>
      </c>
      <c r="C268" s="191" t="s">
        <v>743</v>
      </c>
      <c r="E268" s="4" t="s">
        <v>577</v>
      </c>
      <c r="F268" s="1" t="s">
        <v>34</v>
      </c>
      <c r="G268" s="1" t="s">
        <v>744</v>
      </c>
      <c r="H268" s="2">
        <v>35000</v>
      </c>
      <c r="I268" s="2">
        <v>21000</v>
      </c>
      <c r="J268" s="192">
        <v>14000</v>
      </c>
      <c r="K268" s="1" t="s">
        <v>57</v>
      </c>
      <c r="L268" s="11">
        <v>14000</v>
      </c>
      <c r="M268" s="11">
        <v>25000</v>
      </c>
      <c r="N268" s="1" t="s">
        <v>25</v>
      </c>
      <c r="O268" s="15">
        <v>11000</v>
      </c>
    </row>
    <row r="269" spans="1:15" ht="14.25" customHeight="1" x14ac:dyDescent="0.25">
      <c r="A269" s="56">
        <v>44609</v>
      </c>
      <c r="B269" s="4" t="s">
        <v>745</v>
      </c>
      <c r="C269" s="191" t="s">
        <v>720</v>
      </c>
      <c r="D269" s="1" t="s">
        <v>240</v>
      </c>
      <c r="E269" s="4" t="s">
        <v>746</v>
      </c>
      <c r="F269" s="1" t="s">
        <v>30</v>
      </c>
      <c r="G269" s="1" t="s">
        <v>747</v>
      </c>
      <c r="H269" s="2">
        <v>40000</v>
      </c>
      <c r="I269" s="2">
        <v>24000</v>
      </c>
      <c r="J269" s="192">
        <v>16000</v>
      </c>
      <c r="L269" s="11"/>
      <c r="M269" s="11"/>
      <c r="N269" s="1" t="s">
        <v>25</v>
      </c>
      <c r="O269" s="15">
        <v>0</v>
      </c>
    </row>
    <row r="270" spans="1:15" ht="14.25" customHeight="1" x14ac:dyDescent="0.25">
      <c r="A270" s="56">
        <v>44609</v>
      </c>
      <c r="B270" s="4" t="s">
        <v>745</v>
      </c>
      <c r="C270" s="191" t="s">
        <v>720</v>
      </c>
      <c r="D270" s="1" t="s">
        <v>240</v>
      </c>
      <c r="E270" s="4" t="s">
        <v>746</v>
      </c>
      <c r="F270" s="1" t="s">
        <v>19</v>
      </c>
      <c r="G270" s="1" t="s">
        <v>747</v>
      </c>
      <c r="H270" s="2">
        <v>40000</v>
      </c>
      <c r="I270" s="2">
        <v>24000</v>
      </c>
      <c r="J270" s="192">
        <v>16000</v>
      </c>
      <c r="K270" s="1" t="s">
        <v>748</v>
      </c>
      <c r="L270" s="11">
        <v>265000</v>
      </c>
      <c r="M270" s="11">
        <v>387000</v>
      </c>
      <c r="N270" s="1" t="s">
        <v>25</v>
      </c>
      <c r="O270" s="15">
        <v>122000</v>
      </c>
    </row>
    <row r="271" spans="1:15" ht="14.25" customHeight="1" x14ac:dyDescent="0.25">
      <c r="A271" s="56">
        <v>44609</v>
      </c>
      <c r="B271" s="4" t="s">
        <v>749</v>
      </c>
      <c r="C271" s="191" t="s">
        <v>750</v>
      </c>
      <c r="D271" s="1" t="s">
        <v>22</v>
      </c>
      <c r="E271" s="4" t="s">
        <v>751</v>
      </c>
      <c r="F271" s="1" t="s">
        <v>10</v>
      </c>
      <c r="G271" s="1" t="s">
        <v>752</v>
      </c>
      <c r="H271" s="2">
        <v>70000</v>
      </c>
      <c r="I271" s="2">
        <v>42000</v>
      </c>
      <c r="J271" s="192">
        <v>28000</v>
      </c>
      <c r="K271" s="1" t="s">
        <v>753</v>
      </c>
      <c r="L271" s="11">
        <v>230000</v>
      </c>
      <c r="M271" s="11">
        <v>300000</v>
      </c>
      <c r="N271" s="1" t="s">
        <v>25</v>
      </c>
      <c r="O271" s="15">
        <v>70000</v>
      </c>
    </row>
    <row r="272" spans="1:15" ht="14.25" customHeight="1" x14ac:dyDescent="0.25">
      <c r="A272" s="56">
        <v>44609</v>
      </c>
      <c r="B272" s="4" t="s">
        <v>749</v>
      </c>
      <c r="C272" s="191" t="s">
        <v>750</v>
      </c>
      <c r="D272" s="1" t="s">
        <v>22</v>
      </c>
      <c r="E272" s="4" t="s">
        <v>751</v>
      </c>
      <c r="F272" s="1" t="s">
        <v>19</v>
      </c>
      <c r="G272" s="1" t="s">
        <v>754</v>
      </c>
      <c r="H272" s="2">
        <v>50000</v>
      </c>
      <c r="I272" s="2">
        <v>30000</v>
      </c>
      <c r="J272" s="192">
        <v>20000</v>
      </c>
      <c r="L272" s="11"/>
      <c r="M272" s="11"/>
      <c r="N272" s="1" t="s">
        <v>25</v>
      </c>
      <c r="O272" s="15">
        <v>0</v>
      </c>
    </row>
    <row r="273" spans="1:15" ht="14.25" customHeight="1" x14ac:dyDescent="0.25">
      <c r="A273" s="56">
        <v>44609</v>
      </c>
      <c r="C273" s="191"/>
      <c r="E273" s="4"/>
      <c r="F273" s="1" t="s">
        <v>603</v>
      </c>
      <c r="G273" s="1" t="s">
        <v>128</v>
      </c>
      <c r="H273" s="2">
        <v>10000</v>
      </c>
      <c r="I273" s="2">
        <v>6000</v>
      </c>
      <c r="J273" s="192">
        <v>4000</v>
      </c>
      <c r="L273" s="11"/>
      <c r="M273" s="11"/>
      <c r="N273" s="1" t="s">
        <v>25</v>
      </c>
      <c r="O273" s="15">
        <v>0</v>
      </c>
    </row>
    <row r="274" spans="1:15" ht="14.25" customHeight="1" x14ac:dyDescent="0.25">
      <c r="A274" s="56">
        <v>44609</v>
      </c>
      <c r="C274" s="191" t="s">
        <v>755</v>
      </c>
      <c r="D274" s="1" t="s">
        <v>54</v>
      </c>
      <c r="E274" s="4" t="s">
        <v>756</v>
      </c>
      <c r="F274" s="1" t="s">
        <v>19</v>
      </c>
      <c r="G274" s="1" t="s">
        <v>757</v>
      </c>
      <c r="H274" s="2">
        <v>30000</v>
      </c>
      <c r="I274" s="2">
        <v>18000</v>
      </c>
      <c r="J274" s="192">
        <v>12000</v>
      </c>
      <c r="L274" s="11"/>
      <c r="M274" s="11"/>
      <c r="N274" s="1" t="s">
        <v>25</v>
      </c>
      <c r="O274" s="15">
        <v>0</v>
      </c>
    </row>
    <row r="275" spans="1:15" ht="14.25" customHeight="1" x14ac:dyDescent="0.25">
      <c r="A275" s="56">
        <v>44609</v>
      </c>
      <c r="B275" s="4" t="s">
        <v>758</v>
      </c>
      <c r="C275" s="191" t="s">
        <v>759</v>
      </c>
      <c r="D275" s="1" t="s">
        <v>760</v>
      </c>
      <c r="E275" s="4" t="s">
        <v>761</v>
      </c>
      <c r="F275" s="1" t="s">
        <v>603</v>
      </c>
      <c r="G275" s="1" t="s">
        <v>762</v>
      </c>
      <c r="H275" s="2">
        <v>100000</v>
      </c>
      <c r="I275" s="2">
        <v>60000</v>
      </c>
      <c r="J275" s="192">
        <v>40000</v>
      </c>
      <c r="K275" s="1" t="s">
        <v>763</v>
      </c>
      <c r="L275" s="11">
        <v>290000</v>
      </c>
      <c r="M275" s="11">
        <v>340000</v>
      </c>
      <c r="N275" s="1" t="s">
        <v>25</v>
      </c>
      <c r="O275" s="15">
        <v>50000</v>
      </c>
    </row>
    <row r="276" spans="1:15" ht="14.25" customHeight="1" x14ac:dyDescent="0.25">
      <c r="A276" s="56">
        <v>44610</v>
      </c>
      <c r="B276" s="4" t="s">
        <v>764</v>
      </c>
      <c r="C276" s="191" t="s">
        <v>765</v>
      </c>
      <c r="D276" s="1" t="s">
        <v>766</v>
      </c>
      <c r="E276" s="4" t="s">
        <v>767</v>
      </c>
      <c r="F276" s="1" t="s">
        <v>10</v>
      </c>
      <c r="G276" s="1" t="s">
        <v>768</v>
      </c>
      <c r="H276" s="2">
        <v>150000</v>
      </c>
      <c r="I276" s="2">
        <v>90000</v>
      </c>
      <c r="J276" s="192">
        <v>60000</v>
      </c>
      <c r="K276" s="1" t="s">
        <v>769</v>
      </c>
      <c r="L276" s="11">
        <v>36000</v>
      </c>
      <c r="M276" s="11">
        <v>121000</v>
      </c>
      <c r="N276" s="1" t="s">
        <v>25</v>
      </c>
      <c r="O276" s="15">
        <v>85000</v>
      </c>
    </row>
    <row r="277" spans="1:15" ht="14.25" customHeight="1" x14ac:dyDescent="0.25">
      <c r="A277" s="56">
        <v>44610</v>
      </c>
      <c r="B277" s="4" t="s">
        <v>770</v>
      </c>
      <c r="C277" s="191" t="s">
        <v>771</v>
      </c>
      <c r="D277" s="1" t="s">
        <v>435</v>
      </c>
      <c r="E277" s="4" t="s">
        <v>772</v>
      </c>
      <c r="F277" s="1" t="s">
        <v>603</v>
      </c>
      <c r="G277" s="1" t="s">
        <v>74</v>
      </c>
      <c r="H277" s="2">
        <v>30000</v>
      </c>
      <c r="I277" s="2">
        <v>18000</v>
      </c>
      <c r="J277" s="192">
        <v>12000</v>
      </c>
      <c r="K277" s="1" t="s">
        <v>773</v>
      </c>
      <c r="L277" s="11">
        <v>4000</v>
      </c>
      <c r="M277" s="11">
        <v>8000</v>
      </c>
      <c r="N277" s="1" t="s">
        <v>25</v>
      </c>
      <c r="O277" s="15">
        <v>4000</v>
      </c>
    </row>
    <row r="278" spans="1:15" ht="14.25" customHeight="1" x14ac:dyDescent="0.25">
      <c r="A278" s="56">
        <v>44610</v>
      </c>
      <c r="B278" s="4" t="s">
        <v>774</v>
      </c>
      <c r="C278" s="191" t="s">
        <v>785</v>
      </c>
      <c r="D278" s="1" t="s">
        <v>28</v>
      </c>
      <c r="E278" s="4" t="s">
        <v>775</v>
      </c>
      <c r="F278" s="1" t="s">
        <v>603</v>
      </c>
      <c r="G278" s="1" t="s">
        <v>776</v>
      </c>
      <c r="H278" s="2">
        <v>30000</v>
      </c>
      <c r="I278" s="2">
        <v>18000</v>
      </c>
      <c r="J278" s="192">
        <v>12000</v>
      </c>
      <c r="K278" s="1" t="s">
        <v>777</v>
      </c>
      <c r="L278" s="11">
        <v>1400</v>
      </c>
      <c r="M278" s="11">
        <v>2900</v>
      </c>
      <c r="N278" s="1" t="s">
        <v>25</v>
      </c>
      <c r="O278" s="15">
        <v>1500</v>
      </c>
    </row>
    <row r="279" spans="1:15" ht="14.25" customHeight="1" x14ac:dyDescent="0.25">
      <c r="A279" s="56">
        <v>44611</v>
      </c>
      <c r="B279" s="4" t="s">
        <v>787</v>
      </c>
      <c r="C279" s="191" t="s">
        <v>785</v>
      </c>
      <c r="D279" s="1" t="s">
        <v>28</v>
      </c>
      <c r="E279" s="4" t="s">
        <v>775</v>
      </c>
      <c r="F279" s="1" t="s">
        <v>10</v>
      </c>
      <c r="G279" s="1" t="s">
        <v>786</v>
      </c>
      <c r="H279" s="2">
        <v>80000</v>
      </c>
      <c r="I279" s="2">
        <v>48000</v>
      </c>
      <c r="J279" s="192">
        <v>32000</v>
      </c>
      <c r="K279" s="1" t="s">
        <v>516</v>
      </c>
      <c r="L279" s="11">
        <v>210000</v>
      </c>
      <c r="M279" s="11">
        <v>272000</v>
      </c>
      <c r="N279" s="1" t="s">
        <v>25</v>
      </c>
      <c r="O279" s="15">
        <v>62000</v>
      </c>
    </row>
    <row r="280" spans="1:15" ht="14.25" customHeight="1" x14ac:dyDescent="0.25">
      <c r="A280" s="56">
        <v>44611</v>
      </c>
      <c r="B280" s="4" t="s">
        <v>788</v>
      </c>
      <c r="C280" s="191" t="s">
        <v>789</v>
      </c>
      <c r="D280" s="1" t="s">
        <v>54</v>
      </c>
      <c r="E280" s="4" t="s">
        <v>790</v>
      </c>
      <c r="F280" s="1" t="s">
        <v>30</v>
      </c>
      <c r="G280" s="1" t="s">
        <v>865</v>
      </c>
      <c r="H280" s="2">
        <v>100000</v>
      </c>
      <c r="I280" s="2">
        <v>60000</v>
      </c>
      <c r="J280" s="192">
        <v>40000</v>
      </c>
      <c r="K280" s="1" t="s">
        <v>791</v>
      </c>
      <c r="L280" s="11">
        <v>31000</v>
      </c>
      <c r="M280" s="11">
        <v>145000</v>
      </c>
      <c r="N280" s="1" t="s">
        <v>25</v>
      </c>
      <c r="O280" s="15">
        <v>114000</v>
      </c>
    </row>
    <row r="281" spans="1:15" ht="14.25" customHeight="1" x14ac:dyDescent="0.25">
      <c r="A281" s="56">
        <v>44611</v>
      </c>
      <c r="B281" s="4" t="s">
        <v>792</v>
      </c>
      <c r="C281" s="191" t="s">
        <v>793</v>
      </c>
      <c r="D281" s="1" t="s">
        <v>794</v>
      </c>
      <c r="E281" s="4" t="s">
        <v>795</v>
      </c>
      <c r="F281" s="1" t="s">
        <v>408</v>
      </c>
      <c r="G281" s="1" t="s">
        <v>796</v>
      </c>
      <c r="H281" s="2">
        <v>50000</v>
      </c>
      <c r="I281" s="2">
        <v>30000</v>
      </c>
      <c r="J281" s="192">
        <v>20000</v>
      </c>
      <c r="K281" s="1" t="s">
        <v>217</v>
      </c>
      <c r="L281" s="11">
        <v>50000</v>
      </c>
      <c r="M281" s="11">
        <v>90000</v>
      </c>
      <c r="N281" s="1" t="s">
        <v>25</v>
      </c>
      <c r="O281" s="15">
        <v>40000</v>
      </c>
    </row>
    <row r="282" spans="1:15" ht="14.25" customHeight="1" x14ac:dyDescent="0.25">
      <c r="A282" s="56">
        <v>44611</v>
      </c>
      <c r="B282" s="4" t="s">
        <v>792</v>
      </c>
      <c r="C282" s="191" t="s">
        <v>793</v>
      </c>
      <c r="D282" s="1" t="s">
        <v>794</v>
      </c>
      <c r="E282" s="4" t="s">
        <v>795</v>
      </c>
      <c r="F282" s="1" t="s">
        <v>10</v>
      </c>
      <c r="G282" s="1" t="s">
        <v>797</v>
      </c>
      <c r="H282" s="2">
        <v>190000</v>
      </c>
      <c r="I282" s="2">
        <v>114000</v>
      </c>
      <c r="J282" s="192">
        <v>76000</v>
      </c>
      <c r="K282" s="1" t="s">
        <v>799</v>
      </c>
      <c r="L282" s="11">
        <v>207000</v>
      </c>
      <c r="M282" s="11">
        <v>287000</v>
      </c>
      <c r="N282" s="1" t="s">
        <v>25</v>
      </c>
      <c r="O282" s="15">
        <v>80000</v>
      </c>
    </row>
    <row r="283" spans="1:15" ht="14.25" customHeight="1" x14ac:dyDescent="0.25">
      <c r="A283" s="56">
        <v>44611</v>
      </c>
      <c r="B283" s="4" t="s">
        <v>792</v>
      </c>
      <c r="C283" s="191" t="s">
        <v>793</v>
      </c>
      <c r="D283" s="1" t="s">
        <v>794</v>
      </c>
      <c r="E283" s="4" t="s">
        <v>795</v>
      </c>
      <c r="F283" s="1" t="s">
        <v>603</v>
      </c>
      <c r="G283" s="1" t="s">
        <v>98</v>
      </c>
      <c r="H283" s="2">
        <v>100000</v>
      </c>
      <c r="I283" s="2">
        <v>60000</v>
      </c>
      <c r="J283" s="192">
        <v>40000</v>
      </c>
      <c r="K283" s="1" t="s">
        <v>798</v>
      </c>
      <c r="L283" s="11">
        <v>60000</v>
      </c>
      <c r="M283" s="11">
        <v>84000</v>
      </c>
      <c r="N283" s="1" t="s">
        <v>25</v>
      </c>
      <c r="O283" s="15">
        <v>24000</v>
      </c>
    </row>
    <row r="284" spans="1:15" ht="14.25" customHeight="1" x14ac:dyDescent="0.25">
      <c r="A284" s="56">
        <v>44611</v>
      </c>
      <c r="B284" s="4" t="s">
        <v>800</v>
      </c>
      <c r="C284" s="191" t="s">
        <v>612</v>
      </c>
      <c r="D284" s="1" t="s">
        <v>43</v>
      </c>
      <c r="E284" s="4" t="s">
        <v>594</v>
      </c>
      <c r="F284" s="1" t="s">
        <v>19</v>
      </c>
      <c r="G284" s="1" t="s">
        <v>801</v>
      </c>
      <c r="H284" s="2">
        <v>100000</v>
      </c>
      <c r="I284" s="2">
        <v>60000</v>
      </c>
      <c r="J284" s="192">
        <v>40000</v>
      </c>
      <c r="K284" s="1" t="s">
        <v>802</v>
      </c>
      <c r="L284" s="11">
        <v>240000</v>
      </c>
      <c r="M284" s="11">
        <v>332000</v>
      </c>
      <c r="N284" s="1" t="s">
        <v>25</v>
      </c>
      <c r="O284" s="15">
        <v>92000</v>
      </c>
    </row>
    <row r="285" spans="1:15" ht="14.25" customHeight="1" x14ac:dyDescent="0.25">
      <c r="A285" s="56">
        <v>44611</v>
      </c>
      <c r="B285" s="4" t="s">
        <v>803</v>
      </c>
      <c r="C285" s="191" t="s">
        <v>804</v>
      </c>
      <c r="D285" s="1" t="s">
        <v>242</v>
      </c>
      <c r="E285" s="4" t="s">
        <v>805</v>
      </c>
      <c r="F285" s="1" t="s">
        <v>30</v>
      </c>
      <c r="G285" s="1" t="s">
        <v>806</v>
      </c>
      <c r="H285" s="2">
        <v>100000</v>
      </c>
      <c r="I285" s="2">
        <v>60000</v>
      </c>
      <c r="J285" s="192">
        <v>40000</v>
      </c>
      <c r="K285" s="1" t="s">
        <v>807</v>
      </c>
      <c r="L285" s="11">
        <v>261000</v>
      </c>
      <c r="M285" s="11">
        <v>200700</v>
      </c>
      <c r="N285" s="1" t="s">
        <v>25</v>
      </c>
      <c r="O285" s="15">
        <v>-60300</v>
      </c>
    </row>
    <row r="286" spans="1:15" ht="14.25" customHeight="1" x14ac:dyDescent="0.25">
      <c r="A286" s="56">
        <v>44613</v>
      </c>
      <c r="C286" s="191"/>
      <c r="D286" s="1" t="s">
        <v>717</v>
      </c>
      <c r="E286" s="4"/>
      <c r="F286" s="1" t="s">
        <v>603</v>
      </c>
      <c r="G286" s="1" t="s">
        <v>718</v>
      </c>
      <c r="H286" s="2">
        <v>30000</v>
      </c>
      <c r="I286" s="2">
        <v>18000</v>
      </c>
      <c r="J286" s="192">
        <v>12000</v>
      </c>
      <c r="L286" s="11"/>
      <c r="M286" s="11"/>
      <c r="N286" s="1" t="s">
        <v>25</v>
      </c>
      <c r="O286" s="15">
        <v>0</v>
      </c>
    </row>
    <row r="287" spans="1:15" ht="14.25" customHeight="1" x14ac:dyDescent="0.25">
      <c r="A287" s="56">
        <v>44613</v>
      </c>
      <c r="B287" s="4" t="s">
        <v>809</v>
      </c>
      <c r="C287" s="191" t="s">
        <v>765</v>
      </c>
      <c r="D287" s="1" t="s">
        <v>810</v>
      </c>
      <c r="E287" s="4" t="s">
        <v>767</v>
      </c>
      <c r="F287" s="1" t="s">
        <v>10</v>
      </c>
      <c r="G287" s="1" t="s">
        <v>811</v>
      </c>
      <c r="H287" s="2">
        <v>80000</v>
      </c>
      <c r="I287" s="2">
        <v>48000</v>
      </c>
      <c r="J287" s="192">
        <v>32000</v>
      </c>
      <c r="K287" s="1" t="s">
        <v>812</v>
      </c>
      <c r="L287" s="11">
        <v>90000</v>
      </c>
      <c r="M287" s="11">
        <v>110000</v>
      </c>
      <c r="N287" s="1" t="s">
        <v>25</v>
      </c>
      <c r="O287" s="15">
        <v>20000</v>
      </c>
    </row>
    <row r="288" spans="1:15" ht="14.25" customHeight="1" x14ac:dyDescent="0.25">
      <c r="A288" s="56">
        <v>44613</v>
      </c>
      <c r="B288" s="4" t="s">
        <v>813</v>
      </c>
      <c r="C288" s="191" t="s">
        <v>814</v>
      </c>
      <c r="D288" s="1" t="s">
        <v>815</v>
      </c>
      <c r="E288" s="4" t="s">
        <v>816</v>
      </c>
      <c r="F288" s="1" t="s">
        <v>19</v>
      </c>
      <c r="G288" s="1" t="s">
        <v>817</v>
      </c>
      <c r="H288" s="2">
        <v>80000</v>
      </c>
      <c r="I288" s="2">
        <v>48000</v>
      </c>
      <c r="J288" s="192">
        <v>32000</v>
      </c>
      <c r="K288" s="1" t="s">
        <v>818</v>
      </c>
      <c r="L288" s="11">
        <v>302000</v>
      </c>
      <c r="M288" s="11">
        <v>568000</v>
      </c>
      <c r="N288" s="1" t="s">
        <v>25</v>
      </c>
      <c r="O288" s="15">
        <v>266000</v>
      </c>
    </row>
    <row r="289" spans="1:15" ht="14.25" customHeight="1" x14ac:dyDescent="0.25">
      <c r="A289" s="56">
        <v>44613</v>
      </c>
      <c r="B289" s="4" t="s">
        <v>819</v>
      </c>
      <c r="C289" s="191" t="s">
        <v>820</v>
      </c>
      <c r="D289" s="1" t="s">
        <v>48</v>
      </c>
      <c r="E289" s="4" t="s">
        <v>364</v>
      </c>
      <c r="F289" s="1" t="s">
        <v>603</v>
      </c>
      <c r="G289" s="1" t="s">
        <v>308</v>
      </c>
      <c r="H289" s="2">
        <v>30000</v>
      </c>
      <c r="I289" s="2">
        <v>18000</v>
      </c>
      <c r="J289" s="192">
        <v>12000</v>
      </c>
      <c r="L289" s="11"/>
      <c r="M289" s="11"/>
      <c r="N289" s="1" t="s">
        <v>25</v>
      </c>
      <c r="O289" s="15">
        <v>0</v>
      </c>
    </row>
    <row r="290" spans="1:15" ht="14.25" customHeight="1" x14ac:dyDescent="0.25">
      <c r="A290" s="56">
        <v>44613</v>
      </c>
      <c r="B290" s="4" t="s">
        <v>821</v>
      </c>
      <c r="C290" s="191" t="s">
        <v>598</v>
      </c>
      <c r="D290" s="1" t="s">
        <v>161</v>
      </c>
      <c r="E290" s="4" t="s">
        <v>162</v>
      </c>
      <c r="F290" s="1" t="s">
        <v>19</v>
      </c>
      <c r="G290" s="1" t="s">
        <v>21</v>
      </c>
      <c r="H290" s="2">
        <v>10000</v>
      </c>
      <c r="I290" s="2">
        <v>6000</v>
      </c>
      <c r="J290" s="192">
        <v>4000</v>
      </c>
      <c r="L290" s="11"/>
      <c r="M290" s="11"/>
      <c r="N290" s="1" t="s">
        <v>25</v>
      </c>
      <c r="O290" s="15">
        <v>0</v>
      </c>
    </row>
    <row r="291" spans="1:15" ht="14.25" customHeight="1" x14ac:dyDescent="0.25">
      <c r="A291" s="56">
        <v>44614</v>
      </c>
      <c r="B291" s="4" t="s">
        <v>822</v>
      </c>
      <c r="C291" s="191" t="s">
        <v>823</v>
      </c>
      <c r="D291" s="1" t="s">
        <v>48</v>
      </c>
      <c r="E291" s="4" t="s">
        <v>824</v>
      </c>
      <c r="F291" s="1" t="s">
        <v>18</v>
      </c>
      <c r="G291" s="1" t="s">
        <v>825</v>
      </c>
      <c r="H291" s="2">
        <v>152000</v>
      </c>
      <c r="I291" s="2">
        <v>91200</v>
      </c>
      <c r="J291" s="192">
        <v>60800</v>
      </c>
      <c r="L291" s="11"/>
      <c r="M291" s="11"/>
      <c r="N291" s="1" t="s">
        <v>25</v>
      </c>
      <c r="O291" s="15">
        <v>0</v>
      </c>
    </row>
    <row r="292" spans="1:15" ht="14.25" customHeight="1" x14ac:dyDescent="0.25">
      <c r="A292" s="56">
        <v>44614</v>
      </c>
      <c r="B292" s="4" t="s">
        <v>826</v>
      </c>
      <c r="C292" s="191" t="s">
        <v>827</v>
      </c>
      <c r="D292" s="1" t="s">
        <v>828</v>
      </c>
      <c r="E292" s="4" t="s">
        <v>829</v>
      </c>
      <c r="F292" s="1" t="s">
        <v>408</v>
      </c>
      <c r="G292" s="1" t="s">
        <v>830</v>
      </c>
      <c r="H292" s="2">
        <v>20000</v>
      </c>
      <c r="I292" s="2">
        <v>12000</v>
      </c>
      <c r="J292" s="192">
        <v>8000</v>
      </c>
      <c r="K292" s="1" t="s">
        <v>831</v>
      </c>
      <c r="L292" s="11">
        <v>23025</v>
      </c>
      <c r="M292" s="11">
        <v>37000</v>
      </c>
      <c r="N292" s="1" t="s">
        <v>25</v>
      </c>
      <c r="O292" s="15">
        <v>13975</v>
      </c>
    </row>
    <row r="293" spans="1:15" ht="14.25" customHeight="1" x14ac:dyDescent="0.25">
      <c r="A293" s="56">
        <v>44614</v>
      </c>
      <c r="B293" s="4" t="s">
        <v>832</v>
      </c>
      <c r="C293" s="191" t="s">
        <v>833</v>
      </c>
      <c r="D293" s="1" t="s">
        <v>834</v>
      </c>
      <c r="E293" s="4" t="s">
        <v>835</v>
      </c>
      <c r="F293" s="1" t="s">
        <v>408</v>
      </c>
      <c r="G293" s="1" t="s">
        <v>20</v>
      </c>
      <c r="H293" s="2">
        <v>25000</v>
      </c>
      <c r="I293" s="2">
        <v>15000</v>
      </c>
      <c r="J293" s="192">
        <v>10000</v>
      </c>
      <c r="L293" s="11"/>
      <c r="M293" s="11"/>
      <c r="N293" s="1" t="s">
        <v>25</v>
      </c>
      <c r="O293" s="15">
        <v>0</v>
      </c>
    </row>
    <row r="294" spans="1:15" ht="14.25" customHeight="1" x14ac:dyDescent="0.25">
      <c r="A294" s="56">
        <v>44614</v>
      </c>
      <c r="B294" s="4" t="s">
        <v>836</v>
      </c>
      <c r="C294" s="191" t="s">
        <v>837</v>
      </c>
      <c r="D294" s="1" t="s">
        <v>838</v>
      </c>
      <c r="E294" s="4" t="s">
        <v>839</v>
      </c>
      <c r="F294" s="1" t="s">
        <v>19</v>
      </c>
      <c r="G294" s="1" t="s">
        <v>21</v>
      </c>
      <c r="H294" s="2">
        <v>12000</v>
      </c>
      <c r="I294" s="2">
        <v>7200</v>
      </c>
      <c r="J294" s="192">
        <v>4800</v>
      </c>
      <c r="L294" s="11"/>
      <c r="M294" s="11"/>
      <c r="N294" s="1" t="s">
        <v>25</v>
      </c>
      <c r="O294" s="15">
        <v>0</v>
      </c>
    </row>
    <row r="295" spans="1:15" ht="14.25" customHeight="1" x14ac:dyDescent="0.25">
      <c r="A295" s="56">
        <v>44614</v>
      </c>
      <c r="B295" s="4" t="s">
        <v>836</v>
      </c>
      <c r="C295" s="191" t="s">
        <v>837</v>
      </c>
      <c r="D295" s="1" t="s">
        <v>838</v>
      </c>
      <c r="E295" s="4" t="s">
        <v>839</v>
      </c>
      <c r="F295" s="1" t="s">
        <v>34</v>
      </c>
      <c r="G295" s="1" t="s">
        <v>840</v>
      </c>
      <c r="H295" s="2">
        <v>28000</v>
      </c>
      <c r="I295" s="2">
        <v>16800</v>
      </c>
      <c r="J295" s="192">
        <v>11200</v>
      </c>
      <c r="L295" s="11"/>
      <c r="M295" s="11"/>
      <c r="N295" s="1" t="s">
        <v>25</v>
      </c>
      <c r="O295" s="15">
        <v>0</v>
      </c>
    </row>
    <row r="296" spans="1:15" ht="14.25" customHeight="1" x14ac:dyDescent="0.25">
      <c r="A296" s="56">
        <v>44614</v>
      </c>
      <c r="C296" s="191" t="s">
        <v>841</v>
      </c>
      <c r="D296" s="1" t="s">
        <v>48</v>
      </c>
      <c r="E296" s="4" t="s">
        <v>842</v>
      </c>
      <c r="F296" s="1" t="s">
        <v>19</v>
      </c>
      <c r="G296" s="1" t="s">
        <v>21</v>
      </c>
      <c r="H296" s="2">
        <v>10000</v>
      </c>
      <c r="I296" s="2">
        <v>6000</v>
      </c>
      <c r="J296" s="192">
        <v>4000</v>
      </c>
      <c r="L296" s="11"/>
      <c r="M296" s="11"/>
      <c r="N296" s="1" t="s">
        <v>25</v>
      </c>
      <c r="O296" s="15">
        <v>0</v>
      </c>
    </row>
    <row r="297" spans="1:15" ht="14.25" customHeight="1" x14ac:dyDescent="0.25">
      <c r="A297" s="56">
        <v>44614</v>
      </c>
      <c r="B297" s="4" t="s">
        <v>843</v>
      </c>
      <c r="C297" s="191" t="s">
        <v>789</v>
      </c>
      <c r="D297" s="1" t="s">
        <v>828</v>
      </c>
      <c r="E297" s="4" t="s">
        <v>790</v>
      </c>
      <c r="F297" s="1" t="s">
        <v>19</v>
      </c>
      <c r="G297" s="1" t="s">
        <v>844</v>
      </c>
      <c r="H297" s="2">
        <v>30000</v>
      </c>
      <c r="I297" s="2">
        <v>18000</v>
      </c>
      <c r="J297" s="192">
        <v>12000</v>
      </c>
      <c r="K297" s="1" t="s">
        <v>845</v>
      </c>
      <c r="L297" s="11">
        <v>235000</v>
      </c>
      <c r="M297" s="11">
        <v>312000</v>
      </c>
      <c r="N297" s="1" t="s">
        <v>25</v>
      </c>
      <c r="O297" s="15">
        <v>77000</v>
      </c>
    </row>
    <row r="298" spans="1:15" ht="14.25" customHeight="1" x14ac:dyDescent="0.25">
      <c r="A298" s="56">
        <v>44614</v>
      </c>
      <c r="B298" s="4" t="s">
        <v>846</v>
      </c>
      <c r="C298" s="191" t="s">
        <v>847</v>
      </c>
      <c r="D298" s="1" t="s">
        <v>352</v>
      </c>
      <c r="E298" s="4" t="s">
        <v>353</v>
      </c>
      <c r="F298" s="1" t="s">
        <v>30</v>
      </c>
      <c r="G298" s="1" t="s">
        <v>848</v>
      </c>
      <c r="H298" s="2">
        <v>180000</v>
      </c>
      <c r="I298" s="2">
        <v>108000</v>
      </c>
      <c r="J298" s="192">
        <v>72000</v>
      </c>
      <c r="K298" s="1" t="s">
        <v>849</v>
      </c>
      <c r="L298" s="11">
        <v>126100</v>
      </c>
      <c r="M298" s="11">
        <v>186300</v>
      </c>
      <c r="N298" s="1" t="s">
        <v>25</v>
      </c>
      <c r="O298" s="15">
        <v>60200</v>
      </c>
    </row>
    <row r="299" spans="1:15" ht="14.25" customHeight="1" x14ac:dyDescent="0.25">
      <c r="A299" s="56">
        <v>44615</v>
      </c>
      <c r="C299" s="191" t="s">
        <v>854</v>
      </c>
      <c r="D299" s="1" t="s">
        <v>864</v>
      </c>
      <c r="E299" s="4" t="s">
        <v>855</v>
      </c>
      <c r="F299" s="1" t="s">
        <v>408</v>
      </c>
      <c r="G299" s="1" t="s">
        <v>863</v>
      </c>
      <c r="H299" s="2">
        <v>600000</v>
      </c>
      <c r="I299" s="2">
        <v>360000</v>
      </c>
      <c r="J299" s="192">
        <v>240000</v>
      </c>
      <c r="L299" s="11"/>
      <c r="M299" s="11"/>
      <c r="N299" s="1" t="s">
        <v>25</v>
      </c>
      <c r="O299" s="15">
        <v>0</v>
      </c>
    </row>
    <row r="300" spans="1:15" ht="14.25" customHeight="1" x14ac:dyDescent="0.25">
      <c r="A300" s="56">
        <v>44615</v>
      </c>
      <c r="C300" s="191" t="s">
        <v>854</v>
      </c>
      <c r="D300" s="1" t="s">
        <v>200</v>
      </c>
      <c r="E300" s="4" t="s">
        <v>855</v>
      </c>
      <c r="F300" s="1" t="s">
        <v>408</v>
      </c>
      <c r="G300" s="1" t="s">
        <v>856</v>
      </c>
      <c r="H300" s="2">
        <v>60000</v>
      </c>
      <c r="I300" s="2">
        <v>36000</v>
      </c>
      <c r="J300" s="192">
        <v>24000</v>
      </c>
      <c r="L300" s="11"/>
      <c r="M300" s="11"/>
      <c r="N300" s="1" t="s">
        <v>25</v>
      </c>
      <c r="O300" s="15">
        <v>0</v>
      </c>
    </row>
    <row r="301" spans="1:15" ht="14.25" customHeight="1" x14ac:dyDescent="0.25">
      <c r="A301" s="56">
        <v>44615</v>
      </c>
      <c r="B301" s="4" t="s">
        <v>858</v>
      </c>
      <c r="C301" s="191" t="s">
        <v>820</v>
      </c>
      <c r="D301" s="1" t="s">
        <v>48</v>
      </c>
      <c r="E301" s="4" t="s">
        <v>857</v>
      </c>
      <c r="F301" s="1" t="s">
        <v>19</v>
      </c>
      <c r="G301" s="1" t="s">
        <v>859</v>
      </c>
      <c r="H301" s="2">
        <v>60000</v>
      </c>
      <c r="I301" s="2">
        <v>36000</v>
      </c>
      <c r="J301" s="192">
        <v>24000</v>
      </c>
      <c r="L301" s="11"/>
      <c r="M301" s="11"/>
      <c r="N301" s="1" t="s">
        <v>25</v>
      </c>
      <c r="O301" s="15">
        <v>0</v>
      </c>
    </row>
    <row r="302" spans="1:15" ht="14.25" customHeight="1" x14ac:dyDescent="0.25">
      <c r="A302" s="56">
        <v>44615</v>
      </c>
      <c r="B302" s="4" t="s">
        <v>858</v>
      </c>
      <c r="C302" s="191" t="s">
        <v>820</v>
      </c>
      <c r="D302" s="1" t="s">
        <v>48</v>
      </c>
      <c r="E302" s="4" t="s">
        <v>857</v>
      </c>
      <c r="F302" s="1" t="s">
        <v>18</v>
      </c>
      <c r="G302" s="1" t="s">
        <v>860</v>
      </c>
      <c r="H302" s="2">
        <v>80000</v>
      </c>
      <c r="I302" s="2">
        <v>48000</v>
      </c>
      <c r="J302" s="192">
        <v>32000</v>
      </c>
      <c r="L302" s="11"/>
      <c r="M302" s="11"/>
      <c r="N302" s="1" t="s">
        <v>25</v>
      </c>
      <c r="O302" s="15">
        <v>0</v>
      </c>
    </row>
    <row r="303" spans="1:15" ht="14.25" customHeight="1" x14ac:dyDescent="0.25">
      <c r="A303" s="56">
        <v>44616</v>
      </c>
      <c r="B303" s="4" t="s">
        <v>850</v>
      </c>
      <c r="C303" s="191" t="s">
        <v>851</v>
      </c>
      <c r="D303" s="1" t="s">
        <v>84</v>
      </c>
      <c r="E303" s="4" t="s">
        <v>852</v>
      </c>
      <c r="F303" s="1" t="s">
        <v>603</v>
      </c>
      <c r="G303" s="1" t="s">
        <v>853</v>
      </c>
      <c r="H303" s="2">
        <v>20000</v>
      </c>
      <c r="I303" s="2">
        <v>20000</v>
      </c>
      <c r="J303" s="192"/>
      <c r="L303" s="11"/>
      <c r="M303" s="11"/>
      <c r="N303" s="1" t="s">
        <v>25</v>
      </c>
      <c r="O303" s="15">
        <v>0</v>
      </c>
    </row>
    <row r="304" spans="1:15" ht="14.25" customHeight="1" x14ac:dyDescent="0.25">
      <c r="A304" s="56">
        <v>44616</v>
      </c>
      <c r="C304" s="191" t="s">
        <v>34</v>
      </c>
      <c r="D304" s="1" t="s">
        <v>122</v>
      </c>
      <c r="E304" s="4"/>
      <c r="F304" s="1" t="s">
        <v>19</v>
      </c>
      <c r="G304" s="1" t="s">
        <v>866</v>
      </c>
      <c r="H304" s="2">
        <v>50000</v>
      </c>
      <c r="I304" s="2">
        <v>50000</v>
      </c>
      <c r="J304" s="192">
        <v>20000</v>
      </c>
      <c r="L304" s="11"/>
      <c r="M304" s="11"/>
      <c r="N304" s="1" t="s">
        <v>25</v>
      </c>
      <c r="O304" s="15">
        <v>0</v>
      </c>
    </row>
    <row r="305" spans="1:15" ht="14.25" customHeight="1" x14ac:dyDescent="0.25">
      <c r="A305" s="56">
        <v>44616</v>
      </c>
      <c r="C305" s="191" t="s">
        <v>34</v>
      </c>
      <c r="D305" s="1" t="s">
        <v>122</v>
      </c>
      <c r="E305" s="4"/>
      <c r="F305" s="1" t="s">
        <v>408</v>
      </c>
      <c r="G305" s="1" t="s">
        <v>867</v>
      </c>
      <c r="H305" s="2">
        <v>180000</v>
      </c>
      <c r="I305" s="2">
        <v>108000</v>
      </c>
      <c r="J305" s="192">
        <v>72000</v>
      </c>
      <c r="L305" s="11"/>
      <c r="M305" s="11"/>
      <c r="N305" s="1" t="s">
        <v>25</v>
      </c>
      <c r="O305" s="15">
        <v>0</v>
      </c>
    </row>
    <row r="306" spans="1:15" ht="14.25" customHeight="1" x14ac:dyDescent="0.25">
      <c r="A306" s="56">
        <v>44616</v>
      </c>
      <c r="C306" s="191"/>
      <c r="D306" s="1" t="s">
        <v>868</v>
      </c>
      <c r="E306" s="4"/>
      <c r="F306" s="1" t="s">
        <v>19</v>
      </c>
      <c r="G306" s="1" t="s">
        <v>869</v>
      </c>
      <c r="H306" s="2">
        <v>15000</v>
      </c>
      <c r="I306" s="2">
        <v>15000</v>
      </c>
      <c r="J306" s="192">
        <v>6000</v>
      </c>
      <c r="L306" s="11"/>
      <c r="M306" s="11"/>
      <c r="N306" s="1" t="s">
        <v>25</v>
      </c>
      <c r="O306" s="15">
        <v>0</v>
      </c>
    </row>
    <row r="307" spans="1:15" ht="14.25" customHeight="1" x14ac:dyDescent="0.25">
      <c r="A307" s="56">
        <v>44618</v>
      </c>
      <c r="C307" s="191"/>
      <c r="D307" s="1" t="s">
        <v>22</v>
      </c>
      <c r="E307" s="4"/>
      <c r="F307" s="1" t="s">
        <v>10</v>
      </c>
      <c r="G307" s="1" t="s">
        <v>957</v>
      </c>
      <c r="H307" s="2">
        <v>20000</v>
      </c>
      <c r="I307" s="2">
        <v>12000</v>
      </c>
      <c r="J307" s="192">
        <v>8000</v>
      </c>
      <c r="L307" s="11"/>
      <c r="M307" s="11"/>
      <c r="N307" s="1" t="s">
        <v>25</v>
      </c>
      <c r="O307" s="15">
        <v>0</v>
      </c>
    </row>
    <row r="308" spans="1:15" ht="14.25" customHeight="1" x14ac:dyDescent="0.25">
      <c r="A308" s="56">
        <v>44618</v>
      </c>
      <c r="C308" s="191" t="s">
        <v>870</v>
      </c>
      <c r="D308" s="1" t="s">
        <v>871</v>
      </c>
      <c r="E308" s="4" t="s">
        <v>872</v>
      </c>
      <c r="F308" s="1" t="s">
        <v>19</v>
      </c>
      <c r="G308" s="1" t="s">
        <v>873</v>
      </c>
      <c r="H308" s="2">
        <v>30000</v>
      </c>
      <c r="I308" s="2">
        <v>18000</v>
      </c>
      <c r="J308" s="192">
        <v>12000</v>
      </c>
      <c r="L308" s="11"/>
      <c r="M308" s="11"/>
      <c r="N308" s="1" t="s">
        <v>25</v>
      </c>
      <c r="O308" s="15">
        <v>0</v>
      </c>
    </row>
    <row r="309" spans="1:15" ht="14.25" customHeight="1" x14ac:dyDescent="0.25">
      <c r="A309" s="56">
        <v>44618</v>
      </c>
      <c r="B309" s="4" t="s">
        <v>874</v>
      </c>
      <c r="C309" s="191" t="s">
        <v>875</v>
      </c>
      <c r="D309" s="1" t="s">
        <v>168</v>
      </c>
      <c r="E309" s="4" t="s">
        <v>501</v>
      </c>
      <c r="F309" s="1" t="s">
        <v>408</v>
      </c>
      <c r="G309" s="1" t="s">
        <v>876</v>
      </c>
      <c r="H309" s="2">
        <v>40000</v>
      </c>
      <c r="I309" s="2">
        <v>24000</v>
      </c>
      <c r="J309" s="192">
        <v>16000</v>
      </c>
      <c r="K309" s="1" t="s">
        <v>877</v>
      </c>
      <c r="L309" s="11">
        <v>45000</v>
      </c>
      <c r="M309" s="11">
        <v>70000</v>
      </c>
      <c r="N309" s="1" t="s">
        <v>25</v>
      </c>
      <c r="O309" s="15">
        <v>25000</v>
      </c>
    </row>
    <row r="310" spans="1:15" ht="14.25" customHeight="1" x14ac:dyDescent="0.25">
      <c r="A310" s="56">
        <v>44620</v>
      </c>
      <c r="B310" s="4" t="s">
        <v>878</v>
      </c>
      <c r="C310" s="191" t="s">
        <v>879</v>
      </c>
      <c r="D310" s="1" t="s">
        <v>880</v>
      </c>
      <c r="E310" s="4" t="s">
        <v>881</v>
      </c>
      <c r="F310" s="1" t="s">
        <v>408</v>
      </c>
      <c r="G310" s="1" t="s">
        <v>882</v>
      </c>
      <c r="H310" s="2">
        <v>130000</v>
      </c>
      <c r="I310" s="2">
        <v>78000</v>
      </c>
      <c r="J310" s="192">
        <v>52000</v>
      </c>
      <c r="K310" s="1" t="s">
        <v>883</v>
      </c>
      <c r="L310" s="11">
        <v>329300</v>
      </c>
      <c r="M310" s="11">
        <v>495000</v>
      </c>
      <c r="N310" s="1" t="s">
        <v>25</v>
      </c>
      <c r="O310" s="15">
        <v>165700</v>
      </c>
    </row>
    <row r="311" spans="1:15" ht="14.25" customHeight="1" x14ac:dyDescent="0.25">
      <c r="A311" s="56">
        <v>44620</v>
      </c>
      <c r="B311" s="4" t="s">
        <v>884</v>
      </c>
      <c r="C311" s="191" t="s">
        <v>885</v>
      </c>
      <c r="D311" s="1" t="s">
        <v>402</v>
      </c>
      <c r="E311" s="4" t="s">
        <v>403</v>
      </c>
      <c r="G311" s="1" t="s">
        <v>400</v>
      </c>
      <c r="I311" s="2">
        <v>0</v>
      </c>
      <c r="J311" s="192">
        <v>0</v>
      </c>
      <c r="K311" s="1" t="s">
        <v>886</v>
      </c>
      <c r="L311" s="11">
        <v>123000</v>
      </c>
      <c r="M311" s="11">
        <v>186000</v>
      </c>
      <c r="N311" s="1" t="s">
        <v>25</v>
      </c>
      <c r="O311" s="15">
        <v>63000</v>
      </c>
    </row>
    <row r="312" spans="1:15" ht="14.25" customHeight="1" x14ac:dyDescent="0.25">
      <c r="A312" s="56">
        <v>44620</v>
      </c>
      <c r="B312" s="4" t="s">
        <v>887</v>
      </c>
      <c r="C312" s="191" t="s">
        <v>888</v>
      </c>
      <c r="D312" s="1" t="s">
        <v>889</v>
      </c>
      <c r="E312" s="4" t="s">
        <v>890</v>
      </c>
      <c r="F312" s="1" t="s">
        <v>408</v>
      </c>
      <c r="G312" s="1" t="s">
        <v>891</v>
      </c>
      <c r="H312" s="2">
        <v>70000</v>
      </c>
      <c r="I312" s="2">
        <v>42000</v>
      </c>
      <c r="J312" s="192">
        <v>28000</v>
      </c>
      <c r="K312" s="1" t="s">
        <v>892</v>
      </c>
      <c r="L312" s="11">
        <v>113000</v>
      </c>
      <c r="M312" s="11">
        <v>140000</v>
      </c>
      <c r="N312" s="1" t="s">
        <v>25</v>
      </c>
      <c r="O312" s="15">
        <v>27000</v>
      </c>
    </row>
    <row r="313" spans="1:15" ht="14.25" customHeight="1" x14ac:dyDescent="0.25">
      <c r="A313" s="56">
        <v>44620</v>
      </c>
      <c r="B313" s="4" t="s">
        <v>893</v>
      </c>
      <c r="C313" s="191" t="s">
        <v>894</v>
      </c>
      <c r="D313" s="1" t="s">
        <v>895</v>
      </c>
      <c r="E313" s="4" t="s">
        <v>395</v>
      </c>
      <c r="F313" s="1" t="s">
        <v>19</v>
      </c>
      <c r="G313" s="1" t="s">
        <v>896</v>
      </c>
      <c r="H313" s="2">
        <v>100000</v>
      </c>
      <c r="I313" s="2">
        <v>60000</v>
      </c>
      <c r="J313" s="192">
        <v>40000</v>
      </c>
      <c r="L313" s="11"/>
      <c r="M313" s="11"/>
      <c r="N313" s="1" t="s">
        <v>25</v>
      </c>
      <c r="O313" s="15">
        <v>0</v>
      </c>
    </row>
    <row r="314" spans="1:15" ht="14.25" customHeight="1" x14ac:dyDescent="0.25">
      <c r="A314" s="56">
        <v>44620</v>
      </c>
      <c r="B314" s="4" t="s">
        <v>897</v>
      </c>
      <c r="C314" s="191" t="s">
        <v>898</v>
      </c>
      <c r="D314" s="1" t="s">
        <v>899</v>
      </c>
      <c r="E314" s="4" t="s">
        <v>900</v>
      </c>
      <c r="F314" s="1" t="s">
        <v>10</v>
      </c>
      <c r="G314" s="1" t="s">
        <v>901</v>
      </c>
      <c r="H314" s="2">
        <v>70000</v>
      </c>
      <c r="I314" s="2">
        <v>42000</v>
      </c>
      <c r="J314" s="192">
        <v>28000</v>
      </c>
      <c r="K314" s="1" t="s">
        <v>902</v>
      </c>
      <c r="L314" s="11">
        <v>130400</v>
      </c>
      <c r="M314" s="11">
        <v>234000</v>
      </c>
      <c r="N314" s="1" t="s">
        <v>25</v>
      </c>
      <c r="O314" s="15">
        <v>103600</v>
      </c>
    </row>
    <row r="315" spans="1:15" ht="14.25" customHeight="1" x14ac:dyDescent="0.25">
      <c r="A315" s="56">
        <v>44620</v>
      </c>
      <c r="B315" s="4" t="s">
        <v>903</v>
      </c>
      <c r="C315" s="191" t="s">
        <v>904</v>
      </c>
      <c r="D315" s="1" t="s">
        <v>905</v>
      </c>
      <c r="E315" s="4" t="s">
        <v>906</v>
      </c>
      <c r="F315" s="1" t="s">
        <v>19</v>
      </c>
      <c r="G315" s="1" t="s">
        <v>907</v>
      </c>
      <c r="H315" s="2">
        <v>110000</v>
      </c>
      <c r="I315" s="2">
        <v>66000</v>
      </c>
      <c r="J315" s="192">
        <v>44000</v>
      </c>
      <c r="K315" s="1" t="s">
        <v>908</v>
      </c>
      <c r="L315" s="11">
        <v>168000</v>
      </c>
      <c r="M315" s="11">
        <v>215000</v>
      </c>
      <c r="N315" s="1" t="s">
        <v>25</v>
      </c>
      <c r="O315" s="15">
        <v>47000</v>
      </c>
    </row>
    <row r="316" spans="1:15" ht="14.25" customHeight="1" x14ac:dyDescent="0.25">
      <c r="A316" s="56">
        <v>44620</v>
      </c>
      <c r="C316" s="191" t="s">
        <v>909</v>
      </c>
      <c r="D316" s="1" t="s">
        <v>303</v>
      </c>
      <c r="E316" s="4"/>
      <c r="F316" s="1" t="s">
        <v>34</v>
      </c>
      <c r="G316" s="1" t="s">
        <v>341</v>
      </c>
      <c r="H316" s="2">
        <v>10000</v>
      </c>
      <c r="I316" s="2">
        <v>6000</v>
      </c>
      <c r="J316" s="192">
        <v>4000</v>
      </c>
      <c r="L316" s="11"/>
      <c r="M316" s="11"/>
      <c r="N316" s="1" t="s">
        <v>25</v>
      </c>
      <c r="O316" s="15">
        <v>0</v>
      </c>
    </row>
    <row r="317" spans="1:15" ht="14.25" customHeight="1" x14ac:dyDescent="0.25">
      <c r="A317" s="56">
        <v>44620</v>
      </c>
      <c r="B317" s="4" t="s">
        <v>910</v>
      </c>
      <c r="C317" s="191" t="s">
        <v>911</v>
      </c>
      <c r="D317" s="1" t="s">
        <v>576</v>
      </c>
      <c r="E317" s="4" t="s">
        <v>912</v>
      </c>
      <c r="F317" s="1" t="s">
        <v>10</v>
      </c>
      <c r="G317" s="1" t="s">
        <v>913</v>
      </c>
      <c r="H317" s="2">
        <v>250000</v>
      </c>
      <c r="I317" s="2">
        <v>150000</v>
      </c>
      <c r="J317" s="192">
        <v>100000</v>
      </c>
      <c r="K317" s="1" t="s">
        <v>914</v>
      </c>
      <c r="L317" s="11">
        <v>275600</v>
      </c>
      <c r="M317" s="11">
        <v>261000</v>
      </c>
      <c r="N317" s="1" t="s">
        <v>25</v>
      </c>
      <c r="O317" s="15">
        <v>-14600</v>
      </c>
    </row>
    <row r="318" spans="1:15" ht="14.25" customHeight="1" x14ac:dyDescent="0.25">
      <c r="A318" s="56">
        <v>44621</v>
      </c>
      <c r="B318" s="4" t="s">
        <v>915</v>
      </c>
      <c r="C318" s="191" t="s">
        <v>916</v>
      </c>
      <c r="D318" s="1" t="s">
        <v>548</v>
      </c>
      <c r="E318" s="4" t="s">
        <v>549</v>
      </c>
      <c r="F318" s="1" t="s">
        <v>19</v>
      </c>
      <c r="G318" s="1" t="s">
        <v>917</v>
      </c>
      <c r="H318" s="2">
        <v>30000</v>
      </c>
      <c r="I318" s="2">
        <v>18000</v>
      </c>
      <c r="J318" s="192">
        <v>12000</v>
      </c>
      <c r="L318" s="11"/>
      <c r="M318" s="11"/>
      <c r="N318" s="1" t="s">
        <v>25</v>
      </c>
      <c r="O318" s="15">
        <v>0</v>
      </c>
    </row>
    <row r="319" spans="1:15" ht="14.25" customHeight="1" x14ac:dyDescent="0.25">
      <c r="A319" s="56">
        <v>44621</v>
      </c>
      <c r="B319" s="4" t="s">
        <v>918</v>
      </c>
      <c r="C319" s="191" t="s">
        <v>598</v>
      </c>
      <c r="E319" s="4" t="s">
        <v>162</v>
      </c>
      <c r="F319" s="1" t="s">
        <v>408</v>
      </c>
      <c r="G319" s="1" t="s">
        <v>919</v>
      </c>
      <c r="H319" s="2">
        <v>80000</v>
      </c>
      <c r="I319" s="2">
        <v>48000</v>
      </c>
      <c r="J319" s="192">
        <v>32000</v>
      </c>
      <c r="K319" s="1" t="s">
        <v>920</v>
      </c>
      <c r="L319" s="11"/>
      <c r="M319" s="11"/>
      <c r="N319" s="1" t="s">
        <v>25</v>
      </c>
      <c r="O319" s="15">
        <v>0</v>
      </c>
    </row>
    <row r="320" spans="1:15" ht="14.25" customHeight="1" x14ac:dyDescent="0.25">
      <c r="A320" s="56">
        <v>44621</v>
      </c>
      <c r="B320" s="4" t="s">
        <v>921</v>
      </c>
      <c r="C320" s="191" t="s">
        <v>922</v>
      </c>
      <c r="D320" s="1" t="s">
        <v>923</v>
      </c>
      <c r="E320" s="4" t="s">
        <v>924</v>
      </c>
      <c r="F320" s="1" t="s">
        <v>30</v>
      </c>
      <c r="G320" s="1" t="s">
        <v>925</v>
      </c>
      <c r="H320" s="2">
        <v>280000</v>
      </c>
      <c r="I320" s="2">
        <v>168000</v>
      </c>
      <c r="J320" s="192">
        <v>112000</v>
      </c>
      <c r="K320" s="1" t="s">
        <v>926</v>
      </c>
      <c r="L320" s="11">
        <v>301000</v>
      </c>
      <c r="M320" s="11">
        <v>412000</v>
      </c>
      <c r="N320" s="1" t="s">
        <v>25</v>
      </c>
      <c r="O320" s="15">
        <v>111000</v>
      </c>
    </row>
    <row r="321" spans="1:15" ht="14.25" customHeight="1" x14ac:dyDescent="0.25">
      <c r="A321" s="56">
        <v>44622</v>
      </c>
      <c r="C321" s="191" t="s">
        <v>927</v>
      </c>
      <c r="D321" s="1" t="s">
        <v>54</v>
      </c>
      <c r="E321" s="4" t="s">
        <v>928</v>
      </c>
      <c r="F321" s="1" t="s">
        <v>10</v>
      </c>
      <c r="G321" s="1" t="s">
        <v>929</v>
      </c>
      <c r="H321" s="2">
        <v>50000</v>
      </c>
      <c r="I321" s="2">
        <v>30000</v>
      </c>
      <c r="J321" s="192">
        <v>20000</v>
      </c>
      <c r="L321" s="11"/>
      <c r="M321" s="11"/>
      <c r="N321" s="1" t="s">
        <v>25</v>
      </c>
      <c r="O321" s="15">
        <v>0</v>
      </c>
    </row>
    <row r="322" spans="1:15" ht="14.25" customHeight="1" x14ac:dyDescent="0.25">
      <c r="A322" s="56">
        <v>44622</v>
      </c>
      <c r="B322" s="4" t="s">
        <v>930</v>
      </c>
      <c r="C322" s="191" t="s">
        <v>598</v>
      </c>
      <c r="D322" s="1" t="s">
        <v>931</v>
      </c>
      <c r="E322" s="4" t="s">
        <v>152</v>
      </c>
      <c r="F322" s="1" t="s">
        <v>19</v>
      </c>
      <c r="G322" s="1" t="s">
        <v>932</v>
      </c>
      <c r="H322" s="2">
        <v>200000</v>
      </c>
      <c r="I322" s="2">
        <v>120000</v>
      </c>
      <c r="J322" s="192">
        <v>80000</v>
      </c>
      <c r="K322" s="1" t="s">
        <v>933</v>
      </c>
      <c r="L322" s="11">
        <v>221000</v>
      </c>
      <c r="M322" s="11">
        <v>416424</v>
      </c>
      <c r="N322" s="1" t="s">
        <v>25</v>
      </c>
      <c r="O322" s="15">
        <v>195424</v>
      </c>
    </row>
    <row r="323" spans="1:15" ht="14.25" customHeight="1" x14ac:dyDescent="0.25">
      <c r="A323" s="56">
        <v>44624</v>
      </c>
      <c r="C323" s="191" t="s">
        <v>934</v>
      </c>
      <c r="D323" s="1" t="s">
        <v>48</v>
      </c>
      <c r="E323" s="4" t="s">
        <v>935</v>
      </c>
      <c r="F323" s="1" t="s">
        <v>408</v>
      </c>
      <c r="G323" s="1" t="s">
        <v>341</v>
      </c>
      <c r="H323" s="2">
        <v>12000</v>
      </c>
      <c r="I323" s="2">
        <v>7200</v>
      </c>
      <c r="J323" s="192">
        <v>4800</v>
      </c>
      <c r="L323" s="11"/>
      <c r="M323" s="11"/>
      <c r="N323" s="1" t="s">
        <v>25</v>
      </c>
      <c r="O323" s="15">
        <v>0</v>
      </c>
    </row>
    <row r="324" spans="1:15" ht="14.25" customHeight="1" x14ac:dyDescent="0.25">
      <c r="A324" s="56">
        <v>44624</v>
      </c>
      <c r="B324" s="4" t="s">
        <v>940</v>
      </c>
      <c r="C324" s="191" t="s">
        <v>936</v>
      </c>
      <c r="D324" s="1" t="s">
        <v>580</v>
      </c>
      <c r="E324" s="4" t="s">
        <v>937</v>
      </c>
      <c r="F324" s="1" t="s">
        <v>408</v>
      </c>
      <c r="G324" s="1" t="s">
        <v>250</v>
      </c>
      <c r="H324" s="2">
        <v>20000</v>
      </c>
      <c r="I324" s="2">
        <v>12000</v>
      </c>
      <c r="J324" s="192">
        <v>8000</v>
      </c>
      <c r="K324" s="1" t="s">
        <v>938</v>
      </c>
      <c r="L324" s="11">
        <v>10000</v>
      </c>
      <c r="M324" s="11">
        <v>20500</v>
      </c>
      <c r="N324" s="1" t="s">
        <v>25</v>
      </c>
      <c r="O324" s="15">
        <v>10500</v>
      </c>
    </row>
    <row r="325" spans="1:15" ht="14.25" customHeight="1" x14ac:dyDescent="0.25">
      <c r="A325" s="56">
        <v>44624</v>
      </c>
      <c r="B325" s="4" t="s">
        <v>941</v>
      </c>
      <c r="C325" s="191" t="s">
        <v>939</v>
      </c>
      <c r="D325" s="1" t="s">
        <v>942</v>
      </c>
      <c r="E325" s="4" t="s">
        <v>943</v>
      </c>
      <c r="F325" s="1" t="s">
        <v>19</v>
      </c>
      <c r="G325" s="1" t="s">
        <v>944</v>
      </c>
      <c r="H325" s="2">
        <v>150000</v>
      </c>
      <c r="I325" s="2">
        <v>90000</v>
      </c>
      <c r="J325" s="192">
        <v>60000</v>
      </c>
      <c r="K325" s="1" t="s">
        <v>946</v>
      </c>
      <c r="L325" s="11">
        <v>20000</v>
      </c>
      <c r="M325" s="11">
        <v>35000</v>
      </c>
      <c r="N325" s="1" t="s">
        <v>25</v>
      </c>
      <c r="O325" s="15">
        <v>15000</v>
      </c>
    </row>
    <row r="326" spans="1:15" ht="14.25" customHeight="1" x14ac:dyDescent="0.25">
      <c r="A326" s="56">
        <v>44624</v>
      </c>
      <c r="B326" s="4" t="s">
        <v>941</v>
      </c>
      <c r="C326" s="191" t="s">
        <v>939</v>
      </c>
      <c r="D326" s="1" t="s">
        <v>942</v>
      </c>
      <c r="E326" s="4" t="s">
        <v>943</v>
      </c>
      <c r="F326" s="1" t="s">
        <v>18</v>
      </c>
      <c r="G326" s="1" t="s">
        <v>945</v>
      </c>
      <c r="H326" s="2">
        <v>10000</v>
      </c>
      <c r="I326" s="2">
        <v>10000</v>
      </c>
      <c r="J326" s="192">
        <v>4000</v>
      </c>
      <c r="L326" s="11"/>
      <c r="M326" s="11"/>
      <c r="N326" s="1" t="s">
        <v>25</v>
      </c>
      <c r="O326" s="15">
        <v>0</v>
      </c>
    </row>
    <row r="327" spans="1:15" ht="14.25" customHeight="1" x14ac:dyDescent="0.25">
      <c r="A327" s="56">
        <v>44624</v>
      </c>
      <c r="B327" s="4" t="s">
        <v>947</v>
      </c>
      <c r="C327" s="191" t="s">
        <v>948</v>
      </c>
      <c r="D327" s="1" t="s">
        <v>204</v>
      </c>
      <c r="E327" s="4" t="s">
        <v>949</v>
      </c>
      <c r="F327" s="1" t="s">
        <v>19</v>
      </c>
      <c r="G327" s="1" t="s">
        <v>950</v>
      </c>
      <c r="H327" s="2">
        <v>75000</v>
      </c>
      <c r="I327" s="2">
        <v>75000</v>
      </c>
      <c r="J327" s="192">
        <v>50000</v>
      </c>
      <c r="L327" s="11"/>
      <c r="M327" s="11"/>
      <c r="N327" s="1" t="s">
        <v>25</v>
      </c>
      <c r="O327" s="15">
        <v>0</v>
      </c>
    </row>
    <row r="328" spans="1:15" ht="14.25" customHeight="1" x14ac:dyDescent="0.25">
      <c r="A328" s="56">
        <v>44624</v>
      </c>
      <c r="B328" s="4" t="s">
        <v>947</v>
      </c>
      <c r="C328" s="191" t="s">
        <v>948</v>
      </c>
      <c r="D328" s="1" t="s">
        <v>204</v>
      </c>
      <c r="E328" s="4" t="s">
        <v>949</v>
      </c>
      <c r="F328" s="1" t="s">
        <v>408</v>
      </c>
      <c r="G328" s="1" t="s">
        <v>950</v>
      </c>
      <c r="H328" s="2">
        <v>75000</v>
      </c>
      <c r="I328" s="2">
        <v>75000</v>
      </c>
      <c r="J328" s="192"/>
      <c r="L328" s="11"/>
      <c r="M328" s="11"/>
      <c r="N328" s="1" t="s">
        <v>25</v>
      </c>
      <c r="O328" s="15">
        <v>0</v>
      </c>
    </row>
    <row r="329" spans="1:15" ht="14.25" customHeight="1" x14ac:dyDescent="0.25">
      <c r="A329" s="56">
        <v>44624</v>
      </c>
      <c r="B329" s="4" t="s">
        <v>977</v>
      </c>
      <c r="C329" s="191" t="s">
        <v>129</v>
      </c>
      <c r="D329" s="1" t="s">
        <v>952</v>
      </c>
      <c r="E329" s="4" t="s">
        <v>953</v>
      </c>
      <c r="F329" s="1" t="s">
        <v>10</v>
      </c>
      <c r="G329" s="1" t="s">
        <v>954</v>
      </c>
      <c r="H329" s="2">
        <v>350000</v>
      </c>
      <c r="I329" s="2">
        <v>210000</v>
      </c>
      <c r="J329" s="192">
        <v>140000</v>
      </c>
      <c r="L329" s="11"/>
      <c r="M329" s="11"/>
      <c r="N329" s="1" t="s">
        <v>25</v>
      </c>
      <c r="O329" s="15">
        <v>0</v>
      </c>
    </row>
    <row r="330" spans="1:15" ht="14.25" customHeight="1" x14ac:dyDescent="0.25">
      <c r="A330" s="56">
        <v>44624</v>
      </c>
      <c r="C330" s="191" t="s">
        <v>765</v>
      </c>
      <c r="D330" s="1" t="s">
        <v>955</v>
      </c>
      <c r="E330" s="4" t="s">
        <v>767</v>
      </c>
      <c r="F330" s="1" t="s">
        <v>10</v>
      </c>
      <c r="G330" s="1" t="s">
        <v>956</v>
      </c>
      <c r="H330" s="2">
        <v>1200000</v>
      </c>
      <c r="I330" s="2">
        <v>720000</v>
      </c>
      <c r="J330" s="192">
        <v>480000</v>
      </c>
      <c r="K330" s="1" t="s">
        <v>966</v>
      </c>
      <c r="L330" s="11">
        <v>1801000</v>
      </c>
      <c r="M330" s="11">
        <v>2423000</v>
      </c>
      <c r="N330" s="1" t="s">
        <v>25</v>
      </c>
      <c r="O330" s="15">
        <v>622000</v>
      </c>
    </row>
    <row r="331" spans="1:15" ht="14.25" customHeight="1" x14ac:dyDescent="0.25">
      <c r="A331" s="56">
        <v>44624</v>
      </c>
      <c r="B331" s="4" t="s">
        <v>977</v>
      </c>
      <c r="C331" s="191" t="s">
        <v>129</v>
      </c>
      <c r="D331" s="1" t="s">
        <v>952</v>
      </c>
      <c r="E331" s="4" t="s">
        <v>953</v>
      </c>
      <c r="F331" s="1" t="s">
        <v>408</v>
      </c>
      <c r="G331" s="1" t="s">
        <v>958</v>
      </c>
      <c r="H331" s="2">
        <v>100000</v>
      </c>
      <c r="I331" s="2">
        <v>60000</v>
      </c>
      <c r="J331" s="192">
        <v>40000</v>
      </c>
      <c r="L331" s="11"/>
      <c r="M331" s="11"/>
      <c r="N331" s="1" t="s">
        <v>25</v>
      </c>
      <c r="O331" s="15">
        <v>0</v>
      </c>
    </row>
    <row r="332" spans="1:15" ht="14.25" customHeight="1" x14ac:dyDescent="0.25">
      <c r="A332" s="56">
        <v>44625</v>
      </c>
      <c r="B332" s="4" t="s">
        <v>960</v>
      </c>
      <c r="C332" s="191" t="s">
        <v>961</v>
      </c>
      <c r="D332" s="1" t="s">
        <v>962</v>
      </c>
      <c r="E332" s="4" t="s">
        <v>963</v>
      </c>
      <c r="F332" s="1" t="s">
        <v>30</v>
      </c>
      <c r="G332" s="1" t="s">
        <v>964</v>
      </c>
      <c r="H332" s="2">
        <v>120000</v>
      </c>
      <c r="I332" s="2">
        <v>72000</v>
      </c>
      <c r="J332" s="192">
        <v>48000</v>
      </c>
      <c r="L332" s="11"/>
      <c r="M332" s="11"/>
      <c r="N332" s="1" t="s">
        <v>25</v>
      </c>
      <c r="O332" s="15">
        <v>0</v>
      </c>
    </row>
    <row r="333" spans="1:15" ht="14.25" customHeight="1" x14ac:dyDescent="0.25">
      <c r="A333" s="56">
        <v>44625</v>
      </c>
      <c r="B333" s="4" t="s">
        <v>960</v>
      </c>
      <c r="C333" s="191" t="s">
        <v>961</v>
      </c>
      <c r="D333" s="1" t="s">
        <v>962</v>
      </c>
      <c r="E333" s="4" t="s">
        <v>963</v>
      </c>
      <c r="F333" s="1" t="s">
        <v>18</v>
      </c>
      <c r="G333" s="1" t="s">
        <v>965</v>
      </c>
      <c r="H333" s="2">
        <v>30000</v>
      </c>
      <c r="I333" s="2">
        <v>18000</v>
      </c>
      <c r="J333" s="192">
        <v>12000</v>
      </c>
      <c r="L333" s="11"/>
      <c r="M333" s="11"/>
      <c r="N333" s="1" t="s">
        <v>26</v>
      </c>
      <c r="O333" s="15">
        <v>0</v>
      </c>
    </row>
    <row r="334" spans="1:15" ht="14.25" customHeight="1" x14ac:dyDescent="0.25">
      <c r="A334" s="56">
        <v>44625</v>
      </c>
      <c r="B334" s="4" t="s">
        <v>967</v>
      </c>
      <c r="C334" s="191" t="s">
        <v>968</v>
      </c>
      <c r="D334" s="1" t="s">
        <v>76</v>
      </c>
      <c r="E334" s="4" t="s">
        <v>969</v>
      </c>
      <c r="F334" s="1" t="s">
        <v>408</v>
      </c>
      <c r="G334" s="1" t="s">
        <v>233</v>
      </c>
      <c r="H334" s="2">
        <v>100000</v>
      </c>
      <c r="I334" s="2">
        <v>60000</v>
      </c>
      <c r="J334" s="192">
        <v>40000</v>
      </c>
      <c r="K334" s="1" t="s">
        <v>970</v>
      </c>
      <c r="L334" s="11">
        <v>462000</v>
      </c>
      <c r="M334" s="11">
        <v>530000</v>
      </c>
      <c r="N334" s="1" t="s">
        <v>25</v>
      </c>
      <c r="O334" s="15">
        <v>68000</v>
      </c>
    </row>
    <row r="335" spans="1:15" ht="14.25" customHeight="1" x14ac:dyDescent="0.25">
      <c r="A335" s="56">
        <v>44625</v>
      </c>
      <c r="B335" s="4" t="s">
        <v>971</v>
      </c>
      <c r="C335" s="191" t="s">
        <v>725</v>
      </c>
      <c r="D335" s="1" t="s">
        <v>54</v>
      </c>
      <c r="E335" s="4" t="s">
        <v>727</v>
      </c>
      <c r="F335" s="1" t="s">
        <v>408</v>
      </c>
      <c r="G335" s="1" t="s">
        <v>972</v>
      </c>
      <c r="H335" s="2">
        <v>60000</v>
      </c>
      <c r="I335" s="2">
        <v>36000</v>
      </c>
      <c r="J335" s="192">
        <v>24000</v>
      </c>
      <c r="K335" s="1" t="s">
        <v>973</v>
      </c>
      <c r="L335" s="11">
        <v>13000</v>
      </c>
      <c r="M335" s="11">
        <v>30000</v>
      </c>
      <c r="N335" s="1" t="s">
        <v>25</v>
      </c>
      <c r="O335" s="15">
        <v>17000</v>
      </c>
    </row>
    <row r="336" spans="1:15" ht="14.25" customHeight="1" x14ac:dyDescent="0.25">
      <c r="A336" s="56">
        <v>44625</v>
      </c>
      <c r="C336" s="191" t="s">
        <v>974</v>
      </c>
      <c r="D336" s="1" t="s">
        <v>975</v>
      </c>
      <c r="E336" s="4" t="s">
        <v>976</v>
      </c>
      <c r="F336" s="1" t="s">
        <v>408</v>
      </c>
      <c r="G336" s="1" t="s">
        <v>1041</v>
      </c>
      <c r="H336" s="2">
        <v>30000</v>
      </c>
      <c r="I336" s="2">
        <v>18000</v>
      </c>
      <c r="J336" s="192">
        <v>12000</v>
      </c>
      <c r="L336" s="11"/>
      <c r="M336" s="11"/>
      <c r="N336" s="1" t="s">
        <v>25</v>
      </c>
      <c r="O336" s="15">
        <v>0</v>
      </c>
    </row>
    <row r="337" spans="1:15" ht="14.25" customHeight="1" x14ac:dyDescent="0.25">
      <c r="A337" s="56">
        <v>44624</v>
      </c>
      <c r="B337" s="4" t="s">
        <v>977</v>
      </c>
      <c r="C337" s="191" t="s">
        <v>129</v>
      </c>
      <c r="D337" s="1" t="s">
        <v>952</v>
      </c>
      <c r="E337" s="4" t="s">
        <v>953</v>
      </c>
      <c r="F337" s="1" t="s">
        <v>18</v>
      </c>
      <c r="G337" s="1" t="s">
        <v>978</v>
      </c>
      <c r="H337" s="2">
        <v>60000</v>
      </c>
      <c r="I337" s="2">
        <v>36000</v>
      </c>
      <c r="J337" s="192">
        <v>24000</v>
      </c>
      <c r="L337" s="11"/>
      <c r="M337" s="11"/>
      <c r="N337" s="1" t="s">
        <v>25</v>
      </c>
      <c r="O337" s="15">
        <v>0</v>
      </c>
    </row>
    <row r="338" spans="1:15" ht="14.25" customHeight="1" x14ac:dyDescent="0.25">
      <c r="A338" s="56">
        <v>44627</v>
      </c>
      <c r="B338" s="4" t="s">
        <v>979</v>
      </c>
      <c r="C338" s="191" t="s">
        <v>980</v>
      </c>
      <c r="D338" s="1" t="s">
        <v>122</v>
      </c>
      <c r="E338" s="4" t="s">
        <v>981</v>
      </c>
      <c r="F338" s="1" t="s">
        <v>408</v>
      </c>
      <c r="G338" s="1" t="s">
        <v>982</v>
      </c>
      <c r="H338" s="2">
        <v>80000</v>
      </c>
      <c r="I338" s="2">
        <v>48000</v>
      </c>
      <c r="J338" s="192">
        <v>32000</v>
      </c>
      <c r="K338" s="1" t="s">
        <v>71</v>
      </c>
      <c r="L338" s="11">
        <v>135000</v>
      </c>
      <c r="M338" s="11">
        <v>190000</v>
      </c>
      <c r="N338" s="1" t="s">
        <v>25</v>
      </c>
      <c r="O338" s="15">
        <v>55000</v>
      </c>
    </row>
    <row r="339" spans="1:15" ht="14.25" customHeight="1" x14ac:dyDescent="0.25">
      <c r="A339" s="56">
        <v>44627</v>
      </c>
      <c r="B339" s="4" t="s">
        <v>983</v>
      </c>
      <c r="C339" s="191" t="s">
        <v>984</v>
      </c>
      <c r="D339" s="1" t="s">
        <v>48</v>
      </c>
      <c r="E339" s="4" t="s">
        <v>444</v>
      </c>
      <c r="F339" s="1" t="s">
        <v>408</v>
      </c>
      <c r="G339" s="1">
        <v>0</v>
      </c>
      <c r="H339" s="2">
        <v>240000</v>
      </c>
      <c r="I339" s="2">
        <v>144000</v>
      </c>
      <c r="J339" s="192">
        <v>96000</v>
      </c>
      <c r="K339" s="1" t="s">
        <v>985</v>
      </c>
      <c r="L339" s="11">
        <v>302000</v>
      </c>
      <c r="M339" s="11">
        <v>464000</v>
      </c>
      <c r="N339" s="1" t="s">
        <v>25</v>
      </c>
      <c r="O339" s="15">
        <v>162000</v>
      </c>
    </row>
    <row r="340" spans="1:15" ht="14.25" customHeight="1" x14ac:dyDescent="0.25">
      <c r="A340" s="56">
        <v>44628</v>
      </c>
      <c r="C340" s="191"/>
      <c r="E340" s="4"/>
      <c r="F340" s="1" t="s">
        <v>408</v>
      </c>
      <c r="G340" s="1" t="s">
        <v>341</v>
      </c>
      <c r="H340" s="2">
        <v>10000</v>
      </c>
      <c r="I340" s="2">
        <v>6000</v>
      </c>
      <c r="J340" s="192">
        <v>4000</v>
      </c>
      <c r="L340" s="11"/>
      <c r="M340" s="11"/>
      <c r="N340" s="1" t="s">
        <v>25</v>
      </c>
      <c r="O340" s="15">
        <v>0</v>
      </c>
    </row>
    <row r="341" spans="1:15" ht="14.25" customHeight="1" x14ac:dyDescent="0.25">
      <c r="A341" s="56">
        <v>44628</v>
      </c>
      <c r="C341" s="191"/>
      <c r="E341" s="4"/>
      <c r="F341" s="1" t="s">
        <v>30</v>
      </c>
      <c r="G341" s="1" t="s">
        <v>986</v>
      </c>
      <c r="H341" s="2">
        <v>10000</v>
      </c>
      <c r="I341" s="2">
        <v>6000</v>
      </c>
      <c r="J341" s="192">
        <v>4000</v>
      </c>
      <c r="L341" s="11"/>
      <c r="M341" s="11"/>
      <c r="N341" s="1" t="s">
        <v>25</v>
      </c>
      <c r="O341" s="15">
        <v>0</v>
      </c>
    </row>
    <row r="342" spans="1:15" ht="14.25" customHeight="1" x14ac:dyDescent="0.25">
      <c r="A342" s="56">
        <v>44629</v>
      </c>
      <c r="C342" s="191"/>
      <c r="E342" s="4"/>
      <c r="F342" s="1" t="s">
        <v>408</v>
      </c>
      <c r="G342" s="1" t="s">
        <v>341</v>
      </c>
      <c r="H342" s="2">
        <v>10000</v>
      </c>
      <c r="I342" s="2">
        <v>6000</v>
      </c>
      <c r="J342" s="192">
        <v>4000</v>
      </c>
      <c r="L342" s="11"/>
      <c r="M342" s="11"/>
      <c r="N342" s="1" t="s">
        <v>25</v>
      </c>
      <c r="O342" s="15">
        <v>0</v>
      </c>
    </row>
    <row r="343" spans="1:15" ht="14.25" customHeight="1" x14ac:dyDescent="0.25">
      <c r="A343" s="56">
        <v>44629</v>
      </c>
      <c r="B343" s="4" t="s">
        <v>987</v>
      </c>
      <c r="C343" s="191" t="s">
        <v>988</v>
      </c>
      <c r="D343" s="1" t="s">
        <v>989</v>
      </c>
      <c r="E343" s="4" t="s">
        <v>990</v>
      </c>
      <c r="F343" s="1" t="s">
        <v>30</v>
      </c>
      <c r="G343" s="1" t="s">
        <v>991</v>
      </c>
      <c r="H343" s="2">
        <v>300000</v>
      </c>
      <c r="I343" s="2">
        <v>180000</v>
      </c>
      <c r="J343" s="192">
        <v>120000</v>
      </c>
      <c r="K343" s="1" t="s">
        <v>992</v>
      </c>
      <c r="L343" s="11">
        <v>185200</v>
      </c>
      <c r="M343" s="11">
        <v>297000</v>
      </c>
      <c r="N343" s="1" t="s">
        <v>25</v>
      </c>
      <c r="O343" s="15">
        <v>111800</v>
      </c>
    </row>
    <row r="344" spans="1:15" ht="14.25" customHeight="1" x14ac:dyDescent="0.25">
      <c r="A344" s="56">
        <v>44629</v>
      </c>
      <c r="B344" s="4" t="s">
        <v>993</v>
      </c>
      <c r="C344" s="191" t="s">
        <v>994</v>
      </c>
      <c r="D344" s="1" t="s">
        <v>540</v>
      </c>
      <c r="E344" s="4" t="s">
        <v>995</v>
      </c>
      <c r="F344" s="1" t="s">
        <v>30</v>
      </c>
      <c r="G344" s="1" t="s">
        <v>996</v>
      </c>
      <c r="H344" s="2">
        <v>40000</v>
      </c>
      <c r="I344" s="2">
        <v>24000</v>
      </c>
      <c r="J344" s="192">
        <v>16000</v>
      </c>
      <c r="K344" s="1" t="s">
        <v>997</v>
      </c>
      <c r="L344" s="11">
        <v>18000</v>
      </c>
      <c r="M344" s="11">
        <v>74000</v>
      </c>
      <c r="N344" s="1" t="s">
        <v>25</v>
      </c>
      <c r="O344" s="15">
        <v>56000</v>
      </c>
    </row>
    <row r="345" spans="1:15" ht="14.25" customHeight="1" x14ac:dyDescent="0.25">
      <c r="A345" s="56">
        <v>44629</v>
      </c>
      <c r="B345" s="4" t="s">
        <v>998</v>
      </c>
      <c r="C345" s="191" t="s">
        <v>999</v>
      </c>
      <c r="D345" s="1" t="s">
        <v>64</v>
      </c>
      <c r="E345" s="4" t="s">
        <v>1000</v>
      </c>
      <c r="F345" s="1" t="s">
        <v>10</v>
      </c>
      <c r="G345" s="1" t="s">
        <v>1001</v>
      </c>
      <c r="H345" s="2">
        <v>180000</v>
      </c>
      <c r="I345" s="2">
        <v>108000</v>
      </c>
      <c r="J345" s="192">
        <v>72000</v>
      </c>
      <c r="K345" s="1" t="s">
        <v>447</v>
      </c>
      <c r="L345" s="11">
        <v>750000</v>
      </c>
      <c r="M345" s="11">
        <v>1000000</v>
      </c>
      <c r="N345" s="1" t="s">
        <v>25</v>
      </c>
      <c r="O345" s="15">
        <v>250000</v>
      </c>
    </row>
    <row r="346" spans="1:15" ht="14.25" customHeight="1" x14ac:dyDescent="0.25">
      <c r="A346" s="56">
        <v>44629</v>
      </c>
      <c r="B346" s="4" t="s">
        <v>1002</v>
      </c>
      <c r="C346" s="191" t="s">
        <v>598</v>
      </c>
      <c r="D346" s="1" t="s">
        <v>151</v>
      </c>
      <c r="E346" s="4" t="s">
        <v>152</v>
      </c>
      <c r="F346" s="1" t="s">
        <v>18</v>
      </c>
      <c r="G346" s="1" t="s">
        <v>1003</v>
      </c>
      <c r="H346" s="2">
        <v>20000</v>
      </c>
      <c r="I346" s="2">
        <v>12000</v>
      </c>
      <c r="J346" s="192">
        <v>8000</v>
      </c>
      <c r="L346" s="11"/>
      <c r="M346" s="11"/>
      <c r="N346" s="1" t="s">
        <v>26</v>
      </c>
      <c r="O346" s="15">
        <v>0</v>
      </c>
    </row>
    <row r="347" spans="1:15" ht="14.25" customHeight="1" x14ac:dyDescent="0.25">
      <c r="A347" s="56">
        <v>44630</v>
      </c>
      <c r="B347" s="4" t="s">
        <v>1004</v>
      </c>
      <c r="C347" s="191" t="s">
        <v>1005</v>
      </c>
      <c r="D347" s="1" t="s">
        <v>899</v>
      </c>
      <c r="E347" s="4" t="s">
        <v>1006</v>
      </c>
      <c r="F347" s="1" t="s">
        <v>408</v>
      </c>
      <c r="G347" s="1" t="s">
        <v>1007</v>
      </c>
      <c r="H347" s="2">
        <v>20000</v>
      </c>
      <c r="I347" s="2">
        <v>12000</v>
      </c>
      <c r="J347" s="192">
        <v>8000</v>
      </c>
      <c r="K347" s="1" t="s">
        <v>1008</v>
      </c>
      <c r="L347" s="11">
        <v>26000</v>
      </c>
      <c r="M347" s="11">
        <v>36000</v>
      </c>
      <c r="N347" s="1" t="s">
        <v>25</v>
      </c>
      <c r="O347" s="15">
        <v>10000</v>
      </c>
    </row>
    <row r="348" spans="1:15" ht="14.25" customHeight="1" x14ac:dyDescent="0.25">
      <c r="A348" s="56">
        <v>44630</v>
      </c>
      <c r="C348" s="191"/>
      <c r="D348" s="1" t="s">
        <v>1047</v>
      </c>
      <c r="E348" s="4"/>
      <c r="F348" s="1" t="s">
        <v>408</v>
      </c>
      <c r="G348" s="1" t="s">
        <v>1048</v>
      </c>
      <c r="H348" s="2">
        <v>15000</v>
      </c>
      <c r="I348" s="2">
        <v>9000</v>
      </c>
      <c r="J348" s="192">
        <v>6000</v>
      </c>
      <c r="L348" s="11"/>
      <c r="M348" s="11"/>
      <c r="N348" s="1" t="s">
        <v>25</v>
      </c>
      <c r="O348" s="15">
        <v>0</v>
      </c>
    </row>
    <row r="349" spans="1:15" ht="14.25" customHeight="1" x14ac:dyDescent="0.25">
      <c r="A349" s="56">
        <v>44630</v>
      </c>
      <c r="B349" s="4" t="s">
        <v>1009</v>
      </c>
      <c r="C349" s="191" t="s">
        <v>1010</v>
      </c>
      <c r="D349" s="1" t="s">
        <v>1011</v>
      </c>
      <c r="E349" s="4" t="s">
        <v>1012</v>
      </c>
      <c r="F349" s="1" t="s">
        <v>10</v>
      </c>
      <c r="G349" s="1" t="s">
        <v>1013</v>
      </c>
      <c r="H349" s="2">
        <v>100000</v>
      </c>
      <c r="I349" s="2">
        <v>60000</v>
      </c>
      <c r="J349" s="192">
        <v>40000</v>
      </c>
      <c r="L349" s="11"/>
      <c r="M349" s="11"/>
      <c r="N349" s="1" t="s">
        <v>25</v>
      </c>
      <c r="O349" s="15">
        <v>0</v>
      </c>
    </row>
    <row r="350" spans="1:15" ht="14.25" customHeight="1" x14ac:dyDescent="0.25">
      <c r="A350" s="56">
        <v>44630</v>
      </c>
      <c r="C350" s="191" t="s">
        <v>215</v>
      </c>
      <c r="D350" s="1" t="s">
        <v>1034</v>
      </c>
      <c r="E350" s="4" t="s">
        <v>1035</v>
      </c>
      <c r="F350" s="1" t="s">
        <v>408</v>
      </c>
      <c r="G350" s="1" t="s">
        <v>437</v>
      </c>
      <c r="H350" s="2">
        <v>60000</v>
      </c>
      <c r="I350" s="2">
        <v>36000</v>
      </c>
      <c r="J350" s="192">
        <v>24000</v>
      </c>
      <c r="L350" s="11"/>
      <c r="M350" s="11"/>
      <c r="N350" s="1" t="s">
        <v>25</v>
      </c>
      <c r="O350" s="15">
        <v>0</v>
      </c>
    </row>
    <row r="351" spans="1:15" ht="14.25" customHeight="1" x14ac:dyDescent="0.25">
      <c r="A351" s="56">
        <v>44630</v>
      </c>
      <c r="C351" s="191" t="s">
        <v>1014</v>
      </c>
      <c r="D351" s="1" t="s">
        <v>84</v>
      </c>
      <c r="E351" s="4" t="s">
        <v>85</v>
      </c>
      <c r="F351" s="1" t="s">
        <v>408</v>
      </c>
      <c r="G351" s="1" t="s">
        <v>869</v>
      </c>
      <c r="H351" s="2">
        <v>20000</v>
      </c>
      <c r="I351" s="2">
        <v>12000</v>
      </c>
      <c r="J351" s="192">
        <v>8000</v>
      </c>
      <c r="K351" s="1" t="s">
        <v>1015</v>
      </c>
      <c r="L351" s="11">
        <v>2000</v>
      </c>
      <c r="M351" s="11">
        <v>5000</v>
      </c>
      <c r="N351" s="1" t="s">
        <v>25</v>
      </c>
      <c r="O351" s="15">
        <v>3000</v>
      </c>
    </row>
    <row r="352" spans="1:15" ht="14.25" customHeight="1" x14ac:dyDescent="0.25">
      <c r="A352" s="56">
        <v>44631</v>
      </c>
      <c r="B352" s="4" t="s">
        <v>1016</v>
      </c>
      <c r="C352" s="191" t="s">
        <v>1017</v>
      </c>
      <c r="D352" s="1" t="s">
        <v>1018</v>
      </c>
      <c r="E352" s="4" t="s">
        <v>1019</v>
      </c>
      <c r="F352" s="1" t="s">
        <v>30</v>
      </c>
      <c r="G352" s="1" t="s">
        <v>1020</v>
      </c>
      <c r="H352" s="2">
        <v>80000</v>
      </c>
      <c r="I352" s="2">
        <v>48000</v>
      </c>
      <c r="J352" s="192">
        <v>32000</v>
      </c>
      <c r="L352" s="11"/>
      <c r="M352" s="11"/>
      <c r="N352" s="1" t="s">
        <v>25</v>
      </c>
      <c r="O352" s="15">
        <v>0</v>
      </c>
    </row>
    <row r="353" spans="1:15" ht="14.25" customHeight="1" x14ac:dyDescent="0.25">
      <c r="A353" s="56">
        <v>44631</v>
      </c>
      <c r="B353" s="4" t="s">
        <v>1022</v>
      </c>
      <c r="C353" s="191" t="s">
        <v>1023</v>
      </c>
      <c r="D353" s="1" t="s">
        <v>1024</v>
      </c>
      <c r="E353" s="4" t="s">
        <v>1025</v>
      </c>
      <c r="F353" s="1" t="s">
        <v>408</v>
      </c>
      <c r="G353" s="1" t="s">
        <v>1026</v>
      </c>
      <c r="H353" s="2">
        <v>40000</v>
      </c>
      <c r="I353" s="2">
        <v>24000</v>
      </c>
      <c r="J353" s="192">
        <v>16000</v>
      </c>
      <c r="L353" s="11"/>
      <c r="M353" s="11"/>
      <c r="N353" s="1" t="s">
        <v>25</v>
      </c>
      <c r="O353" s="15"/>
    </row>
    <row r="354" spans="1:15" ht="14.25" customHeight="1" x14ac:dyDescent="0.25">
      <c r="A354" s="56">
        <v>44631</v>
      </c>
      <c r="B354" s="4" t="s">
        <v>1022</v>
      </c>
      <c r="C354" s="191" t="s">
        <v>1023</v>
      </c>
      <c r="D354" s="1" t="s">
        <v>1024</v>
      </c>
      <c r="E354" s="4" t="s">
        <v>1025</v>
      </c>
      <c r="F354" s="1" t="s">
        <v>10</v>
      </c>
      <c r="G354" s="1" t="s">
        <v>1027</v>
      </c>
      <c r="H354" s="2">
        <v>120000</v>
      </c>
      <c r="I354" s="2">
        <v>72000</v>
      </c>
      <c r="J354" s="192">
        <v>48000</v>
      </c>
      <c r="K354" s="1" t="s">
        <v>1028</v>
      </c>
      <c r="L354" s="11">
        <v>66000</v>
      </c>
      <c r="M354" s="11"/>
      <c r="N354" s="1" t="s">
        <v>25</v>
      </c>
      <c r="O354" s="15">
        <v>-66000</v>
      </c>
    </row>
    <row r="355" spans="1:15" ht="14.25" customHeight="1" x14ac:dyDescent="0.25">
      <c r="A355" s="56">
        <v>44631</v>
      </c>
      <c r="B355" s="4" t="s">
        <v>1029</v>
      </c>
      <c r="C355" s="191" t="s">
        <v>1030</v>
      </c>
      <c r="D355" s="1" t="s">
        <v>1031</v>
      </c>
      <c r="E355" s="4" t="s">
        <v>1032</v>
      </c>
      <c r="F355" s="1" t="s">
        <v>10</v>
      </c>
      <c r="G355" s="1" t="s">
        <v>1033</v>
      </c>
      <c r="H355" s="2">
        <v>20000</v>
      </c>
      <c r="I355" s="2">
        <v>12000</v>
      </c>
      <c r="J355" s="192">
        <v>8000</v>
      </c>
      <c r="L355" s="11"/>
      <c r="M355" s="11"/>
      <c r="N355" s="1" t="s">
        <v>25</v>
      </c>
      <c r="O355" s="15">
        <v>0</v>
      </c>
    </row>
    <row r="356" spans="1:15" ht="14.25" customHeight="1" x14ac:dyDescent="0.25">
      <c r="A356" s="56">
        <v>44631</v>
      </c>
      <c r="B356" s="4" t="s">
        <v>1042</v>
      </c>
      <c r="C356" s="191" t="s">
        <v>1043</v>
      </c>
      <c r="D356" s="1" t="s">
        <v>1044</v>
      </c>
      <c r="E356" s="4" t="s">
        <v>1045</v>
      </c>
      <c r="F356" s="1" t="s">
        <v>408</v>
      </c>
      <c r="G356" s="1" t="s">
        <v>1046</v>
      </c>
      <c r="H356" s="2">
        <v>100000</v>
      </c>
      <c r="I356" s="2">
        <v>60000</v>
      </c>
      <c r="J356" s="192">
        <v>40000</v>
      </c>
      <c r="L356" s="11"/>
      <c r="M356" s="11"/>
      <c r="N356" s="1" t="s">
        <v>25</v>
      </c>
      <c r="O356" s="15">
        <v>0</v>
      </c>
    </row>
    <row r="357" spans="1:15" ht="14.25" customHeight="1" x14ac:dyDescent="0.25">
      <c r="A357" s="56">
        <v>44632</v>
      </c>
      <c r="B357" s="4" t="s">
        <v>1050</v>
      </c>
      <c r="C357" s="191" t="s">
        <v>1051</v>
      </c>
      <c r="D357" s="1" t="s">
        <v>194</v>
      </c>
      <c r="E357" s="4" t="s">
        <v>316</v>
      </c>
      <c r="F357" s="1" t="s">
        <v>19</v>
      </c>
      <c r="G357" s="1" t="s">
        <v>233</v>
      </c>
      <c r="H357" s="2">
        <v>40000</v>
      </c>
      <c r="I357" s="2">
        <v>40000</v>
      </c>
      <c r="J357" s="192">
        <v>16000</v>
      </c>
      <c r="K357" s="1" t="s">
        <v>1052</v>
      </c>
      <c r="L357" s="11">
        <v>318000</v>
      </c>
      <c r="M357" s="11">
        <v>360000</v>
      </c>
      <c r="N357" s="1"/>
      <c r="O357" s="15">
        <v>42000</v>
      </c>
    </row>
    <row r="358" spans="1:15" ht="14.25" customHeight="1" x14ac:dyDescent="0.25">
      <c r="A358" s="56">
        <v>44632</v>
      </c>
      <c r="B358" s="4" t="s">
        <v>1053</v>
      </c>
      <c r="C358" s="191" t="s">
        <v>1054</v>
      </c>
      <c r="D358" s="1" t="s">
        <v>584</v>
      </c>
      <c r="E358" s="4" t="s">
        <v>1055</v>
      </c>
      <c r="F358" s="1" t="s">
        <v>19</v>
      </c>
      <c r="G358" s="1" t="s">
        <v>1056</v>
      </c>
      <c r="H358" s="2">
        <v>120000</v>
      </c>
      <c r="I358" s="2">
        <v>72000</v>
      </c>
      <c r="J358" s="192">
        <v>48000</v>
      </c>
      <c r="K358" s="1" t="s">
        <v>1057</v>
      </c>
      <c r="L358" s="11">
        <v>40000</v>
      </c>
      <c r="M358" s="11">
        <v>80000</v>
      </c>
      <c r="N358" s="1"/>
      <c r="O358" s="15">
        <v>40000</v>
      </c>
    </row>
    <row r="359" spans="1:15" ht="14.25" customHeight="1" x14ac:dyDescent="0.25">
      <c r="A359" s="56">
        <v>44632</v>
      </c>
      <c r="B359" s="4" t="s">
        <v>1058</v>
      </c>
      <c r="C359" s="191" t="s">
        <v>1059</v>
      </c>
      <c r="D359" s="1" t="s">
        <v>1060</v>
      </c>
      <c r="E359" s="4" t="s">
        <v>1061</v>
      </c>
      <c r="F359" s="1" t="s">
        <v>19</v>
      </c>
      <c r="G359" s="1" t="s">
        <v>1062</v>
      </c>
      <c r="H359" s="2">
        <v>60000</v>
      </c>
      <c r="I359" s="2">
        <v>36000</v>
      </c>
      <c r="J359" s="192">
        <v>24000</v>
      </c>
      <c r="K359" s="1" t="s">
        <v>1063</v>
      </c>
      <c r="L359" s="11">
        <v>150000</v>
      </c>
      <c r="M359" s="11">
        <v>210000</v>
      </c>
      <c r="N359" s="1"/>
      <c r="O359" s="15">
        <v>60000</v>
      </c>
    </row>
    <row r="360" spans="1:15" ht="14.25" customHeight="1" x14ac:dyDescent="0.25">
      <c r="A360" s="56">
        <v>44632</v>
      </c>
      <c r="B360" s="4" t="s">
        <v>1064</v>
      </c>
      <c r="C360" s="191" t="s">
        <v>1065</v>
      </c>
      <c r="D360" s="1" t="s">
        <v>1066</v>
      </c>
      <c r="E360" s="4" t="s">
        <v>243</v>
      </c>
      <c r="F360" s="1" t="s">
        <v>19</v>
      </c>
      <c r="G360" s="1" t="s">
        <v>1067</v>
      </c>
      <c r="H360" s="2">
        <v>25000</v>
      </c>
      <c r="I360" s="2">
        <v>15000</v>
      </c>
      <c r="J360" s="192">
        <v>10000</v>
      </c>
      <c r="K360" s="1" t="s">
        <v>1068</v>
      </c>
      <c r="L360" s="11">
        <v>60900</v>
      </c>
      <c r="M360" s="11">
        <v>85000</v>
      </c>
      <c r="N360" s="1"/>
      <c r="O360" s="15">
        <v>24100</v>
      </c>
    </row>
    <row r="361" spans="1:15" ht="14.25" customHeight="1" x14ac:dyDescent="0.25">
      <c r="A361" s="56">
        <v>44632</v>
      </c>
      <c r="B361" s="4" t="s">
        <v>1069</v>
      </c>
      <c r="C361" s="191" t="s">
        <v>1070</v>
      </c>
      <c r="D361" s="1" t="s">
        <v>385</v>
      </c>
      <c r="E361" s="4" t="s">
        <v>1071</v>
      </c>
      <c r="F361" s="1" t="s">
        <v>10</v>
      </c>
      <c r="G361" s="1" t="s">
        <v>1072</v>
      </c>
      <c r="H361" s="2">
        <v>180000</v>
      </c>
      <c r="I361" s="2">
        <v>108000</v>
      </c>
      <c r="J361" s="192">
        <v>72000</v>
      </c>
      <c r="K361" s="1" t="s">
        <v>1073</v>
      </c>
      <c r="L361" s="11">
        <v>258000</v>
      </c>
      <c r="M361" s="11">
        <v>290000</v>
      </c>
      <c r="N361" s="1"/>
      <c r="O361" s="15">
        <v>32000</v>
      </c>
    </row>
    <row r="362" spans="1:15" ht="14.25" customHeight="1" x14ac:dyDescent="0.25">
      <c r="A362" s="56">
        <v>44632</v>
      </c>
      <c r="C362" s="191"/>
      <c r="D362" s="1" t="s">
        <v>1158</v>
      </c>
      <c r="E362" s="4"/>
      <c r="F362" s="1" t="s">
        <v>19</v>
      </c>
      <c r="G362" s="1" t="s">
        <v>1157</v>
      </c>
      <c r="H362" s="2">
        <v>30000</v>
      </c>
      <c r="I362" s="2">
        <v>18000</v>
      </c>
      <c r="J362" s="192">
        <v>12000</v>
      </c>
      <c r="L362" s="11"/>
      <c r="M362" s="11"/>
      <c r="N362" s="1"/>
      <c r="O362" s="15">
        <v>0</v>
      </c>
    </row>
    <row r="363" spans="1:15" ht="14.25" customHeight="1" x14ac:dyDescent="0.25">
      <c r="A363" s="56">
        <v>44632</v>
      </c>
      <c r="C363" s="191"/>
      <c r="E363" s="4"/>
      <c r="G363" s="1" t="s">
        <v>1074</v>
      </c>
      <c r="H363" s="2">
        <v>30000</v>
      </c>
      <c r="I363" s="2">
        <v>18000</v>
      </c>
      <c r="J363" s="192">
        <v>12000</v>
      </c>
      <c r="L363" s="11"/>
      <c r="M363" s="11"/>
      <c r="N363" s="1"/>
      <c r="O363" s="15">
        <v>0</v>
      </c>
    </row>
    <row r="364" spans="1:15" ht="14.25" customHeight="1" x14ac:dyDescent="0.25">
      <c r="A364" s="56">
        <v>44632</v>
      </c>
      <c r="C364" s="191"/>
      <c r="E364" s="4"/>
      <c r="F364" s="1" t="s">
        <v>19</v>
      </c>
      <c r="G364" s="1" t="s">
        <v>434</v>
      </c>
      <c r="H364" s="2">
        <v>30000</v>
      </c>
      <c r="I364" s="2">
        <v>18000</v>
      </c>
      <c r="J364" s="192">
        <v>12000</v>
      </c>
      <c r="L364" s="11"/>
      <c r="M364" s="11"/>
      <c r="N364" s="1"/>
      <c r="O364" s="15">
        <v>0</v>
      </c>
    </row>
    <row r="365" spans="1:15" ht="14.25" customHeight="1" x14ac:dyDescent="0.25">
      <c r="A365" s="56">
        <v>44634</v>
      </c>
      <c r="B365" s="4" t="s">
        <v>1075</v>
      </c>
      <c r="C365" s="191" t="s">
        <v>1076</v>
      </c>
      <c r="D365" s="1" t="s">
        <v>1077</v>
      </c>
      <c r="E365" s="4" t="s">
        <v>937</v>
      </c>
      <c r="F365" s="1" t="s">
        <v>19</v>
      </c>
      <c r="G365" s="1" t="s">
        <v>1078</v>
      </c>
      <c r="H365" s="2">
        <v>130000</v>
      </c>
      <c r="I365" s="2">
        <v>78000</v>
      </c>
      <c r="J365" s="192">
        <v>52000</v>
      </c>
      <c r="K365" s="1" t="s">
        <v>1079</v>
      </c>
      <c r="L365" s="11">
        <v>210000</v>
      </c>
      <c r="M365" s="11">
        <v>145000</v>
      </c>
      <c r="N365" s="1"/>
      <c r="O365" s="15">
        <v>-65000</v>
      </c>
    </row>
    <row r="366" spans="1:15" ht="14.25" customHeight="1" x14ac:dyDescent="0.25">
      <c r="A366" s="56">
        <v>44634</v>
      </c>
      <c r="B366" s="4" t="s">
        <v>1080</v>
      </c>
      <c r="C366" s="191" t="s">
        <v>1081</v>
      </c>
      <c r="D366" s="1" t="s">
        <v>1082</v>
      </c>
      <c r="E366" s="4" t="s">
        <v>1083</v>
      </c>
      <c r="F366" s="1" t="s">
        <v>19</v>
      </c>
      <c r="G366" s="1" t="s">
        <v>1084</v>
      </c>
      <c r="H366" s="2">
        <v>23000</v>
      </c>
      <c r="I366" s="2">
        <v>13800</v>
      </c>
      <c r="J366" s="192">
        <v>9200</v>
      </c>
      <c r="K366" s="1" t="s">
        <v>1085</v>
      </c>
      <c r="L366" s="11">
        <v>15000</v>
      </c>
      <c r="M366" s="11"/>
      <c r="N366" s="1"/>
      <c r="O366" s="15">
        <v>-15000</v>
      </c>
    </row>
    <row r="367" spans="1:15" ht="14.25" customHeight="1" x14ac:dyDescent="0.25">
      <c r="A367" s="56">
        <v>44634</v>
      </c>
      <c r="B367" s="4" t="s">
        <v>1086</v>
      </c>
      <c r="C367" s="191" t="s">
        <v>1087</v>
      </c>
      <c r="D367" s="1" t="s">
        <v>889</v>
      </c>
      <c r="E367" s="4" t="s">
        <v>1088</v>
      </c>
      <c r="F367" s="1" t="s">
        <v>19</v>
      </c>
      <c r="G367" s="1" t="s">
        <v>1089</v>
      </c>
      <c r="H367" s="2">
        <v>100000</v>
      </c>
      <c r="I367" s="2">
        <v>60000</v>
      </c>
      <c r="J367" s="192">
        <v>40000</v>
      </c>
      <c r="K367" s="1" t="s">
        <v>1090</v>
      </c>
      <c r="L367" s="11">
        <v>8600</v>
      </c>
      <c r="M367" s="11">
        <v>11000</v>
      </c>
      <c r="N367" s="1"/>
      <c r="O367" s="15">
        <v>2400</v>
      </c>
    </row>
    <row r="368" spans="1:15" ht="14.25" customHeight="1" x14ac:dyDescent="0.25">
      <c r="A368" s="56">
        <v>44634</v>
      </c>
      <c r="B368" s="4" t="s">
        <v>1095</v>
      </c>
      <c r="C368" s="191" t="s">
        <v>1091</v>
      </c>
      <c r="D368" s="1" t="s">
        <v>975</v>
      </c>
      <c r="E368" s="4" t="s">
        <v>1092</v>
      </c>
      <c r="F368" s="1" t="s">
        <v>19</v>
      </c>
      <c r="G368" s="1" t="s">
        <v>1093</v>
      </c>
      <c r="H368" s="2">
        <v>60000</v>
      </c>
      <c r="I368" s="2">
        <v>36000</v>
      </c>
      <c r="J368" s="192">
        <v>24000</v>
      </c>
      <c r="K368" s="1" t="s">
        <v>1094</v>
      </c>
      <c r="L368" s="11">
        <v>89000</v>
      </c>
      <c r="M368" s="11">
        <v>122000</v>
      </c>
      <c r="N368" s="1"/>
      <c r="O368" s="15">
        <v>33000</v>
      </c>
    </row>
    <row r="369" spans="1:15" ht="14.25" customHeight="1" x14ac:dyDescent="0.25">
      <c r="A369" s="56">
        <v>44635</v>
      </c>
      <c r="C369" s="191"/>
      <c r="D369" s="1" t="s">
        <v>48</v>
      </c>
      <c r="E369" s="4"/>
      <c r="G369" s="1" t="s">
        <v>1159</v>
      </c>
      <c r="H369" s="2">
        <v>10000</v>
      </c>
      <c r="I369" s="2">
        <v>6000</v>
      </c>
      <c r="J369" s="192">
        <v>4000</v>
      </c>
      <c r="L369" s="11"/>
      <c r="M369" s="11"/>
      <c r="N369" s="1"/>
      <c r="O369" s="15">
        <v>0</v>
      </c>
    </row>
    <row r="370" spans="1:15" ht="14.25" customHeight="1" x14ac:dyDescent="0.25">
      <c r="A370" s="56">
        <v>44635</v>
      </c>
      <c r="B370" s="4" t="s">
        <v>1096</v>
      </c>
      <c r="C370" s="191" t="s">
        <v>1097</v>
      </c>
      <c r="E370" s="4" t="s">
        <v>1098</v>
      </c>
      <c r="F370" s="1" t="s">
        <v>30</v>
      </c>
      <c r="G370" s="1" t="s">
        <v>1099</v>
      </c>
      <c r="H370" s="2">
        <v>20000</v>
      </c>
      <c r="I370" s="2">
        <v>12000</v>
      </c>
      <c r="J370" s="192">
        <v>8000</v>
      </c>
      <c r="L370" s="11"/>
      <c r="M370" s="11"/>
      <c r="N370" s="1"/>
      <c r="O370" s="15">
        <v>0</v>
      </c>
    </row>
    <row r="371" spans="1:15" ht="14.25" customHeight="1" x14ac:dyDescent="0.25">
      <c r="A371" s="56">
        <v>44635</v>
      </c>
      <c r="C371" s="191" t="s">
        <v>1100</v>
      </c>
      <c r="D371" s="1" t="s">
        <v>466</v>
      </c>
      <c r="E371" s="4" t="s">
        <v>1101</v>
      </c>
      <c r="F371" s="1" t="s">
        <v>19</v>
      </c>
      <c r="G371" s="1" t="s">
        <v>128</v>
      </c>
      <c r="H371" s="2">
        <v>6500</v>
      </c>
      <c r="I371" s="2">
        <v>3900</v>
      </c>
      <c r="J371" s="192">
        <v>2600</v>
      </c>
      <c r="L371" s="11"/>
      <c r="M371" s="11"/>
      <c r="N371" s="1"/>
      <c r="O371" s="15">
        <v>0</v>
      </c>
    </row>
    <row r="372" spans="1:15" ht="14.25" customHeight="1" x14ac:dyDescent="0.25">
      <c r="A372" s="56">
        <v>44635</v>
      </c>
      <c r="C372" s="191" t="s">
        <v>1102</v>
      </c>
      <c r="D372" s="1" t="s">
        <v>200</v>
      </c>
      <c r="E372" s="4" t="s">
        <v>1103</v>
      </c>
      <c r="F372" s="1" t="s">
        <v>19</v>
      </c>
      <c r="G372" s="1" t="s">
        <v>1104</v>
      </c>
      <c r="H372" s="2">
        <v>30000</v>
      </c>
      <c r="I372" s="2">
        <v>18000</v>
      </c>
      <c r="J372" s="192">
        <v>12000</v>
      </c>
      <c r="L372" s="11"/>
      <c r="M372" s="11"/>
      <c r="N372" s="1"/>
      <c r="O372" s="15">
        <v>0</v>
      </c>
    </row>
    <row r="373" spans="1:15" ht="14.25" customHeight="1" x14ac:dyDescent="0.25">
      <c r="A373" s="56">
        <v>44636</v>
      </c>
      <c r="B373" s="4" t="s">
        <v>1105</v>
      </c>
      <c r="C373" s="191" t="s">
        <v>1023</v>
      </c>
      <c r="D373" s="1" t="s">
        <v>1024</v>
      </c>
      <c r="E373" s="4" t="s">
        <v>1106</v>
      </c>
      <c r="F373" s="1" t="s">
        <v>19</v>
      </c>
      <c r="G373" s="1" t="s">
        <v>343</v>
      </c>
      <c r="H373" s="2">
        <v>120000</v>
      </c>
      <c r="I373" s="2">
        <v>72000</v>
      </c>
      <c r="J373" s="192">
        <v>48000</v>
      </c>
      <c r="K373" s="1" t="s">
        <v>1107</v>
      </c>
      <c r="L373" s="11">
        <v>100000</v>
      </c>
      <c r="M373" s="11">
        <v>120000</v>
      </c>
      <c r="N373" s="1"/>
      <c r="O373" s="15">
        <v>20000</v>
      </c>
    </row>
    <row r="374" spans="1:15" ht="14.25" customHeight="1" x14ac:dyDescent="0.25">
      <c r="A374" s="56">
        <v>44636</v>
      </c>
      <c r="B374" s="4" t="s">
        <v>1108</v>
      </c>
      <c r="C374" s="191" t="s">
        <v>1109</v>
      </c>
      <c r="D374" s="1" t="s">
        <v>59</v>
      </c>
      <c r="E374" s="4" t="s">
        <v>1110</v>
      </c>
      <c r="F374" s="1" t="s">
        <v>19</v>
      </c>
      <c r="G374" s="1" t="s">
        <v>1111</v>
      </c>
      <c r="H374" s="2">
        <v>30000</v>
      </c>
      <c r="I374" s="2">
        <v>18000</v>
      </c>
      <c r="J374" s="192">
        <v>12000</v>
      </c>
      <c r="L374" s="11"/>
      <c r="M374" s="11"/>
      <c r="N374" s="1"/>
      <c r="O374" s="15">
        <v>0</v>
      </c>
    </row>
    <row r="375" spans="1:15" ht="14.25" customHeight="1" x14ac:dyDescent="0.25">
      <c r="A375" s="56">
        <v>44636</v>
      </c>
      <c r="B375" s="4" t="s">
        <v>707</v>
      </c>
      <c r="C375" s="191" t="s">
        <v>1112</v>
      </c>
      <c r="D375" s="1" t="s">
        <v>1113</v>
      </c>
      <c r="E375" s="4" t="s">
        <v>963</v>
      </c>
      <c r="F375" s="1" t="s">
        <v>30</v>
      </c>
      <c r="G375" s="1" t="s">
        <v>1114</v>
      </c>
      <c r="H375" s="2">
        <v>40000</v>
      </c>
      <c r="I375" s="2">
        <v>24000</v>
      </c>
      <c r="J375" s="192">
        <v>16000</v>
      </c>
      <c r="L375" s="11"/>
      <c r="M375" s="11"/>
      <c r="N375" s="1"/>
      <c r="O375" s="15">
        <v>0</v>
      </c>
    </row>
    <row r="376" spans="1:15" ht="14.25" customHeight="1" x14ac:dyDescent="0.25">
      <c r="A376" s="56">
        <v>44636</v>
      </c>
      <c r="B376" s="4" t="s">
        <v>1115</v>
      </c>
      <c r="C376" s="191" t="s">
        <v>1116</v>
      </c>
      <c r="D376" s="1" t="s">
        <v>975</v>
      </c>
      <c r="E376" s="4" t="s">
        <v>1117</v>
      </c>
      <c r="F376" s="1" t="s">
        <v>30</v>
      </c>
      <c r="G376" s="1" t="s">
        <v>1118</v>
      </c>
      <c r="H376" s="2">
        <v>330000</v>
      </c>
      <c r="I376" s="2">
        <v>198000</v>
      </c>
      <c r="J376" s="192">
        <v>132000</v>
      </c>
      <c r="K376" s="1" t="s">
        <v>1119</v>
      </c>
      <c r="L376" s="11">
        <v>10000</v>
      </c>
      <c r="M376" s="11">
        <v>15000</v>
      </c>
      <c r="N376" s="1"/>
      <c r="O376" s="15">
        <v>5000</v>
      </c>
    </row>
    <row r="377" spans="1:15" ht="14.25" customHeight="1" x14ac:dyDescent="0.25">
      <c r="A377" s="56">
        <v>44636</v>
      </c>
      <c r="B377" s="4" t="s">
        <v>1120</v>
      </c>
      <c r="C377" s="191" t="s">
        <v>1121</v>
      </c>
      <c r="D377" s="1" t="s">
        <v>76</v>
      </c>
      <c r="E377" s="4" t="s">
        <v>1122</v>
      </c>
      <c r="F377" s="1" t="s">
        <v>19</v>
      </c>
      <c r="G377" s="1" t="s">
        <v>206</v>
      </c>
      <c r="H377" s="2">
        <v>50000</v>
      </c>
      <c r="I377" s="2">
        <v>30000</v>
      </c>
      <c r="J377" s="192">
        <v>20000</v>
      </c>
      <c r="L377" s="11"/>
      <c r="M377" s="11"/>
      <c r="N377" s="1"/>
      <c r="O377" s="15">
        <v>0</v>
      </c>
    </row>
    <row r="378" spans="1:15" ht="14.25" customHeight="1" x14ac:dyDescent="0.25">
      <c r="A378" s="56">
        <v>44636</v>
      </c>
      <c r="B378" s="4" t="s">
        <v>1123</v>
      </c>
      <c r="C378" s="191" t="s">
        <v>1124</v>
      </c>
      <c r="D378" s="1" t="s">
        <v>1125</v>
      </c>
      <c r="E378" s="4" t="s">
        <v>1126</v>
      </c>
      <c r="F378" s="1" t="s">
        <v>19</v>
      </c>
      <c r="G378" s="1" t="s">
        <v>1127</v>
      </c>
      <c r="H378" s="2">
        <v>20000</v>
      </c>
      <c r="I378" s="2">
        <v>12000</v>
      </c>
      <c r="J378" s="192">
        <v>8000</v>
      </c>
      <c r="K378" s="1" t="s">
        <v>1128</v>
      </c>
      <c r="L378" s="11">
        <v>38000</v>
      </c>
      <c r="M378" s="11">
        <v>60000</v>
      </c>
      <c r="N378" s="1"/>
      <c r="O378" s="15">
        <v>22000</v>
      </c>
    </row>
    <row r="379" spans="1:15" ht="14.25" customHeight="1" x14ac:dyDescent="0.25">
      <c r="A379" s="56">
        <v>44637</v>
      </c>
      <c r="B379" s="4" t="s">
        <v>1129</v>
      </c>
      <c r="C379" s="191" t="s">
        <v>1130</v>
      </c>
      <c r="D379" s="1" t="s">
        <v>52</v>
      </c>
      <c r="E379" s="4" t="s">
        <v>1131</v>
      </c>
      <c r="F379" s="1" t="s">
        <v>10</v>
      </c>
      <c r="G379" s="1" t="s">
        <v>1132</v>
      </c>
      <c r="H379" s="2">
        <v>50000</v>
      </c>
      <c r="I379" s="2">
        <v>30000</v>
      </c>
      <c r="J379" s="192">
        <v>20000</v>
      </c>
      <c r="K379" s="1" t="s">
        <v>1133</v>
      </c>
      <c r="L379" s="11">
        <v>3200</v>
      </c>
      <c r="M379" s="11">
        <v>6000</v>
      </c>
      <c r="N379" s="1"/>
      <c r="O379" s="15">
        <v>2800</v>
      </c>
    </row>
    <row r="380" spans="1:15" ht="14.25" customHeight="1" x14ac:dyDescent="0.25">
      <c r="A380" s="56">
        <v>44637</v>
      </c>
      <c r="C380" s="191" t="s">
        <v>1134</v>
      </c>
      <c r="D380" s="1" t="s">
        <v>975</v>
      </c>
      <c r="E380" s="4" t="s">
        <v>1135</v>
      </c>
      <c r="F380" s="1" t="s">
        <v>10</v>
      </c>
      <c r="G380" s="1" t="s">
        <v>1001</v>
      </c>
      <c r="H380" s="2">
        <v>150000</v>
      </c>
      <c r="I380" s="2">
        <v>90000</v>
      </c>
      <c r="J380" s="192">
        <v>60000</v>
      </c>
      <c r="L380" s="11"/>
      <c r="M380" s="11"/>
      <c r="N380" s="1"/>
      <c r="O380" s="15">
        <v>0</v>
      </c>
    </row>
    <row r="381" spans="1:15" ht="14.25" customHeight="1" x14ac:dyDescent="0.25">
      <c r="A381" s="56">
        <v>44638</v>
      </c>
      <c r="B381" s="4" t="s">
        <v>1136</v>
      </c>
      <c r="C381" s="191"/>
      <c r="E381" s="4"/>
      <c r="F381" s="1" t="s">
        <v>18</v>
      </c>
      <c r="G381" s="1" t="s">
        <v>1137</v>
      </c>
      <c r="H381" s="2">
        <v>10000</v>
      </c>
      <c r="I381" s="2">
        <v>10000</v>
      </c>
      <c r="J381" s="192">
        <v>4000</v>
      </c>
      <c r="L381" s="11"/>
      <c r="M381" s="11"/>
      <c r="N381" s="1"/>
      <c r="O381" s="15">
        <v>0</v>
      </c>
    </row>
    <row r="382" spans="1:15" ht="14.25" customHeight="1" x14ac:dyDescent="0.25">
      <c r="A382" s="56">
        <v>44638</v>
      </c>
      <c r="C382" s="191"/>
      <c r="E382" s="4"/>
      <c r="F382" s="1" t="s">
        <v>10</v>
      </c>
      <c r="G382" s="1" t="s">
        <v>434</v>
      </c>
      <c r="H382" s="2">
        <v>50000</v>
      </c>
      <c r="I382" s="2">
        <v>30000</v>
      </c>
      <c r="J382" s="192">
        <v>20000</v>
      </c>
      <c r="L382" s="11"/>
      <c r="M382" s="11"/>
      <c r="N382" s="1"/>
      <c r="O382" s="15">
        <v>0</v>
      </c>
    </row>
    <row r="383" spans="1:15" ht="14.25" customHeight="1" x14ac:dyDescent="0.25">
      <c r="A383" s="56">
        <v>44638</v>
      </c>
      <c r="B383" s="4" t="s">
        <v>1138</v>
      </c>
      <c r="C383" s="191" t="s">
        <v>1139</v>
      </c>
      <c r="D383" s="1" t="s">
        <v>677</v>
      </c>
      <c r="E383" s="4" t="s">
        <v>1140</v>
      </c>
      <c r="F383" s="1" t="s">
        <v>19</v>
      </c>
      <c r="G383" s="1" t="s">
        <v>1141</v>
      </c>
      <c r="H383" s="2">
        <v>80000</v>
      </c>
      <c r="I383" s="2">
        <v>48000</v>
      </c>
      <c r="J383" s="192">
        <v>32000</v>
      </c>
      <c r="K383" s="1" t="s">
        <v>1142</v>
      </c>
      <c r="L383" s="11">
        <v>163000</v>
      </c>
      <c r="M383" s="11">
        <v>230000</v>
      </c>
      <c r="N383" s="1"/>
      <c r="O383" s="15">
        <v>67000</v>
      </c>
    </row>
    <row r="384" spans="1:15" ht="14.25" customHeight="1" x14ac:dyDescent="0.25">
      <c r="A384" s="56">
        <v>44638</v>
      </c>
      <c r="B384" s="4" t="s">
        <v>1143</v>
      </c>
      <c r="C384" s="191" t="s">
        <v>1144</v>
      </c>
      <c r="D384" s="1" t="s">
        <v>59</v>
      </c>
      <c r="E384" s="4" t="s">
        <v>1145</v>
      </c>
      <c r="F384" s="1" t="s">
        <v>19</v>
      </c>
      <c r="G384" s="1" t="s">
        <v>1146</v>
      </c>
      <c r="H384" s="2">
        <v>40000</v>
      </c>
      <c r="I384" s="2">
        <v>24000</v>
      </c>
      <c r="J384" s="192">
        <v>16000</v>
      </c>
      <c r="L384" s="11"/>
      <c r="M384" s="11"/>
      <c r="N384" s="1"/>
      <c r="O384" s="15">
        <v>0</v>
      </c>
    </row>
    <row r="385" spans="1:15" ht="14.25" customHeight="1" x14ac:dyDescent="0.25">
      <c r="A385" s="56">
        <v>44638</v>
      </c>
      <c r="B385" s="4" t="s">
        <v>1147</v>
      </c>
      <c r="C385" s="191" t="s">
        <v>1148</v>
      </c>
      <c r="D385" s="1" t="s">
        <v>385</v>
      </c>
      <c r="E385" s="4" t="s">
        <v>1149</v>
      </c>
      <c r="F385" s="1" t="s">
        <v>10</v>
      </c>
      <c r="G385" s="1" t="s">
        <v>1150</v>
      </c>
      <c r="H385" s="2">
        <v>70000</v>
      </c>
      <c r="I385" s="2">
        <v>42000</v>
      </c>
      <c r="J385" s="192">
        <v>28000</v>
      </c>
      <c r="L385" s="11"/>
      <c r="M385" s="11"/>
      <c r="N385" s="1"/>
      <c r="O385" s="15">
        <v>0</v>
      </c>
    </row>
    <row r="386" spans="1:15" ht="14.25" customHeight="1" x14ac:dyDescent="0.25">
      <c r="A386" s="56">
        <v>44638</v>
      </c>
      <c r="C386" s="191"/>
      <c r="D386" s="1" t="s">
        <v>168</v>
      </c>
      <c r="E386" s="4"/>
      <c r="F386" s="1" t="s">
        <v>10</v>
      </c>
      <c r="G386" s="1" t="s">
        <v>1151</v>
      </c>
      <c r="H386" s="2">
        <v>1200000</v>
      </c>
      <c r="I386" s="2">
        <v>720000</v>
      </c>
      <c r="J386" s="192">
        <v>480000</v>
      </c>
      <c r="L386" s="11"/>
      <c r="M386" s="11"/>
      <c r="N386" s="1"/>
      <c r="O386" s="15">
        <v>0</v>
      </c>
    </row>
    <row r="387" spans="1:15" ht="14.25" customHeight="1" x14ac:dyDescent="0.25">
      <c r="A387" s="56">
        <v>44638</v>
      </c>
      <c r="C387" s="191"/>
      <c r="D387" s="1" t="s">
        <v>201</v>
      </c>
      <c r="E387" s="4" t="s">
        <v>1152</v>
      </c>
      <c r="F387" s="1" t="s">
        <v>19</v>
      </c>
      <c r="G387" s="1" t="s">
        <v>341</v>
      </c>
      <c r="H387" s="2">
        <v>10000</v>
      </c>
      <c r="I387" s="2">
        <v>6000</v>
      </c>
      <c r="J387" s="192">
        <v>4000</v>
      </c>
      <c r="L387" s="11"/>
      <c r="M387" s="11"/>
      <c r="N387" s="1"/>
      <c r="O387" s="15">
        <v>0</v>
      </c>
    </row>
    <row r="388" spans="1:15" ht="14.25" customHeight="1" x14ac:dyDescent="0.25">
      <c r="A388" s="56">
        <v>44638</v>
      </c>
      <c r="B388" s="4" t="s">
        <v>1153</v>
      </c>
      <c r="C388" s="191" t="s">
        <v>1154</v>
      </c>
      <c r="D388" s="1" t="s">
        <v>59</v>
      </c>
      <c r="E388" s="4" t="s">
        <v>1155</v>
      </c>
      <c r="F388" s="1" t="s">
        <v>19</v>
      </c>
      <c r="G388" s="1" t="s">
        <v>1156</v>
      </c>
      <c r="H388" s="2">
        <v>100000</v>
      </c>
      <c r="I388" s="2">
        <v>60000</v>
      </c>
      <c r="J388" s="192">
        <v>40000</v>
      </c>
      <c r="L388" s="11"/>
      <c r="M388" s="11"/>
      <c r="N388" s="1"/>
      <c r="O388" s="15">
        <v>0</v>
      </c>
    </row>
    <row r="389" spans="1:15" ht="14.25" customHeight="1" x14ac:dyDescent="0.25">
      <c r="A389" s="56">
        <v>44634</v>
      </c>
      <c r="C389" s="191"/>
      <c r="E389" s="4"/>
      <c r="F389" s="1" t="s">
        <v>19</v>
      </c>
      <c r="G389" s="1" t="s">
        <v>341</v>
      </c>
      <c r="H389" s="2">
        <v>5000</v>
      </c>
      <c r="I389" s="2">
        <v>3000</v>
      </c>
      <c r="J389" s="192">
        <v>2000</v>
      </c>
      <c r="L389" s="11"/>
      <c r="M389" s="11"/>
      <c r="N389" s="1"/>
      <c r="O389" s="15">
        <v>0</v>
      </c>
    </row>
    <row r="390" spans="1:15" ht="14.25" customHeight="1" x14ac:dyDescent="0.25">
      <c r="A390" s="56">
        <v>44639</v>
      </c>
      <c r="C390" s="191" t="s">
        <v>1163</v>
      </c>
      <c r="D390" s="1" t="s">
        <v>466</v>
      </c>
      <c r="E390" s="4" t="s">
        <v>1164</v>
      </c>
      <c r="F390" s="1" t="s">
        <v>19</v>
      </c>
      <c r="G390" s="1" t="s">
        <v>1165</v>
      </c>
      <c r="H390" s="2">
        <v>80000</v>
      </c>
      <c r="I390" s="2">
        <v>48000</v>
      </c>
      <c r="J390" s="192">
        <v>32000</v>
      </c>
      <c r="K390" s="1" t="s">
        <v>1166</v>
      </c>
      <c r="L390" s="11">
        <v>40000</v>
      </c>
      <c r="M390" s="11">
        <v>70000</v>
      </c>
      <c r="N390" s="1"/>
      <c r="O390" s="15">
        <v>30000</v>
      </c>
    </row>
    <row r="391" spans="1:15" ht="14.25" customHeight="1" x14ac:dyDescent="0.25">
      <c r="A391" s="56">
        <v>44642</v>
      </c>
      <c r="C391" s="191" t="s">
        <v>1167</v>
      </c>
      <c r="D391" s="1" t="s">
        <v>899</v>
      </c>
      <c r="E391" s="4" t="s">
        <v>1168</v>
      </c>
      <c r="F391" s="1" t="s">
        <v>19</v>
      </c>
      <c r="G391" s="1" t="s">
        <v>140</v>
      </c>
      <c r="H391" s="2">
        <v>50000</v>
      </c>
      <c r="I391" s="2">
        <v>30000</v>
      </c>
      <c r="J391" s="192">
        <v>20000</v>
      </c>
      <c r="L391" s="11"/>
      <c r="M391" s="11"/>
      <c r="N391" s="1"/>
      <c r="O391" s="15">
        <v>0</v>
      </c>
    </row>
    <row r="392" spans="1:15" ht="14.25" customHeight="1" x14ac:dyDescent="0.25">
      <c r="A392" s="56">
        <v>44642</v>
      </c>
      <c r="C392" s="191" t="s">
        <v>703</v>
      </c>
      <c r="D392" s="1" t="s">
        <v>704</v>
      </c>
      <c r="E392" s="4" t="s">
        <v>705</v>
      </c>
      <c r="F392" s="1" t="s">
        <v>408</v>
      </c>
      <c r="G392" s="1" t="s">
        <v>570</v>
      </c>
      <c r="H392" s="2">
        <v>50000</v>
      </c>
      <c r="I392" s="2">
        <v>30000</v>
      </c>
      <c r="J392" s="192">
        <v>20000</v>
      </c>
      <c r="L392" s="11"/>
      <c r="M392" s="11"/>
      <c r="N392" s="1"/>
      <c r="O392" s="15">
        <v>0</v>
      </c>
    </row>
    <row r="393" spans="1:15" ht="14.25" customHeight="1" x14ac:dyDescent="0.25">
      <c r="A393" s="56">
        <v>44642</v>
      </c>
      <c r="B393" s="4" t="s">
        <v>1172</v>
      </c>
      <c r="C393" s="191" t="s">
        <v>1169</v>
      </c>
      <c r="D393" s="1" t="s">
        <v>1170</v>
      </c>
      <c r="E393" s="4" t="s">
        <v>1171</v>
      </c>
      <c r="F393" s="1" t="s">
        <v>19</v>
      </c>
      <c r="G393" s="1" t="s">
        <v>1173</v>
      </c>
      <c r="H393" s="2">
        <v>20000</v>
      </c>
      <c r="I393" s="2">
        <v>12000</v>
      </c>
      <c r="J393" s="192">
        <v>8000</v>
      </c>
      <c r="L393" s="11"/>
      <c r="M393" s="11"/>
      <c r="N393" s="1"/>
      <c r="O393" s="15">
        <v>0</v>
      </c>
    </row>
    <row r="394" spans="1:15" ht="14.25" customHeight="1" x14ac:dyDescent="0.25">
      <c r="A394" s="56">
        <v>44643</v>
      </c>
      <c r="B394" s="4" t="s">
        <v>1174</v>
      </c>
      <c r="C394" s="191" t="s">
        <v>1175</v>
      </c>
      <c r="D394" s="1" t="s">
        <v>1176</v>
      </c>
      <c r="E394" s="4" t="s">
        <v>1177</v>
      </c>
      <c r="F394" s="1" t="s">
        <v>408</v>
      </c>
      <c r="G394" s="1" t="s">
        <v>437</v>
      </c>
      <c r="H394" s="2">
        <v>30000</v>
      </c>
      <c r="I394" s="2">
        <v>18000</v>
      </c>
      <c r="J394" s="192">
        <v>12000</v>
      </c>
      <c r="L394" s="11"/>
      <c r="M394" s="11"/>
      <c r="N394" s="1"/>
      <c r="O394" s="15">
        <v>0</v>
      </c>
    </row>
    <row r="395" spans="1:15" ht="14.25" customHeight="1" x14ac:dyDescent="0.25">
      <c r="A395" s="56">
        <v>44643</v>
      </c>
      <c r="B395" s="4" t="s">
        <v>1178</v>
      </c>
      <c r="C395" s="191" t="s">
        <v>948</v>
      </c>
      <c r="D395" s="1" t="s">
        <v>204</v>
      </c>
      <c r="E395" s="4" t="s">
        <v>949</v>
      </c>
      <c r="F395" s="1" t="s">
        <v>30</v>
      </c>
      <c r="G395" s="1" t="s">
        <v>1179</v>
      </c>
      <c r="H395" s="2">
        <v>200000</v>
      </c>
      <c r="I395" s="2">
        <v>120000</v>
      </c>
      <c r="J395" s="192">
        <v>80000</v>
      </c>
      <c r="L395" s="11"/>
      <c r="M395" s="11"/>
      <c r="N395" s="1"/>
      <c r="O395" s="15">
        <v>0</v>
      </c>
    </row>
    <row r="396" spans="1:15" ht="14.25" customHeight="1" x14ac:dyDescent="0.25">
      <c r="A396" s="56">
        <v>44643</v>
      </c>
      <c r="B396" s="4" t="s">
        <v>1180</v>
      </c>
      <c r="C396" s="191" t="s">
        <v>1181</v>
      </c>
      <c r="D396" s="1" t="s">
        <v>905</v>
      </c>
      <c r="E396" s="4" t="s">
        <v>1182</v>
      </c>
      <c r="F396" s="1" t="s">
        <v>19</v>
      </c>
      <c r="G396" s="1" t="s">
        <v>1183</v>
      </c>
      <c r="H396" s="2">
        <v>50000</v>
      </c>
      <c r="I396" s="2">
        <v>30000</v>
      </c>
      <c r="J396" s="192">
        <v>20000</v>
      </c>
      <c r="K396" s="1" t="s">
        <v>1184</v>
      </c>
      <c r="L396" s="11">
        <v>145000</v>
      </c>
      <c r="M396" s="11">
        <v>220000</v>
      </c>
      <c r="N396" s="1"/>
      <c r="O396" s="15">
        <v>75000</v>
      </c>
    </row>
    <row r="397" spans="1:15" ht="14.25" customHeight="1" x14ac:dyDescent="0.25">
      <c r="A397" s="56">
        <v>44643</v>
      </c>
      <c r="B397" s="4" t="s">
        <v>1185</v>
      </c>
      <c r="C397" s="191" t="s">
        <v>1186</v>
      </c>
      <c r="D397" s="1" t="s">
        <v>76</v>
      </c>
      <c r="E397" s="4" t="s">
        <v>1187</v>
      </c>
      <c r="F397" s="1" t="s">
        <v>408</v>
      </c>
      <c r="G397" s="1" t="s">
        <v>844</v>
      </c>
      <c r="H397" s="2">
        <v>30000</v>
      </c>
      <c r="I397" s="2">
        <v>18000</v>
      </c>
      <c r="J397" s="192">
        <v>12000</v>
      </c>
      <c r="L397" s="11"/>
      <c r="M397" s="11"/>
      <c r="N397" s="1"/>
      <c r="O397" s="15">
        <v>0</v>
      </c>
    </row>
    <row r="398" spans="1:15" ht="14.25" customHeight="1" x14ac:dyDescent="0.25">
      <c r="A398" s="56">
        <v>44644</v>
      </c>
      <c r="B398" s="4" t="s">
        <v>1188</v>
      </c>
      <c r="C398" s="191" t="s">
        <v>1023</v>
      </c>
      <c r="D398" s="1" t="s">
        <v>1024</v>
      </c>
      <c r="E398" s="4" t="s">
        <v>1189</v>
      </c>
      <c r="F398" s="1" t="s">
        <v>19</v>
      </c>
      <c r="G398" s="1" t="s">
        <v>1190</v>
      </c>
      <c r="H398" s="2">
        <v>150000</v>
      </c>
      <c r="I398" s="2">
        <v>90000</v>
      </c>
      <c r="J398" s="192">
        <v>60000</v>
      </c>
      <c r="L398" s="11"/>
      <c r="M398" s="11"/>
      <c r="N398" s="1"/>
      <c r="O398" s="15">
        <v>0</v>
      </c>
    </row>
    <row r="399" spans="1:15" ht="14.25" customHeight="1" x14ac:dyDescent="0.25">
      <c r="A399" s="56">
        <v>44644</v>
      </c>
      <c r="C399" s="191"/>
      <c r="D399" s="1" t="s">
        <v>46</v>
      </c>
      <c r="E399" s="4" t="s">
        <v>386</v>
      </c>
      <c r="F399" s="1" t="s">
        <v>408</v>
      </c>
      <c r="G399" s="1" t="s">
        <v>21</v>
      </c>
      <c r="H399" s="2">
        <v>12000</v>
      </c>
      <c r="I399" s="2">
        <v>7200</v>
      </c>
      <c r="J399" s="192">
        <v>4800</v>
      </c>
      <c r="L399" s="11"/>
      <c r="M399" s="11"/>
      <c r="N399" s="1"/>
      <c r="O399" s="15">
        <v>0</v>
      </c>
    </row>
    <row r="400" spans="1:15" ht="14.25" customHeight="1" x14ac:dyDescent="0.25">
      <c r="A400" s="56">
        <v>44646</v>
      </c>
      <c r="C400" s="191" t="s">
        <v>1199</v>
      </c>
      <c r="D400" s="1" t="s">
        <v>122</v>
      </c>
      <c r="E400" s="4"/>
      <c r="F400" s="1" t="s">
        <v>10</v>
      </c>
      <c r="G400" s="1" t="s">
        <v>1191</v>
      </c>
      <c r="H400" s="2">
        <v>120000</v>
      </c>
      <c r="I400" s="2">
        <v>72000</v>
      </c>
      <c r="J400" s="192">
        <v>48000</v>
      </c>
      <c r="L400" s="11"/>
      <c r="M400" s="11"/>
      <c r="N400" s="1"/>
      <c r="O400" s="15">
        <v>0</v>
      </c>
    </row>
    <row r="401" spans="1:15" ht="14.25" customHeight="1" x14ac:dyDescent="0.25">
      <c r="A401" s="56">
        <v>44644</v>
      </c>
      <c r="B401" s="4" t="s">
        <v>1194</v>
      </c>
      <c r="C401" s="191" t="s">
        <v>1195</v>
      </c>
      <c r="D401" s="1" t="s">
        <v>1196</v>
      </c>
      <c r="E401" s="4" t="s">
        <v>1197</v>
      </c>
      <c r="F401" s="1" t="s">
        <v>408</v>
      </c>
      <c r="G401" s="1" t="s">
        <v>1198</v>
      </c>
      <c r="H401" s="2">
        <v>80000</v>
      </c>
      <c r="I401" s="2">
        <v>48000</v>
      </c>
      <c r="J401" s="192">
        <v>32000</v>
      </c>
      <c r="L401" s="11"/>
      <c r="M401" s="11"/>
      <c r="N401" s="1"/>
      <c r="O401" s="15">
        <v>0</v>
      </c>
    </row>
    <row r="402" spans="1:15" ht="14.25" customHeight="1" x14ac:dyDescent="0.25">
      <c r="A402" s="56">
        <v>44645</v>
      </c>
      <c r="C402" s="191" t="s">
        <v>739</v>
      </c>
      <c r="D402" s="1" t="s">
        <v>1192</v>
      </c>
      <c r="E402" s="4"/>
      <c r="F402" s="1" t="s">
        <v>19</v>
      </c>
      <c r="G402" s="1" t="s">
        <v>341</v>
      </c>
      <c r="H402" s="2">
        <v>10000</v>
      </c>
      <c r="I402" s="2">
        <v>6000</v>
      </c>
      <c r="J402" s="192">
        <v>4000</v>
      </c>
      <c r="L402" s="11"/>
      <c r="M402" s="11"/>
      <c r="N402" s="1"/>
      <c r="O402" s="15">
        <v>0</v>
      </c>
    </row>
    <row r="403" spans="1:15" ht="14.25" customHeight="1" x14ac:dyDescent="0.25">
      <c r="A403" s="56">
        <v>44646</v>
      </c>
      <c r="B403" s="4" t="s">
        <v>1201</v>
      </c>
      <c r="C403" s="191" t="s">
        <v>1232</v>
      </c>
      <c r="D403" s="1" t="s">
        <v>1203</v>
      </c>
      <c r="E403" s="4" t="s">
        <v>1202</v>
      </c>
      <c r="F403" s="1" t="s">
        <v>19</v>
      </c>
      <c r="G403" s="1" t="s">
        <v>1204</v>
      </c>
      <c r="H403" s="2">
        <v>40000</v>
      </c>
      <c r="I403" s="2">
        <v>24000</v>
      </c>
      <c r="J403" s="192">
        <v>16000</v>
      </c>
      <c r="K403" s="1" t="s">
        <v>1205</v>
      </c>
      <c r="L403" s="11">
        <v>73000</v>
      </c>
      <c r="M403" s="11">
        <v>130000</v>
      </c>
      <c r="N403" s="1"/>
      <c r="O403" s="15">
        <v>57000</v>
      </c>
    </row>
    <row r="404" spans="1:15" ht="14.25" customHeight="1" x14ac:dyDescent="0.25">
      <c r="A404" s="56">
        <v>44646</v>
      </c>
      <c r="B404" s="4" t="s">
        <v>1206</v>
      </c>
      <c r="C404" s="191" t="s">
        <v>1207</v>
      </c>
      <c r="D404" s="1" t="s">
        <v>224</v>
      </c>
      <c r="E404" s="4" t="s">
        <v>1208</v>
      </c>
      <c r="F404" s="1" t="s">
        <v>30</v>
      </c>
      <c r="G404" s="1" t="s">
        <v>1209</v>
      </c>
      <c r="H404" s="2">
        <v>300000</v>
      </c>
      <c r="I404" s="2">
        <v>180000</v>
      </c>
      <c r="J404" s="192">
        <v>120000</v>
      </c>
      <c r="L404" s="11"/>
      <c r="M404" s="11"/>
      <c r="N404" s="1"/>
      <c r="O404" s="15">
        <v>0</v>
      </c>
    </row>
    <row r="405" spans="1:15" ht="14.25" customHeight="1" x14ac:dyDescent="0.25">
      <c r="A405" s="56">
        <v>44648</v>
      </c>
      <c r="B405" s="4" t="s">
        <v>1210</v>
      </c>
      <c r="C405" s="191" t="s">
        <v>980</v>
      </c>
      <c r="D405" s="1" t="s">
        <v>122</v>
      </c>
      <c r="E405" s="4" t="s">
        <v>981</v>
      </c>
      <c r="F405" s="1" t="s">
        <v>19</v>
      </c>
      <c r="G405" s="1" t="s">
        <v>1211</v>
      </c>
      <c r="H405" s="2">
        <v>80000</v>
      </c>
      <c r="I405" s="2">
        <v>48000</v>
      </c>
      <c r="J405" s="192">
        <v>32000</v>
      </c>
      <c r="K405" s="1" t="s">
        <v>1212</v>
      </c>
      <c r="L405" s="11"/>
      <c r="M405" s="11">
        <v>100000</v>
      </c>
      <c r="N405" s="1"/>
      <c r="O405" s="15">
        <v>100000</v>
      </c>
    </row>
    <row r="406" spans="1:15" ht="14.25" customHeight="1" x14ac:dyDescent="0.25">
      <c r="A406" s="56">
        <v>44648</v>
      </c>
      <c r="B406" s="4" t="s">
        <v>1213</v>
      </c>
      <c r="C406" s="191" t="s">
        <v>1214</v>
      </c>
      <c r="D406" s="1" t="s">
        <v>242</v>
      </c>
      <c r="E406" s="4" t="s">
        <v>1215</v>
      </c>
      <c r="F406" s="1" t="s">
        <v>19</v>
      </c>
      <c r="G406" s="1" t="s">
        <v>1216</v>
      </c>
      <c r="H406" s="2">
        <v>50000</v>
      </c>
      <c r="I406" s="2">
        <v>30000</v>
      </c>
      <c r="J406" s="192">
        <v>20000</v>
      </c>
      <c r="K406" s="1" t="s">
        <v>1217</v>
      </c>
      <c r="L406" s="11">
        <v>60000</v>
      </c>
      <c r="M406" s="11">
        <v>80000</v>
      </c>
      <c r="N406" s="1"/>
      <c r="O406" s="15">
        <v>20000</v>
      </c>
    </row>
    <row r="407" spans="1:15" ht="14.25" customHeight="1" x14ac:dyDescent="0.25">
      <c r="A407" s="56">
        <v>44648</v>
      </c>
      <c r="C407" s="191" t="s">
        <v>1219</v>
      </c>
      <c r="D407" s="1" t="s">
        <v>54</v>
      </c>
      <c r="E407" s="4" t="s">
        <v>1218</v>
      </c>
      <c r="F407" s="1" t="s">
        <v>19</v>
      </c>
      <c r="G407" s="1" t="s">
        <v>21</v>
      </c>
      <c r="H407" s="2">
        <v>10000</v>
      </c>
      <c r="I407" s="2">
        <v>6000</v>
      </c>
      <c r="J407" s="192">
        <v>4000</v>
      </c>
      <c r="L407" s="11"/>
      <c r="M407" s="11"/>
      <c r="N407" s="1"/>
      <c r="O407" s="15">
        <v>0</v>
      </c>
    </row>
    <row r="408" spans="1:15" ht="14.25" customHeight="1" x14ac:dyDescent="0.25">
      <c r="A408" s="56">
        <v>44649</v>
      </c>
      <c r="C408" s="191"/>
      <c r="D408" s="1" t="s">
        <v>1220</v>
      </c>
      <c r="E408" s="4" t="s">
        <v>1221</v>
      </c>
      <c r="F408" s="1" t="s">
        <v>30</v>
      </c>
      <c r="G408" s="1" t="s">
        <v>1222</v>
      </c>
      <c r="H408" s="2">
        <v>20000</v>
      </c>
      <c r="I408" s="2">
        <v>12000</v>
      </c>
      <c r="J408" s="192">
        <v>8000</v>
      </c>
      <c r="L408" s="11"/>
      <c r="M408" s="11"/>
      <c r="N408" s="1"/>
      <c r="O408" s="15">
        <v>0</v>
      </c>
    </row>
    <row r="409" spans="1:15" ht="14.25" customHeight="1" x14ac:dyDescent="0.25">
      <c r="A409" s="56">
        <v>44649</v>
      </c>
      <c r="B409" s="4" t="s">
        <v>1223</v>
      </c>
      <c r="C409" s="191" t="s">
        <v>642</v>
      </c>
      <c r="D409" s="1" t="s">
        <v>815</v>
      </c>
      <c r="E409" s="4" t="s">
        <v>1224</v>
      </c>
      <c r="F409" s="1" t="s">
        <v>30</v>
      </c>
      <c r="G409" s="1" t="s">
        <v>343</v>
      </c>
      <c r="H409" s="2">
        <v>150000</v>
      </c>
      <c r="I409" s="2">
        <v>90000</v>
      </c>
      <c r="J409" s="192">
        <v>60000</v>
      </c>
      <c r="L409" s="11"/>
      <c r="M409" s="11"/>
      <c r="N409" s="1"/>
      <c r="O409" s="15">
        <v>0</v>
      </c>
    </row>
    <row r="410" spans="1:15" ht="14.25" customHeight="1" x14ac:dyDescent="0.25">
      <c r="A410" s="56">
        <v>44650</v>
      </c>
      <c r="C410" s="191" t="s">
        <v>1076</v>
      </c>
      <c r="D410" s="1" t="s">
        <v>1077</v>
      </c>
      <c r="E410" s="4" t="s">
        <v>937</v>
      </c>
      <c r="F410" s="1" t="s">
        <v>19</v>
      </c>
      <c r="G410" s="1" t="s">
        <v>1225</v>
      </c>
      <c r="H410" s="2">
        <v>15000</v>
      </c>
      <c r="I410" s="2">
        <v>9000</v>
      </c>
      <c r="J410" s="192">
        <v>6000</v>
      </c>
      <c r="K410" s="1" t="s">
        <v>1226</v>
      </c>
      <c r="L410" s="11">
        <v>2100</v>
      </c>
      <c r="M410" s="11">
        <v>4300</v>
      </c>
      <c r="N410" s="1"/>
      <c r="O410" s="15">
        <v>2200</v>
      </c>
    </row>
    <row r="411" spans="1:15" ht="14.25" customHeight="1" x14ac:dyDescent="0.25">
      <c r="A411" s="56">
        <v>44650</v>
      </c>
      <c r="B411" s="4" t="s">
        <v>1227</v>
      </c>
      <c r="C411" s="191" t="s">
        <v>1228</v>
      </c>
      <c r="D411" s="1" t="s">
        <v>637</v>
      </c>
      <c r="E411" s="4" t="s">
        <v>1229</v>
      </c>
      <c r="F411" s="1" t="s">
        <v>30</v>
      </c>
      <c r="G411" s="1" t="s">
        <v>1230</v>
      </c>
      <c r="H411" s="2">
        <v>130000</v>
      </c>
      <c r="I411" s="2">
        <v>78000</v>
      </c>
      <c r="J411" s="192">
        <v>52000</v>
      </c>
      <c r="K411" s="1" t="s">
        <v>1231</v>
      </c>
      <c r="L411" s="11">
        <v>14000</v>
      </c>
      <c r="M411" s="11">
        <v>20000</v>
      </c>
      <c r="N411" s="1"/>
      <c r="O411" s="15">
        <v>6000</v>
      </c>
    </row>
    <row r="412" spans="1:15" ht="14.25" customHeight="1" x14ac:dyDescent="0.25">
      <c r="A412" s="56">
        <v>44650</v>
      </c>
      <c r="C412" s="191" t="s">
        <v>598</v>
      </c>
      <c r="D412" s="1" t="s">
        <v>151</v>
      </c>
      <c r="E412" s="4" t="s">
        <v>152</v>
      </c>
      <c r="F412" s="1" t="s">
        <v>19</v>
      </c>
      <c r="G412" s="1" t="s">
        <v>21</v>
      </c>
      <c r="H412" s="2">
        <v>10000</v>
      </c>
      <c r="I412" s="2">
        <v>6000</v>
      </c>
      <c r="J412" s="192">
        <v>4000</v>
      </c>
      <c r="L412" s="11"/>
      <c r="M412" s="11"/>
      <c r="N412" s="1"/>
      <c r="O412" s="15">
        <v>0</v>
      </c>
    </row>
    <row r="413" spans="1:15" ht="14.25" customHeight="1" x14ac:dyDescent="0.25">
      <c r="A413" s="56">
        <v>44651</v>
      </c>
      <c r="B413" s="4" t="s">
        <v>1233</v>
      </c>
      <c r="C413" s="191" t="s">
        <v>1234</v>
      </c>
      <c r="D413" s="1" t="s">
        <v>200</v>
      </c>
      <c r="E413" s="4" t="s">
        <v>1235</v>
      </c>
      <c r="F413" s="1" t="s">
        <v>408</v>
      </c>
      <c r="G413" s="1" t="s">
        <v>1236</v>
      </c>
      <c r="H413" s="2">
        <v>500000</v>
      </c>
      <c r="I413" s="2">
        <v>300000</v>
      </c>
      <c r="J413" s="192">
        <v>200000</v>
      </c>
      <c r="L413" s="11"/>
      <c r="M413" s="11"/>
      <c r="N413" s="1"/>
      <c r="O413" s="15">
        <v>0</v>
      </c>
    </row>
    <row r="414" spans="1:15" ht="14.25" customHeight="1" x14ac:dyDescent="0.25">
      <c r="A414" s="56">
        <v>44651</v>
      </c>
      <c r="B414" s="4" t="s">
        <v>1237</v>
      </c>
      <c r="C414" s="191" t="s">
        <v>1238</v>
      </c>
      <c r="D414" s="1" t="s">
        <v>59</v>
      </c>
      <c r="E414" s="4" t="s">
        <v>60</v>
      </c>
      <c r="F414" s="1" t="s">
        <v>30</v>
      </c>
      <c r="G414" s="1" t="s">
        <v>1239</v>
      </c>
      <c r="H414" s="2">
        <v>250000</v>
      </c>
      <c r="I414" s="2">
        <v>150000</v>
      </c>
      <c r="J414" s="192">
        <v>100000</v>
      </c>
      <c r="L414" s="11"/>
      <c r="M414" s="11"/>
      <c r="N414" s="1"/>
      <c r="O414" s="15">
        <v>0</v>
      </c>
    </row>
    <row r="415" spans="1:15" ht="14.25" customHeight="1" x14ac:dyDescent="0.25">
      <c r="A415" s="56">
        <v>44651</v>
      </c>
      <c r="B415" s="4" t="s">
        <v>1240</v>
      </c>
      <c r="C415" s="191" t="s">
        <v>1241</v>
      </c>
      <c r="D415" s="1" t="s">
        <v>54</v>
      </c>
      <c r="E415" s="4" t="s">
        <v>1242</v>
      </c>
      <c r="F415" s="1" t="s">
        <v>408</v>
      </c>
      <c r="G415" s="1" t="s">
        <v>1243</v>
      </c>
      <c r="H415" s="2">
        <v>40000</v>
      </c>
      <c r="I415" s="2">
        <v>24000</v>
      </c>
      <c r="J415" s="192">
        <v>16000</v>
      </c>
      <c r="L415" s="11"/>
      <c r="M415" s="11"/>
      <c r="N415" s="1"/>
      <c r="O415" s="15">
        <v>0</v>
      </c>
    </row>
    <row r="416" spans="1:15" ht="14.25" customHeight="1" x14ac:dyDescent="0.25">
      <c r="A416" s="56">
        <v>44651</v>
      </c>
      <c r="B416" s="4" t="s">
        <v>1244</v>
      </c>
      <c r="C416" s="191" t="s">
        <v>1245</v>
      </c>
      <c r="D416" s="1" t="s">
        <v>107</v>
      </c>
      <c r="E416" s="4" t="s">
        <v>357</v>
      </c>
      <c r="G416" s="1" t="s">
        <v>956</v>
      </c>
      <c r="H416" s="2">
        <v>1400000</v>
      </c>
      <c r="I416" s="2">
        <v>840000</v>
      </c>
      <c r="J416" s="192">
        <v>560000</v>
      </c>
      <c r="L416" s="11"/>
      <c r="M416" s="11"/>
      <c r="N416" s="1"/>
      <c r="O416" s="15">
        <v>0</v>
      </c>
    </row>
    <row r="417" spans="1:15" x14ac:dyDescent="0.25">
      <c r="A417" s="56">
        <v>44652</v>
      </c>
      <c r="B417" s="4" t="s">
        <v>1247</v>
      </c>
      <c r="C417" s="191" t="s">
        <v>1248</v>
      </c>
      <c r="D417" s="1" t="s">
        <v>218</v>
      </c>
      <c r="E417" s="4" t="s">
        <v>1249</v>
      </c>
      <c r="F417" s="1" t="s">
        <v>10</v>
      </c>
      <c r="G417" s="66" t="s">
        <v>338</v>
      </c>
      <c r="H417" s="15">
        <v>150000</v>
      </c>
      <c r="I417" s="15">
        <v>90000</v>
      </c>
      <c r="J417" s="192">
        <v>60000</v>
      </c>
      <c r="L417" s="11"/>
      <c r="M417" s="11"/>
      <c r="N417" s="15" t="s">
        <v>25</v>
      </c>
      <c r="O417" s="15">
        <v>0</v>
      </c>
    </row>
    <row r="418" spans="1:15" x14ac:dyDescent="0.25">
      <c r="A418" s="56">
        <v>44652</v>
      </c>
      <c r="B418" s="4" t="s">
        <v>742</v>
      </c>
      <c r="C418" s="191" t="s">
        <v>1250</v>
      </c>
      <c r="D418" s="1" t="s">
        <v>1251</v>
      </c>
      <c r="E418" s="4" t="s">
        <v>1252</v>
      </c>
      <c r="F418" s="1" t="s">
        <v>30</v>
      </c>
      <c r="G418" s="66" t="s">
        <v>437</v>
      </c>
      <c r="H418" s="15">
        <v>30000</v>
      </c>
      <c r="I418" s="15">
        <v>18000</v>
      </c>
      <c r="J418" s="192">
        <v>12000</v>
      </c>
      <c r="L418" s="11"/>
      <c r="M418" s="11"/>
      <c r="N418" s="15" t="s">
        <v>25</v>
      </c>
      <c r="O418" s="15">
        <v>0</v>
      </c>
    </row>
    <row r="419" spans="1:15" x14ac:dyDescent="0.25">
      <c r="A419" s="56">
        <v>44652</v>
      </c>
      <c r="B419" s="4" t="s">
        <v>1254</v>
      </c>
      <c r="C419" s="191" t="s">
        <v>1255</v>
      </c>
      <c r="D419" s="1" t="s">
        <v>574</v>
      </c>
      <c r="E419" s="4" t="s">
        <v>1256</v>
      </c>
      <c r="F419" s="1" t="s">
        <v>19</v>
      </c>
      <c r="G419" s="66" t="s">
        <v>1257</v>
      </c>
      <c r="H419" s="15">
        <v>80000</v>
      </c>
      <c r="I419" s="15">
        <v>48000</v>
      </c>
      <c r="J419" s="192">
        <v>32000</v>
      </c>
      <c r="L419" s="11"/>
      <c r="M419" s="11"/>
      <c r="N419" s="15" t="s">
        <v>25</v>
      </c>
      <c r="O419" s="15">
        <v>0</v>
      </c>
    </row>
    <row r="420" spans="1:15" x14ac:dyDescent="0.25">
      <c r="A420" s="56">
        <v>44652</v>
      </c>
      <c r="B420" s="4" t="s">
        <v>1258</v>
      </c>
      <c r="C420" s="191" t="s">
        <v>1259</v>
      </c>
      <c r="D420" s="1" t="s">
        <v>54</v>
      </c>
      <c r="E420" s="4" t="s">
        <v>1260</v>
      </c>
      <c r="F420" s="11" t="s">
        <v>10</v>
      </c>
      <c r="G420" s="71" t="s">
        <v>1261</v>
      </c>
      <c r="H420" s="2">
        <v>80000</v>
      </c>
      <c r="I420" s="2">
        <v>48000</v>
      </c>
      <c r="J420" s="192">
        <v>32000</v>
      </c>
      <c r="L420" s="11"/>
      <c r="M420" s="11"/>
      <c r="N420" s="2" t="s">
        <v>25</v>
      </c>
      <c r="O420" s="15">
        <v>0</v>
      </c>
    </row>
    <row r="421" spans="1:15" x14ac:dyDescent="0.25">
      <c r="A421" s="56">
        <v>44653</v>
      </c>
      <c r="B421" s="4" t="s">
        <v>1262</v>
      </c>
      <c r="C421" s="191" t="s">
        <v>1263</v>
      </c>
      <c r="D421" s="1" t="s">
        <v>52</v>
      </c>
      <c r="E421" s="4" t="s">
        <v>1264</v>
      </c>
      <c r="F421" s="1" t="s">
        <v>408</v>
      </c>
      <c r="G421" s="71" t="s">
        <v>1265</v>
      </c>
      <c r="H421" s="2">
        <v>160000</v>
      </c>
      <c r="I421" s="2">
        <v>96000</v>
      </c>
      <c r="J421" s="192">
        <v>64000</v>
      </c>
      <c r="K421" s="1" t="s">
        <v>1266</v>
      </c>
      <c r="L421" s="11">
        <v>170000</v>
      </c>
      <c r="M421" s="11">
        <v>300000</v>
      </c>
      <c r="N421" s="2" t="s">
        <v>25</v>
      </c>
      <c r="O421" s="15">
        <v>130000</v>
      </c>
    </row>
    <row r="422" spans="1:15" x14ac:dyDescent="0.25">
      <c r="A422" s="56">
        <v>44655</v>
      </c>
      <c r="B422" s="4" t="s">
        <v>1267</v>
      </c>
      <c r="C422" s="191" t="s">
        <v>1268</v>
      </c>
      <c r="D422" s="1" t="s">
        <v>1269</v>
      </c>
      <c r="E422" s="4" t="s">
        <v>1270</v>
      </c>
      <c r="F422" s="1" t="s">
        <v>30</v>
      </c>
      <c r="G422" s="71" t="s">
        <v>1271</v>
      </c>
      <c r="H422" s="2">
        <v>120000</v>
      </c>
      <c r="I422" s="2">
        <v>72000</v>
      </c>
      <c r="J422" s="192">
        <v>48000</v>
      </c>
      <c r="K422" s="1" t="s">
        <v>1272</v>
      </c>
      <c r="L422" s="11">
        <v>79500</v>
      </c>
      <c r="M422" s="11">
        <v>90000</v>
      </c>
      <c r="N422" s="2" t="s">
        <v>25</v>
      </c>
      <c r="O422" s="15">
        <v>10500</v>
      </c>
    </row>
    <row r="423" spans="1:15" x14ac:dyDescent="0.25">
      <c r="A423" s="56">
        <v>44655</v>
      </c>
      <c r="B423" s="4" t="s">
        <v>1273</v>
      </c>
      <c r="C423" s="191" t="s">
        <v>1274</v>
      </c>
      <c r="D423" s="1" t="s">
        <v>103</v>
      </c>
      <c r="E423" s="4" t="s">
        <v>1275</v>
      </c>
      <c r="F423" s="1" t="s">
        <v>408</v>
      </c>
      <c r="G423" s="71" t="s">
        <v>1276</v>
      </c>
      <c r="H423" s="2">
        <v>60000</v>
      </c>
      <c r="I423" s="2">
        <v>36000</v>
      </c>
      <c r="J423" s="192">
        <v>24000</v>
      </c>
      <c r="K423" s="1" t="s">
        <v>71</v>
      </c>
      <c r="L423" s="11">
        <v>118000</v>
      </c>
      <c r="M423" s="11">
        <v>164000</v>
      </c>
      <c r="N423" s="2" t="s">
        <v>25</v>
      </c>
      <c r="O423" s="15">
        <v>46000</v>
      </c>
    </row>
    <row r="424" spans="1:15" x14ac:dyDescent="0.25">
      <c r="A424" s="56">
        <v>44655</v>
      </c>
      <c r="B424" s="4" t="s">
        <v>1277</v>
      </c>
      <c r="C424" s="191" t="s">
        <v>1278</v>
      </c>
      <c r="D424" s="1" t="s">
        <v>46</v>
      </c>
      <c r="E424" s="4" t="s">
        <v>386</v>
      </c>
      <c r="F424" s="1" t="s">
        <v>19</v>
      </c>
      <c r="G424" s="71" t="s">
        <v>1279</v>
      </c>
      <c r="H424" s="2">
        <v>40000</v>
      </c>
      <c r="I424" s="2">
        <v>24000</v>
      </c>
      <c r="J424" s="192">
        <v>16000</v>
      </c>
      <c r="K424" s="1" t="s">
        <v>1280</v>
      </c>
      <c r="L424" s="11">
        <v>150000</v>
      </c>
      <c r="M424" s="11">
        <v>185000</v>
      </c>
      <c r="N424" s="2" t="s">
        <v>25</v>
      </c>
      <c r="O424" s="15">
        <v>35000</v>
      </c>
    </row>
    <row r="425" spans="1:15" x14ac:dyDescent="0.25">
      <c r="A425" s="56">
        <v>44655</v>
      </c>
      <c r="B425" s="4" t="s">
        <v>1281</v>
      </c>
      <c r="C425" s="191" t="s">
        <v>1282</v>
      </c>
      <c r="D425" s="1" t="s">
        <v>43</v>
      </c>
      <c r="E425" s="4" t="s">
        <v>1126</v>
      </c>
      <c r="F425" s="1" t="s">
        <v>408</v>
      </c>
      <c r="G425" s="71" t="s">
        <v>1371</v>
      </c>
      <c r="H425" s="2">
        <v>70000</v>
      </c>
      <c r="I425" s="2">
        <v>42000</v>
      </c>
      <c r="J425" s="192">
        <v>28000</v>
      </c>
      <c r="L425" s="11"/>
      <c r="M425" s="11"/>
      <c r="N425" s="2" t="s">
        <v>25</v>
      </c>
      <c r="O425" s="15">
        <v>0</v>
      </c>
    </row>
    <row r="426" spans="1:15" x14ac:dyDescent="0.25">
      <c r="A426" s="56">
        <v>44656</v>
      </c>
      <c r="B426" s="4" t="s">
        <v>1283</v>
      </c>
      <c r="C426" s="191" t="s">
        <v>948</v>
      </c>
      <c r="D426" s="1" t="s">
        <v>204</v>
      </c>
      <c r="E426" s="4" t="s">
        <v>1284</v>
      </c>
      <c r="F426" s="1" t="s">
        <v>408</v>
      </c>
      <c r="G426" s="71" t="s">
        <v>1285</v>
      </c>
      <c r="H426" s="2">
        <v>290000</v>
      </c>
      <c r="I426" s="2">
        <v>174000</v>
      </c>
      <c r="J426" s="192">
        <v>116000</v>
      </c>
      <c r="L426" s="11"/>
      <c r="M426" s="11"/>
      <c r="N426" s="2" t="s">
        <v>25</v>
      </c>
      <c r="O426" s="15">
        <v>0</v>
      </c>
    </row>
    <row r="427" spans="1:15" x14ac:dyDescent="0.25">
      <c r="A427" s="56">
        <v>44656</v>
      </c>
      <c r="B427" s="4" t="s">
        <v>1286</v>
      </c>
      <c r="C427" s="191" t="s">
        <v>1287</v>
      </c>
      <c r="D427" s="1" t="s">
        <v>202</v>
      </c>
      <c r="E427" s="4" t="s">
        <v>1288</v>
      </c>
      <c r="F427" s="1" t="s">
        <v>30</v>
      </c>
      <c r="G427" s="71" t="s">
        <v>1289</v>
      </c>
      <c r="H427" s="2">
        <v>100000</v>
      </c>
      <c r="I427" s="2">
        <v>60000</v>
      </c>
      <c r="J427" s="192">
        <v>40000</v>
      </c>
      <c r="K427" s="1" t="s">
        <v>1290</v>
      </c>
      <c r="L427" s="11"/>
      <c r="M427" s="11"/>
      <c r="N427" s="2" t="s">
        <v>25</v>
      </c>
      <c r="O427" s="15">
        <v>0</v>
      </c>
    </row>
    <row r="428" spans="1:15" x14ac:dyDescent="0.25">
      <c r="A428" s="56">
        <v>44656</v>
      </c>
      <c r="B428" s="4" t="s">
        <v>1291</v>
      </c>
      <c r="C428" s="191" t="s">
        <v>1292</v>
      </c>
      <c r="D428" s="1" t="s">
        <v>1293</v>
      </c>
      <c r="E428" s="4" t="s">
        <v>1294</v>
      </c>
      <c r="F428" s="1" t="s">
        <v>10</v>
      </c>
      <c r="G428" s="71" t="s">
        <v>1295</v>
      </c>
      <c r="H428" s="2">
        <v>150000</v>
      </c>
      <c r="I428" s="2">
        <v>90000</v>
      </c>
      <c r="J428" s="192">
        <v>60000</v>
      </c>
      <c r="L428" s="11"/>
      <c r="M428" s="11"/>
      <c r="N428" s="2" t="s">
        <v>25</v>
      </c>
      <c r="O428" s="15">
        <v>0</v>
      </c>
    </row>
    <row r="429" spans="1:15" x14ac:dyDescent="0.25">
      <c r="A429" s="56">
        <v>44656</v>
      </c>
      <c r="B429" s="4" t="s">
        <v>1291</v>
      </c>
      <c r="C429" s="191" t="s">
        <v>1292</v>
      </c>
      <c r="D429" s="1" t="s">
        <v>1293</v>
      </c>
      <c r="E429" s="4" t="s">
        <v>1294</v>
      </c>
      <c r="F429" s="1" t="s">
        <v>19</v>
      </c>
      <c r="G429" s="71" t="s">
        <v>140</v>
      </c>
      <c r="H429" s="2">
        <v>100000</v>
      </c>
      <c r="I429" s="2">
        <v>60000</v>
      </c>
      <c r="J429" s="192">
        <v>40000</v>
      </c>
      <c r="L429" s="11"/>
      <c r="M429" s="11"/>
      <c r="N429" s="2" t="s">
        <v>25</v>
      </c>
      <c r="O429" s="15">
        <v>0</v>
      </c>
    </row>
    <row r="430" spans="1:15" x14ac:dyDescent="0.25">
      <c r="A430" s="56">
        <v>44656</v>
      </c>
      <c r="B430" s="4" t="s">
        <v>1296</v>
      </c>
      <c r="C430" s="191" t="s">
        <v>1297</v>
      </c>
      <c r="D430" s="1" t="s">
        <v>168</v>
      </c>
      <c r="E430" s="4" t="s">
        <v>1298</v>
      </c>
      <c r="F430" s="1" t="s">
        <v>408</v>
      </c>
      <c r="G430" s="71" t="s">
        <v>1299</v>
      </c>
      <c r="H430" s="2">
        <v>30000</v>
      </c>
      <c r="I430" s="2">
        <v>18000</v>
      </c>
      <c r="J430" s="192">
        <v>12000</v>
      </c>
      <c r="K430" s="1" t="s">
        <v>1300</v>
      </c>
      <c r="L430" s="11">
        <v>90000</v>
      </c>
      <c r="M430" s="11">
        <v>125000</v>
      </c>
      <c r="N430" s="2" t="s">
        <v>25</v>
      </c>
      <c r="O430" s="15">
        <v>35000</v>
      </c>
    </row>
    <row r="431" spans="1:15" x14ac:dyDescent="0.25">
      <c r="A431" s="56">
        <v>44657</v>
      </c>
      <c r="B431" s="4" t="s">
        <v>1301</v>
      </c>
      <c r="C431" s="191"/>
      <c r="D431" s="1" t="s">
        <v>1302</v>
      </c>
      <c r="E431" s="4" t="s">
        <v>1303</v>
      </c>
      <c r="F431" s="1" t="s">
        <v>30</v>
      </c>
      <c r="G431" s="71" t="s">
        <v>1304</v>
      </c>
      <c r="H431" s="2">
        <v>220000</v>
      </c>
      <c r="I431" s="2">
        <v>132000</v>
      </c>
      <c r="J431" s="192">
        <v>88000</v>
      </c>
      <c r="L431" s="11"/>
      <c r="M431" s="11"/>
      <c r="N431" s="2" t="s">
        <v>25</v>
      </c>
      <c r="O431" s="15">
        <v>0</v>
      </c>
    </row>
    <row r="432" spans="1:15" x14ac:dyDescent="0.25">
      <c r="A432" s="56">
        <v>44657</v>
      </c>
      <c r="C432" s="191"/>
      <c r="D432" s="1" t="s">
        <v>1305</v>
      </c>
      <c r="E432" s="4" t="s">
        <v>1306</v>
      </c>
      <c r="F432" s="1" t="s">
        <v>408</v>
      </c>
      <c r="G432" s="71" t="s">
        <v>193</v>
      </c>
      <c r="H432" s="2">
        <v>30000</v>
      </c>
      <c r="I432" s="2">
        <v>18000</v>
      </c>
      <c r="J432" s="192">
        <v>12000</v>
      </c>
      <c r="K432" s="1" t="s">
        <v>1307</v>
      </c>
      <c r="L432" s="11">
        <v>80920</v>
      </c>
      <c r="M432" s="11">
        <v>140000</v>
      </c>
      <c r="N432" s="2" t="s">
        <v>25</v>
      </c>
      <c r="O432" s="15">
        <v>59080</v>
      </c>
    </row>
    <row r="433" spans="1:15" x14ac:dyDescent="0.25">
      <c r="A433" s="56">
        <v>44657</v>
      </c>
      <c r="B433" s="4" t="s">
        <v>1313</v>
      </c>
      <c r="C433" s="191" t="s">
        <v>1311</v>
      </c>
      <c r="D433" s="1" t="s">
        <v>200</v>
      </c>
      <c r="E433" s="4" t="s">
        <v>1308</v>
      </c>
      <c r="F433" s="1" t="s">
        <v>19</v>
      </c>
      <c r="G433" s="71" t="s">
        <v>1309</v>
      </c>
      <c r="H433" s="2">
        <v>120000</v>
      </c>
      <c r="I433" s="2">
        <v>72000</v>
      </c>
      <c r="J433" s="192">
        <v>48000</v>
      </c>
      <c r="K433" s="1" t="s">
        <v>1310</v>
      </c>
      <c r="L433" s="11">
        <v>17000</v>
      </c>
      <c r="M433" s="11">
        <v>45000</v>
      </c>
      <c r="N433" s="2" t="s">
        <v>25</v>
      </c>
      <c r="O433" s="15">
        <v>28000</v>
      </c>
    </row>
    <row r="434" spans="1:15" x14ac:dyDescent="0.25">
      <c r="A434" s="56">
        <v>44657</v>
      </c>
      <c r="B434" s="4" t="s">
        <v>1372</v>
      </c>
      <c r="C434" s="191" t="s">
        <v>1312</v>
      </c>
      <c r="D434" s="1" t="s">
        <v>22</v>
      </c>
      <c r="E434" s="4" t="s">
        <v>1314</v>
      </c>
      <c r="F434" s="1" t="s">
        <v>408</v>
      </c>
      <c r="G434" s="71" t="s">
        <v>1326</v>
      </c>
      <c r="H434" s="2">
        <v>60000</v>
      </c>
      <c r="I434" s="2">
        <v>60000</v>
      </c>
      <c r="J434" s="192">
        <v>24000</v>
      </c>
      <c r="K434" s="1" t="s">
        <v>1315</v>
      </c>
      <c r="L434" s="11">
        <v>460000</v>
      </c>
      <c r="M434" s="11">
        <v>569000</v>
      </c>
      <c r="N434" s="2" t="s">
        <v>25</v>
      </c>
      <c r="O434" s="15">
        <v>109000</v>
      </c>
    </row>
    <row r="435" spans="1:15" x14ac:dyDescent="0.25">
      <c r="A435" s="56">
        <v>44657</v>
      </c>
      <c r="C435" s="191"/>
      <c r="E435" s="4" t="s">
        <v>1374</v>
      </c>
      <c r="F435" s="1" t="s">
        <v>19</v>
      </c>
      <c r="G435" s="71" t="s">
        <v>1375</v>
      </c>
      <c r="H435" s="2">
        <v>20000</v>
      </c>
      <c r="I435" s="2">
        <v>12000</v>
      </c>
      <c r="J435" s="192">
        <v>8000</v>
      </c>
      <c r="L435" s="11">
        <v>170000</v>
      </c>
      <c r="M435" s="11"/>
      <c r="N435" s="2" t="s">
        <v>25</v>
      </c>
      <c r="O435" s="15">
        <v>-170000</v>
      </c>
    </row>
    <row r="436" spans="1:15" x14ac:dyDescent="0.25">
      <c r="A436" s="56">
        <v>44657</v>
      </c>
      <c r="B436" s="4" t="s">
        <v>1316</v>
      </c>
      <c r="C436" s="191" t="s">
        <v>1317</v>
      </c>
      <c r="D436" s="1" t="s">
        <v>1318</v>
      </c>
      <c r="E436" s="4" t="s">
        <v>1319</v>
      </c>
      <c r="F436" s="1" t="s">
        <v>10</v>
      </c>
      <c r="G436" s="71" t="s">
        <v>1380</v>
      </c>
      <c r="H436" s="2">
        <v>250000</v>
      </c>
      <c r="I436" s="2">
        <v>150000</v>
      </c>
      <c r="J436" s="192">
        <v>100000</v>
      </c>
      <c r="L436" s="11"/>
      <c r="M436" s="11"/>
      <c r="N436" s="2" t="s">
        <v>25</v>
      </c>
      <c r="O436" s="15">
        <v>0</v>
      </c>
    </row>
    <row r="437" spans="1:15" x14ac:dyDescent="0.25">
      <c r="A437" s="56">
        <v>44657</v>
      </c>
      <c r="C437" s="191" t="s">
        <v>1320</v>
      </c>
      <c r="D437" s="1" t="s">
        <v>52</v>
      </c>
      <c r="E437" s="4" t="s">
        <v>1321</v>
      </c>
      <c r="F437" s="1" t="s">
        <v>19</v>
      </c>
      <c r="G437" s="71" t="s">
        <v>21</v>
      </c>
      <c r="H437" s="2">
        <v>12000</v>
      </c>
      <c r="I437" s="2">
        <v>7200</v>
      </c>
      <c r="J437" s="192">
        <v>4800</v>
      </c>
      <c r="L437" s="11"/>
      <c r="M437" s="11"/>
      <c r="N437" s="2" t="s">
        <v>25</v>
      </c>
      <c r="O437" s="15">
        <v>0</v>
      </c>
    </row>
    <row r="438" spans="1:15" x14ac:dyDescent="0.25">
      <c r="A438" s="56">
        <v>44657</v>
      </c>
      <c r="B438" s="4" t="s">
        <v>1322</v>
      </c>
      <c r="C438" s="191" t="s">
        <v>1238</v>
      </c>
      <c r="D438" s="1" t="s">
        <v>59</v>
      </c>
      <c r="E438" s="4" t="s">
        <v>60</v>
      </c>
      <c r="F438" s="1" t="s">
        <v>10</v>
      </c>
      <c r="G438" s="71" t="s">
        <v>1323</v>
      </c>
      <c r="H438" s="2">
        <v>250000</v>
      </c>
      <c r="I438" s="2">
        <v>150000</v>
      </c>
      <c r="J438" s="192">
        <v>100000</v>
      </c>
      <c r="L438" s="11"/>
      <c r="M438" s="11"/>
      <c r="N438" s="2" t="s">
        <v>25</v>
      </c>
      <c r="O438" s="15">
        <v>0</v>
      </c>
    </row>
    <row r="439" spans="1:15" x14ac:dyDescent="0.25">
      <c r="A439" s="56">
        <v>44657</v>
      </c>
      <c r="C439" s="191" t="s">
        <v>739</v>
      </c>
      <c r="D439" s="1" t="s">
        <v>200</v>
      </c>
      <c r="E439" s="4" t="s">
        <v>449</v>
      </c>
      <c r="F439" s="1" t="s">
        <v>408</v>
      </c>
      <c r="G439" s="71" t="s">
        <v>21</v>
      </c>
      <c r="H439" s="2">
        <v>10000</v>
      </c>
      <c r="I439" s="2">
        <v>6000</v>
      </c>
      <c r="J439" s="192">
        <v>4000</v>
      </c>
      <c r="L439" s="11"/>
      <c r="M439" s="11"/>
      <c r="N439" s="2" t="s">
        <v>25</v>
      </c>
      <c r="O439" s="15">
        <v>0</v>
      </c>
    </row>
    <row r="440" spans="1:15" x14ac:dyDescent="0.25">
      <c r="A440" s="56">
        <v>44657</v>
      </c>
      <c r="C440" s="191" t="s">
        <v>1324</v>
      </c>
      <c r="D440" s="1" t="s">
        <v>54</v>
      </c>
      <c r="E440" s="4" t="s">
        <v>1325</v>
      </c>
      <c r="F440" s="1" t="s">
        <v>19</v>
      </c>
      <c r="G440" s="71" t="s">
        <v>21</v>
      </c>
      <c r="H440" s="2">
        <v>20000</v>
      </c>
      <c r="I440" s="2">
        <v>12000</v>
      </c>
      <c r="J440" s="192">
        <v>8000</v>
      </c>
      <c r="L440" s="11"/>
      <c r="M440" s="11"/>
      <c r="N440" s="2" t="s">
        <v>25</v>
      </c>
      <c r="O440" s="15">
        <v>0</v>
      </c>
    </row>
    <row r="441" spans="1:15" x14ac:dyDescent="0.25">
      <c r="A441" s="56">
        <v>44658</v>
      </c>
      <c r="B441" s="4" t="s">
        <v>1327</v>
      </c>
      <c r="C441" s="191" t="s">
        <v>1328</v>
      </c>
      <c r="D441" s="1" t="s">
        <v>1379</v>
      </c>
      <c r="E441" s="4" t="s">
        <v>1329</v>
      </c>
      <c r="F441" s="1" t="s">
        <v>408</v>
      </c>
      <c r="G441" s="71" t="s">
        <v>193</v>
      </c>
      <c r="H441" s="2">
        <v>30000</v>
      </c>
      <c r="I441" s="2">
        <v>18000</v>
      </c>
      <c r="J441" s="192">
        <v>12000</v>
      </c>
      <c r="L441" s="11"/>
      <c r="M441" s="11"/>
      <c r="N441" s="2" t="s">
        <v>25</v>
      </c>
      <c r="O441" s="15">
        <v>0</v>
      </c>
    </row>
    <row r="442" spans="1:15" x14ac:dyDescent="0.25">
      <c r="A442" s="56">
        <v>44658</v>
      </c>
      <c r="B442" s="4" t="s">
        <v>1327</v>
      </c>
      <c r="C442" s="191" t="s">
        <v>1328</v>
      </c>
      <c r="D442" s="1" t="s">
        <v>1379</v>
      </c>
      <c r="E442" s="4" t="s">
        <v>1329</v>
      </c>
      <c r="F442" s="1" t="s">
        <v>10</v>
      </c>
      <c r="G442" s="71" t="s">
        <v>1330</v>
      </c>
      <c r="H442" s="2">
        <v>50000</v>
      </c>
      <c r="I442" s="2">
        <v>30000</v>
      </c>
      <c r="J442" s="192">
        <v>20000</v>
      </c>
      <c r="L442" s="11"/>
      <c r="M442" s="11"/>
      <c r="N442" s="2" t="s">
        <v>25</v>
      </c>
      <c r="O442" s="15">
        <v>0</v>
      </c>
    </row>
    <row r="443" spans="1:15" x14ac:dyDescent="0.25">
      <c r="A443" s="56">
        <v>44658</v>
      </c>
      <c r="B443" s="4" t="s">
        <v>1331</v>
      </c>
      <c r="C443" s="191" t="s">
        <v>598</v>
      </c>
      <c r="D443" s="1" t="s">
        <v>1332</v>
      </c>
      <c r="E443" s="4" t="s">
        <v>1333</v>
      </c>
      <c r="F443" s="1" t="s">
        <v>34</v>
      </c>
      <c r="G443" s="71" t="s">
        <v>1335</v>
      </c>
      <c r="H443" s="2">
        <v>90000</v>
      </c>
      <c r="I443" s="2">
        <v>54000</v>
      </c>
      <c r="J443" s="192">
        <v>36000</v>
      </c>
      <c r="L443" s="11"/>
      <c r="M443" s="11"/>
      <c r="N443" s="2" t="s">
        <v>25</v>
      </c>
      <c r="O443" s="15">
        <v>0</v>
      </c>
    </row>
    <row r="444" spans="1:15" x14ac:dyDescent="0.25">
      <c r="A444" s="56">
        <v>44658</v>
      </c>
      <c r="B444" s="4" t="s">
        <v>1331</v>
      </c>
      <c r="C444" s="191" t="s">
        <v>598</v>
      </c>
      <c r="D444" s="1" t="s">
        <v>1332</v>
      </c>
      <c r="E444" s="4" t="s">
        <v>1333</v>
      </c>
      <c r="F444" s="1" t="s">
        <v>408</v>
      </c>
      <c r="G444" s="71" t="s">
        <v>1373</v>
      </c>
      <c r="H444" s="2">
        <v>150000</v>
      </c>
      <c r="I444" s="2">
        <v>90000</v>
      </c>
      <c r="J444" s="192">
        <v>60000</v>
      </c>
      <c r="L444" s="11">
        <v>170000</v>
      </c>
      <c r="M444" s="11"/>
      <c r="N444" s="2" t="s">
        <v>25</v>
      </c>
      <c r="O444" s="15">
        <v>-170000</v>
      </c>
    </row>
    <row r="445" spans="1:15" x14ac:dyDescent="0.25">
      <c r="A445" s="56">
        <v>44658</v>
      </c>
      <c r="B445" s="4" t="s">
        <v>836</v>
      </c>
      <c r="C445" s="191" t="s">
        <v>1336</v>
      </c>
      <c r="D445" s="1" t="s">
        <v>1337</v>
      </c>
      <c r="E445" s="4" t="s">
        <v>1338</v>
      </c>
      <c r="F445" s="1" t="s">
        <v>408</v>
      </c>
      <c r="G445" s="71" t="s">
        <v>1339</v>
      </c>
      <c r="H445" s="2">
        <v>80000</v>
      </c>
      <c r="I445" s="2">
        <v>48000</v>
      </c>
      <c r="J445" s="192">
        <v>32000</v>
      </c>
      <c r="L445" s="11"/>
      <c r="M445" s="11"/>
      <c r="N445" s="2" t="s">
        <v>25</v>
      </c>
      <c r="O445" s="15">
        <v>0</v>
      </c>
    </row>
    <row r="446" spans="1:15" x14ac:dyDescent="0.25">
      <c r="A446" s="56">
        <v>44658</v>
      </c>
      <c r="B446" s="4" t="s">
        <v>1340</v>
      </c>
      <c r="C446" s="191" t="s">
        <v>1341</v>
      </c>
      <c r="D446" s="1" t="s">
        <v>412</v>
      </c>
      <c r="E446" s="4" t="s">
        <v>1342</v>
      </c>
      <c r="F446" s="1" t="s">
        <v>408</v>
      </c>
      <c r="G446" s="71" t="s">
        <v>1257</v>
      </c>
      <c r="H446" s="2">
        <v>60000</v>
      </c>
      <c r="I446" s="2">
        <v>36000</v>
      </c>
      <c r="J446" s="192">
        <v>24000</v>
      </c>
      <c r="L446" s="11"/>
      <c r="M446" s="11"/>
      <c r="N446" s="2" t="s">
        <v>25</v>
      </c>
      <c r="O446" s="15">
        <v>0</v>
      </c>
    </row>
    <row r="447" spans="1:15" x14ac:dyDescent="0.25">
      <c r="A447" s="56">
        <v>44658</v>
      </c>
      <c r="B447" s="4" t="s">
        <v>1343</v>
      </c>
      <c r="C447" s="191" t="s">
        <v>1344</v>
      </c>
      <c r="D447" s="1" t="s">
        <v>1345</v>
      </c>
      <c r="E447" s="4" t="s">
        <v>1346</v>
      </c>
      <c r="F447" s="1" t="s">
        <v>19</v>
      </c>
      <c r="G447" s="71" t="s">
        <v>1347</v>
      </c>
      <c r="H447" s="2">
        <v>40000</v>
      </c>
      <c r="I447" s="2">
        <v>40000</v>
      </c>
      <c r="J447" s="192">
        <v>16000</v>
      </c>
      <c r="K447" s="1" t="s">
        <v>1348</v>
      </c>
      <c r="L447" s="11">
        <v>160000</v>
      </c>
      <c r="M447" s="11">
        <v>230000</v>
      </c>
      <c r="N447" s="2" t="s">
        <v>25</v>
      </c>
      <c r="O447" s="15">
        <v>70000</v>
      </c>
    </row>
    <row r="448" spans="1:15" x14ac:dyDescent="0.25">
      <c r="A448" s="56">
        <v>44658</v>
      </c>
      <c r="B448" s="4" t="s">
        <v>1349</v>
      </c>
      <c r="C448" s="191" t="s">
        <v>1350</v>
      </c>
      <c r="D448" s="1" t="s">
        <v>1351</v>
      </c>
      <c r="E448" s="4" t="s">
        <v>1352</v>
      </c>
      <c r="F448" s="1" t="s">
        <v>19</v>
      </c>
      <c r="G448" s="71" t="s">
        <v>1353</v>
      </c>
      <c r="H448" s="2">
        <v>40000</v>
      </c>
      <c r="I448" s="2">
        <v>24000</v>
      </c>
      <c r="J448" s="192">
        <v>16000</v>
      </c>
      <c r="K448" s="1" t="s">
        <v>217</v>
      </c>
      <c r="L448" s="11">
        <v>104000</v>
      </c>
      <c r="M448" s="11">
        <v>144000</v>
      </c>
      <c r="N448" s="2" t="s">
        <v>25</v>
      </c>
      <c r="O448" s="15">
        <v>40000</v>
      </c>
    </row>
    <row r="449" spans="1:15" x14ac:dyDescent="0.25">
      <c r="A449" s="56">
        <v>44658</v>
      </c>
      <c r="B449" s="4" t="s">
        <v>1354</v>
      </c>
      <c r="C449" s="191" t="s">
        <v>1355</v>
      </c>
      <c r="D449" s="1" t="s">
        <v>1356</v>
      </c>
      <c r="E449" s="4" t="s">
        <v>1357</v>
      </c>
      <c r="F449" s="1" t="s">
        <v>10</v>
      </c>
      <c r="G449" s="71" t="s">
        <v>1001</v>
      </c>
      <c r="H449" s="2">
        <v>280000</v>
      </c>
      <c r="I449" s="2">
        <v>168000</v>
      </c>
      <c r="J449" s="192">
        <v>112000</v>
      </c>
      <c r="K449" s="1" t="s">
        <v>447</v>
      </c>
      <c r="L449" s="11">
        <v>950000</v>
      </c>
      <c r="M449" s="11">
        <v>1310000</v>
      </c>
      <c r="N449" s="2" t="s">
        <v>25</v>
      </c>
      <c r="O449" s="15">
        <v>360000</v>
      </c>
    </row>
    <row r="450" spans="1:15" x14ac:dyDescent="0.25">
      <c r="A450" s="56">
        <v>44658</v>
      </c>
      <c r="C450" s="191"/>
      <c r="D450" s="1" t="s">
        <v>1359</v>
      </c>
      <c r="E450" s="4" t="s">
        <v>1360</v>
      </c>
      <c r="F450" s="1" t="s">
        <v>19</v>
      </c>
      <c r="G450" s="71" t="s">
        <v>1361</v>
      </c>
      <c r="H450" s="2">
        <v>10000</v>
      </c>
      <c r="I450" s="2">
        <v>6000</v>
      </c>
      <c r="J450" s="192">
        <f>Tabla210[[#This Row],[TOTAL FACTURA]]*0.4</f>
        <v>4000</v>
      </c>
      <c r="L450" s="11"/>
      <c r="M450" s="11"/>
      <c r="N450" s="2" t="s">
        <v>25</v>
      </c>
      <c r="O450" s="15">
        <f>Tabla210[[#This Row],[MONTO DE COMPRA]]-Tabla210[[#This Row],[MONTO DE LA VENTA]]</f>
        <v>0</v>
      </c>
    </row>
    <row r="451" spans="1:15" x14ac:dyDescent="0.25">
      <c r="A451" s="56">
        <v>44658</v>
      </c>
      <c r="C451" s="191"/>
      <c r="D451" s="1" t="s">
        <v>54</v>
      </c>
      <c r="E451" s="4" t="s">
        <v>1362</v>
      </c>
      <c r="F451" s="1" t="s">
        <v>34</v>
      </c>
      <c r="G451" s="71" t="s">
        <v>1363</v>
      </c>
      <c r="H451" s="2">
        <v>10000</v>
      </c>
      <c r="I451" s="2">
        <v>6000</v>
      </c>
      <c r="J451" s="192">
        <v>4000</v>
      </c>
      <c r="L451" s="11">
        <v>170000</v>
      </c>
      <c r="M451" s="11"/>
      <c r="N451" s="2" t="s">
        <v>25</v>
      </c>
      <c r="O451" s="15">
        <v>-170000</v>
      </c>
    </row>
    <row r="452" spans="1:15" x14ac:dyDescent="0.25">
      <c r="A452" s="56">
        <v>44658</v>
      </c>
      <c r="C452" s="191" t="s">
        <v>1376</v>
      </c>
      <c r="D452" s="1" t="s">
        <v>54</v>
      </c>
      <c r="E452" s="4" t="s">
        <v>1377</v>
      </c>
      <c r="F452" s="1" t="s">
        <v>19</v>
      </c>
      <c r="G452" s="71" t="s">
        <v>193</v>
      </c>
      <c r="H452" s="2">
        <v>30000</v>
      </c>
      <c r="I452" s="2">
        <v>18000</v>
      </c>
      <c r="J452" s="192">
        <v>12000</v>
      </c>
      <c r="L452" s="11">
        <v>170000</v>
      </c>
      <c r="M452" s="11"/>
      <c r="N452" s="2" t="s">
        <v>25</v>
      </c>
      <c r="O452" s="15">
        <v>-170000</v>
      </c>
    </row>
    <row r="453" spans="1:15" x14ac:dyDescent="0.25">
      <c r="A453" s="56">
        <v>44659</v>
      </c>
      <c r="B453" s="4" t="s">
        <v>1358</v>
      </c>
      <c r="C453" s="191" t="s">
        <v>739</v>
      </c>
      <c r="D453" s="1" t="s">
        <v>240</v>
      </c>
      <c r="E453" s="4" t="s">
        <v>404</v>
      </c>
      <c r="F453" s="1" t="s">
        <v>19</v>
      </c>
      <c r="G453" s="71" t="s">
        <v>21</v>
      </c>
      <c r="H453" s="2">
        <v>12000</v>
      </c>
      <c r="I453" s="2">
        <v>7200</v>
      </c>
      <c r="J453" s="192">
        <v>4800</v>
      </c>
      <c r="L453" s="11"/>
      <c r="M453" s="11"/>
      <c r="N453" s="2" t="s">
        <v>25</v>
      </c>
      <c r="O453" s="15">
        <v>0</v>
      </c>
    </row>
    <row r="454" spans="1:15" x14ac:dyDescent="0.25">
      <c r="A454" s="56">
        <v>44659</v>
      </c>
      <c r="B454" s="4" t="s">
        <v>1364</v>
      </c>
      <c r="C454" s="191" t="s">
        <v>1365</v>
      </c>
      <c r="D454" s="1" t="s">
        <v>815</v>
      </c>
      <c r="E454" s="4" t="s">
        <v>1366</v>
      </c>
      <c r="F454" s="1" t="s">
        <v>19</v>
      </c>
      <c r="G454" s="71" t="s">
        <v>1334</v>
      </c>
      <c r="H454" s="2">
        <v>10000</v>
      </c>
      <c r="I454" s="2">
        <v>6000</v>
      </c>
      <c r="J454" s="192">
        <v>4000</v>
      </c>
      <c r="L454" s="11"/>
      <c r="M454" s="11"/>
      <c r="N454" s="2" t="s">
        <v>25</v>
      </c>
      <c r="O454" s="15">
        <v>0</v>
      </c>
    </row>
    <row r="455" spans="1:15" x14ac:dyDescent="0.25">
      <c r="A455" s="56">
        <v>44659</v>
      </c>
      <c r="B455" s="4" t="s">
        <v>1364</v>
      </c>
      <c r="C455" s="191" t="s">
        <v>1365</v>
      </c>
      <c r="D455" s="1" t="s">
        <v>815</v>
      </c>
      <c r="E455" s="4" t="s">
        <v>1366</v>
      </c>
      <c r="F455" s="1" t="s">
        <v>408</v>
      </c>
      <c r="G455" s="71" t="s">
        <v>1334</v>
      </c>
      <c r="H455" s="2">
        <v>10000</v>
      </c>
      <c r="I455" s="2">
        <v>6000</v>
      </c>
      <c r="J455" s="192">
        <v>4000</v>
      </c>
      <c r="L455" s="11"/>
      <c r="M455" s="11"/>
      <c r="N455" s="2" t="s">
        <v>25</v>
      </c>
      <c r="O455" s="15">
        <v>0</v>
      </c>
    </row>
    <row r="456" spans="1:15" x14ac:dyDescent="0.25">
      <c r="A456" s="56">
        <v>44659</v>
      </c>
      <c r="C456" s="191" t="s">
        <v>215</v>
      </c>
      <c r="E456" s="4"/>
      <c r="G456" s="71" t="s">
        <v>1367</v>
      </c>
      <c r="H456" s="2">
        <v>5000</v>
      </c>
      <c r="I456" s="2">
        <v>3000</v>
      </c>
      <c r="J456" s="192">
        <v>2000</v>
      </c>
      <c r="L456" s="11"/>
      <c r="M456" s="11"/>
      <c r="N456" s="2" t="s">
        <v>25</v>
      </c>
      <c r="O456" s="15">
        <v>0</v>
      </c>
    </row>
    <row r="457" spans="1:15" x14ac:dyDescent="0.25">
      <c r="A457" s="56">
        <v>44659</v>
      </c>
      <c r="B457" s="4" t="s">
        <v>1368</v>
      </c>
      <c r="C457" s="191" t="s">
        <v>1369</v>
      </c>
      <c r="D457" s="1" t="s">
        <v>107</v>
      </c>
      <c r="E457" s="4" t="s">
        <v>1370</v>
      </c>
      <c r="F457" s="1" t="s">
        <v>10</v>
      </c>
      <c r="G457" s="71" t="s">
        <v>956</v>
      </c>
      <c r="H457" s="2">
        <v>800000</v>
      </c>
      <c r="I457" s="2">
        <v>800000</v>
      </c>
      <c r="J457" s="192">
        <v>320000</v>
      </c>
      <c r="L457" s="11"/>
      <c r="M457" s="11"/>
      <c r="N457" s="2" t="s">
        <v>25</v>
      </c>
      <c r="O457" s="15">
        <v>0</v>
      </c>
    </row>
    <row r="458" spans="1:15" x14ac:dyDescent="0.25">
      <c r="A458" s="56">
        <v>44659</v>
      </c>
      <c r="B458" s="4" t="s">
        <v>1368</v>
      </c>
      <c r="C458" s="191" t="s">
        <v>1369</v>
      </c>
      <c r="D458" s="1" t="s">
        <v>107</v>
      </c>
      <c r="E458" s="4" t="s">
        <v>1370</v>
      </c>
      <c r="F458" s="1" t="s">
        <v>408</v>
      </c>
      <c r="G458" s="71" t="s">
        <v>206</v>
      </c>
      <c r="H458" s="2">
        <v>100000</v>
      </c>
      <c r="I458" s="2">
        <v>100000</v>
      </c>
      <c r="J458" s="192">
        <v>40000</v>
      </c>
      <c r="L458" s="11"/>
      <c r="M458" s="11"/>
      <c r="N458" s="2" t="s">
        <v>25</v>
      </c>
      <c r="O458" s="15">
        <v>0</v>
      </c>
    </row>
    <row r="459" spans="1:15" x14ac:dyDescent="0.25">
      <c r="A459" s="56">
        <v>44660</v>
      </c>
      <c r="B459" s="4" t="s">
        <v>1383</v>
      </c>
      <c r="C459" s="191" t="s">
        <v>1384</v>
      </c>
      <c r="D459" s="1" t="s">
        <v>194</v>
      </c>
      <c r="E459" s="4" t="s">
        <v>1385</v>
      </c>
      <c r="F459" s="1" t="s">
        <v>408</v>
      </c>
      <c r="G459" s="71" t="s">
        <v>1386</v>
      </c>
      <c r="H459" s="2">
        <v>100000</v>
      </c>
      <c r="I459" s="2">
        <v>60000</v>
      </c>
      <c r="J459" s="192">
        <v>40000</v>
      </c>
      <c r="K459" s="1" t="s">
        <v>1387</v>
      </c>
      <c r="L459" s="11">
        <v>134000</v>
      </c>
      <c r="M459" s="11">
        <v>170000</v>
      </c>
      <c r="N459" s="2" t="s">
        <v>25</v>
      </c>
      <c r="O459" s="15">
        <v>36000</v>
      </c>
    </row>
    <row r="460" spans="1:15" x14ac:dyDescent="0.25">
      <c r="A460" s="56">
        <v>44660</v>
      </c>
      <c r="C460" s="191" t="s">
        <v>1388</v>
      </c>
      <c r="D460" s="1" t="s">
        <v>580</v>
      </c>
      <c r="E460" s="4" t="s">
        <v>1389</v>
      </c>
      <c r="F460" s="1" t="s">
        <v>408</v>
      </c>
      <c r="G460" s="71" t="s">
        <v>1390</v>
      </c>
      <c r="H460" s="2">
        <v>40000</v>
      </c>
      <c r="I460" s="2">
        <v>24000</v>
      </c>
      <c r="J460" s="192">
        <v>16000</v>
      </c>
      <c r="L460" s="11"/>
      <c r="M460" s="11"/>
      <c r="N460" s="2" t="s">
        <v>25</v>
      </c>
      <c r="O460" s="15">
        <v>0</v>
      </c>
    </row>
    <row r="461" spans="1:15" x14ac:dyDescent="0.25">
      <c r="A461" s="56">
        <v>44660</v>
      </c>
      <c r="C461" s="191"/>
      <c r="D461" s="1" t="s">
        <v>84</v>
      </c>
      <c r="E461" s="4" t="s">
        <v>1288</v>
      </c>
      <c r="F461" s="1" t="s">
        <v>19</v>
      </c>
      <c r="G461" s="71" t="s">
        <v>21</v>
      </c>
      <c r="H461" s="2">
        <v>10000</v>
      </c>
      <c r="I461" s="2">
        <v>6000</v>
      </c>
      <c r="J461" s="192">
        <v>4000</v>
      </c>
      <c r="L461" s="11"/>
      <c r="M461" s="11"/>
      <c r="N461" s="2" t="s">
        <v>25</v>
      </c>
      <c r="O461" s="15">
        <v>0</v>
      </c>
    </row>
    <row r="462" spans="1:15" x14ac:dyDescent="0.25">
      <c r="A462" s="56">
        <v>44660</v>
      </c>
      <c r="C462" s="191" t="s">
        <v>1250</v>
      </c>
      <c r="E462" s="4" t="s">
        <v>1391</v>
      </c>
      <c r="F462" s="1" t="s">
        <v>34</v>
      </c>
      <c r="G462" s="71" t="s">
        <v>1392</v>
      </c>
      <c r="H462" s="2">
        <v>25000</v>
      </c>
      <c r="I462" s="2">
        <v>15000</v>
      </c>
      <c r="J462" s="192">
        <v>10000</v>
      </c>
      <c r="K462" s="1" t="s">
        <v>1393</v>
      </c>
      <c r="L462" s="11">
        <v>25000</v>
      </c>
      <c r="M462" s="11">
        <v>15000</v>
      </c>
      <c r="N462" s="2" t="s">
        <v>25</v>
      </c>
      <c r="O462" s="15">
        <v>-10000</v>
      </c>
    </row>
    <row r="463" spans="1:15" x14ac:dyDescent="0.25">
      <c r="A463" s="56">
        <v>44662</v>
      </c>
      <c r="C463" s="191" t="s">
        <v>1394</v>
      </c>
      <c r="E463" s="4" t="s">
        <v>1395</v>
      </c>
      <c r="F463" s="1" t="s">
        <v>18</v>
      </c>
      <c r="G463" s="71" t="s">
        <v>1396</v>
      </c>
      <c r="H463" s="2">
        <v>30000</v>
      </c>
      <c r="I463" s="2">
        <v>20000</v>
      </c>
      <c r="J463" s="192">
        <v>12000</v>
      </c>
      <c r="L463" s="11"/>
      <c r="M463" s="11"/>
      <c r="N463" s="2" t="s">
        <v>25</v>
      </c>
      <c r="O463" s="15">
        <v>0</v>
      </c>
    </row>
    <row r="464" spans="1:15" x14ac:dyDescent="0.25">
      <c r="A464" s="56">
        <v>44662</v>
      </c>
      <c r="B464" s="4" t="s">
        <v>1398</v>
      </c>
      <c r="C464" s="191" t="s">
        <v>1399</v>
      </c>
      <c r="D464" s="1" t="s">
        <v>59</v>
      </c>
      <c r="E464" s="4" t="s">
        <v>1397</v>
      </c>
      <c r="F464" s="1" t="s">
        <v>408</v>
      </c>
      <c r="G464" s="71" t="s">
        <v>1400</v>
      </c>
      <c r="H464" s="2">
        <v>280000</v>
      </c>
      <c r="I464" s="2">
        <v>168000</v>
      </c>
      <c r="J464" s="192">
        <v>112000</v>
      </c>
      <c r="L464" s="11"/>
      <c r="M464" s="11"/>
      <c r="N464" s="2" t="s">
        <v>25</v>
      </c>
      <c r="O464" s="15">
        <v>0</v>
      </c>
    </row>
    <row r="465" spans="1:15" x14ac:dyDescent="0.25">
      <c r="A465" s="56">
        <v>44662</v>
      </c>
      <c r="B465" s="4" t="s">
        <v>1401</v>
      </c>
      <c r="C465" s="191" t="s">
        <v>1402</v>
      </c>
      <c r="D465" s="1" t="s">
        <v>200</v>
      </c>
      <c r="E465" s="4" t="s">
        <v>1403</v>
      </c>
      <c r="F465" s="1" t="s">
        <v>19</v>
      </c>
      <c r="G465" s="71" t="s">
        <v>193</v>
      </c>
      <c r="H465" s="2">
        <v>30000</v>
      </c>
      <c r="I465" s="2">
        <v>18000</v>
      </c>
      <c r="J465" s="192">
        <v>12000</v>
      </c>
      <c r="L465" s="11"/>
      <c r="M465" s="11"/>
      <c r="N465" s="2" t="s">
        <v>25</v>
      </c>
      <c r="O465" s="15">
        <v>0</v>
      </c>
    </row>
    <row r="466" spans="1:15" x14ac:dyDescent="0.25">
      <c r="A466" s="56">
        <v>44662</v>
      </c>
      <c r="B466" s="4" t="s">
        <v>1404</v>
      </c>
      <c r="C466" s="191" t="s">
        <v>1405</v>
      </c>
      <c r="D466" s="1" t="s">
        <v>69</v>
      </c>
      <c r="E466" s="4" t="s">
        <v>70</v>
      </c>
      <c r="F466" s="1" t="s">
        <v>19</v>
      </c>
      <c r="G466" s="71" t="s">
        <v>378</v>
      </c>
      <c r="H466" s="2">
        <v>100000</v>
      </c>
      <c r="I466" s="2">
        <v>60000</v>
      </c>
      <c r="J466" s="192">
        <v>40000</v>
      </c>
      <c r="K466" s="1" t="s">
        <v>1142</v>
      </c>
      <c r="L466" s="11">
        <v>110000</v>
      </c>
      <c r="M466" s="11">
        <v>160000</v>
      </c>
      <c r="N466" s="2" t="s">
        <v>25</v>
      </c>
      <c r="O466" s="15">
        <v>50000</v>
      </c>
    </row>
    <row r="467" spans="1:15" x14ac:dyDescent="0.25">
      <c r="A467" s="56">
        <v>44662</v>
      </c>
      <c r="C467" s="191"/>
      <c r="D467" s="1" t="s">
        <v>435</v>
      </c>
      <c r="E467" s="4" t="s">
        <v>1406</v>
      </c>
      <c r="F467" s="1" t="s">
        <v>10</v>
      </c>
      <c r="G467" s="71" t="s">
        <v>1407</v>
      </c>
      <c r="H467" s="2">
        <v>180000</v>
      </c>
      <c r="I467" s="2">
        <v>108000</v>
      </c>
      <c r="J467" s="192">
        <v>72000</v>
      </c>
      <c r="L467" s="11"/>
      <c r="M467" s="11"/>
      <c r="N467" s="2" t="s">
        <v>25</v>
      </c>
      <c r="O467" s="15">
        <v>0</v>
      </c>
    </row>
    <row r="468" spans="1:15" x14ac:dyDescent="0.25">
      <c r="A468" s="56">
        <v>44662</v>
      </c>
      <c r="B468" s="4" t="s">
        <v>1408</v>
      </c>
      <c r="C468" s="191" t="s">
        <v>1409</v>
      </c>
      <c r="D468" s="1" t="s">
        <v>1410</v>
      </c>
      <c r="E468" s="4" t="s">
        <v>1411</v>
      </c>
      <c r="F468" s="1" t="s">
        <v>10</v>
      </c>
      <c r="G468" s="71" t="s">
        <v>343</v>
      </c>
      <c r="H468" s="2">
        <v>130000</v>
      </c>
      <c r="I468" s="2">
        <v>78000</v>
      </c>
      <c r="J468" s="192">
        <v>52000</v>
      </c>
      <c r="L468" s="11"/>
      <c r="M468" s="11"/>
      <c r="N468" s="2" t="s">
        <v>25</v>
      </c>
      <c r="O468" s="15">
        <v>0</v>
      </c>
    </row>
    <row r="469" spans="1:15" x14ac:dyDescent="0.25">
      <c r="A469" s="56">
        <v>44662</v>
      </c>
      <c r="B469" s="4" t="s">
        <v>1408</v>
      </c>
      <c r="C469" s="191" t="s">
        <v>1409</v>
      </c>
      <c r="D469" s="1" t="s">
        <v>1410</v>
      </c>
      <c r="E469" s="4" t="s">
        <v>1411</v>
      </c>
      <c r="F469" s="1" t="s">
        <v>408</v>
      </c>
      <c r="G469" s="71" t="s">
        <v>1412</v>
      </c>
      <c r="H469" s="2">
        <v>100000</v>
      </c>
      <c r="I469" s="2">
        <v>60000</v>
      </c>
      <c r="J469" s="192">
        <v>40000</v>
      </c>
      <c r="L469" s="11"/>
      <c r="M469" s="11"/>
      <c r="N469" s="2" t="s">
        <v>25</v>
      </c>
      <c r="O469" s="15">
        <v>0</v>
      </c>
    </row>
    <row r="470" spans="1:15" x14ac:dyDescent="0.25">
      <c r="A470" s="56">
        <v>44662</v>
      </c>
      <c r="B470" s="4" t="s">
        <v>1413</v>
      </c>
      <c r="C470" s="191" t="s">
        <v>598</v>
      </c>
      <c r="D470" s="1" t="s">
        <v>1414</v>
      </c>
      <c r="E470" s="4"/>
      <c r="F470" s="1" t="s">
        <v>10</v>
      </c>
      <c r="G470" s="71" t="s">
        <v>1415</v>
      </c>
      <c r="H470" s="2">
        <v>30000</v>
      </c>
      <c r="I470" s="2">
        <v>18000</v>
      </c>
      <c r="J470" s="192">
        <v>12000</v>
      </c>
      <c r="L470" s="11"/>
      <c r="M470" s="11"/>
      <c r="N470" s="2" t="s">
        <v>25</v>
      </c>
      <c r="O470" s="15">
        <v>0</v>
      </c>
    </row>
    <row r="471" spans="1:15" x14ac:dyDescent="0.25">
      <c r="A471" s="56">
        <v>44663</v>
      </c>
      <c r="B471" s="4" t="s">
        <v>1416</v>
      </c>
      <c r="C471" s="191" t="s">
        <v>1417</v>
      </c>
      <c r="D471" s="1" t="s">
        <v>1418</v>
      </c>
      <c r="E471" s="4" t="s">
        <v>1419</v>
      </c>
      <c r="F471" s="1" t="s">
        <v>408</v>
      </c>
      <c r="G471" s="71" t="s">
        <v>1420</v>
      </c>
      <c r="H471" s="2">
        <v>60000</v>
      </c>
      <c r="I471" s="2">
        <v>36000</v>
      </c>
      <c r="J471" s="192">
        <v>24000</v>
      </c>
      <c r="K471" s="1" t="s">
        <v>1421</v>
      </c>
      <c r="L471" s="11">
        <v>22000</v>
      </c>
      <c r="M471" s="11">
        <v>33000</v>
      </c>
      <c r="N471" s="2" t="s">
        <v>25</v>
      </c>
      <c r="O471" s="15">
        <v>11000</v>
      </c>
    </row>
    <row r="472" spans="1:15" x14ac:dyDescent="0.25">
      <c r="A472" s="56">
        <v>44663</v>
      </c>
      <c r="B472" s="4" t="s">
        <v>941</v>
      </c>
      <c r="C472" s="191" t="s">
        <v>1422</v>
      </c>
      <c r="D472" s="1" t="s">
        <v>59</v>
      </c>
      <c r="E472" s="4" t="s">
        <v>1423</v>
      </c>
      <c r="F472" s="1" t="s">
        <v>19</v>
      </c>
      <c r="G472" s="71" t="s">
        <v>1424</v>
      </c>
      <c r="H472" s="2">
        <v>100000</v>
      </c>
      <c r="I472" s="2">
        <v>60000</v>
      </c>
      <c r="J472" s="192">
        <v>40000</v>
      </c>
      <c r="K472" s="1" t="s">
        <v>1425</v>
      </c>
      <c r="L472" s="11"/>
      <c r="M472" s="11"/>
      <c r="N472" s="2" t="s">
        <v>25</v>
      </c>
      <c r="O472" s="15">
        <v>0</v>
      </c>
    </row>
    <row r="473" spans="1:15" x14ac:dyDescent="0.25">
      <c r="A473" s="56">
        <v>44663</v>
      </c>
      <c r="B473" s="4" t="s">
        <v>1426</v>
      </c>
      <c r="C473" s="191" t="s">
        <v>1427</v>
      </c>
      <c r="D473" s="1" t="s">
        <v>1428</v>
      </c>
      <c r="E473" s="4" t="s">
        <v>1429</v>
      </c>
      <c r="F473" s="1" t="s">
        <v>10</v>
      </c>
      <c r="G473" s="71" t="s">
        <v>1431</v>
      </c>
      <c r="H473" s="2">
        <v>30000</v>
      </c>
      <c r="I473" s="2">
        <v>18000</v>
      </c>
      <c r="J473" s="192">
        <v>12000</v>
      </c>
      <c r="L473" s="11"/>
      <c r="M473" s="11"/>
      <c r="N473" s="2" t="s">
        <v>25</v>
      </c>
      <c r="O473" s="15">
        <v>0</v>
      </c>
    </row>
    <row r="474" spans="1:15" x14ac:dyDescent="0.25">
      <c r="A474" s="56">
        <v>44663</v>
      </c>
      <c r="B474" s="4" t="s">
        <v>1426</v>
      </c>
      <c r="C474" s="191" t="s">
        <v>1427</v>
      </c>
      <c r="D474" s="1" t="s">
        <v>1428</v>
      </c>
      <c r="E474" s="4" t="s">
        <v>1429</v>
      </c>
      <c r="F474" s="1" t="s">
        <v>19</v>
      </c>
      <c r="G474" s="71" t="s">
        <v>1430</v>
      </c>
      <c r="H474" s="2">
        <v>50000</v>
      </c>
      <c r="I474" s="2">
        <v>30000</v>
      </c>
      <c r="J474" s="192">
        <v>20000</v>
      </c>
      <c r="K474" s="1" t="s">
        <v>1432</v>
      </c>
      <c r="L474" s="11">
        <v>200000</v>
      </c>
      <c r="M474" s="11">
        <v>255000</v>
      </c>
      <c r="N474" s="2" t="s">
        <v>25</v>
      </c>
      <c r="O474" s="15">
        <v>55000</v>
      </c>
    </row>
    <row r="475" spans="1:15" x14ac:dyDescent="0.25">
      <c r="A475" s="56">
        <v>44663</v>
      </c>
      <c r="B475" s="4" t="s">
        <v>1433</v>
      </c>
      <c r="C475" s="191" t="s">
        <v>646</v>
      </c>
      <c r="D475" s="1" t="s">
        <v>1434</v>
      </c>
      <c r="E475" s="4" t="s">
        <v>1435</v>
      </c>
      <c r="F475" s="1" t="s">
        <v>408</v>
      </c>
      <c r="G475" s="71" t="s">
        <v>1436</v>
      </c>
      <c r="H475" s="2">
        <v>180000</v>
      </c>
      <c r="I475" s="2">
        <v>108000</v>
      </c>
      <c r="J475" s="192">
        <v>72000</v>
      </c>
      <c r="L475" s="11"/>
      <c r="M475" s="11"/>
      <c r="N475" s="2" t="s">
        <v>25</v>
      </c>
      <c r="O475" s="15">
        <v>0</v>
      </c>
    </row>
    <row r="476" spans="1:15" x14ac:dyDescent="0.25">
      <c r="A476" s="56">
        <v>44663</v>
      </c>
      <c r="B476" s="4" t="s">
        <v>1437</v>
      </c>
      <c r="C476" s="191" t="s">
        <v>1438</v>
      </c>
      <c r="D476" s="1" t="s">
        <v>1439</v>
      </c>
      <c r="E476" s="4" t="s">
        <v>1440</v>
      </c>
      <c r="F476" s="1" t="s">
        <v>408</v>
      </c>
      <c r="G476" s="71" t="s">
        <v>1441</v>
      </c>
      <c r="H476" s="2">
        <v>80000</v>
      </c>
      <c r="I476" s="2">
        <v>48000</v>
      </c>
      <c r="J476" s="192">
        <v>32000</v>
      </c>
      <c r="K476" s="1" t="s">
        <v>680</v>
      </c>
      <c r="L476" s="11">
        <v>194000</v>
      </c>
      <c r="M476" s="11">
        <v>268000</v>
      </c>
      <c r="N476" s="2" t="s">
        <v>25</v>
      </c>
      <c r="O476" s="15">
        <v>74000</v>
      </c>
    </row>
    <row r="477" spans="1:15" x14ac:dyDescent="0.25">
      <c r="A477" s="56">
        <v>44663</v>
      </c>
      <c r="B477" s="4" t="s">
        <v>947</v>
      </c>
      <c r="C477" s="191" t="s">
        <v>1442</v>
      </c>
      <c r="D477" s="1" t="s">
        <v>231</v>
      </c>
      <c r="E477" s="4" t="s">
        <v>1443</v>
      </c>
      <c r="F477" s="1" t="s">
        <v>10</v>
      </c>
      <c r="G477" s="71" t="s">
        <v>1444</v>
      </c>
      <c r="H477" s="2">
        <v>25000</v>
      </c>
      <c r="I477" s="2">
        <v>15000</v>
      </c>
      <c r="J477" s="192">
        <v>10000</v>
      </c>
      <c r="K477" s="1" t="s">
        <v>1445</v>
      </c>
      <c r="L477" s="11">
        <v>5400</v>
      </c>
      <c r="M477" s="11">
        <v>8000</v>
      </c>
      <c r="N477" s="2" t="s">
        <v>25</v>
      </c>
      <c r="O477" s="15">
        <v>2600</v>
      </c>
    </row>
    <row r="478" spans="1:15" x14ac:dyDescent="0.25">
      <c r="A478" s="56">
        <v>44663</v>
      </c>
      <c r="C478" s="191"/>
      <c r="D478" s="1" t="s">
        <v>889</v>
      </c>
      <c r="E478" s="4" t="s">
        <v>345</v>
      </c>
      <c r="F478" s="1" t="s">
        <v>10</v>
      </c>
      <c r="G478" s="71" t="s">
        <v>1446</v>
      </c>
      <c r="H478" s="2">
        <v>20000</v>
      </c>
      <c r="I478" s="2">
        <v>12000</v>
      </c>
      <c r="J478" s="192">
        <v>8000</v>
      </c>
      <c r="L478" s="11"/>
      <c r="M478" s="11"/>
      <c r="N478" s="2" t="s">
        <v>25</v>
      </c>
      <c r="O478" s="15">
        <v>0</v>
      </c>
    </row>
    <row r="479" spans="1:15" x14ac:dyDescent="0.25">
      <c r="A479" s="56">
        <v>44664</v>
      </c>
      <c r="B479" s="4" t="s">
        <v>1447</v>
      </c>
      <c r="C479" s="191" t="s">
        <v>847</v>
      </c>
      <c r="D479" s="1" t="s">
        <v>112</v>
      </c>
      <c r="E479" s="4" t="s">
        <v>353</v>
      </c>
      <c r="F479" s="1" t="s">
        <v>19</v>
      </c>
      <c r="G479" s="71" t="s">
        <v>1448</v>
      </c>
      <c r="H479" s="2">
        <v>30000</v>
      </c>
      <c r="I479" s="2">
        <v>18000</v>
      </c>
      <c r="J479" s="192">
        <v>12000</v>
      </c>
      <c r="L479" s="11"/>
      <c r="M479" s="11"/>
      <c r="N479" s="2" t="s">
        <v>25</v>
      </c>
      <c r="O479" s="15">
        <v>0</v>
      </c>
    </row>
    <row r="480" spans="1:15" x14ac:dyDescent="0.25">
      <c r="A480" s="56">
        <v>44664</v>
      </c>
      <c r="B480" s="4" t="s">
        <v>1449</v>
      </c>
      <c r="C480" s="191" t="s">
        <v>1450</v>
      </c>
      <c r="D480" s="1" t="s">
        <v>1451</v>
      </c>
      <c r="E480" s="4" t="s">
        <v>1452</v>
      </c>
      <c r="F480" s="1" t="s">
        <v>19</v>
      </c>
      <c r="G480" s="71" t="s">
        <v>1453</v>
      </c>
      <c r="H480" s="2">
        <v>80000</v>
      </c>
      <c r="I480" s="2">
        <v>48000</v>
      </c>
      <c r="J480" s="192">
        <v>32000</v>
      </c>
      <c r="K480" s="1" t="s">
        <v>1454</v>
      </c>
      <c r="L480" s="11">
        <v>140000</v>
      </c>
      <c r="M480" s="11">
        <v>200000</v>
      </c>
      <c r="N480" s="2" t="s">
        <v>25</v>
      </c>
      <c r="O480" s="15">
        <v>60000</v>
      </c>
    </row>
    <row r="481" spans="1:15" x14ac:dyDescent="0.25">
      <c r="A481" s="56">
        <v>44664</v>
      </c>
      <c r="B481" s="4" t="s">
        <v>1449</v>
      </c>
      <c r="C481" s="191" t="s">
        <v>1450</v>
      </c>
      <c r="D481" s="1" t="s">
        <v>1451</v>
      </c>
      <c r="E481" s="4" t="s">
        <v>1452</v>
      </c>
      <c r="F481" s="1" t="s">
        <v>10</v>
      </c>
      <c r="G481" s="71" t="s">
        <v>1455</v>
      </c>
      <c r="H481" s="2">
        <v>180000</v>
      </c>
      <c r="I481" s="2">
        <v>108000</v>
      </c>
      <c r="J481" s="192">
        <v>72000</v>
      </c>
      <c r="K481" s="1" t="s">
        <v>1454</v>
      </c>
      <c r="L481" s="11">
        <v>140000</v>
      </c>
      <c r="M481" s="11">
        <v>200000</v>
      </c>
      <c r="N481" s="2" t="s">
        <v>25</v>
      </c>
      <c r="O481" s="15">
        <v>60000</v>
      </c>
    </row>
    <row r="482" spans="1:15" x14ac:dyDescent="0.25">
      <c r="A482" s="56">
        <v>44664</v>
      </c>
      <c r="B482" s="4" t="s">
        <v>1456</v>
      </c>
      <c r="C482" s="191" t="s">
        <v>847</v>
      </c>
      <c r="D482" s="1" t="s">
        <v>112</v>
      </c>
      <c r="E482" s="4" t="s">
        <v>353</v>
      </c>
      <c r="F482" s="1" t="s">
        <v>19</v>
      </c>
      <c r="G482" s="71" t="s">
        <v>381</v>
      </c>
      <c r="H482" s="2">
        <v>20000</v>
      </c>
      <c r="I482" s="2">
        <v>12000</v>
      </c>
      <c r="J482" s="192">
        <v>8000</v>
      </c>
      <c r="K482" s="1" t="s">
        <v>51</v>
      </c>
      <c r="L482" s="11">
        <v>90000</v>
      </c>
      <c r="M482" s="11"/>
      <c r="N482" s="2" t="s">
        <v>25</v>
      </c>
      <c r="O482" s="15">
        <v>-90000</v>
      </c>
    </row>
    <row r="483" spans="1:15" x14ac:dyDescent="0.25">
      <c r="A483" s="56">
        <v>44664</v>
      </c>
      <c r="B483" s="4" t="s">
        <v>1457</v>
      </c>
      <c r="C483" s="191" t="s">
        <v>1458</v>
      </c>
      <c r="D483" s="1" t="s">
        <v>1459</v>
      </c>
      <c r="E483" s="4" t="s">
        <v>1460</v>
      </c>
      <c r="F483" s="1" t="s">
        <v>19</v>
      </c>
      <c r="G483" s="71" t="s">
        <v>1461</v>
      </c>
      <c r="H483" s="2">
        <v>160000</v>
      </c>
      <c r="I483" s="2">
        <v>96000</v>
      </c>
      <c r="J483" s="192">
        <v>64000</v>
      </c>
      <c r="K483" s="1" t="s">
        <v>1462</v>
      </c>
      <c r="L483" s="11"/>
      <c r="M483" s="11"/>
      <c r="N483" s="2" t="s">
        <v>25</v>
      </c>
      <c r="O483" s="15">
        <v>0</v>
      </c>
    </row>
    <row r="484" spans="1:15" x14ac:dyDescent="0.25">
      <c r="A484" s="56">
        <v>44664</v>
      </c>
      <c r="C484" s="191" t="s">
        <v>1463</v>
      </c>
      <c r="D484" s="1" t="s">
        <v>1464</v>
      </c>
      <c r="E484" s="4" t="s">
        <v>1465</v>
      </c>
      <c r="F484" s="1" t="s">
        <v>10</v>
      </c>
      <c r="G484" s="71" t="s">
        <v>1466</v>
      </c>
      <c r="H484" s="2">
        <v>30000</v>
      </c>
      <c r="I484" s="2">
        <v>18000</v>
      </c>
      <c r="J484" s="192">
        <v>12000</v>
      </c>
      <c r="L484" s="11"/>
      <c r="M484" s="11"/>
      <c r="N484" s="2" t="s">
        <v>25</v>
      </c>
      <c r="O484" s="15">
        <v>0</v>
      </c>
    </row>
    <row r="485" spans="1:15" x14ac:dyDescent="0.25">
      <c r="A485" s="56">
        <v>44664</v>
      </c>
      <c r="C485" s="191"/>
      <c r="D485" s="1" t="s">
        <v>168</v>
      </c>
      <c r="E485" s="4"/>
      <c r="F485" s="1" t="s">
        <v>19</v>
      </c>
      <c r="G485" s="71" t="s">
        <v>140</v>
      </c>
      <c r="H485" s="2">
        <v>30000</v>
      </c>
      <c r="I485" s="2">
        <v>18000</v>
      </c>
      <c r="J485" s="192">
        <v>12000</v>
      </c>
      <c r="L485" s="11">
        <v>170000</v>
      </c>
      <c r="M485" s="11"/>
      <c r="N485" s="2" t="s">
        <v>25</v>
      </c>
      <c r="O485" s="15">
        <v>-170000</v>
      </c>
    </row>
    <row r="486" spans="1:15" x14ac:dyDescent="0.25">
      <c r="A486" s="56">
        <v>44665</v>
      </c>
      <c r="C486" s="191"/>
      <c r="D486" s="1" t="s">
        <v>1469</v>
      </c>
      <c r="E486" s="4"/>
      <c r="G486" s="71" t="s">
        <v>1470</v>
      </c>
      <c r="H486" s="2">
        <v>80000</v>
      </c>
      <c r="I486" s="2">
        <v>48000</v>
      </c>
      <c r="J486" s="192">
        <v>32000</v>
      </c>
      <c r="L486" s="11">
        <v>170000</v>
      </c>
      <c r="M486" s="11"/>
      <c r="N486" s="2" t="s">
        <v>25</v>
      </c>
      <c r="O486" s="15">
        <v>-170000</v>
      </c>
    </row>
    <row r="487" spans="1:15" x14ac:dyDescent="0.25">
      <c r="A487" s="56">
        <v>44665</v>
      </c>
      <c r="C487" s="191"/>
      <c r="D487" s="1" t="s">
        <v>1471</v>
      </c>
      <c r="E487" s="4"/>
      <c r="F487" s="1" t="s">
        <v>19</v>
      </c>
      <c r="G487" s="71" t="s">
        <v>206</v>
      </c>
      <c r="H487" s="2">
        <v>30000</v>
      </c>
      <c r="I487" s="2">
        <v>18000</v>
      </c>
      <c r="J487" s="192">
        <v>12000</v>
      </c>
      <c r="L487" s="11">
        <v>170000</v>
      </c>
      <c r="M487" s="11"/>
      <c r="N487" s="2" t="s">
        <v>25</v>
      </c>
      <c r="O487" s="15">
        <v>-170000</v>
      </c>
    </row>
    <row r="488" spans="1:15" x14ac:dyDescent="0.25">
      <c r="A488" s="56">
        <v>44666</v>
      </c>
      <c r="C488" s="191"/>
      <c r="D488" s="1" t="s">
        <v>460</v>
      </c>
      <c r="E488" s="4"/>
      <c r="F488" s="1" t="s">
        <v>10</v>
      </c>
      <c r="G488" s="71" t="s">
        <v>1467</v>
      </c>
      <c r="H488" s="2">
        <v>150000</v>
      </c>
      <c r="I488" s="2">
        <v>90000</v>
      </c>
      <c r="J488" s="192">
        <v>60000</v>
      </c>
      <c r="L488" s="11"/>
      <c r="M488" s="11"/>
      <c r="N488" s="2" t="s">
        <v>25</v>
      </c>
      <c r="O488" s="15">
        <v>0</v>
      </c>
    </row>
    <row r="489" spans="1:15" x14ac:dyDescent="0.25">
      <c r="A489" s="56">
        <v>44666</v>
      </c>
      <c r="C489" s="191"/>
      <c r="E489" s="4" t="s">
        <v>1468</v>
      </c>
      <c r="F489" s="1" t="s">
        <v>10</v>
      </c>
      <c r="G489" s="71" t="s">
        <v>515</v>
      </c>
      <c r="H489" s="2">
        <v>40000</v>
      </c>
      <c r="I489" s="2">
        <v>24000</v>
      </c>
      <c r="J489" s="192">
        <v>16000</v>
      </c>
      <c r="L489" s="11"/>
      <c r="M489" s="11"/>
      <c r="N489" s="2" t="s">
        <v>25</v>
      </c>
      <c r="O489" s="15">
        <v>0</v>
      </c>
    </row>
    <row r="490" spans="1:15" x14ac:dyDescent="0.25">
      <c r="A490" s="56">
        <v>44667</v>
      </c>
      <c r="B490" s="4" t="s">
        <v>1473</v>
      </c>
      <c r="C490" s="191" t="s">
        <v>1474</v>
      </c>
      <c r="D490" s="1" t="s">
        <v>529</v>
      </c>
      <c r="E490" s="4" t="s">
        <v>606</v>
      </c>
      <c r="F490" s="1" t="s">
        <v>19</v>
      </c>
      <c r="G490" s="71" t="s">
        <v>1475</v>
      </c>
      <c r="H490" s="2">
        <v>80000</v>
      </c>
      <c r="I490" s="2">
        <v>48000</v>
      </c>
      <c r="J490" s="192">
        <v>32000</v>
      </c>
      <c r="K490" s="1" t="s">
        <v>1476</v>
      </c>
      <c r="L490" s="11">
        <v>166000</v>
      </c>
      <c r="M490" s="11">
        <v>255500</v>
      </c>
      <c r="N490" s="2" t="s">
        <v>25</v>
      </c>
      <c r="O490" s="15">
        <v>89500</v>
      </c>
    </row>
    <row r="491" spans="1:15" x14ac:dyDescent="0.25">
      <c r="A491" s="56">
        <v>44667</v>
      </c>
      <c r="B491" s="4" t="s">
        <v>1477</v>
      </c>
      <c r="C491" s="191" t="s">
        <v>1478</v>
      </c>
      <c r="D491" s="1" t="s">
        <v>828</v>
      </c>
      <c r="E491" s="4" t="s">
        <v>1479</v>
      </c>
      <c r="F491" s="1" t="s">
        <v>408</v>
      </c>
      <c r="G491" s="71" t="s">
        <v>1480</v>
      </c>
      <c r="H491" s="2">
        <v>60000</v>
      </c>
      <c r="I491" s="2">
        <v>36000</v>
      </c>
      <c r="J491" s="192">
        <v>24000</v>
      </c>
      <c r="K491" s="1" t="s">
        <v>1481</v>
      </c>
      <c r="L491" s="11">
        <v>24000</v>
      </c>
      <c r="M491" s="11">
        <v>43000</v>
      </c>
      <c r="N491" s="2" t="s">
        <v>25</v>
      </c>
      <c r="O491" s="15">
        <v>19000</v>
      </c>
    </row>
    <row r="492" spans="1:15" x14ac:dyDescent="0.25">
      <c r="A492" s="56">
        <v>44667</v>
      </c>
      <c r="B492" s="4" t="s">
        <v>1482</v>
      </c>
      <c r="C492" s="191" t="s">
        <v>1483</v>
      </c>
      <c r="D492" s="1" t="s">
        <v>242</v>
      </c>
      <c r="E492" s="4" t="s">
        <v>1484</v>
      </c>
      <c r="F492" s="1" t="s">
        <v>408</v>
      </c>
      <c r="G492" s="71" t="s">
        <v>1485</v>
      </c>
      <c r="H492" s="2">
        <v>100000</v>
      </c>
      <c r="I492" s="2">
        <v>100000</v>
      </c>
      <c r="J492" s="192" t="s">
        <v>655</v>
      </c>
      <c r="K492" s="1" t="s">
        <v>1486</v>
      </c>
      <c r="L492" s="11">
        <v>415000</v>
      </c>
      <c r="M492" s="11">
        <v>472000</v>
      </c>
      <c r="N492" s="2" t="s">
        <v>25</v>
      </c>
      <c r="O492" s="15">
        <v>57000</v>
      </c>
    </row>
    <row r="493" spans="1:15" x14ac:dyDescent="0.25">
      <c r="A493" s="56">
        <v>44667</v>
      </c>
      <c r="B493" s="4" t="s">
        <v>1487</v>
      </c>
      <c r="C493" s="191" t="s">
        <v>1292</v>
      </c>
      <c r="D493" s="1" t="s">
        <v>1488</v>
      </c>
      <c r="E493" s="4" t="s">
        <v>1294</v>
      </c>
      <c r="F493" s="1" t="s">
        <v>10</v>
      </c>
      <c r="G493" s="71" t="s">
        <v>1489</v>
      </c>
      <c r="H493" s="2">
        <v>30000</v>
      </c>
      <c r="I493" s="2">
        <v>18000</v>
      </c>
      <c r="J493" s="192">
        <v>12000</v>
      </c>
      <c r="L493" s="11"/>
      <c r="M493" s="11"/>
      <c r="N493" s="2" t="s">
        <v>25</v>
      </c>
      <c r="O493" s="15">
        <v>0</v>
      </c>
    </row>
    <row r="494" spans="1:15" x14ac:dyDescent="0.25">
      <c r="A494" s="56">
        <v>44667</v>
      </c>
      <c r="B494" s="4" t="s">
        <v>1487</v>
      </c>
      <c r="C494" s="191" t="s">
        <v>1292</v>
      </c>
      <c r="D494" s="1" t="s">
        <v>1488</v>
      </c>
      <c r="E494" s="4" t="s">
        <v>1294</v>
      </c>
      <c r="F494" s="1" t="s">
        <v>18</v>
      </c>
      <c r="G494" s="71" t="s">
        <v>1490</v>
      </c>
      <c r="H494" s="2">
        <v>60000</v>
      </c>
      <c r="I494" s="2">
        <v>36000</v>
      </c>
      <c r="J494" s="192">
        <v>24000</v>
      </c>
      <c r="L494" s="11"/>
      <c r="M494" s="11"/>
      <c r="N494" s="2" t="s">
        <v>25</v>
      </c>
      <c r="O494" s="15">
        <v>0</v>
      </c>
    </row>
    <row r="495" spans="1:15" x14ac:dyDescent="0.25">
      <c r="A495" s="56">
        <v>44667</v>
      </c>
      <c r="C495" s="191" t="s">
        <v>1491</v>
      </c>
      <c r="D495" s="1" t="s">
        <v>1492</v>
      </c>
      <c r="E495" s="4" t="s">
        <v>1493</v>
      </c>
      <c r="F495" s="1" t="s">
        <v>10</v>
      </c>
      <c r="G495" s="71" t="s">
        <v>1494</v>
      </c>
      <c r="H495" s="2">
        <v>60000</v>
      </c>
      <c r="I495" s="2">
        <v>36000</v>
      </c>
      <c r="J495" s="192">
        <v>24000</v>
      </c>
      <c r="K495" s="1" t="s">
        <v>1495</v>
      </c>
      <c r="L495" s="11">
        <v>45000</v>
      </c>
      <c r="M495" s="11">
        <v>60000</v>
      </c>
      <c r="N495" s="2" t="s">
        <v>25</v>
      </c>
      <c r="O495" s="15">
        <v>15000</v>
      </c>
    </row>
    <row r="496" spans="1:15" x14ac:dyDescent="0.25">
      <c r="A496" s="56">
        <v>44667</v>
      </c>
      <c r="C496" s="191" t="s">
        <v>1402</v>
      </c>
      <c r="D496" s="1" t="s">
        <v>59</v>
      </c>
      <c r="E496" s="4" t="s">
        <v>93</v>
      </c>
      <c r="F496" s="1" t="s">
        <v>34</v>
      </c>
      <c r="G496" s="71" t="s">
        <v>1496</v>
      </c>
      <c r="H496" s="2">
        <v>10000</v>
      </c>
      <c r="I496" s="2">
        <v>6000</v>
      </c>
      <c r="J496" s="192">
        <v>4000</v>
      </c>
      <c r="L496" s="11"/>
      <c r="M496" s="11"/>
      <c r="N496" s="2" t="s">
        <v>25</v>
      </c>
      <c r="O496" s="15">
        <v>0</v>
      </c>
    </row>
    <row r="497" spans="1:15" x14ac:dyDescent="0.25">
      <c r="A497" s="56">
        <v>44667</v>
      </c>
      <c r="C497" s="191"/>
      <c r="D497" s="1" t="s">
        <v>828</v>
      </c>
      <c r="E497" s="4"/>
      <c r="F497" s="1" t="s">
        <v>408</v>
      </c>
      <c r="G497" s="71" t="s">
        <v>329</v>
      </c>
      <c r="H497" s="2">
        <v>20000</v>
      </c>
      <c r="I497" s="2">
        <v>12000</v>
      </c>
      <c r="J497" s="192">
        <v>8000</v>
      </c>
      <c r="L497" s="11">
        <v>170000</v>
      </c>
      <c r="M497" s="11"/>
      <c r="N497" s="2" t="s">
        <v>25</v>
      </c>
      <c r="O497" s="15">
        <v>-170000</v>
      </c>
    </row>
    <row r="498" spans="1:15" x14ac:dyDescent="0.25">
      <c r="A498" s="56">
        <v>44667</v>
      </c>
      <c r="B498" s="4" t="s">
        <v>1497</v>
      </c>
      <c r="C498" s="191" t="s">
        <v>598</v>
      </c>
      <c r="D498" s="1" t="s">
        <v>161</v>
      </c>
      <c r="E498" s="4" t="s">
        <v>162</v>
      </c>
      <c r="F498" s="1" t="s">
        <v>19</v>
      </c>
      <c r="G498" s="71" t="s">
        <v>1498</v>
      </c>
      <c r="H498" s="2">
        <v>20000</v>
      </c>
      <c r="I498" s="2">
        <v>12000</v>
      </c>
      <c r="J498" s="192">
        <v>8000</v>
      </c>
      <c r="L498" s="11"/>
      <c r="M498" s="11"/>
      <c r="N498" s="2" t="s">
        <v>25</v>
      </c>
      <c r="O498" s="15">
        <v>0</v>
      </c>
    </row>
    <row r="499" spans="1:15" x14ac:dyDescent="0.25">
      <c r="A499" s="56">
        <v>44667</v>
      </c>
      <c r="B499" s="4" t="s">
        <v>1499</v>
      </c>
      <c r="C499" s="191" t="s">
        <v>598</v>
      </c>
      <c r="E499" s="4" t="s">
        <v>152</v>
      </c>
      <c r="F499" s="1" t="s">
        <v>18</v>
      </c>
      <c r="G499" s="71" t="s">
        <v>1500</v>
      </c>
      <c r="H499" s="2">
        <v>50000</v>
      </c>
      <c r="I499" s="2">
        <v>30000</v>
      </c>
      <c r="J499" s="192">
        <v>20000</v>
      </c>
      <c r="L499" s="11"/>
      <c r="M499" s="11"/>
      <c r="N499" s="2" t="s">
        <v>25</v>
      </c>
      <c r="O499" s="15">
        <v>0</v>
      </c>
    </row>
    <row r="500" spans="1:15" x14ac:dyDescent="0.25">
      <c r="A500" s="56">
        <v>44669</v>
      </c>
      <c r="B500" s="4" t="s">
        <v>1501</v>
      </c>
      <c r="C500" s="191" t="s">
        <v>1502</v>
      </c>
      <c r="D500" s="1" t="s">
        <v>1503</v>
      </c>
      <c r="E500" s="4" t="s">
        <v>1504</v>
      </c>
      <c r="F500" s="1" t="s">
        <v>30</v>
      </c>
      <c r="G500" s="71" t="s">
        <v>1505</v>
      </c>
      <c r="H500" s="2">
        <v>200000</v>
      </c>
      <c r="I500" s="2">
        <v>120000</v>
      </c>
      <c r="J500" s="192">
        <v>80000</v>
      </c>
      <c r="L500" s="11"/>
      <c r="M500" s="11"/>
      <c r="N500" s="2" t="s">
        <v>25</v>
      </c>
      <c r="O500" s="15">
        <v>0</v>
      </c>
    </row>
    <row r="501" spans="1:15" x14ac:dyDescent="0.25">
      <c r="A501" s="56">
        <v>44669</v>
      </c>
      <c r="B501" s="4" t="s">
        <v>1506</v>
      </c>
      <c r="C501" s="191" t="s">
        <v>1507</v>
      </c>
      <c r="D501" s="1" t="s">
        <v>1508</v>
      </c>
      <c r="E501" s="4" t="s">
        <v>1509</v>
      </c>
      <c r="F501" s="1" t="s">
        <v>19</v>
      </c>
      <c r="G501" s="71" t="s">
        <v>1510</v>
      </c>
      <c r="H501" s="2">
        <v>40000</v>
      </c>
      <c r="I501" s="2">
        <v>24000</v>
      </c>
      <c r="J501" s="192">
        <v>16000</v>
      </c>
      <c r="L501" s="11"/>
      <c r="M501" s="11"/>
      <c r="N501" s="2" t="s">
        <v>25</v>
      </c>
      <c r="O501" s="15">
        <v>0</v>
      </c>
    </row>
    <row r="502" spans="1:15" x14ac:dyDescent="0.25">
      <c r="A502" s="56">
        <v>44669</v>
      </c>
      <c r="B502" s="4" t="s">
        <v>1511</v>
      </c>
      <c r="C502" s="191" t="s">
        <v>1512</v>
      </c>
      <c r="D502" s="1" t="s">
        <v>54</v>
      </c>
      <c r="E502" s="4" t="s">
        <v>1513</v>
      </c>
      <c r="F502" s="1" t="s">
        <v>18</v>
      </c>
      <c r="G502" s="71" t="s">
        <v>1514</v>
      </c>
      <c r="H502" s="2">
        <v>80000</v>
      </c>
      <c r="I502" s="2">
        <v>48000</v>
      </c>
      <c r="J502" s="192">
        <v>32000</v>
      </c>
      <c r="L502" s="11"/>
      <c r="M502" s="11"/>
      <c r="N502" s="2" t="s">
        <v>25</v>
      </c>
      <c r="O502" s="15">
        <v>0</v>
      </c>
    </row>
    <row r="503" spans="1:15" x14ac:dyDescent="0.25">
      <c r="A503" s="56">
        <v>44669</v>
      </c>
      <c r="C503" s="191" t="s">
        <v>1478</v>
      </c>
      <c r="D503" s="1" t="s">
        <v>828</v>
      </c>
      <c r="E503" s="4" t="s">
        <v>1479</v>
      </c>
      <c r="F503" s="1" t="s">
        <v>19</v>
      </c>
      <c r="G503" s="71" t="s">
        <v>1515</v>
      </c>
      <c r="H503" s="2">
        <v>10000</v>
      </c>
      <c r="I503" s="2">
        <v>10000</v>
      </c>
      <c r="J503" s="192">
        <v>4000</v>
      </c>
      <c r="L503" s="11"/>
      <c r="M503" s="11"/>
      <c r="N503" s="2" t="s">
        <v>25</v>
      </c>
      <c r="O503" s="15">
        <v>0</v>
      </c>
    </row>
    <row r="504" spans="1:15" x14ac:dyDescent="0.25">
      <c r="A504" s="56">
        <v>44669</v>
      </c>
      <c r="C504" s="191" t="s">
        <v>1144</v>
      </c>
      <c r="D504" s="1" t="s">
        <v>1516</v>
      </c>
      <c r="E504" s="4" t="s">
        <v>1517</v>
      </c>
      <c r="F504" s="1" t="s">
        <v>30</v>
      </c>
      <c r="G504" s="71" t="s">
        <v>1518</v>
      </c>
      <c r="H504" s="2">
        <v>10000</v>
      </c>
      <c r="I504" s="2">
        <v>6000</v>
      </c>
      <c r="J504" s="192">
        <v>4000</v>
      </c>
      <c r="L504" s="11"/>
      <c r="M504" s="11"/>
      <c r="N504" s="2" t="s">
        <v>25</v>
      </c>
      <c r="O504" s="15">
        <v>0</v>
      </c>
    </row>
    <row r="505" spans="1:15" x14ac:dyDescent="0.25">
      <c r="A505" s="56">
        <v>44669</v>
      </c>
      <c r="C505" s="191"/>
      <c r="D505" s="1" t="s">
        <v>1011</v>
      </c>
      <c r="E505" s="4" t="s">
        <v>1519</v>
      </c>
      <c r="F505" s="1" t="s">
        <v>19</v>
      </c>
      <c r="G505" s="71" t="s">
        <v>1520</v>
      </c>
      <c r="H505" s="2">
        <v>36000</v>
      </c>
      <c r="I505" s="2">
        <v>36000</v>
      </c>
      <c r="J505" s="192">
        <v>14400</v>
      </c>
      <c r="L505" s="11"/>
      <c r="M505" s="11"/>
      <c r="N505" s="2" t="s">
        <v>25</v>
      </c>
      <c r="O505" s="15">
        <v>0</v>
      </c>
    </row>
    <row r="506" spans="1:15" x14ac:dyDescent="0.25">
      <c r="A506" s="56">
        <v>44669</v>
      </c>
      <c r="B506" s="4" t="s">
        <v>1557</v>
      </c>
      <c r="C506" s="191" t="s">
        <v>1558</v>
      </c>
      <c r="D506" s="1" t="s">
        <v>1559</v>
      </c>
      <c r="E506" s="4" t="s">
        <v>1560</v>
      </c>
      <c r="F506" s="1" t="s">
        <v>10</v>
      </c>
      <c r="G506" s="71" t="s">
        <v>956</v>
      </c>
      <c r="H506" s="2">
        <v>1000000</v>
      </c>
      <c r="I506" s="2">
        <v>600000</v>
      </c>
      <c r="J506" s="192">
        <v>400000</v>
      </c>
      <c r="K506" s="1" t="s">
        <v>1561</v>
      </c>
      <c r="L506" s="11">
        <v>30000</v>
      </c>
      <c r="M506" s="11">
        <v>24000</v>
      </c>
      <c r="N506" s="2" t="s">
        <v>25</v>
      </c>
      <c r="O506" s="15">
        <v>-6000</v>
      </c>
    </row>
    <row r="507" spans="1:15" x14ac:dyDescent="0.25">
      <c r="A507" s="56">
        <v>44670</v>
      </c>
      <c r="B507" s="4" t="s">
        <v>1521</v>
      </c>
      <c r="C507" s="191" t="s">
        <v>1522</v>
      </c>
      <c r="D507" s="1" t="s">
        <v>46</v>
      </c>
      <c r="E507" s="4" t="s">
        <v>1523</v>
      </c>
      <c r="F507" s="1" t="s">
        <v>408</v>
      </c>
      <c r="G507" s="71" t="s">
        <v>1524</v>
      </c>
      <c r="H507" s="2">
        <v>40000</v>
      </c>
      <c r="I507" s="2">
        <v>24000</v>
      </c>
      <c r="J507" s="192">
        <v>16000</v>
      </c>
      <c r="K507" s="1" t="s">
        <v>1525</v>
      </c>
      <c r="L507" s="11">
        <v>14000</v>
      </c>
      <c r="M507" s="11">
        <v>17000</v>
      </c>
      <c r="N507" s="2" t="s">
        <v>25</v>
      </c>
      <c r="O507" s="15">
        <v>3000</v>
      </c>
    </row>
    <row r="508" spans="1:15" x14ac:dyDescent="0.25">
      <c r="A508" s="56">
        <v>44670</v>
      </c>
      <c r="B508" s="4" t="s">
        <v>1526</v>
      </c>
      <c r="C508" s="191" t="s">
        <v>1527</v>
      </c>
      <c r="D508" s="1" t="s">
        <v>410</v>
      </c>
      <c r="E508" s="4" t="s">
        <v>1528</v>
      </c>
      <c r="F508" s="1" t="s">
        <v>408</v>
      </c>
      <c r="G508" s="71" t="s">
        <v>1529</v>
      </c>
      <c r="H508" s="2">
        <v>40000</v>
      </c>
      <c r="I508" s="2">
        <v>24000</v>
      </c>
      <c r="J508" s="192">
        <v>16000</v>
      </c>
      <c r="K508" s="1" t="s">
        <v>973</v>
      </c>
      <c r="L508" s="11">
        <v>36000</v>
      </c>
      <c r="M508" s="11">
        <v>100000</v>
      </c>
      <c r="N508" s="2" t="s">
        <v>25</v>
      </c>
      <c r="O508" s="15">
        <v>64000</v>
      </c>
    </row>
    <row r="509" spans="1:15" x14ac:dyDescent="0.25">
      <c r="A509" s="56">
        <v>44670</v>
      </c>
      <c r="B509" s="4" t="s">
        <v>1530</v>
      </c>
      <c r="C509" s="191" t="s">
        <v>1278</v>
      </c>
      <c r="D509" s="1" t="s">
        <v>59</v>
      </c>
      <c r="E509" s="4" t="s">
        <v>380</v>
      </c>
      <c r="F509" s="1" t="s">
        <v>19</v>
      </c>
      <c r="G509" s="71" t="s">
        <v>381</v>
      </c>
      <c r="H509" s="2">
        <v>80000</v>
      </c>
      <c r="I509" s="2">
        <v>48000</v>
      </c>
      <c r="J509" s="192">
        <v>32000</v>
      </c>
      <c r="K509" s="1" t="s">
        <v>1531</v>
      </c>
      <c r="L509" s="11">
        <v>327000</v>
      </c>
      <c r="M509" s="11">
        <v>295000</v>
      </c>
      <c r="N509" s="2" t="s">
        <v>25</v>
      </c>
      <c r="O509" s="15">
        <v>-32000</v>
      </c>
    </row>
    <row r="510" spans="1:15" x14ac:dyDescent="0.25">
      <c r="A510" s="56">
        <v>44670</v>
      </c>
      <c r="B510" s="4" t="s">
        <v>1530</v>
      </c>
      <c r="C510" s="191" t="s">
        <v>1278</v>
      </c>
      <c r="D510" s="1" t="s">
        <v>59</v>
      </c>
      <c r="E510" s="4" t="s">
        <v>380</v>
      </c>
      <c r="F510" s="1" t="s">
        <v>34</v>
      </c>
      <c r="G510" s="71" t="s">
        <v>1532</v>
      </c>
      <c r="H510" s="2">
        <v>580000</v>
      </c>
      <c r="I510" s="2">
        <v>348000</v>
      </c>
      <c r="J510" s="192">
        <v>232000</v>
      </c>
      <c r="L510" s="11"/>
      <c r="M510" s="11"/>
      <c r="N510" s="2" t="s">
        <v>25</v>
      </c>
      <c r="O510" s="15">
        <v>0</v>
      </c>
    </row>
    <row r="511" spans="1:15" x14ac:dyDescent="0.25">
      <c r="A511" s="56">
        <v>44670</v>
      </c>
      <c r="B511" s="4" t="s">
        <v>1533</v>
      </c>
      <c r="C511" s="191" t="s">
        <v>1534</v>
      </c>
      <c r="D511" s="1" t="s">
        <v>213</v>
      </c>
      <c r="E511" s="4" t="s">
        <v>1535</v>
      </c>
      <c r="F511" s="1" t="s">
        <v>19</v>
      </c>
      <c r="G511" s="71" t="s">
        <v>206</v>
      </c>
      <c r="H511" s="2">
        <v>60000</v>
      </c>
      <c r="I511" s="2">
        <v>36000</v>
      </c>
      <c r="J511" s="192">
        <v>24000</v>
      </c>
      <c r="L511" s="11"/>
      <c r="M511" s="11"/>
      <c r="N511" s="2" t="s">
        <v>25</v>
      </c>
      <c r="O511" s="15">
        <v>0</v>
      </c>
    </row>
    <row r="512" spans="1:15" x14ac:dyDescent="0.25">
      <c r="A512" s="56">
        <v>44670</v>
      </c>
      <c r="C512" s="191"/>
      <c r="D512" s="1" t="s">
        <v>566</v>
      </c>
      <c r="E512" s="4"/>
      <c r="F512" s="1" t="s">
        <v>10</v>
      </c>
      <c r="G512" s="71" t="s">
        <v>1536</v>
      </c>
      <c r="H512" s="2">
        <v>250000</v>
      </c>
      <c r="I512" s="2">
        <v>150000</v>
      </c>
      <c r="J512" s="192">
        <v>100000</v>
      </c>
      <c r="L512" s="11"/>
      <c r="M512" s="11"/>
      <c r="N512" s="2" t="s">
        <v>25</v>
      </c>
      <c r="O512" s="15">
        <v>0</v>
      </c>
    </row>
    <row r="513" spans="1:15" x14ac:dyDescent="0.25">
      <c r="A513" s="56">
        <v>44670</v>
      </c>
      <c r="C513" s="191" t="s">
        <v>854</v>
      </c>
      <c r="D513" s="1" t="s">
        <v>435</v>
      </c>
      <c r="E513" s="4" t="s">
        <v>1537</v>
      </c>
      <c r="F513" s="1" t="s">
        <v>19</v>
      </c>
      <c r="G513" s="71" t="s">
        <v>1538</v>
      </c>
      <c r="H513" s="2">
        <v>20000</v>
      </c>
      <c r="I513" s="2">
        <v>12000</v>
      </c>
      <c r="J513" s="192">
        <v>8000</v>
      </c>
      <c r="L513" s="11"/>
      <c r="M513" s="11"/>
      <c r="N513" s="2" t="s">
        <v>25</v>
      </c>
      <c r="O513" s="15">
        <v>0</v>
      </c>
    </row>
    <row r="514" spans="1:15" x14ac:dyDescent="0.25">
      <c r="A514" s="56">
        <v>44671</v>
      </c>
      <c r="B514" s="4" t="s">
        <v>1539</v>
      </c>
      <c r="C514" s="191" t="s">
        <v>789</v>
      </c>
      <c r="D514" s="1" t="s">
        <v>828</v>
      </c>
      <c r="E514" s="4" t="s">
        <v>790</v>
      </c>
      <c r="F514" s="1" t="s">
        <v>30</v>
      </c>
      <c r="G514" s="71" t="s">
        <v>1001</v>
      </c>
      <c r="H514" s="2">
        <v>250000</v>
      </c>
      <c r="I514" s="2">
        <v>150000</v>
      </c>
      <c r="J514" s="192">
        <v>100000</v>
      </c>
      <c r="K514" s="1" t="s">
        <v>1540</v>
      </c>
      <c r="L514" s="11">
        <v>780000</v>
      </c>
      <c r="M514" s="11">
        <v>980000</v>
      </c>
      <c r="N514" s="2" t="s">
        <v>25</v>
      </c>
      <c r="O514" s="15">
        <v>200000</v>
      </c>
    </row>
    <row r="515" spans="1:15" x14ac:dyDescent="0.25">
      <c r="A515" s="56">
        <v>44671</v>
      </c>
      <c r="B515" s="4" t="s">
        <v>1541</v>
      </c>
      <c r="C515" s="191" t="s">
        <v>1542</v>
      </c>
      <c r="D515" s="1" t="s">
        <v>1543</v>
      </c>
      <c r="E515" s="4" t="s">
        <v>1544</v>
      </c>
      <c r="F515" s="1" t="s">
        <v>19</v>
      </c>
      <c r="G515" s="71" t="s">
        <v>1545</v>
      </c>
      <c r="H515" s="2">
        <v>100000</v>
      </c>
      <c r="I515" s="2">
        <v>60000</v>
      </c>
      <c r="J515" s="192">
        <v>40000</v>
      </c>
      <c r="K515" s="1" t="s">
        <v>1546</v>
      </c>
      <c r="L515" s="11">
        <v>59000</v>
      </c>
      <c r="M515" s="11">
        <v>145000</v>
      </c>
      <c r="N515" s="2" t="s">
        <v>25</v>
      </c>
      <c r="O515" s="15">
        <v>86000</v>
      </c>
    </row>
    <row r="516" spans="1:15" x14ac:dyDescent="0.25">
      <c r="A516" s="56">
        <v>44671</v>
      </c>
      <c r="C516" s="191"/>
      <c r="E516" s="4"/>
      <c r="F516" s="1" t="s">
        <v>34</v>
      </c>
      <c r="G516" s="71" t="s">
        <v>341</v>
      </c>
      <c r="H516" s="2">
        <v>10000</v>
      </c>
      <c r="I516" s="2">
        <v>6000</v>
      </c>
      <c r="J516" s="192">
        <v>4000</v>
      </c>
      <c r="L516" s="11"/>
      <c r="M516" s="11"/>
      <c r="N516" s="2" t="s">
        <v>25</v>
      </c>
      <c r="O516" s="15">
        <v>0</v>
      </c>
    </row>
    <row r="517" spans="1:15" x14ac:dyDescent="0.25">
      <c r="A517" s="56">
        <v>44672</v>
      </c>
      <c r="B517" s="4" t="s">
        <v>1547</v>
      </c>
      <c r="C517" s="191" t="s">
        <v>1548</v>
      </c>
      <c r="D517" s="1" t="s">
        <v>1549</v>
      </c>
      <c r="E517" s="4" t="s">
        <v>1550</v>
      </c>
      <c r="F517" s="1" t="s">
        <v>19</v>
      </c>
      <c r="G517" s="71" t="s">
        <v>1551</v>
      </c>
      <c r="H517" s="2">
        <v>120000</v>
      </c>
      <c r="I517" s="2">
        <v>72000</v>
      </c>
      <c r="J517" s="192">
        <v>48000</v>
      </c>
      <c r="K517" s="1" t="s">
        <v>1552</v>
      </c>
      <c r="L517" s="11">
        <v>918000</v>
      </c>
      <c r="M517" s="11">
        <v>1330000</v>
      </c>
      <c r="N517" s="2" t="s">
        <v>25</v>
      </c>
      <c r="O517" s="15">
        <v>412000</v>
      </c>
    </row>
    <row r="518" spans="1:15" x14ac:dyDescent="0.25">
      <c r="A518" s="56">
        <v>44672</v>
      </c>
      <c r="C518" s="191" t="s">
        <v>999</v>
      </c>
      <c r="D518" s="1" t="s">
        <v>64</v>
      </c>
      <c r="E518" s="4" t="s">
        <v>63</v>
      </c>
      <c r="F518" s="1" t="s">
        <v>408</v>
      </c>
      <c r="G518" s="71" t="s">
        <v>21</v>
      </c>
      <c r="H518" s="2">
        <v>10000</v>
      </c>
      <c r="I518" s="2">
        <v>6000</v>
      </c>
      <c r="J518" s="192">
        <v>4000</v>
      </c>
      <c r="L518" s="11"/>
      <c r="M518" s="11"/>
      <c r="N518" s="2" t="s">
        <v>25</v>
      </c>
      <c r="O518" s="15">
        <v>0</v>
      </c>
    </row>
    <row r="519" spans="1:15" x14ac:dyDescent="0.25">
      <c r="A519" s="56">
        <v>44673</v>
      </c>
      <c r="B519" s="4" t="s">
        <v>1553</v>
      </c>
      <c r="C519" s="191" t="s">
        <v>1502</v>
      </c>
      <c r="D519" s="1" t="s">
        <v>410</v>
      </c>
      <c r="E519" s="4" t="s">
        <v>1504</v>
      </c>
      <c r="F519" s="1" t="s">
        <v>408</v>
      </c>
      <c r="G519" s="71" t="s">
        <v>1554</v>
      </c>
      <c r="H519" s="2">
        <v>30000</v>
      </c>
      <c r="I519" s="2">
        <v>30000</v>
      </c>
      <c r="J519" s="192" t="s">
        <v>655</v>
      </c>
      <c r="K519" s="1" t="s">
        <v>1555</v>
      </c>
      <c r="L519" s="11">
        <v>252000</v>
      </c>
      <c r="M519" s="11">
        <v>320000</v>
      </c>
      <c r="N519" s="2" t="s">
        <v>25</v>
      </c>
      <c r="O519" s="15">
        <v>68000</v>
      </c>
    </row>
    <row r="520" spans="1:15" x14ac:dyDescent="0.25">
      <c r="A520" s="56">
        <v>44673</v>
      </c>
      <c r="C520" s="191" t="s">
        <v>1527</v>
      </c>
      <c r="D520" s="1" t="s">
        <v>410</v>
      </c>
      <c r="E520" s="4" t="s">
        <v>1528</v>
      </c>
      <c r="F520" s="1" t="s">
        <v>408</v>
      </c>
      <c r="G520" s="71" t="s">
        <v>140</v>
      </c>
      <c r="H520" s="2">
        <v>100000</v>
      </c>
      <c r="I520" s="2">
        <v>100000</v>
      </c>
      <c r="J520" s="192" t="s">
        <v>655</v>
      </c>
      <c r="L520" s="11"/>
      <c r="M520" s="11"/>
      <c r="N520" s="2" t="s">
        <v>25</v>
      </c>
      <c r="O520" s="15">
        <v>0</v>
      </c>
    </row>
    <row r="521" spans="1:15" x14ac:dyDescent="0.25">
      <c r="A521" s="56">
        <v>44673</v>
      </c>
      <c r="C521" s="191" t="s">
        <v>1527</v>
      </c>
      <c r="D521" s="1" t="s">
        <v>410</v>
      </c>
      <c r="E521" s="4" t="s">
        <v>1528</v>
      </c>
      <c r="F521" s="1" t="s">
        <v>30</v>
      </c>
      <c r="G521" s="71" t="s">
        <v>1562</v>
      </c>
      <c r="H521" s="2">
        <v>420000</v>
      </c>
      <c r="I521" s="2">
        <v>252000</v>
      </c>
      <c r="J521" s="192">
        <v>168000</v>
      </c>
      <c r="L521" s="11"/>
      <c r="M521" s="11"/>
      <c r="N521" s="2" t="s">
        <v>25</v>
      </c>
      <c r="O521" s="15">
        <v>0</v>
      </c>
    </row>
    <row r="522" spans="1:15" x14ac:dyDescent="0.25">
      <c r="A522" s="56">
        <v>44673</v>
      </c>
      <c r="C522" s="191" t="s">
        <v>1527</v>
      </c>
      <c r="D522" s="1" t="s">
        <v>410</v>
      </c>
      <c r="E522" s="4" t="s">
        <v>1528</v>
      </c>
      <c r="F522" s="1" t="s">
        <v>18</v>
      </c>
      <c r="G522" s="71" t="s">
        <v>1563</v>
      </c>
      <c r="H522" s="2">
        <v>30000</v>
      </c>
      <c r="I522" s="2">
        <v>30000</v>
      </c>
      <c r="J522" s="192">
        <v>12000</v>
      </c>
      <c r="L522" s="11"/>
      <c r="M522" s="11"/>
      <c r="N522" s="2" t="s">
        <v>25</v>
      </c>
      <c r="O522" s="15">
        <v>0</v>
      </c>
    </row>
    <row r="523" spans="1:15" x14ac:dyDescent="0.25">
      <c r="A523" s="56">
        <v>44674</v>
      </c>
      <c r="B523" s="4" t="s">
        <v>1564</v>
      </c>
      <c r="C523" s="191" t="s">
        <v>1565</v>
      </c>
      <c r="D523" s="1" t="s">
        <v>240</v>
      </c>
      <c r="E523" s="4" t="s">
        <v>1566</v>
      </c>
      <c r="F523" s="1" t="s">
        <v>34</v>
      </c>
      <c r="G523" s="71" t="s">
        <v>1518</v>
      </c>
      <c r="H523" s="2">
        <v>35000</v>
      </c>
      <c r="I523" s="2">
        <v>21000</v>
      </c>
      <c r="J523" s="192">
        <v>14000</v>
      </c>
      <c r="L523" s="11"/>
      <c r="M523" s="11"/>
      <c r="N523" s="2" t="s">
        <v>25</v>
      </c>
      <c r="O523" s="15">
        <v>0</v>
      </c>
    </row>
    <row r="524" spans="1:15" x14ac:dyDescent="0.25">
      <c r="A524" s="56">
        <v>44674</v>
      </c>
      <c r="C524" s="191"/>
      <c r="D524" s="1" t="s">
        <v>1567</v>
      </c>
      <c r="E524" s="4" t="s">
        <v>413</v>
      </c>
      <c r="F524" s="1" t="s">
        <v>19</v>
      </c>
      <c r="G524" s="71" t="s">
        <v>1568</v>
      </c>
      <c r="H524" s="2">
        <v>20000</v>
      </c>
      <c r="I524" s="2">
        <v>12000</v>
      </c>
      <c r="J524" s="192">
        <v>8000</v>
      </c>
      <c r="L524" s="11"/>
      <c r="M524" s="11"/>
      <c r="N524" s="2" t="s">
        <v>25</v>
      </c>
      <c r="O524" s="15">
        <v>0</v>
      </c>
    </row>
    <row r="525" spans="1:15" x14ac:dyDescent="0.25">
      <c r="A525" s="56">
        <v>44674</v>
      </c>
      <c r="C525" s="191"/>
      <c r="D525" s="1" t="s">
        <v>268</v>
      </c>
      <c r="E525" s="4"/>
      <c r="F525" s="1" t="s">
        <v>19</v>
      </c>
      <c r="G525" s="71" t="s">
        <v>1620</v>
      </c>
      <c r="H525" s="2">
        <v>10000</v>
      </c>
      <c r="I525" s="2">
        <v>6000</v>
      </c>
      <c r="J525" s="192">
        <v>4000</v>
      </c>
      <c r="L525" s="11">
        <v>170000</v>
      </c>
      <c r="M525" s="11"/>
      <c r="N525" s="2" t="s">
        <v>25</v>
      </c>
      <c r="O525" s="15">
        <v>-170000</v>
      </c>
    </row>
    <row r="526" spans="1:15" x14ac:dyDescent="0.25">
      <c r="A526" s="56">
        <v>44674</v>
      </c>
      <c r="C526" s="191" t="s">
        <v>1442</v>
      </c>
      <c r="D526" s="1" t="s">
        <v>815</v>
      </c>
      <c r="E526" s="4" t="s">
        <v>1569</v>
      </c>
      <c r="F526" s="1" t="s">
        <v>408</v>
      </c>
      <c r="G526" s="71" t="s">
        <v>1570</v>
      </c>
      <c r="H526" s="2">
        <v>50000</v>
      </c>
      <c r="I526" s="2">
        <v>30000</v>
      </c>
      <c r="J526" s="192">
        <v>20000</v>
      </c>
      <c r="L526" s="11"/>
      <c r="M526" s="11"/>
      <c r="N526" s="2" t="s">
        <v>25</v>
      </c>
      <c r="O526" s="15">
        <v>0</v>
      </c>
    </row>
    <row r="527" spans="1:15" x14ac:dyDescent="0.25">
      <c r="A527" s="56">
        <v>44674</v>
      </c>
      <c r="C527" s="191" t="s">
        <v>1571</v>
      </c>
      <c r="D527" s="1" t="s">
        <v>200</v>
      </c>
      <c r="E527" s="4" t="s">
        <v>1572</v>
      </c>
      <c r="F527" s="1" t="s">
        <v>408</v>
      </c>
      <c r="G527" s="71" t="s">
        <v>1573</v>
      </c>
      <c r="H527" s="2">
        <v>30000</v>
      </c>
      <c r="I527" s="2">
        <v>18000</v>
      </c>
      <c r="J527" s="192">
        <v>12000</v>
      </c>
      <c r="K527" s="1" t="s">
        <v>57</v>
      </c>
      <c r="L527" s="11">
        <v>14000</v>
      </c>
      <c r="M527" s="11">
        <v>22000</v>
      </c>
      <c r="N527" s="2" t="s">
        <v>25</v>
      </c>
      <c r="O527" s="15">
        <v>8000</v>
      </c>
    </row>
    <row r="528" spans="1:15" x14ac:dyDescent="0.25">
      <c r="A528" s="56">
        <v>44676</v>
      </c>
      <c r="C528" s="191" t="s">
        <v>888</v>
      </c>
      <c r="D528" s="1" t="s">
        <v>1574</v>
      </c>
      <c r="E528" s="4" t="s">
        <v>890</v>
      </c>
      <c r="F528" s="1" t="s">
        <v>408</v>
      </c>
      <c r="G528" s="71" t="s">
        <v>1575</v>
      </c>
      <c r="H528" s="2">
        <v>20000</v>
      </c>
      <c r="I528" s="2">
        <v>12000</v>
      </c>
      <c r="J528" s="192">
        <v>8000</v>
      </c>
      <c r="K528" s="1" t="s">
        <v>1577</v>
      </c>
      <c r="L528" s="11">
        <v>15000</v>
      </c>
      <c r="M528" s="11">
        <v>27000</v>
      </c>
      <c r="N528" s="2" t="s">
        <v>25</v>
      </c>
      <c r="O528" s="15">
        <v>12000</v>
      </c>
    </row>
    <row r="529" spans="1:15" x14ac:dyDescent="0.25">
      <c r="A529" s="56">
        <v>44676</v>
      </c>
      <c r="B529" s="4" t="s">
        <v>1576</v>
      </c>
      <c r="C529" s="191" t="s">
        <v>1578</v>
      </c>
      <c r="D529" s="1" t="s">
        <v>202</v>
      </c>
      <c r="E529" s="4" t="s">
        <v>1579</v>
      </c>
      <c r="F529" s="1" t="s">
        <v>408</v>
      </c>
      <c r="G529" s="71" t="s">
        <v>341</v>
      </c>
      <c r="H529" s="2">
        <v>15000</v>
      </c>
      <c r="I529" s="2">
        <v>9000</v>
      </c>
      <c r="J529" s="192">
        <v>6000</v>
      </c>
      <c r="L529" s="11"/>
      <c r="M529" s="11"/>
      <c r="N529" s="2" t="s">
        <v>25</v>
      </c>
      <c r="O529" s="15">
        <v>0</v>
      </c>
    </row>
    <row r="530" spans="1:15" x14ac:dyDescent="0.25">
      <c r="A530" s="56">
        <v>44676</v>
      </c>
      <c r="C530" s="191" t="s">
        <v>598</v>
      </c>
      <c r="D530" s="1" t="s">
        <v>161</v>
      </c>
      <c r="E530" s="4" t="s">
        <v>162</v>
      </c>
      <c r="F530" s="1" t="s">
        <v>408</v>
      </c>
      <c r="G530" s="71" t="s">
        <v>1580</v>
      </c>
      <c r="H530" s="2">
        <v>80000</v>
      </c>
      <c r="I530" s="2">
        <v>48000</v>
      </c>
      <c r="J530" s="192">
        <v>32000</v>
      </c>
      <c r="K530" s="1" t="s">
        <v>1581</v>
      </c>
      <c r="L530" s="11">
        <v>23000</v>
      </c>
      <c r="M530" s="11"/>
      <c r="N530" s="2" t="s">
        <v>25</v>
      </c>
      <c r="O530" s="15">
        <v>-23000</v>
      </c>
    </row>
    <row r="531" spans="1:15" x14ac:dyDescent="0.25">
      <c r="A531" s="56">
        <v>44676</v>
      </c>
      <c r="C531" s="191" t="s">
        <v>598</v>
      </c>
      <c r="D531" s="1" t="s">
        <v>161</v>
      </c>
      <c r="E531" s="4" t="s">
        <v>162</v>
      </c>
      <c r="F531" s="1" t="s">
        <v>19</v>
      </c>
      <c r="G531" s="71" t="s">
        <v>341</v>
      </c>
      <c r="H531" s="2">
        <v>15000</v>
      </c>
      <c r="I531" s="2">
        <v>9000</v>
      </c>
      <c r="J531" s="192">
        <v>6000</v>
      </c>
      <c r="L531" s="11"/>
      <c r="M531" s="11"/>
      <c r="N531" s="2" t="s">
        <v>25</v>
      </c>
      <c r="O531" s="15">
        <v>0</v>
      </c>
    </row>
    <row r="532" spans="1:15" x14ac:dyDescent="0.25">
      <c r="A532" s="56">
        <v>44676</v>
      </c>
      <c r="C532" s="191"/>
      <c r="D532" s="1" t="s">
        <v>1618</v>
      </c>
      <c r="E532" s="4"/>
      <c r="F532" s="1" t="s">
        <v>19</v>
      </c>
      <c r="G532" s="71" t="s">
        <v>1619</v>
      </c>
      <c r="H532" s="2">
        <v>20000</v>
      </c>
      <c r="I532" s="2">
        <v>12000</v>
      </c>
      <c r="J532" s="192">
        <v>8000</v>
      </c>
      <c r="L532" s="11">
        <v>170000</v>
      </c>
      <c r="M532" s="11"/>
      <c r="N532" s="2" t="s">
        <v>25</v>
      </c>
      <c r="O532" s="15">
        <v>-170000</v>
      </c>
    </row>
    <row r="533" spans="1:15" x14ac:dyDescent="0.25">
      <c r="A533" s="56">
        <v>44677</v>
      </c>
      <c r="B533" s="4" t="s">
        <v>1582</v>
      </c>
      <c r="C533" s="191" t="s">
        <v>1583</v>
      </c>
      <c r="D533" s="1" t="s">
        <v>122</v>
      </c>
      <c r="E533" s="4" t="s">
        <v>1584</v>
      </c>
      <c r="F533" s="1" t="s">
        <v>19</v>
      </c>
      <c r="G533" s="71" t="s">
        <v>140</v>
      </c>
      <c r="H533" s="2">
        <v>90000</v>
      </c>
      <c r="I533" s="2">
        <v>54000</v>
      </c>
      <c r="J533" s="192">
        <v>36000</v>
      </c>
      <c r="K533" s="1" t="s">
        <v>1585</v>
      </c>
      <c r="L533" s="11">
        <v>149000</v>
      </c>
      <c r="M533" s="11">
        <v>210000</v>
      </c>
      <c r="N533" s="2" t="s">
        <v>25</v>
      </c>
      <c r="O533" s="15">
        <v>61000</v>
      </c>
    </row>
    <row r="534" spans="1:15" x14ac:dyDescent="0.25">
      <c r="A534" s="56">
        <v>44677</v>
      </c>
      <c r="C534" s="191" t="s">
        <v>1586</v>
      </c>
      <c r="D534" s="1" t="s">
        <v>48</v>
      </c>
      <c r="E534" s="4" t="s">
        <v>263</v>
      </c>
      <c r="F534" s="1" t="s">
        <v>19</v>
      </c>
      <c r="G534" s="71" t="s">
        <v>21</v>
      </c>
      <c r="H534" s="2">
        <v>10000</v>
      </c>
      <c r="I534" s="2">
        <v>6000</v>
      </c>
      <c r="J534" s="192">
        <v>4000</v>
      </c>
      <c r="L534" s="11"/>
      <c r="M534" s="11"/>
      <c r="N534" s="2" t="s">
        <v>25</v>
      </c>
      <c r="O534" s="15">
        <v>0</v>
      </c>
    </row>
    <row r="535" spans="1:15" x14ac:dyDescent="0.25">
      <c r="A535" s="56">
        <v>44677</v>
      </c>
      <c r="B535" s="4" t="s">
        <v>1587</v>
      </c>
      <c r="C535" s="191" t="s">
        <v>1588</v>
      </c>
      <c r="D535" s="1" t="s">
        <v>566</v>
      </c>
      <c r="E535" s="4" t="s">
        <v>1589</v>
      </c>
      <c r="F535" s="1" t="s">
        <v>1590</v>
      </c>
      <c r="G535" s="71" t="s">
        <v>1591</v>
      </c>
      <c r="H535" s="2">
        <v>80000</v>
      </c>
      <c r="I535" s="2">
        <v>48000</v>
      </c>
      <c r="J535" s="192">
        <v>32000</v>
      </c>
      <c r="L535" s="11"/>
      <c r="M535" s="11"/>
      <c r="N535" s="2" t="s">
        <v>25</v>
      </c>
      <c r="O535" s="15">
        <v>0</v>
      </c>
    </row>
    <row r="536" spans="1:15" x14ac:dyDescent="0.25">
      <c r="A536" s="56">
        <v>44677</v>
      </c>
      <c r="B536" s="4" t="s">
        <v>1592</v>
      </c>
      <c r="C536" s="191" t="s">
        <v>734</v>
      </c>
      <c r="D536" s="1" t="s">
        <v>1593</v>
      </c>
      <c r="E536" s="4" t="s">
        <v>735</v>
      </c>
      <c r="F536" s="1" t="s">
        <v>19</v>
      </c>
      <c r="G536" s="71" t="s">
        <v>1594</v>
      </c>
      <c r="H536" s="2">
        <v>80000</v>
      </c>
      <c r="I536" s="2">
        <v>48000</v>
      </c>
      <c r="J536" s="192">
        <v>32000</v>
      </c>
      <c r="K536" s="1" t="s">
        <v>1595</v>
      </c>
      <c r="L536" s="11">
        <v>170000</v>
      </c>
      <c r="M536" s="11">
        <v>400000</v>
      </c>
      <c r="N536" s="2" t="s">
        <v>25</v>
      </c>
      <c r="O536" s="15">
        <v>230000</v>
      </c>
    </row>
    <row r="537" spans="1:15" x14ac:dyDescent="0.25">
      <c r="A537" s="56">
        <v>44678</v>
      </c>
      <c r="C537" s="191"/>
      <c r="E537" s="4" t="s">
        <v>1596</v>
      </c>
      <c r="F537" s="1" t="s">
        <v>34</v>
      </c>
      <c r="G537" s="71" t="s">
        <v>21</v>
      </c>
      <c r="H537" s="2">
        <v>10000</v>
      </c>
      <c r="I537" s="2">
        <v>6000</v>
      </c>
      <c r="J537" s="192">
        <v>4000</v>
      </c>
      <c r="L537" s="11"/>
      <c r="M537" s="11"/>
      <c r="N537" s="2" t="s">
        <v>25</v>
      </c>
      <c r="O537" s="15">
        <v>0</v>
      </c>
    </row>
    <row r="538" spans="1:15" x14ac:dyDescent="0.25">
      <c r="A538" s="56">
        <v>44678</v>
      </c>
      <c r="B538" s="4" t="s">
        <v>1597</v>
      </c>
      <c r="C538" s="191" t="s">
        <v>1598</v>
      </c>
      <c r="E538" s="4" t="s">
        <v>1599</v>
      </c>
      <c r="F538" s="1" t="s">
        <v>10</v>
      </c>
      <c r="G538" s="71" t="s">
        <v>1600</v>
      </c>
      <c r="H538" s="2">
        <v>20000</v>
      </c>
      <c r="I538" s="2">
        <v>12000</v>
      </c>
      <c r="J538" s="192">
        <v>8000</v>
      </c>
      <c r="L538" s="11"/>
      <c r="M538" s="11"/>
      <c r="N538" s="2" t="s">
        <v>25</v>
      </c>
      <c r="O538" s="15">
        <v>0</v>
      </c>
    </row>
    <row r="539" spans="1:15" x14ac:dyDescent="0.25">
      <c r="A539" s="56">
        <v>44679</v>
      </c>
      <c r="B539" s="4" t="s">
        <v>1601</v>
      </c>
      <c r="C539" s="191" t="s">
        <v>1602</v>
      </c>
      <c r="D539" s="1" t="s">
        <v>122</v>
      </c>
      <c r="E539" s="4" t="s">
        <v>1603</v>
      </c>
      <c r="F539" s="1" t="s">
        <v>408</v>
      </c>
      <c r="G539" s="71" t="s">
        <v>1604</v>
      </c>
      <c r="H539" s="2">
        <v>50000</v>
      </c>
      <c r="I539" s="2">
        <v>30000</v>
      </c>
      <c r="J539" s="192">
        <v>20000</v>
      </c>
      <c r="K539" s="1" t="s">
        <v>1605</v>
      </c>
      <c r="L539" s="11"/>
      <c r="M539" s="11"/>
      <c r="N539" s="2" t="s">
        <v>25</v>
      </c>
      <c r="O539" s="15">
        <v>0</v>
      </c>
    </row>
    <row r="540" spans="1:15" x14ac:dyDescent="0.25">
      <c r="A540" s="56">
        <v>44680</v>
      </c>
      <c r="B540" s="4" t="s">
        <v>1606</v>
      </c>
      <c r="C540" s="191" t="s">
        <v>1442</v>
      </c>
      <c r="D540" s="1" t="s">
        <v>59</v>
      </c>
      <c r="E540" s="4" t="s">
        <v>1607</v>
      </c>
      <c r="F540" s="1" t="s">
        <v>408</v>
      </c>
      <c r="G540" s="71" t="s">
        <v>1614</v>
      </c>
      <c r="H540" s="2">
        <v>400000</v>
      </c>
      <c r="I540" s="2">
        <v>240000</v>
      </c>
      <c r="J540" s="192">
        <v>160000</v>
      </c>
      <c r="L540" s="11"/>
      <c r="M540" s="11"/>
      <c r="N540" s="2" t="s">
        <v>25</v>
      </c>
      <c r="O540" s="15">
        <v>0</v>
      </c>
    </row>
    <row r="541" spans="1:15" x14ac:dyDescent="0.25">
      <c r="A541" s="56">
        <v>44680</v>
      </c>
      <c r="C541" s="191"/>
      <c r="E541" s="4"/>
      <c r="F541" s="1" t="s">
        <v>19</v>
      </c>
      <c r="G541" s="71" t="s">
        <v>434</v>
      </c>
      <c r="H541" s="2">
        <v>50000</v>
      </c>
      <c r="I541" s="2">
        <v>30000</v>
      </c>
      <c r="J541" s="192">
        <v>20000</v>
      </c>
      <c r="L541" s="11"/>
      <c r="M541" s="11"/>
      <c r="N541" s="2" t="s">
        <v>25</v>
      </c>
      <c r="O541" s="15">
        <v>0</v>
      </c>
    </row>
    <row r="542" spans="1:15" x14ac:dyDescent="0.25">
      <c r="A542" s="56">
        <v>44680</v>
      </c>
      <c r="B542" s="4" t="s">
        <v>1609</v>
      </c>
      <c r="C542" s="191" t="s">
        <v>129</v>
      </c>
      <c r="D542" s="1" t="s">
        <v>202</v>
      </c>
      <c r="E542" s="4" t="s">
        <v>125</v>
      </c>
      <c r="F542" s="1" t="s">
        <v>10</v>
      </c>
      <c r="G542" s="71" t="s">
        <v>1151</v>
      </c>
      <c r="H542" s="2">
        <v>2400000</v>
      </c>
      <c r="I542" s="2">
        <v>720000</v>
      </c>
      <c r="J542" s="192">
        <v>960000</v>
      </c>
      <c r="L542" s="11"/>
      <c r="M542" s="11"/>
      <c r="N542" s="2" t="s">
        <v>25</v>
      </c>
      <c r="O542" s="15">
        <v>0</v>
      </c>
    </row>
    <row r="543" spans="1:15" x14ac:dyDescent="0.25">
      <c r="A543" s="56">
        <v>44680</v>
      </c>
      <c r="B543" s="4" t="s">
        <v>1609</v>
      </c>
      <c r="C543" s="191" t="s">
        <v>129</v>
      </c>
      <c r="D543" s="1" t="s">
        <v>202</v>
      </c>
      <c r="E543" s="4" t="s">
        <v>125</v>
      </c>
      <c r="F543" s="1" t="s">
        <v>30</v>
      </c>
      <c r="G543" s="71" t="s">
        <v>1151</v>
      </c>
      <c r="H543" s="2">
        <v>2400000</v>
      </c>
      <c r="I543" s="2">
        <v>720000</v>
      </c>
      <c r="J543" s="192" t="s">
        <v>655</v>
      </c>
      <c r="L543" s="11"/>
      <c r="M543" s="11"/>
      <c r="N543" s="2" t="s">
        <v>25</v>
      </c>
      <c r="O543" s="15">
        <v>0</v>
      </c>
    </row>
    <row r="544" spans="1:15" x14ac:dyDescent="0.25">
      <c r="A544" s="56">
        <v>44680</v>
      </c>
      <c r="C544" s="191"/>
      <c r="D544" s="1" t="s">
        <v>59</v>
      </c>
      <c r="E544" s="4" t="s">
        <v>273</v>
      </c>
      <c r="F544" s="1" t="s">
        <v>19</v>
      </c>
      <c r="G544" s="71" t="s">
        <v>21</v>
      </c>
      <c r="H544" s="2">
        <v>10000</v>
      </c>
      <c r="I544" s="2">
        <v>6000</v>
      </c>
      <c r="J544" s="192">
        <v>4000</v>
      </c>
      <c r="L544" s="11"/>
      <c r="M544" s="11"/>
      <c r="N544" s="2" t="s">
        <v>25</v>
      </c>
      <c r="O544" s="15">
        <v>0</v>
      </c>
    </row>
    <row r="545" spans="1:15" x14ac:dyDescent="0.25">
      <c r="A545" s="56">
        <v>44680</v>
      </c>
      <c r="B545" s="4" t="s">
        <v>1612</v>
      </c>
      <c r="C545" s="191" t="s">
        <v>1613</v>
      </c>
      <c r="D545" s="1" t="s">
        <v>54</v>
      </c>
      <c r="E545" s="4" t="s">
        <v>1610</v>
      </c>
      <c r="F545" s="1" t="s">
        <v>10</v>
      </c>
      <c r="G545" s="71" t="s">
        <v>1611</v>
      </c>
      <c r="H545" s="2">
        <v>150000</v>
      </c>
      <c r="I545" s="2">
        <v>90000</v>
      </c>
      <c r="J545" s="192">
        <v>60000</v>
      </c>
      <c r="L545" s="11"/>
      <c r="M545" s="11"/>
      <c r="N545" s="2" t="s">
        <v>25</v>
      </c>
      <c r="O545" s="15">
        <v>0</v>
      </c>
    </row>
    <row r="546" spans="1:15" x14ac:dyDescent="0.25">
      <c r="A546" s="56">
        <v>44681</v>
      </c>
      <c r="C546" s="191"/>
      <c r="D546" s="1" t="s">
        <v>540</v>
      </c>
      <c r="E546" s="4" t="s">
        <v>1624</v>
      </c>
      <c r="F546" s="1" t="s">
        <v>10</v>
      </c>
      <c r="G546" s="71" t="s">
        <v>1538</v>
      </c>
      <c r="H546" s="2">
        <v>20000</v>
      </c>
      <c r="I546" s="2">
        <v>12000</v>
      </c>
      <c r="J546" s="192">
        <v>8000</v>
      </c>
      <c r="L546" s="11"/>
      <c r="M546" s="11"/>
      <c r="N546" s="2" t="s">
        <v>25</v>
      </c>
      <c r="O546" s="15">
        <v>0</v>
      </c>
    </row>
    <row r="547" spans="1:15" x14ac:dyDescent="0.25">
      <c r="A547" s="56">
        <v>44681</v>
      </c>
      <c r="C547" s="191"/>
      <c r="E547" s="4" t="s">
        <v>1625</v>
      </c>
      <c r="F547" s="1" t="s">
        <v>19</v>
      </c>
      <c r="G547" s="71" t="s">
        <v>1626</v>
      </c>
      <c r="H547" s="2">
        <v>10000</v>
      </c>
      <c r="I547" s="2">
        <v>6000</v>
      </c>
      <c r="J547" s="192">
        <v>4000</v>
      </c>
      <c r="L547" s="11"/>
      <c r="M547" s="11"/>
      <c r="N547" s="2" t="s">
        <v>25</v>
      </c>
      <c r="O547" s="15">
        <v>0</v>
      </c>
    </row>
    <row r="548" spans="1:15" x14ac:dyDescent="0.25">
      <c r="A548" s="56">
        <v>44681</v>
      </c>
      <c r="C548" s="191" t="s">
        <v>1627</v>
      </c>
      <c r="E548" s="4" t="s">
        <v>1628</v>
      </c>
      <c r="F548" s="1" t="s">
        <v>1039</v>
      </c>
      <c r="G548" s="71" t="s">
        <v>206</v>
      </c>
      <c r="H548" s="2">
        <v>100000</v>
      </c>
      <c r="I548" s="2">
        <v>60000</v>
      </c>
      <c r="J548" s="192">
        <v>40000</v>
      </c>
      <c r="L548" s="11"/>
      <c r="M548" s="11"/>
      <c r="N548" s="2" t="s">
        <v>25</v>
      </c>
      <c r="O548" s="15">
        <v>0</v>
      </c>
    </row>
    <row r="549" spans="1:15" x14ac:dyDescent="0.25">
      <c r="A549" s="56">
        <v>44681</v>
      </c>
      <c r="C549" s="191" t="s">
        <v>609</v>
      </c>
      <c r="D549" s="1" t="s">
        <v>54</v>
      </c>
      <c r="E549" s="4" t="s">
        <v>1629</v>
      </c>
      <c r="F549" s="1" t="s">
        <v>408</v>
      </c>
      <c r="G549" s="71" t="s">
        <v>1630</v>
      </c>
      <c r="H549" s="2">
        <v>60000</v>
      </c>
      <c r="I549" s="2">
        <v>36000</v>
      </c>
      <c r="J549" s="192">
        <v>24000</v>
      </c>
      <c r="L549" s="11"/>
      <c r="M549" s="11"/>
      <c r="N549" s="2" t="s">
        <v>25</v>
      </c>
      <c r="O549" s="15">
        <v>0</v>
      </c>
    </row>
    <row r="550" spans="1:15" x14ac:dyDescent="0.25">
      <c r="A550" s="56">
        <v>44681</v>
      </c>
      <c r="C550" s="191"/>
      <c r="D550" s="1" t="s">
        <v>84</v>
      </c>
      <c r="E550" s="4" t="s">
        <v>470</v>
      </c>
      <c r="F550" s="1" t="s">
        <v>19</v>
      </c>
      <c r="G550" s="71" t="s">
        <v>1631</v>
      </c>
      <c r="H550" s="2">
        <v>40000</v>
      </c>
      <c r="I550" s="2">
        <v>24000</v>
      </c>
      <c r="J550" s="192">
        <v>16000</v>
      </c>
      <c r="L550" s="11"/>
      <c r="M550" s="11"/>
      <c r="N550" s="2" t="s">
        <v>25</v>
      </c>
      <c r="O550" s="15">
        <v>0</v>
      </c>
    </row>
    <row r="551" spans="1:15" x14ac:dyDescent="0.25">
      <c r="A551" s="56">
        <v>44681</v>
      </c>
      <c r="C551" s="191" t="s">
        <v>1278</v>
      </c>
      <c r="E551" s="4" t="s">
        <v>380</v>
      </c>
      <c r="F551" s="1" t="s">
        <v>30</v>
      </c>
      <c r="G551" s="71" t="s">
        <v>1632</v>
      </c>
      <c r="H551" s="2">
        <v>30000</v>
      </c>
      <c r="I551" s="2">
        <v>30000</v>
      </c>
      <c r="J551" s="192" t="s">
        <v>655</v>
      </c>
      <c r="L551" s="11"/>
      <c r="M551" s="11"/>
      <c r="N551" s="2" t="s">
        <v>25</v>
      </c>
      <c r="O551" s="15">
        <v>0</v>
      </c>
    </row>
    <row r="552" spans="1:15" x14ac:dyDescent="0.25">
      <c r="A552" s="56">
        <v>44681</v>
      </c>
      <c r="C552" s="191" t="s">
        <v>1278</v>
      </c>
      <c r="E552" s="4" t="s">
        <v>380</v>
      </c>
      <c r="F552" s="1" t="s">
        <v>1039</v>
      </c>
      <c r="G552" s="71" t="s">
        <v>1633</v>
      </c>
      <c r="H552" s="2">
        <v>30000</v>
      </c>
      <c r="I552" s="2">
        <v>18000</v>
      </c>
      <c r="J552" s="192">
        <v>12000</v>
      </c>
      <c r="K552" s="1" t="s">
        <v>1634</v>
      </c>
      <c r="L552" s="11">
        <v>25000</v>
      </c>
      <c r="M552" s="11">
        <v>40000</v>
      </c>
      <c r="N552" s="2" t="s">
        <v>25</v>
      </c>
      <c r="O552" s="15">
        <v>15000</v>
      </c>
    </row>
    <row r="553" spans="1:15" x14ac:dyDescent="0.25">
      <c r="A553" s="56">
        <v>44683</v>
      </c>
      <c r="C553" s="191"/>
      <c r="D553" s="1" t="s">
        <v>200</v>
      </c>
      <c r="E553" s="4"/>
      <c r="F553" s="1" t="s">
        <v>19</v>
      </c>
      <c r="G553" s="71" t="s">
        <v>212</v>
      </c>
      <c r="H553" s="2">
        <v>50000</v>
      </c>
      <c r="I553" s="2">
        <v>30000</v>
      </c>
      <c r="J553" s="192">
        <v>20000</v>
      </c>
      <c r="L553" s="11"/>
      <c r="M553" s="11"/>
      <c r="N553" s="2" t="s">
        <v>25</v>
      </c>
      <c r="O553" s="15">
        <f>Tabla210[[#This Row],[MONTO DE COMPRA]]-Tabla210[[#This Row],[MONTO DE LA VENTA]]</f>
        <v>0</v>
      </c>
    </row>
    <row r="554" spans="1:15" x14ac:dyDescent="0.25">
      <c r="A554" s="56">
        <v>44683</v>
      </c>
      <c r="C554" s="191" t="s">
        <v>1635</v>
      </c>
      <c r="D554" s="1" t="s">
        <v>1044</v>
      </c>
      <c r="E554" s="4" t="s">
        <v>1636</v>
      </c>
      <c r="F554" s="1" t="s">
        <v>19</v>
      </c>
      <c r="G554" s="71" t="s">
        <v>1637</v>
      </c>
      <c r="H554" s="2">
        <v>80000</v>
      </c>
      <c r="I554" s="2">
        <v>80000</v>
      </c>
      <c r="J554" s="192" t="s">
        <v>655</v>
      </c>
      <c r="K554" s="1" t="s">
        <v>1638</v>
      </c>
      <c r="L554" s="11">
        <v>425000</v>
      </c>
      <c r="M554" s="11">
        <v>490000</v>
      </c>
      <c r="N554" s="2" t="s">
        <v>25</v>
      </c>
      <c r="O554" s="15">
        <v>65000</v>
      </c>
    </row>
    <row r="555" spans="1:15" x14ac:dyDescent="0.25">
      <c r="A555" s="56">
        <v>44683</v>
      </c>
      <c r="B555" s="4" t="s">
        <v>1639</v>
      </c>
      <c r="C555" s="191" t="s">
        <v>642</v>
      </c>
      <c r="D555" s="1" t="s">
        <v>815</v>
      </c>
      <c r="E555" s="4" t="s">
        <v>1224</v>
      </c>
      <c r="F555" s="1" t="s">
        <v>10</v>
      </c>
      <c r="G555" s="71" t="s">
        <v>1640</v>
      </c>
      <c r="H555" s="2">
        <v>180000</v>
      </c>
      <c r="I555" s="2">
        <v>108000</v>
      </c>
      <c r="J555" s="192">
        <v>72000</v>
      </c>
      <c r="K555" s="1" t="s">
        <v>57</v>
      </c>
      <c r="L555" s="11">
        <v>5000</v>
      </c>
      <c r="M555" s="11">
        <v>12000</v>
      </c>
      <c r="N555" s="2" t="s">
        <v>25</v>
      </c>
      <c r="O555" s="15">
        <v>7000</v>
      </c>
    </row>
    <row r="556" spans="1:15" x14ac:dyDescent="0.25">
      <c r="A556" s="56">
        <v>44683</v>
      </c>
      <c r="B556" s="4" t="s">
        <v>1641</v>
      </c>
      <c r="C556" s="191" t="s">
        <v>215</v>
      </c>
      <c r="D556" s="1" t="s">
        <v>450</v>
      </c>
      <c r="E556" s="4" t="s">
        <v>1610</v>
      </c>
      <c r="F556" s="1" t="s">
        <v>19</v>
      </c>
      <c r="G556" s="71" t="s">
        <v>1642</v>
      </c>
      <c r="H556" s="2">
        <v>50000</v>
      </c>
      <c r="I556" s="2">
        <v>30000</v>
      </c>
      <c r="J556" s="192">
        <v>20000</v>
      </c>
      <c r="L556" s="11"/>
      <c r="M556" s="11"/>
      <c r="N556" s="2" t="s">
        <v>25</v>
      </c>
      <c r="O556" s="15">
        <v>0</v>
      </c>
    </row>
    <row r="557" spans="1:15" x14ac:dyDescent="0.25">
      <c r="A557" s="56">
        <v>44683</v>
      </c>
      <c r="C557" s="191"/>
      <c r="D557" s="1" t="s">
        <v>1643</v>
      </c>
      <c r="E557" s="4" t="s">
        <v>1419</v>
      </c>
      <c r="F557" s="1" t="s">
        <v>408</v>
      </c>
      <c r="G557" s="71" t="s">
        <v>1644</v>
      </c>
      <c r="H557" s="2">
        <v>40000</v>
      </c>
      <c r="I557" s="2">
        <v>24000</v>
      </c>
      <c r="J557" s="192">
        <v>16000</v>
      </c>
      <c r="L557" s="11"/>
      <c r="M557" s="11"/>
      <c r="N557" s="2" t="s">
        <v>25</v>
      </c>
      <c r="O557" s="15">
        <v>0</v>
      </c>
    </row>
    <row r="558" spans="1:15" x14ac:dyDescent="0.25">
      <c r="A558" s="56">
        <v>44683</v>
      </c>
      <c r="B558" s="4" t="s">
        <v>1645</v>
      </c>
      <c r="C558" s="191" t="s">
        <v>1646</v>
      </c>
      <c r="D558" s="1" t="s">
        <v>122</v>
      </c>
      <c r="E558" s="4" t="s">
        <v>1647</v>
      </c>
      <c r="F558" s="1" t="s">
        <v>1039</v>
      </c>
      <c r="G558" s="71" t="s">
        <v>1648</v>
      </c>
      <c r="H558" s="2">
        <v>80000</v>
      </c>
      <c r="I558" s="2">
        <v>48000</v>
      </c>
      <c r="J558" s="192">
        <v>32000</v>
      </c>
      <c r="K558" s="1" t="s">
        <v>1649</v>
      </c>
      <c r="L558" s="11">
        <v>137000</v>
      </c>
      <c r="M558" s="11">
        <v>200000</v>
      </c>
      <c r="N558" s="2" t="s">
        <v>25</v>
      </c>
      <c r="O558" s="15">
        <v>63000</v>
      </c>
    </row>
    <row r="559" spans="1:15" x14ac:dyDescent="0.25">
      <c r="A559" s="56">
        <v>44683</v>
      </c>
      <c r="C559" s="191" t="s">
        <v>1650</v>
      </c>
      <c r="D559" s="1" t="s">
        <v>161</v>
      </c>
      <c r="E559" s="4" t="s">
        <v>1651</v>
      </c>
      <c r="F559" s="1" t="s">
        <v>19</v>
      </c>
      <c r="G559" s="71" t="s">
        <v>21</v>
      </c>
      <c r="H559" s="2">
        <v>12000</v>
      </c>
      <c r="I559" s="2">
        <v>7200</v>
      </c>
      <c r="J559" s="192">
        <v>4800</v>
      </c>
      <c r="L559" s="11"/>
      <c r="M559" s="11"/>
      <c r="N559" s="2" t="s">
        <v>25</v>
      </c>
      <c r="O559" s="15">
        <v>0</v>
      </c>
    </row>
    <row r="560" spans="1:15" x14ac:dyDescent="0.25">
      <c r="A560" s="56">
        <v>44684</v>
      </c>
      <c r="B560" s="4" t="s">
        <v>1652</v>
      </c>
      <c r="C560" s="191" t="s">
        <v>1653</v>
      </c>
      <c r="D560" s="1" t="s">
        <v>1654</v>
      </c>
      <c r="E560" s="4" t="s">
        <v>1655</v>
      </c>
      <c r="F560" s="1" t="s">
        <v>19</v>
      </c>
      <c r="G560" s="71" t="s">
        <v>786</v>
      </c>
      <c r="H560" s="2">
        <v>120000</v>
      </c>
      <c r="I560" s="2">
        <v>72000</v>
      </c>
      <c r="J560" s="192">
        <v>48000</v>
      </c>
      <c r="K560" s="1" t="s">
        <v>1656</v>
      </c>
      <c r="L560" s="11">
        <v>940000</v>
      </c>
      <c r="M560" s="11">
        <v>1180000</v>
      </c>
      <c r="N560" s="2" t="s">
        <v>25</v>
      </c>
      <c r="O560" s="15">
        <v>240000</v>
      </c>
    </row>
    <row r="561" spans="1:15" x14ac:dyDescent="0.25">
      <c r="A561" s="56">
        <v>44684</v>
      </c>
      <c r="B561" s="4" t="s">
        <v>1657</v>
      </c>
      <c r="C561" s="191" t="s">
        <v>1658</v>
      </c>
      <c r="D561" s="1" t="s">
        <v>435</v>
      </c>
      <c r="E561" s="4" t="s">
        <v>1659</v>
      </c>
      <c r="F561" s="1" t="s">
        <v>19</v>
      </c>
      <c r="G561" s="71" t="s">
        <v>1660</v>
      </c>
      <c r="H561" s="2">
        <v>80000</v>
      </c>
      <c r="I561" s="2">
        <v>48000</v>
      </c>
      <c r="J561" s="192">
        <v>32000</v>
      </c>
      <c r="K561" s="1" t="s">
        <v>660</v>
      </c>
      <c r="L561" s="11">
        <v>152000</v>
      </c>
      <c r="M561" s="11">
        <v>212000</v>
      </c>
      <c r="N561" s="2" t="s">
        <v>25</v>
      </c>
      <c r="O561" s="15">
        <v>60000</v>
      </c>
    </row>
    <row r="562" spans="1:15" x14ac:dyDescent="0.25">
      <c r="A562" s="56">
        <v>44684</v>
      </c>
      <c r="B562" s="4" t="s">
        <v>1664</v>
      </c>
      <c r="C562" s="191" t="s">
        <v>1665</v>
      </c>
      <c r="D562" s="1" t="s">
        <v>1661</v>
      </c>
      <c r="E562" s="4" t="s">
        <v>1662</v>
      </c>
      <c r="F562" s="1" t="s">
        <v>19</v>
      </c>
      <c r="G562" s="71" t="s">
        <v>20</v>
      </c>
      <c r="H562" s="2">
        <v>30000</v>
      </c>
      <c r="I562" s="2">
        <v>18000</v>
      </c>
      <c r="J562" s="192">
        <v>12000</v>
      </c>
      <c r="K562" s="1" t="s">
        <v>1663</v>
      </c>
      <c r="L562" s="11">
        <v>95000</v>
      </c>
      <c r="M562" s="11">
        <v>135000</v>
      </c>
      <c r="N562" s="2" t="s">
        <v>25</v>
      </c>
      <c r="O562" s="15">
        <v>40000</v>
      </c>
    </row>
    <row r="563" spans="1:15" x14ac:dyDescent="0.25">
      <c r="A563" s="56">
        <v>44685</v>
      </c>
      <c r="B563" s="4" t="s">
        <v>1666</v>
      </c>
      <c r="C563" s="191" t="s">
        <v>1667</v>
      </c>
      <c r="D563" s="1" t="s">
        <v>240</v>
      </c>
      <c r="E563" s="4" t="s">
        <v>1668</v>
      </c>
      <c r="F563" s="1" t="s">
        <v>34</v>
      </c>
      <c r="G563" s="71" t="s">
        <v>1669</v>
      </c>
      <c r="H563" s="2">
        <v>1400000</v>
      </c>
      <c r="I563" s="2">
        <v>840000</v>
      </c>
      <c r="J563" s="192">
        <v>560000</v>
      </c>
      <c r="K563" s="1" t="s">
        <v>1670</v>
      </c>
      <c r="L563" s="11"/>
      <c r="M563" s="11"/>
      <c r="N563" s="2" t="s">
        <v>25</v>
      </c>
      <c r="O563" s="15">
        <v>0</v>
      </c>
    </row>
    <row r="564" spans="1:15" x14ac:dyDescent="0.25">
      <c r="A564" s="56">
        <v>44685</v>
      </c>
      <c r="C564" s="191" t="s">
        <v>1671</v>
      </c>
      <c r="D564" s="1" t="s">
        <v>410</v>
      </c>
      <c r="E564" s="4" t="s">
        <v>1672</v>
      </c>
      <c r="F564" s="1" t="s">
        <v>408</v>
      </c>
      <c r="G564" s="71" t="s">
        <v>1673</v>
      </c>
      <c r="H564" s="2">
        <v>40000</v>
      </c>
      <c r="I564" s="2">
        <v>24000</v>
      </c>
      <c r="J564" s="192">
        <v>16000</v>
      </c>
      <c r="K564" s="1" t="s">
        <v>1674</v>
      </c>
      <c r="L564" s="11">
        <v>90000</v>
      </c>
      <c r="M564" s="11">
        <v>130000</v>
      </c>
      <c r="N564" s="2" t="s">
        <v>25</v>
      </c>
      <c r="O564" s="15">
        <v>40000</v>
      </c>
    </row>
    <row r="565" spans="1:15" x14ac:dyDescent="0.25">
      <c r="A565" s="56">
        <v>44685</v>
      </c>
      <c r="C565" s="191" t="s">
        <v>1199</v>
      </c>
      <c r="D565" s="1" t="s">
        <v>122</v>
      </c>
      <c r="E565" s="4" t="s">
        <v>1675</v>
      </c>
      <c r="F565" s="1" t="s">
        <v>10</v>
      </c>
      <c r="G565" s="71" t="s">
        <v>1676</v>
      </c>
      <c r="H565" s="2">
        <v>60000</v>
      </c>
      <c r="I565" s="2">
        <v>36000</v>
      </c>
      <c r="J565" s="192">
        <v>24000</v>
      </c>
      <c r="L565" s="11"/>
      <c r="M565" s="11"/>
      <c r="N565" s="2" t="s">
        <v>25</v>
      </c>
      <c r="O565" s="15">
        <v>0</v>
      </c>
    </row>
    <row r="566" spans="1:15" x14ac:dyDescent="0.25">
      <c r="A566" s="56">
        <v>44685</v>
      </c>
      <c r="B566" s="4" t="s">
        <v>1678</v>
      </c>
      <c r="C566" s="191" t="s">
        <v>1677</v>
      </c>
      <c r="D566" s="1" t="s">
        <v>1679</v>
      </c>
      <c r="E566" s="4" t="s">
        <v>1655</v>
      </c>
      <c r="F566" s="1" t="s">
        <v>19</v>
      </c>
      <c r="G566" s="71" t="s">
        <v>1680</v>
      </c>
      <c r="H566" s="2">
        <v>60000</v>
      </c>
      <c r="I566" s="2">
        <v>36000</v>
      </c>
      <c r="J566" s="192">
        <v>24000</v>
      </c>
      <c r="K566" s="1" t="s">
        <v>1681</v>
      </c>
      <c r="L566" s="11">
        <v>160000</v>
      </c>
      <c r="M566" s="11">
        <v>200000</v>
      </c>
      <c r="N566" s="2" t="s">
        <v>25</v>
      </c>
      <c r="O566" s="15">
        <v>40000</v>
      </c>
    </row>
    <row r="567" spans="1:15" x14ac:dyDescent="0.25">
      <c r="A567" s="56">
        <v>44685</v>
      </c>
      <c r="C567" s="191"/>
      <c r="E567" s="4" t="s">
        <v>1682</v>
      </c>
      <c r="F567" s="1" t="s">
        <v>10</v>
      </c>
      <c r="G567" s="71" t="s">
        <v>1683</v>
      </c>
      <c r="H567" s="2">
        <v>180000</v>
      </c>
      <c r="I567" s="2">
        <v>108000</v>
      </c>
      <c r="J567" s="192">
        <v>72000</v>
      </c>
      <c r="K567" s="1" t="s">
        <v>1684</v>
      </c>
      <c r="L567" s="11">
        <v>240000</v>
      </c>
      <c r="M567" s="11">
        <v>300000</v>
      </c>
      <c r="N567" s="2" t="s">
        <v>25</v>
      </c>
      <c r="O567" s="15">
        <v>60000</v>
      </c>
    </row>
    <row r="568" spans="1:15" x14ac:dyDescent="0.25">
      <c r="A568" s="56">
        <v>44686</v>
      </c>
      <c r="C568" s="191" t="s">
        <v>1278</v>
      </c>
      <c r="D568" s="1" t="s">
        <v>59</v>
      </c>
      <c r="E568" s="4" t="s">
        <v>380</v>
      </c>
      <c r="F568" s="1" t="s">
        <v>1039</v>
      </c>
      <c r="G568" s="71" t="s">
        <v>1685</v>
      </c>
      <c r="H568" s="2">
        <v>30000</v>
      </c>
      <c r="I568" s="2">
        <v>18000</v>
      </c>
      <c r="J568" s="192">
        <v>12000</v>
      </c>
      <c r="L568" s="11"/>
      <c r="M568" s="11"/>
      <c r="N568" s="2" t="s">
        <v>25</v>
      </c>
      <c r="O568" s="15">
        <v>0</v>
      </c>
    </row>
    <row r="569" spans="1:15" x14ac:dyDescent="0.25">
      <c r="A569" s="56">
        <v>44686</v>
      </c>
      <c r="B569" s="4" t="s">
        <v>1687</v>
      </c>
      <c r="C569" s="191" t="s">
        <v>1399</v>
      </c>
      <c r="D569" s="1" t="s">
        <v>962</v>
      </c>
      <c r="E569" s="4" t="s">
        <v>963</v>
      </c>
      <c r="F569" s="1" t="s">
        <v>30</v>
      </c>
      <c r="G569" s="71" t="s">
        <v>1686</v>
      </c>
      <c r="H569" s="2">
        <v>400000</v>
      </c>
      <c r="I569" s="2">
        <v>240000</v>
      </c>
      <c r="J569" s="192">
        <v>160000</v>
      </c>
      <c r="L569" s="11"/>
      <c r="M569" s="11"/>
      <c r="N569" s="2" t="s">
        <v>25</v>
      </c>
      <c r="O569" s="15">
        <v>0</v>
      </c>
    </row>
    <row r="570" spans="1:15" x14ac:dyDescent="0.25">
      <c r="A570" s="56">
        <v>44686</v>
      </c>
      <c r="B570" s="4" t="s">
        <v>1688</v>
      </c>
      <c r="C570" s="191" t="s">
        <v>598</v>
      </c>
      <c r="D570" s="1" t="s">
        <v>161</v>
      </c>
      <c r="E570" s="4" t="s">
        <v>162</v>
      </c>
      <c r="F570" s="1" t="s">
        <v>30</v>
      </c>
      <c r="G570" s="71" t="s">
        <v>1689</v>
      </c>
      <c r="H570" s="2">
        <v>40000</v>
      </c>
      <c r="I570" s="2">
        <v>40000</v>
      </c>
      <c r="J570" s="192">
        <v>16000</v>
      </c>
      <c r="L570" s="11"/>
      <c r="M570" s="11"/>
      <c r="N570" s="2" t="s">
        <v>25</v>
      </c>
      <c r="O570" s="15">
        <v>0</v>
      </c>
    </row>
    <row r="571" spans="1:15" x14ac:dyDescent="0.25">
      <c r="A571" s="56">
        <v>44686</v>
      </c>
      <c r="B571" s="4" t="s">
        <v>1690</v>
      </c>
      <c r="C571" s="191" t="s">
        <v>1502</v>
      </c>
      <c r="D571" s="1" t="s">
        <v>385</v>
      </c>
      <c r="E571" s="4" t="s">
        <v>1504</v>
      </c>
      <c r="F571" s="1" t="s">
        <v>408</v>
      </c>
      <c r="G571" s="71" t="s">
        <v>1691</v>
      </c>
      <c r="H571" s="2">
        <v>20000</v>
      </c>
      <c r="I571" s="2">
        <v>12000</v>
      </c>
      <c r="J571" s="192">
        <v>8000</v>
      </c>
      <c r="K571" s="1" t="s">
        <v>1692</v>
      </c>
      <c r="L571" s="11">
        <v>40500</v>
      </c>
      <c r="M571" s="11">
        <v>76000</v>
      </c>
      <c r="N571" s="2" t="s">
        <v>25</v>
      </c>
      <c r="O571" s="15">
        <v>35500</v>
      </c>
    </row>
    <row r="572" spans="1:15" x14ac:dyDescent="0.25">
      <c r="A572" s="56">
        <v>44686</v>
      </c>
      <c r="C572" s="191"/>
      <c r="D572" s="1" t="s">
        <v>540</v>
      </c>
      <c r="E572" s="4" t="s">
        <v>1693</v>
      </c>
      <c r="F572" s="1" t="s">
        <v>19</v>
      </c>
      <c r="G572" s="71" t="s">
        <v>1694</v>
      </c>
      <c r="H572" s="2">
        <v>20000</v>
      </c>
      <c r="I572" s="2">
        <v>12000</v>
      </c>
      <c r="J572" s="192">
        <v>8000</v>
      </c>
      <c r="L572" s="11"/>
      <c r="M572" s="11"/>
      <c r="N572" s="2" t="s">
        <v>25</v>
      </c>
      <c r="O572" s="15">
        <v>0</v>
      </c>
    </row>
    <row r="573" spans="1:15" x14ac:dyDescent="0.25">
      <c r="A573" s="56">
        <v>44686</v>
      </c>
      <c r="C573" s="191"/>
      <c r="D573" s="1" t="s">
        <v>168</v>
      </c>
      <c r="E573" s="4" t="s">
        <v>1695</v>
      </c>
      <c r="F573" s="1" t="s">
        <v>10</v>
      </c>
      <c r="G573" s="71" t="s">
        <v>1696</v>
      </c>
      <c r="I573" s="2">
        <v>0</v>
      </c>
      <c r="J573" s="192">
        <v>0</v>
      </c>
      <c r="L573" s="11"/>
      <c r="M573" s="11"/>
      <c r="N573" s="2" t="s">
        <v>25</v>
      </c>
      <c r="O573" s="15">
        <v>0</v>
      </c>
    </row>
    <row r="574" spans="1:15" x14ac:dyDescent="0.25">
      <c r="A574" s="56">
        <v>44686</v>
      </c>
      <c r="C574" s="191" t="s">
        <v>598</v>
      </c>
      <c r="D574" s="1" t="s">
        <v>151</v>
      </c>
      <c r="E574" s="4" t="s">
        <v>152</v>
      </c>
      <c r="F574" s="1" t="s">
        <v>408</v>
      </c>
      <c r="G574" s="71" t="s">
        <v>1697</v>
      </c>
      <c r="H574" s="2">
        <v>210000</v>
      </c>
      <c r="I574" s="2">
        <v>147000</v>
      </c>
      <c r="J574" s="192">
        <v>84000</v>
      </c>
      <c r="K574" s="1" t="s">
        <v>1698</v>
      </c>
      <c r="L574" s="11"/>
      <c r="M574" s="11"/>
      <c r="N574" s="2" t="s">
        <v>25</v>
      </c>
      <c r="O574" s="15">
        <v>0</v>
      </c>
    </row>
    <row r="575" spans="1:15" x14ac:dyDescent="0.25">
      <c r="A575" s="56">
        <v>44687</v>
      </c>
      <c r="C575" s="191" t="s">
        <v>1699</v>
      </c>
      <c r="D575" s="1" t="s">
        <v>54</v>
      </c>
      <c r="E575" s="4" t="s">
        <v>1700</v>
      </c>
      <c r="F575" s="1" t="s">
        <v>19</v>
      </c>
      <c r="G575" s="71" t="s">
        <v>1701</v>
      </c>
      <c r="H575" s="2">
        <v>40000</v>
      </c>
      <c r="I575" s="2">
        <v>24000</v>
      </c>
      <c r="J575" s="192">
        <v>16000</v>
      </c>
      <c r="L575" s="11"/>
      <c r="M575" s="11"/>
      <c r="N575" s="2" t="s">
        <v>25</v>
      </c>
      <c r="O575" s="15">
        <v>0</v>
      </c>
    </row>
    <row r="576" spans="1:15" x14ac:dyDescent="0.25">
      <c r="A576" s="56">
        <v>44687</v>
      </c>
      <c r="B576" s="4" t="s">
        <v>1703</v>
      </c>
      <c r="C576" s="191" t="s">
        <v>1702</v>
      </c>
      <c r="D576" s="1" t="s">
        <v>231</v>
      </c>
      <c r="E576" s="4" t="s">
        <v>1704</v>
      </c>
      <c r="F576" s="1" t="s">
        <v>408</v>
      </c>
      <c r="G576" s="71" t="s">
        <v>1705</v>
      </c>
      <c r="H576" s="2">
        <v>160000</v>
      </c>
      <c r="I576" s="2">
        <v>96000</v>
      </c>
      <c r="J576" s="192">
        <v>64000</v>
      </c>
      <c r="K576" s="1" t="s">
        <v>1706</v>
      </c>
      <c r="L576" s="11">
        <v>264000</v>
      </c>
      <c r="M576" s="11"/>
      <c r="N576" s="2" t="s">
        <v>25</v>
      </c>
      <c r="O576" s="15">
        <v>-264000</v>
      </c>
    </row>
    <row r="577" spans="1:15" x14ac:dyDescent="0.25">
      <c r="A577" s="56">
        <v>44687</v>
      </c>
      <c r="B577" s="4" t="s">
        <v>1707</v>
      </c>
      <c r="C577" s="191" t="s">
        <v>1558</v>
      </c>
      <c r="D577" s="1" t="s">
        <v>54</v>
      </c>
      <c r="E577" s="4" t="s">
        <v>1560</v>
      </c>
      <c r="F577" s="1" t="s">
        <v>1039</v>
      </c>
      <c r="G577" s="71" t="s">
        <v>1708</v>
      </c>
      <c r="H577" s="2">
        <v>30000</v>
      </c>
      <c r="I577" s="2">
        <v>18000</v>
      </c>
      <c r="J577" s="192">
        <v>12000</v>
      </c>
      <c r="L577" s="11"/>
      <c r="M577" s="11"/>
      <c r="N577" s="2" t="s">
        <v>25</v>
      </c>
      <c r="O577" s="15">
        <v>0</v>
      </c>
    </row>
    <row r="578" spans="1:15" x14ac:dyDescent="0.25">
      <c r="A578" s="56">
        <v>44687</v>
      </c>
      <c r="C578" s="191"/>
      <c r="E578" s="4" t="s">
        <v>674</v>
      </c>
      <c r="F578" s="1" t="s">
        <v>10</v>
      </c>
      <c r="G578" s="71" t="s">
        <v>1709</v>
      </c>
      <c r="H578" s="2">
        <v>90000</v>
      </c>
      <c r="I578" s="2">
        <v>54000</v>
      </c>
      <c r="J578" s="192">
        <v>36000</v>
      </c>
      <c r="L578" s="11"/>
      <c r="M578" s="11"/>
      <c r="N578" s="2" t="s">
        <v>25</v>
      </c>
      <c r="O578" s="15">
        <v>0</v>
      </c>
    </row>
    <row r="579" spans="1:15" x14ac:dyDescent="0.25">
      <c r="A579" s="56">
        <v>44687</v>
      </c>
      <c r="C579" s="191" t="s">
        <v>1710</v>
      </c>
      <c r="D579" s="1" t="s">
        <v>1711</v>
      </c>
      <c r="E579" s="4" t="s">
        <v>1712</v>
      </c>
      <c r="F579" s="1" t="s">
        <v>1039</v>
      </c>
      <c r="G579" s="71" t="s">
        <v>1713</v>
      </c>
      <c r="H579" s="2">
        <v>50000</v>
      </c>
      <c r="I579" s="2">
        <v>30000</v>
      </c>
      <c r="J579" s="192">
        <v>20000</v>
      </c>
      <c r="K579" s="1" t="s">
        <v>1714</v>
      </c>
      <c r="L579" s="11">
        <v>60000</v>
      </c>
      <c r="M579" s="11">
        <v>80000</v>
      </c>
      <c r="N579" s="2" t="s">
        <v>25</v>
      </c>
      <c r="O579" s="15">
        <v>20000</v>
      </c>
    </row>
    <row r="580" spans="1:15" x14ac:dyDescent="0.25">
      <c r="A580" s="56">
        <v>44690</v>
      </c>
      <c r="C580" s="191"/>
      <c r="D580" s="1" t="s">
        <v>1756</v>
      </c>
      <c r="E580" s="4" t="s">
        <v>1716</v>
      </c>
      <c r="F580" s="1" t="s">
        <v>408</v>
      </c>
      <c r="G580" s="71" t="s">
        <v>744</v>
      </c>
      <c r="H580" s="2">
        <v>50000</v>
      </c>
      <c r="I580" s="2">
        <v>30000</v>
      </c>
      <c r="J580" s="192">
        <v>20000</v>
      </c>
      <c r="L580" s="11"/>
      <c r="M580" s="11"/>
      <c r="N580" s="2" t="s">
        <v>25</v>
      </c>
      <c r="O580" s="15">
        <v>0</v>
      </c>
    </row>
    <row r="581" spans="1:15" x14ac:dyDescent="0.25">
      <c r="A581" s="56">
        <v>44690</v>
      </c>
      <c r="C581" s="191"/>
      <c r="D581" s="1" t="s">
        <v>1756</v>
      </c>
      <c r="E581" s="4" t="s">
        <v>1716</v>
      </c>
      <c r="F581" s="1" t="s">
        <v>408</v>
      </c>
      <c r="G581" s="71" t="s">
        <v>454</v>
      </c>
      <c r="H581" s="2">
        <v>50000</v>
      </c>
      <c r="I581" s="2">
        <v>30000</v>
      </c>
      <c r="J581" s="192">
        <v>20000</v>
      </c>
      <c r="L581" s="11"/>
      <c r="M581" s="11"/>
      <c r="N581" s="2" t="s">
        <v>25</v>
      </c>
      <c r="O581" s="15">
        <v>0</v>
      </c>
    </row>
    <row r="582" spans="1:15" x14ac:dyDescent="0.25">
      <c r="A582" s="56">
        <v>44690</v>
      </c>
      <c r="B582" s="4" t="s">
        <v>1717</v>
      </c>
      <c r="C582" s="191" t="s">
        <v>1718</v>
      </c>
      <c r="D582" s="1" t="s">
        <v>1332</v>
      </c>
      <c r="E582" s="4" t="s">
        <v>1719</v>
      </c>
      <c r="F582" s="1" t="s">
        <v>1039</v>
      </c>
      <c r="G582" s="71" t="s">
        <v>206</v>
      </c>
      <c r="H582" s="2">
        <v>40000</v>
      </c>
      <c r="I582" s="2">
        <v>24000</v>
      </c>
      <c r="J582" s="192">
        <v>16000</v>
      </c>
      <c r="L582" s="11"/>
      <c r="M582" s="11"/>
      <c r="N582" s="2" t="s">
        <v>25</v>
      </c>
      <c r="O582" s="15">
        <v>0</v>
      </c>
    </row>
    <row r="583" spans="1:15" x14ac:dyDescent="0.25">
      <c r="A583" s="56">
        <v>44690</v>
      </c>
      <c r="B583" s="4" t="s">
        <v>1720</v>
      </c>
      <c r="C583" s="191" t="s">
        <v>1721</v>
      </c>
      <c r="D583" s="1" t="s">
        <v>1332</v>
      </c>
      <c r="E583" s="4" t="s">
        <v>1135</v>
      </c>
      <c r="F583" s="1" t="s">
        <v>19</v>
      </c>
      <c r="G583" s="71" t="s">
        <v>1722</v>
      </c>
      <c r="H583" s="2">
        <v>80000</v>
      </c>
      <c r="I583" s="2">
        <v>48000</v>
      </c>
      <c r="J583" s="192">
        <v>32000</v>
      </c>
      <c r="K583" s="1" t="s">
        <v>1724</v>
      </c>
      <c r="L583" s="11"/>
      <c r="M583" s="11"/>
      <c r="N583" s="2" t="s">
        <v>25</v>
      </c>
      <c r="O583" s="15">
        <v>0</v>
      </c>
    </row>
    <row r="584" spans="1:15" x14ac:dyDescent="0.25">
      <c r="A584" s="56">
        <v>44690</v>
      </c>
      <c r="C584" s="191" t="s">
        <v>598</v>
      </c>
      <c r="D584" s="1" t="s">
        <v>151</v>
      </c>
      <c r="E584" s="4" t="s">
        <v>152</v>
      </c>
      <c r="F584" s="1" t="s">
        <v>408</v>
      </c>
      <c r="G584" s="71" t="s">
        <v>329</v>
      </c>
      <c r="H584" s="2">
        <v>50000</v>
      </c>
      <c r="I584" s="2">
        <v>30000</v>
      </c>
      <c r="J584" s="192">
        <v>20000</v>
      </c>
      <c r="K584" s="1" t="s">
        <v>1723</v>
      </c>
      <c r="L584" s="11"/>
      <c r="M584" s="11"/>
      <c r="N584" s="2" t="s">
        <v>25</v>
      </c>
      <c r="O584" s="15">
        <v>0</v>
      </c>
    </row>
    <row r="585" spans="1:15" x14ac:dyDescent="0.25">
      <c r="A585" s="56">
        <v>44691</v>
      </c>
      <c r="B585" s="4" t="s">
        <v>1725</v>
      </c>
      <c r="C585" s="191" t="s">
        <v>1726</v>
      </c>
      <c r="D585" s="1" t="s">
        <v>637</v>
      </c>
      <c r="E585" s="4" t="s">
        <v>1727</v>
      </c>
      <c r="F585" s="1" t="s">
        <v>19</v>
      </c>
      <c r="G585" s="71" t="s">
        <v>1728</v>
      </c>
      <c r="H585" s="2">
        <v>350000</v>
      </c>
      <c r="I585" s="2">
        <v>210000</v>
      </c>
      <c r="J585" s="192">
        <v>140000</v>
      </c>
      <c r="L585" s="11"/>
      <c r="M585" s="11"/>
      <c r="N585" s="2" t="s">
        <v>25</v>
      </c>
      <c r="O585" s="15">
        <v>0</v>
      </c>
    </row>
    <row r="586" spans="1:15" x14ac:dyDescent="0.25">
      <c r="A586" s="56">
        <v>44691</v>
      </c>
      <c r="B586" s="4" t="s">
        <v>1725</v>
      </c>
      <c r="C586" s="191" t="s">
        <v>1726</v>
      </c>
      <c r="D586" s="1" t="s">
        <v>637</v>
      </c>
      <c r="E586" s="4" t="s">
        <v>1727</v>
      </c>
      <c r="F586" s="1" t="s">
        <v>18</v>
      </c>
      <c r="G586" s="71" t="s">
        <v>1729</v>
      </c>
      <c r="H586" s="2">
        <v>30000</v>
      </c>
      <c r="I586" s="2">
        <v>20000</v>
      </c>
      <c r="J586" s="192">
        <v>12000</v>
      </c>
      <c r="L586" s="11"/>
      <c r="M586" s="11"/>
      <c r="N586" s="2" t="s">
        <v>25</v>
      </c>
      <c r="O586" s="15">
        <v>0</v>
      </c>
    </row>
    <row r="587" spans="1:15" x14ac:dyDescent="0.25">
      <c r="A587" s="56">
        <v>44692</v>
      </c>
      <c r="C587" s="191" t="s">
        <v>1144</v>
      </c>
      <c r="D587" s="1" t="s">
        <v>1034</v>
      </c>
      <c r="E587" s="4" t="s">
        <v>1730</v>
      </c>
      <c r="F587" s="1" t="s">
        <v>10</v>
      </c>
      <c r="G587" s="71" t="s">
        <v>1731</v>
      </c>
      <c r="H587" s="2">
        <v>180000</v>
      </c>
      <c r="I587" s="2">
        <v>108000</v>
      </c>
      <c r="J587" s="192">
        <v>72000</v>
      </c>
      <c r="L587" s="11"/>
      <c r="M587" s="11"/>
      <c r="N587" s="2" t="s">
        <v>25</v>
      </c>
      <c r="O587" s="15">
        <v>0</v>
      </c>
    </row>
    <row r="588" spans="1:15" x14ac:dyDescent="0.25">
      <c r="A588" s="56">
        <v>44692</v>
      </c>
      <c r="C588" s="191" t="s">
        <v>1732</v>
      </c>
      <c r="D588" s="1" t="s">
        <v>303</v>
      </c>
      <c r="E588" s="4" t="s">
        <v>1733</v>
      </c>
      <c r="F588" s="1" t="s">
        <v>30</v>
      </c>
      <c r="G588" s="71" t="s">
        <v>1734</v>
      </c>
      <c r="H588" s="2">
        <v>70000</v>
      </c>
      <c r="I588" s="2">
        <v>42000</v>
      </c>
      <c r="J588" s="192">
        <v>28000</v>
      </c>
      <c r="L588" s="11"/>
      <c r="M588" s="11"/>
      <c r="N588" s="2" t="s">
        <v>25</v>
      </c>
      <c r="O588" s="15">
        <v>0</v>
      </c>
    </row>
    <row r="589" spans="1:15" x14ac:dyDescent="0.25">
      <c r="A589" s="56">
        <v>44692</v>
      </c>
      <c r="B589" s="4" t="s">
        <v>1735</v>
      </c>
      <c r="C589" s="191" t="s">
        <v>1736</v>
      </c>
      <c r="D589" s="1" t="s">
        <v>48</v>
      </c>
      <c r="E589" s="4" t="s">
        <v>1737</v>
      </c>
      <c r="F589" s="1" t="s">
        <v>408</v>
      </c>
      <c r="G589" s="71" t="s">
        <v>1738</v>
      </c>
      <c r="H589" s="2">
        <v>80000</v>
      </c>
      <c r="I589" s="2">
        <v>80000</v>
      </c>
      <c r="J589" s="192" t="s">
        <v>655</v>
      </c>
      <c r="K589" s="1" t="s">
        <v>1739</v>
      </c>
      <c r="L589" s="11">
        <v>626500</v>
      </c>
      <c r="M589" s="11">
        <v>1013100</v>
      </c>
      <c r="N589" s="2" t="s">
        <v>25</v>
      </c>
      <c r="O589" s="15">
        <v>386600</v>
      </c>
    </row>
    <row r="590" spans="1:15" x14ac:dyDescent="0.25">
      <c r="A590" s="56">
        <v>44692</v>
      </c>
      <c r="C590" s="191"/>
      <c r="E590" s="4"/>
      <c r="F590" s="1" t="s">
        <v>18</v>
      </c>
      <c r="G590" s="71" t="s">
        <v>1740</v>
      </c>
      <c r="H590" s="2">
        <v>40000</v>
      </c>
      <c r="I590" s="2">
        <v>24000</v>
      </c>
      <c r="J590" s="192">
        <v>16000</v>
      </c>
      <c r="L590" s="11"/>
      <c r="M590" s="11"/>
      <c r="N590" s="2" t="s">
        <v>25</v>
      </c>
      <c r="O590" s="15">
        <v>0</v>
      </c>
    </row>
    <row r="591" spans="1:15" x14ac:dyDescent="0.25">
      <c r="A591" s="56">
        <v>44693</v>
      </c>
      <c r="B591" s="4" t="s">
        <v>1741</v>
      </c>
      <c r="C591" s="191" t="s">
        <v>1742</v>
      </c>
      <c r="D591" s="1" t="s">
        <v>1743</v>
      </c>
      <c r="E591" s="4" t="s">
        <v>1744</v>
      </c>
      <c r="F591" s="1" t="s">
        <v>408</v>
      </c>
      <c r="G591" s="71" t="s">
        <v>20</v>
      </c>
      <c r="H591" s="2">
        <v>60000</v>
      </c>
      <c r="I591" s="2">
        <v>36000</v>
      </c>
      <c r="J591" s="192">
        <v>24000</v>
      </c>
      <c r="K591" s="1" t="s">
        <v>71</v>
      </c>
      <c r="L591" s="11">
        <v>140000</v>
      </c>
      <c r="M591" s="11">
        <v>195000</v>
      </c>
      <c r="N591" s="2" t="s">
        <v>25</v>
      </c>
      <c r="O591" s="15">
        <v>55000</v>
      </c>
    </row>
    <row r="592" spans="1:15" x14ac:dyDescent="0.25">
      <c r="A592" s="56">
        <v>44693</v>
      </c>
      <c r="B592" s="4" t="s">
        <v>1745</v>
      </c>
      <c r="C592" s="191" t="s">
        <v>739</v>
      </c>
      <c r="D592" s="1" t="s">
        <v>574</v>
      </c>
      <c r="E592" s="4" t="s">
        <v>1746</v>
      </c>
      <c r="F592" s="1" t="s">
        <v>30</v>
      </c>
      <c r="G592" s="71" t="s">
        <v>1747</v>
      </c>
      <c r="H592" s="2">
        <v>180000</v>
      </c>
      <c r="I592" s="2">
        <v>108000</v>
      </c>
      <c r="J592" s="192">
        <v>72000</v>
      </c>
      <c r="K592" s="1" t="s">
        <v>1748</v>
      </c>
      <c r="L592" s="11">
        <v>50000</v>
      </c>
      <c r="M592" s="11">
        <v>80000</v>
      </c>
      <c r="N592" s="2" t="s">
        <v>25</v>
      </c>
      <c r="O592" s="15">
        <v>30000</v>
      </c>
    </row>
    <row r="593" spans="1:15" x14ac:dyDescent="0.25">
      <c r="A593" s="56">
        <v>44694</v>
      </c>
      <c r="C593" s="191"/>
      <c r="D593" s="1" t="s">
        <v>1749</v>
      </c>
      <c r="E593" s="4" t="s">
        <v>1750</v>
      </c>
      <c r="F593" s="1" t="s">
        <v>19</v>
      </c>
      <c r="G593" s="71" t="s">
        <v>21</v>
      </c>
      <c r="H593" s="2">
        <v>5000</v>
      </c>
      <c r="I593" s="2">
        <v>5000</v>
      </c>
      <c r="J593" s="192">
        <v>2000</v>
      </c>
      <c r="L593" s="11"/>
      <c r="M593" s="11"/>
      <c r="N593" s="2" t="s">
        <v>25</v>
      </c>
      <c r="O593" s="15">
        <v>0</v>
      </c>
    </row>
    <row r="594" spans="1:15" x14ac:dyDescent="0.25">
      <c r="A594" s="56">
        <v>44694</v>
      </c>
      <c r="C594" s="191"/>
      <c r="D594" s="1" t="s">
        <v>1379</v>
      </c>
      <c r="E594" s="4" t="s">
        <v>1751</v>
      </c>
      <c r="F594" s="1" t="s">
        <v>10</v>
      </c>
      <c r="G594" s="71" t="s">
        <v>1752</v>
      </c>
      <c r="H594" s="2">
        <v>730000</v>
      </c>
      <c r="I594" s="2">
        <v>438000</v>
      </c>
      <c r="J594" s="192">
        <v>292000</v>
      </c>
      <c r="L594" s="11"/>
      <c r="M594" s="11"/>
      <c r="N594" s="2" t="s">
        <v>25</v>
      </c>
      <c r="O594" s="15">
        <v>0</v>
      </c>
    </row>
    <row r="595" spans="1:15" x14ac:dyDescent="0.25">
      <c r="A595" s="56">
        <v>44694</v>
      </c>
      <c r="C595" s="191"/>
      <c r="D595" s="1" t="s">
        <v>1379</v>
      </c>
      <c r="E595" s="4" t="s">
        <v>1751</v>
      </c>
      <c r="F595" s="1" t="s">
        <v>1039</v>
      </c>
      <c r="G595" s="71" t="s">
        <v>1753</v>
      </c>
      <c r="H595" s="2">
        <v>60000</v>
      </c>
      <c r="I595" s="2">
        <v>36000</v>
      </c>
      <c r="J595" s="192">
        <v>24000</v>
      </c>
      <c r="L595" s="11"/>
      <c r="M595" s="11"/>
      <c r="N595" s="2" t="s">
        <v>25</v>
      </c>
      <c r="O595" s="15">
        <v>0</v>
      </c>
    </row>
    <row r="596" spans="1:15" x14ac:dyDescent="0.25">
      <c r="A596" s="56">
        <v>44694</v>
      </c>
      <c r="C596" s="191" t="s">
        <v>1757</v>
      </c>
      <c r="D596" s="1" t="s">
        <v>1318</v>
      </c>
      <c r="E596" s="4" t="s">
        <v>1758</v>
      </c>
      <c r="F596" s="1" t="s">
        <v>19</v>
      </c>
      <c r="G596" s="71" t="s">
        <v>560</v>
      </c>
      <c r="H596" s="2">
        <v>60000</v>
      </c>
      <c r="I596" s="2">
        <v>36000</v>
      </c>
      <c r="J596" s="192">
        <v>24000</v>
      </c>
      <c r="L596" s="11"/>
      <c r="M596" s="11"/>
      <c r="N596" s="2" t="s">
        <v>25</v>
      </c>
      <c r="O596" s="15">
        <v>0</v>
      </c>
    </row>
    <row r="597" spans="1:15" x14ac:dyDescent="0.25">
      <c r="A597" s="56">
        <v>44695</v>
      </c>
      <c r="C597" s="191"/>
      <c r="D597" s="1" t="s">
        <v>200</v>
      </c>
      <c r="E597" s="4" t="s">
        <v>1760</v>
      </c>
      <c r="F597" s="1" t="s">
        <v>1039</v>
      </c>
      <c r="G597" s="71" t="s">
        <v>20</v>
      </c>
      <c r="H597" s="2">
        <v>60000</v>
      </c>
      <c r="I597" s="2">
        <v>36000</v>
      </c>
      <c r="J597" s="192">
        <v>24000</v>
      </c>
      <c r="K597" s="1" t="s">
        <v>1142</v>
      </c>
      <c r="L597" s="11">
        <v>115000</v>
      </c>
      <c r="M597" s="11">
        <v>125000</v>
      </c>
      <c r="O597" s="15">
        <v>10000</v>
      </c>
    </row>
    <row r="598" spans="1:15" x14ac:dyDescent="0.25">
      <c r="A598" s="56">
        <v>44695</v>
      </c>
      <c r="C598" s="191"/>
      <c r="D598" s="1" t="s">
        <v>500</v>
      </c>
      <c r="E598" s="4" t="s">
        <v>501</v>
      </c>
      <c r="F598" s="1" t="s">
        <v>30</v>
      </c>
      <c r="G598" s="71" t="s">
        <v>570</v>
      </c>
      <c r="H598" s="2">
        <v>120000</v>
      </c>
      <c r="I598" s="2">
        <v>72000</v>
      </c>
      <c r="J598" s="192">
        <v>48000</v>
      </c>
      <c r="L598" s="11"/>
      <c r="M598" s="11"/>
      <c r="O598" s="15">
        <v>0</v>
      </c>
    </row>
    <row r="599" spans="1:15" x14ac:dyDescent="0.25">
      <c r="A599" s="56">
        <v>44695</v>
      </c>
      <c r="C599" s="191"/>
      <c r="D599" s="1" t="s">
        <v>574</v>
      </c>
      <c r="E599" s="4"/>
      <c r="F599" s="1" t="s">
        <v>10</v>
      </c>
      <c r="G599" s="71" t="s">
        <v>1761</v>
      </c>
      <c r="H599" s="2">
        <v>25000</v>
      </c>
      <c r="I599" s="2">
        <v>15000</v>
      </c>
      <c r="J599" s="192">
        <v>10000</v>
      </c>
      <c r="L599" s="11"/>
      <c r="M599" s="11"/>
      <c r="N599" s="2" t="s">
        <v>25</v>
      </c>
      <c r="O599" s="15">
        <v>0</v>
      </c>
    </row>
    <row r="600" spans="1:15" x14ac:dyDescent="0.25">
      <c r="A600" s="56">
        <v>44695</v>
      </c>
      <c r="C600" s="191"/>
      <c r="D600" s="1" t="s">
        <v>194</v>
      </c>
      <c r="E600" s="4" t="s">
        <v>1762</v>
      </c>
      <c r="F600" s="1" t="s">
        <v>30</v>
      </c>
      <c r="G600" s="71" t="s">
        <v>1763</v>
      </c>
      <c r="H600" s="2">
        <v>40000</v>
      </c>
      <c r="I600" s="2">
        <v>24000</v>
      </c>
      <c r="J600" s="192">
        <v>16000</v>
      </c>
      <c r="L600" s="11"/>
      <c r="M600" s="11"/>
      <c r="O600" s="15">
        <v>0</v>
      </c>
    </row>
    <row r="601" spans="1:15" x14ac:dyDescent="0.25">
      <c r="A601" s="56">
        <v>44695</v>
      </c>
      <c r="C601" s="191"/>
      <c r="D601" s="1" t="s">
        <v>794</v>
      </c>
      <c r="E601" s="4" t="s">
        <v>1764</v>
      </c>
      <c r="F601" s="1" t="s">
        <v>408</v>
      </c>
      <c r="G601" s="71" t="s">
        <v>211</v>
      </c>
      <c r="H601" s="2">
        <v>30000</v>
      </c>
      <c r="I601" s="2">
        <v>18000</v>
      </c>
      <c r="J601" s="192">
        <v>12000</v>
      </c>
      <c r="L601" s="11"/>
      <c r="M601" s="11"/>
      <c r="O601" s="15">
        <v>0</v>
      </c>
    </row>
    <row r="602" spans="1:15" x14ac:dyDescent="0.25">
      <c r="A602" s="56">
        <v>44697</v>
      </c>
      <c r="C602" s="191"/>
      <c r="D602" s="1" t="s">
        <v>1749</v>
      </c>
      <c r="E602" s="4" t="s">
        <v>1766</v>
      </c>
      <c r="F602" s="1" t="s">
        <v>18</v>
      </c>
      <c r="G602" s="71" t="s">
        <v>1765</v>
      </c>
      <c r="H602" s="2">
        <v>100000</v>
      </c>
      <c r="I602" s="2">
        <v>60000</v>
      </c>
      <c r="J602" s="192">
        <v>40000</v>
      </c>
      <c r="L602" s="11"/>
      <c r="M602" s="11"/>
      <c r="O602" s="15">
        <v>0</v>
      </c>
    </row>
    <row r="603" spans="1:15" x14ac:dyDescent="0.25">
      <c r="A603" s="56">
        <v>44697</v>
      </c>
      <c r="B603" s="4" t="s">
        <v>1774</v>
      </c>
      <c r="C603" s="191" t="s">
        <v>1767</v>
      </c>
      <c r="E603" s="4" t="s">
        <v>1651</v>
      </c>
      <c r="F603" s="1" t="s">
        <v>1039</v>
      </c>
      <c r="G603" s="71" t="s">
        <v>1768</v>
      </c>
      <c r="H603" s="2">
        <v>60000</v>
      </c>
      <c r="I603" s="2">
        <v>36000</v>
      </c>
      <c r="J603" s="192">
        <v>24000</v>
      </c>
      <c r="K603" s="1" t="s">
        <v>1769</v>
      </c>
      <c r="L603" s="11">
        <v>45000</v>
      </c>
      <c r="M603" s="11">
        <v>60000</v>
      </c>
      <c r="O603" s="15">
        <v>15000</v>
      </c>
    </row>
    <row r="604" spans="1:15" x14ac:dyDescent="0.25">
      <c r="A604" s="56">
        <v>44697</v>
      </c>
      <c r="B604" s="4" t="s">
        <v>1775</v>
      </c>
      <c r="C604" s="191" t="s">
        <v>1770</v>
      </c>
      <c r="D604" s="1" t="s">
        <v>1772</v>
      </c>
      <c r="E604" s="4" t="s">
        <v>1771</v>
      </c>
      <c r="F604" s="1" t="s">
        <v>19</v>
      </c>
      <c r="G604" s="71" t="s">
        <v>1773</v>
      </c>
      <c r="H604" s="2">
        <v>60000</v>
      </c>
      <c r="I604" s="2">
        <v>36000</v>
      </c>
      <c r="J604" s="192">
        <v>24000</v>
      </c>
      <c r="L604" s="11"/>
      <c r="M604" s="11"/>
      <c r="O604" s="15">
        <v>0</v>
      </c>
    </row>
    <row r="605" spans="1:15" x14ac:dyDescent="0.25">
      <c r="A605" s="56">
        <v>44697</v>
      </c>
      <c r="B605" s="4" t="s">
        <v>1776</v>
      </c>
      <c r="C605" s="191" t="s">
        <v>1777</v>
      </c>
      <c r="D605" s="1" t="s">
        <v>1778</v>
      </c>
      <c r="E605" s="4" t="s">
        <v>1779</v>
      </c>
      <c r="F605" s="1" t="s">
        <v>30</v>
      </c>
      <c r="G605" s="71" t="s">
        <v>1780</v>
      </c>
      <c r="H605" s="2">
        <v>40000</v>
      </c>
      <c r="I605" s="2">
        <v>24000</v>
      </c>
      <c r="J605" s="192">
        <v>16000</v>
      </c>
      <c r="K605" s="1" t="s">
        <v>1781</v>
      </c>
      <c r="L605" s="11"/>
      <c r="M605" s="11"/>
      <c r="O605" s="15">
        <v>0</v>
      </c>
    </row>
    <row r="606" spans="1:15" x14ac:dyDescent="0.25">
      <c r="A606" s="56">
        <v>44697</v>
      </c>
      <c r="C606" s="191" t="s">
        <v>1287</v>
      </c>
      <c r="E606" s="4" t="s">
        <v>1288</v>
      </c>
      <c r="F606" s="1" t="s">
        <v>19</v>
      </c>
      <c r="G606" s="71" t="s">
        <v>21</v>
      </c>
      <c r="H606" s="2">
        <v>8000</v>
      </c>
      <c r="I606" s="2">
        <v>8000</v>
      </c>
      <c r="J606" s="192">
        <v>3200</v>
      </c>
      <c r="L606" s="11"/>
      <c r="M606" s="11"/>
      <c r="O606" s="15">
        <v>0</v>
      </c>
    </row>
    <row r="607" spans="1:15" x14ac:dyDescent="0.25">
      <c r="A607" s="56">
        <v>44698</v>
      </c>
      <c r="C607" s="191" t="s">
        <v>1841</v>
      </c>
      <c r="E607" s="4"/>
      <c r="F607" s="1" t="s">
        <v>408</v>
      </c>
      <c r="G607" s="71" t="s">
        <v>1842</v>
      </c>
      <c r="H607" s="2">
        <v>60000</v>
      </c>
      <c r="I607" s="2">
        <v>8000</v>
      </c>
      <c r="J607" s="192">
        <f>Tabla210[[#This Row],[TOTAL FACTURA]]*0.4</f>
        <v>24000</v>
      </c>
      <c r="L607" s="11"/>
      <c r="M607" s="11"/>
      <c r="O607" s="15">
        <f>Tabla210[[#This Row],[MONTO DE COMPRA]]-Tabla210[[#This Row],[MONTO DE LA VENTA]]</f>
        <v>0</v>
      </c>
    </row>
    <row r="608" spans="1:15" x14ac:dyDescent="0.25">
      <c r="A608" s="56">
        <v>44698</v>
      </c>
      <c r="C608" s="191"/>
      <c r="E608" s="4"/>
      <c r="F608" s="1" t="s">
        <v>1039</v>
      </c>
      <c r="G608" s="71" t="s">
        <v>1782</v>
      </c>
      <c r="H608" s="2">
        <v>10000</v>
      </c>
      <c r="I608" s="2">
        <v>10000</v>
      </c>
      <c r="J608" s="192">
        <v>4000</v>
      </c>
      <c r="L608" s="11"/>
      <c r="M608" s="11"/>
      <c r="O608" s="15">
        <v>0</v>
      </c>
    </row>
    <row r="609" spans="1:15" x14ac:dyDescent="0.25">
      <c r="A609" s="56">
        <v>44698</v>
      </c>
      <c r="B609" s="4" t="s">
        <v>1786</v>
      </c>
      <c r="C609" s="191" t="s">
        <v>1783</v>
      </c>
      <c r="D609" s="1" t="s">
        <v>815</v>
      </c>
      <c r="E609" s="4" t="s">
        <v>1784</v>
      </c>
      <c r="F609" s="1" t="s">
        <v>30</v>
      </c>
      <c r="G609" s="71" t="s">
        <v>1785</v>
      </c>
      <c r="H609" s="2">
        <v>455000</v>
      </c>
      <c r="I609" s="2">
        <v>273000</v>
      </c>
      <c r="J609" s="192">
        <v>182000</v>
      </c>
      <c r="L609" s="11"/>
      <c r="M609" s="11"/>
      <c r="O609" s="15">
        <v>0</v>
      </c>
    </row>
    <row r="610" spans="1:15" x14ac:dyDescent="0.25">
      <c r="A610" s="56">
        <v>44696</v>
      </c>
      <c r="B610" s="4" t="s">
        <v>1795</v>
      </c>
      <c r="C610" s="191" t="s">
        <v>1721</v>
      </c>
      <c r="D610" s="1" t="s">
        <v>1332</v>
      </c>
      <c r="E610" s="4" t="s">
        <v>1135</v>
      </c>
      <c r="F610" s="1" t="s">
        <v>10</v>
      </c>
      <c r="G610" s="71" t="s">
        <v>1787</v>
      </c>
      <c r="H610" s="2">
        <v>150000</v>
      </c>
      <c r="I610" s="2">
        <v>90000</v>
      </c>
      <c r="J610" s="192">
        <v>60000</v>
      </c>
      <c r="L610" s="11"/>
      <c r="M610" s="11"/>
      <c r="N610" s="2" t="s">
        <v>25</v>
      </c>
      <c r="O610" s="15">
        <v>0</v>
      </c>
    </row>
    <row r="611" spans="1:15" x14ac:dyDescent="0.25">
      <c r="A611" s="56">
        <v>44698</v>
      </c>
      <c r="C611" s="191"/>
      <c r="D611" s="1" t="s">
        <v>122</v>
      </c>
      <c r="E611" s="4"/>
      <c r="F611" s="1" t="s">
        <v>408</v>
      </c>
      <c r="G611" s="71" t="s">
        <v>211</v>
      </c>
      <c r="H611" s="2">
        <v>30000</v>
      </c>
      <c r="I611" s="2">
        <v>18000</v>
      </c>
      <c r="J611" s="192">
        <f>Tabla210[[#This Row],[TOTAL FACTURA]]*0.4</f>
        <v>12000</v>
      </c>
      <c r="L611" s="11"/>
      <c r="M611" s="11"/>
      <c r="O611" s="15">
        <f>Tabla210[[#This Row],[MONTO DE COMPRA]]-Tabla210[[#This Row],[MONTO DE LA VENTA]]</f>
        <v>0</v>
      </c>
    </row>
    <row r="612" spans="1:15" x14ac:dyDescent="0.25">
      <c r="A612" s="56">
        <v>44698</v>
      </c>
      <c r="C612" s="191"/>
      <c r="D612" s="1" t="s">
        <v>637</v>
      </c>
      <c r="E612" s="4" t="s">
        <v>1788</v>
      </c>
      <c r="F612" s="1" t="s">
        <v>19</v>
      </c>
      <c r="G612" s="71" t="s">
        <v>140</v>
      </c>
      <c r="H612" s="2">
        <v>60000</v>
      </c>
      <c r="I612" s="2">
        <v>50000</v>
      </c>
      <c r="J612" s="192">
        <v>24000</v>
      </c>
      <c r="L612" s="11"/>
      <c r="M612" s="11"/>
      <c r="O612" s="15">
        <v>0</v>
      </c>
    </row>
    <row r="613" spans="1:15" x14ac:dyDescent="0.25">
      <c r="A613" s="56">
        <v>44698</v>
      </c>
      <c r="B613" s="4" t="s">
        <v>1789</v>
      </c>
      <c r="C613" s="191" t="s">
        <v>1790</v>
      </c>
      <c r="D613" s="1" t="s">
        <v>48</v>
      </c>
      <c r="E613" s="4" t="s">
        <v>1791</v>
      </c>
      <c r="F613" s="1" t="s">
        <v>1039</v>
      </c>
      <c r="G613" s="71" t="s">
        <v>1792</v>
      </c>
      <c r="H613" s="2">
        <v>50000</v>
      </c>
      <c r="I613" s="2">
        <v>40000</v>
      </c>
      <c r="J613" s="192">
        <v>20000</v>
      </c>
      <c r="L613" s="11"/>
      <c r="M613" s="11"/>
      <c r="O613" s="15">
        <v>0</v>
      </c>
    </row>
    <row r="614" spans="1:15" x14ac:dyDescent="0.25">
      <c r="A614" s="56">
        <v>44698</v>
      </c>
      <c r="C614" s="191" t="s">
        <v>1793</v>
      </c>
      <c r="D614" s="1" t="s">
        <v>22</v>
      </c>
      <c r="E614" s="4" t="s">
        <v>1088</v>
      </c>
      <c r="F614" s="1" t="s">
        <v>18</v>
      </c>
      <c r="G614" s="71" t="s">
        <v>1794</v>
      </c>
      <c r="H614" s="2">
        <v>60000</v>
      </c>
      <c r="I614" s="2">
        <v>36000</v>
      </c>
      <c r="J614" s="192">
        <v>24000</v>
      </c>
      <c r="L614" s="11"/>
      <c r="M614" s="11"/>
      <c r="O614" s="15">
        <v>0</v>
      </c>
    </row>
    <row r="615" spans="1:15" x14ac:dyDescent="0.25">
      <c r="A615" s="56">
        <v>44698</v>
      </c>
      <c r="C615" s="191" t="s">
        <v>1796</v>
      </c>
      <c r="D615" s="1" t="s">
        <v>500</v>
      </c>
      <c r="E615" s="4" t="s">
        <v>1797</v>
      </c>
      <c r="F615" s="1" t="s">
        <v>408</v>
      </c>
      <c r="G615" s="71" t="s">
        <v>20</v>
      </c>
      <c r="H615" s="2">
        <v>30000</v>
      </c>
      <c r="I615" s="2">
        <v>18000</v>
      </c>
      <c r="J615" s="192">
        <v>12000</v>
      </c>
      <c r="L615" s="11"/>
      <c r="M615" s="11"/>
      <c r="O615" s="15">
        <v>0</v>
      </c>
    </row>
    <row r="616" spans="1:15" x14ac:dyDescent="0.25">
      <c r="A616" s="56">
        <v>44698</v>
      </c>
      <c r="B616" s="4" t="s">
        <v>1801</v>
      </c>
      <c r="C616" s="191" t="s">
        <v>1798</v>
      </c>
      <c r="D616" s="1" t="s">
        <v>1799</v>
      </c>
      <c r="E616" s="4" t="s">
        <v>261</v>
      </c>
      <c r="F616" s="1" t="s">
        <v>19</v>
      </c>
      <c r="G616" s="71" t="s">
        <v>1800</v>
      </c>
      <c r="H616" s="2">
        <v>70000</v>
      </c>
      <c r="I616" s="2">
        <v>70000</v>
      </c>
      <c r="J616" s="192">
        <v>28000</v>
      </c>
      <c r="L616" s="11"/>
      <c r="M616" s="11"/>
      <c r="O616" s="15">
        <v>0</v>
      </c>
    </row>
    <row r="617" spans="1:15" x14ac:dyDescent="0.25">
      <c r="A617" s="56">
        <v>44699</v>
      </c>
      <c r="B617" s="4" t="s">
        <v>1802</v>
      </c>
      <c r="C617" s="191" t="s">
        <v>1803</v>
      </c>
      <c r="D617" s="1" t="s">
        <v>122</v>
      </c>
      <c r="E617" s="4" t="s">
        <v>1804</v>
      </c>
      <c r="F617" s="1" t="s">
        <v>10</v>
      </c>
      <c r="G617" s="71" t="s">
        <v>1805</v>
      </c>
      <c r="H617" s="2">
        <v>50000</v>
      </c>
      <c r="I617" s="2">
        <v>30000</v>
      </c>
      <c r="J617" s="192">
        <v>20000</v>
      </c>
      <c r="L617" s="11"/>
      <c r="M617" s="11"/>
      <c r="N617" s="2" t="s">
        <v>25</v>
      </c>
      <c r="O617" s="15">
        <v>0</v>
      </c>
    </row>
    <row r="618" spans="1:15" x14ac:dyDescent="0.25">
      <c r="A618" s="56">
        <v>44699</v>
      </c>
      <c r="B618" s="4" t="s">
        <v>1806</v>
      </c>
      <c r="C618" s="191" t="s">
        <v>1807</v>
      </c>
      <c r="D618" s="1" t="s">
        <v>439</v>
      </c>
      <c r="E618" s="4" t="s">
        <v>1808</v>
      </c>
      <c r="F618" s="1" t="s">
        <v>1039</v>
      </c>
      <c r="G618" s="71" t="s">
        <v>1809</v>
      </c>
      <c r="H618" s="2">
        <v>100000</v>
      </c>
      <c r="I618" s="2">
        <v>60000</v>
      </c>
      <c r="J618" s="192">
        <v>40000</v>
      </c>
      <c r="L618" s="11"/>
      <c r="M618" s="11"/>
      <c r="O618" s="15">
        <v>0</v>
      </c>
    </row>
    <row r="619" spans="1:15" x14ac:dyDescent="0.25">
      <c r="A619" s="56">
        <v>44699</v>
      </c>
      <c r="B619" s="4" t="s">
        <v>1806</v>
      </c>
      <c r="C619" s="191" t="s">
        <v>1807</v>
      </c>
      <c r="D619" s="1" t="s">
        <v>439</v>
      </c>
      <c r="E619" s="4" t="s">
        <v>1808</v>
      </c>
      <c r="F619" s="1" t="s">
        <v>19</v>
      </c>
      <c r="G619" s="71" t="s">
        <v>1809</v>
      </c>
      <c r="H619" s="2">
        <v>50000</v>
      </c>
      <c r="I619" s="2">
        <v>30000</v>
      </c>
      <c r="J619" s="192">
        <v>20000</v>
      </c>
      <c r="L619" s="11"/>
      <c r="M619" s="11"/>
      <c r="O619" s="15">
        <v>0</v>
      </c>
    </row>
    <row r="620" spans="1:15" x14ac:dyDescent="0.25">
      <c r="A620" s="56">
        <v>44699</v>
      </c>
      <c r="C620" s="191" t="s">
        <v>1394</v>
      </c>
      <c r="D620" s="1" t="s">
        <v>240</v>
      </c>
      <c r="E620" s="4" t="s">
        <v>1395</v>
      </c>
      <c r="F620" s="1" t="s">
        <v>30</v>
      </c>
      <c r="G620" s="71" t="s">
        <v>1810</v>
      </c>
      <c r="H620" s="2">
        <v>10000</v>
      </c>
      <c r="I620" s="2">
        <v>6000</v>
      </c>
      <c r="J620" s="192">
        <v>4000</v>
      </c>
      <c r="L620" s="11"/>
      <c r="M620" s="11"/>
      <c r="O620" s="15">
        <v>0</v>
      </c>
    </row>
    <row r="621" spans="1:15" x14ac:dyDescent="0.25">
      <c r="A621" s="56">
        <v>44699</v>
      </c>
      <c r="C621" s="191"/>
      <c r="E621" s="4" t="s">
        <v>1812</v>
      </c>
      <c r="F621" s="1" t="s">
        <v>10</v>
      </c>
      <c r="G621" s="71" t="s">
        <v>1811</v>
      </c>
      <c r="H621" s="2">
        <v>70000</v>
      </c>
      <c r="I621" s="2">
        <v>42000</v>
      </c>
      <c r="J621" s="192">
        <v>28000</v>
      </c>
      <c r="L621" s="11"/>
      <c r="M621" s="11"/>
      <c r="N621" s="2" t="s">
        <v>25</v>
      </c>
      <c r="O621" s="15">
        <v>0</v>
      </c>
    </row>
    <row r="622" spans="1:15" x14ac:dyDescent="0.25">
      <c r="A622" s="56">
        <v>44699</v>
      </c>
      <c r="B622" s="4" t="s">
        <v>1813</v>
      </c>
      <c r="C622" s="191" t="s">
        <v>1814</v>
      </c>
      <c r="D622" s="1" t="s">
        <v>48</v>
      </c>
      <c r="E622" s="4" t="s">
        <v>1815</v>
      </c>
      <c r="F622" s="1" t="s">
        <v>30</v>
      </c>
      <c r="G622" s="71" t="s">
        <v>1816</v>
      </c>
      <c r="H622" s="2">
        <v>150000</v>
      </c>
      <c r="I622" s="2">
        <v>90000</v>
      </c>
      <c r="J622" s="192">
        <v>60000</v>
      </c>
      <c r="L622" s="11"/>
      <c r="M622" s="11"/>
      <c r="O622" s="15">
        <v>0</v>
      </c>
    </row>
    <row r="623" spans="1:15" x14ac:dyDescent="0.25">
      <c r="A623" s="56">
        <v>44699</v>
      </c>
      <c r="B623" s="4" t="s">
        <v>1813</v>
      </c>
      <c r="C623" s="191" t="s">
        <v>1814</v>
      </c>
      <c r="D623" s="1" t="s">
        <v>48</v>
      </c>
      <c r="E623" s="4" t="s">
        <v>1815</v>
      </c>
      <c r="F623" s="1" t="s">
        <v>408</v>
      </c>
      <c r="G623" s="71" t="s">
        <v>1817</v>
      </c>
      <c r="H623" s="2">
        <v>100000</v>
      </c>
      <c r="I623" s="2">
        <v>80000</v>
      </c>
      <c r="J623" s="192">
        <v>40000</v>
      </c>
      <c r="L623" s="11"/>
      <c r="M623" s="11"/>
      <c r="O623" s="15">
        <v>0</v>
      </c>
    </row>
    <row r="624" spans="1:15" x14ac:dyDescent="0.25">
      <c r="A624" s="56">
        <v>44699</v>
      </c>
      <c r="B624" s="4" t="s">
        <v>1818</v>
      </c>
      <c r="C624" s="191" t="s">
        <v>1819</v>
      </c>
      <c r="D624" s="1" t="s">
        <v>240</v>
      </c>
      <c r="E624" s="4" t="s">
        <v>1820</v>
      </c>
      <c r="F624" s="1" t="s">
        <v>1039</v>
      </c>
      <c r="G624" s="71" t="s">
        <v>1821</v>
      </c>
      <c r="H624" s="2">
        <v>120000</v>
      </c>
      <c r="I624" s="2">
        <v>72000</v>
      </c>
      <c r="J624" s="192">
        <v>48000</v>
      </c>
      <c r="L624" s="11"/>
      <c r="M624" s="11"/>
      <c r="O624" s="15">
        <v>0</v>
      </c>
    </row>
    <row r="625" spans="1:15" x14ac:dyDescent="0.25">
      <c r="A625" s="56">
        <v>44700</v>
      </c>
      <c r="B625" s="4" t="s">
        <v>1822</v>
      </c>
      <c r="C625" s="191" t="s">
        <v>1823</v>
      </c>
      <c r="D625" s="1" t="s">
        <v>303</v>
      </c>
      <c r="E625" s="4" t="s">
        <v>1824</v>
      </c>
      <c r="F625" s="1" t="s">
        <v>30</v>
      </c>
      <c r="G625" s="71" t="s">
        <v>1825</v>
      </c>
      <c r="H625" s="2">
        <v>40000</v>
      </c>
      <c r="I625" s="2">
        <v>24000</v>
      </c>
      <c r="J625" s="192">
        <v>16000</v>
      </c>
      <c r="L625" s="11"/>
      <c r="M625" s="11"/>
      <c r="O625" s="15">
        <v>0</v>
      </c>
    </row>
    <row r="626" spans="1:15" x14ac:dyDescent="0.25">
      <c r="A626" s="56">
        <v>44700</v>
      </c>
      <c r="B626" s="4" t="s">
        <v>1826</v>
      </c>
      <c r="C626" s="191" t="s">
        <v>1827</v>
      </c>
      <c r="D626" s="1" t="s">
        <v>1828</v>
      </c>
      <c r="E626" s="4" t="s">
        <v>1829</v>
      </c>
      <c r="F626" s="1" t="s">
        <v>408</v>
      </c>
      <c r="G626" s="71" t="s">
        <v>1830</v>
      </c>
      <c r="H626" s="2">
        <v>190000</v>
      </c>
      <c r="I626" s="2">
        <v>190000</v>
      </c>
      <c r="J626" s="192">
        <v>90000</v>
      </c>
      <c r="L626" s="11"/>
      <c r="M626" s="11"/>
      <c r="O626" s="15">
        <v>0</v>
      </c>
    </row>
    <row r="627" spans="1:15" x14ac:dyDescent="0.25">
      <c r="A627" s="56">
        <v>44700</v>
      </c>
      <c r="C627" s="191" t="s">
        <v>598</v>
      </c>
      <c r="D627" s="1" t="s">
        <v>162</v>
      </c>
      <c r="E627" s="4" t="s">
        <v>161</v>
      </c>
      <c r="F627" s="1" t="s">
        <v>19</v>
      </c>
      <c r="G627" s="71" t="s">
        <v>341</v>
      </c>
      <c r="H627" s="2">
        <v>10000</v>
      </c>
      <c r="I627" s="2">
        <v>6000</v>
      </c>
      <c r="J627" s="192">
        <v>4000</v>
      </c>
      <c r="L627" s="11"/>
      <c r="M627" s="11"/>
      <c r="O627" s="15">
        <v>0</v>
      </c>
    </row>
    <row r="628" spans="1:15" x14ac:dyDescent="0.25">
      <c r="A628" s="56">
        <v>44700</v>
      </c>
      <c r="B628" s="4" t="s">
        <v>1831</v>
      </c>
      <c r="C628" s="191" t="s">
        <v>1833</v>
      </c>
      <c r="D628" s="1" t="s">
        <v>1832</v>
      </c>
      <c r="E628" s="4" t="s">
        <v>268</v>
      </c>
      <c r="F628" s="1" t="s">
        <v>408</v>
      </c>
      <c r="G628" s="71" t="s">
        <v>1834</v>
      </c>
      <c r="H628" s="2">
        <v>40000</v>
      </c>
      <c r="I628" s="2">
        <v>24000</v>
      </c>
      <c r="J628" s="192">
        <v>16000</v>
      </c>
      <c r="L628" s="11"/>
      <c r="M628" s="11"/>
      <c r="O628" s="15">
        <v>0</v>
      </c>
    </row>
    <row r="629" spans="1:15" x14ac:dyDescent="0.25">
      <c r="A629" s="56">
        <v>44700</v>
      </c>
      <c r="C629" s="191" t="s">
        <v>1835</v>
      </c>
      <c r="D629" s="1" t="s">
        <v>1837</v>
      </c>
      <c r="E629" s="4" t="s">
        <v>1836</v>
      </c>
      <c r="F629" s="1" t="s">
        <v>408</v>
      </c>
      <c r="G629" s="71" t="s">
        <v>1838</v>
      </c>
      <c r="H629" s="2">
        <v>50000</v>
      </c>
      <c r="I629" s="2">
        <v>50000</v>
      </c>
      <c r="J629" s="192">
        <v>10000</v>
      </c>
      <c r="L629" s="11"/>
      <c r="M629" s="11"/>
      <c r="O629" s="15">
        <v>0</v>
      </c>
    </row>
    <row r="630" spans="1:15" x14ac:dyDescent="0.25">
      <c r="A630" s="56">
        <v>44700</v>
      </c>
      <c r="C630" s="191"/>
      <c r="D630" s="1" t="s">
        <v>559</v>
      </c>
      <c r="E630" s="4" t="s">
        <v>1839</v>
      </c>
      <c r="F630" s="1" t="s">
        <v>1039</v>
      </c>
      <c r="G630" s="71" t="s">
        <v>1840</v>
      </c>
      <c r="H630" s="2">
        <v>20000</v>
      </c>
      <c r="I630" s="2">
        <v>20000</v>
      </c>
      <c r="J630" s="192">
        <v>10000</v>
      </c>
      <c r="L630" s="11"/>
      <c r="M630" s="11"/>
      <c r="O630" s="15">
        <v>0</v>
      </c>
    </row>
    <row r="631" spans="1:15" x14ac:dyDescent="0.25">
      <c r="A631" s="56">
        <v>44702</v>
      </c>
      <c r="B631" s="4" t="s">
        <v>1845</v>
      </c>
      <c r="C631" s="191" t="s">
        <v>1846</v>
      </c>
      <c r="D631" s="1" t="s">
        <v>1847</v>
      </c>
      <c r="E631" s="4" t="s">
        <v>1848</v>
      </c>
      <c r="F631" s="1" t="s">
        <v>19</v>
      </c>
      <c r="G631" s="71" t="s">
        <v>1849</v>
      </c>
      <c r="H631" s="2">
        <v>380000</v>
      </c>
      <c r="I631" s="2">
        <v>266000</v>
      </c>
      <c r="J631" s="192">
        <v>114000</v>
      </c>
      <c r="L631" s="11"/>
      <c r="M631" s="11"/>
      <c r="O631" s="15">
        <v>0</v>
      </c>
    </row>
    <row r="632" spans="1:15" x14ac:dyDescent="0.25">
      <c r="A632" s="56">
        <v>44702</v>
      </c>
      <c r="C632" s="191"/>
      <c r="D632" s="1" t="s">
        <v>1907</v>
      </c>
      <c r="E632" s="4"/>
      <c r="F632" s="1" t="s">
        <v>19</v>
      </c>
      <c r="G632" s="71" t="s">
        <v>20</v>
      </c>
      <c r="H632" s="2">
        <v>30000</v>
      </c>
      <c r="I632" s="2">
        <v>18000</v>
      </c>
      <c r="J632" s="192">
        <f>Tabla210[[#This Row],[TOTAL FACTURA]]*0.4</f>
        <v>12000</v>
      </c>
      <c r="L632" s="11"/>
      <c r="M632" s="11"/>
      <c r="O632" s="15">
        <f>Tabla210[[#This Row],[MONTO DE COMPRA]]-Tabla210[[#This Row],[MONTO DE LA VENTA]]</f>
        <v>0</v>
      </c>
    </row>
    <row r="633" spans="1:15" x14ac:dyDescent="0.25">
      <c r="A633" s="56">
        <v>44702</v>
      </c>
      <c r="B633" s="4" t="s">
        <v>1850</v>
      </c>
      <c r="C633" s="191" t="s">
        <v>1851</v>
      </c>
      <c r="D633" s="1" t="s">
        <v>311</v>
      </c>
      <c r="E633" s="4" t="s">
        <v>1852</v>
      </c>
      <c r="F633" s="1" t="s">
        <v>19</v>
      </c>
      <c r="G633" s="71" t="s">
        <v>1853</v>
      </c>
      <c r="H633" s="2">
        <v>450000</v>
      </c>
      <c r="I633" s="2">
        <v>360000</v>
      </c>
      <c r="J633" s="192">
        <v>135000</v>
      </c>
      <c r="L633" s="11"/>
      <c r="M633" s="11"/>
      <c r="O633" s="15">
        <v>0</v>
      </c>
    </row>
    <row r="634" spans="1:15" x14ac:dyDescent="0.25">
      <c r="A634" s="56">
        <v>44702</v>
      </c>
      <c r="B634" s="4" t="s">
        <v>1854</v>
      </c>
      <c r="C634" s="191" t="s">
        <v>1855</v>
      </c>
      <c r="D634" s="1" t="s">
        <v>1332</v>
      </c>
      <c r="E634" s="4" t="s">
        <v>1750</v>
      </c>
      <c r="F634" s="1" t="s">
        <v>19</v>
      </c>
      <c r="G634" s="71" t="s">
        <v>1821</v>
      </c>
      <c r="H634" s="2">
        <v>40000</v>
      </c>
      <c r="I634" s="2">
        <v>24000</v>
      </c>
      <c r="J634" s="192">
        <v>16000</v>
      </c>
      <c r="L634" s="11"/>
      <c r="M634" s="11"/>
      <c r="O634" s="15">
        <v>0</v>
      </c>
    </row>
    <row r="635" spans="1:15" x14ac:dyDescent="0.25">
      <c r="A635" s="56">
        <v>44702</v>
      </c>
      <c r="B635" s="4" t="s">
        <v>1856</v>
      </c>
      <c r="C635" s="191" t="s">
        <v>1857</v>
      </c>
      <c r="D635" s="1" t="s">
        <v>200</v>
      </c>
      <c r="E635" s="4" t="s">
        <v>1858</v>
      </c>
      <c r="F635" s="1" t="s">
        <v>19</v>
      </c>
      <c r="G635" s="71" t="s">
        <v>1532</v>
      </c>
      <c r="H635" s="2">
        <v>45000</v>
      </c>
      <c r="I635" s="2">
        <v>27000</v>
      </c>
      <c r="J635" s="192">
        <v>18000</v>
      </c>
      <c r="L635" s="11"/>
      <c r="M635" s="11"/>
      <c r="O635" s="15">
        <v>0</v>
      </c>
    </row>
    <row r="636" spans="1:15" x14ac:dyDescent="0.25">
      <c r="A636" s="56">
        <v>44704</v>
      </c>
      <c r="B636" s="4" t="s">
        <v>1859</v>
      </c>
      <c r="C636" s="191" t="s">
        <v>1860</v>
      </c>
      <c r="D636" s="1" t="s">
        <v>96</v>
      </c>
      <c r="E636" s="4" t="s">
        <v>1861</v>
      </c>
      <c r="F636" s="1" t="s">
        <v>408</v>
      </c>
      <c r="G636" s="71" t="s">
        <v>1862</v>
      </c>
      <c r="H636" s="2">
        <v>150000</v>
      </c>
      <c r="I636" s="2">
        <v>90000</v>
      </c>
      <c r="J636" s="192">
        <v>60000</v>
      </c>
      <c r="L636" s="11"/>
      <c r="M636" s="11"/>
      <c r="O636" s="15">
        <v>0</v>
      </c>
    </row>
    <row r="637" spans="1:15" x14ac:dyDescent="0.25">
      <c r="A637" s="56">
        <v>44704</v>
      </c>
      <c r="B637" s="4" t="s">
        <v>1863</v>
      </c>
      <c r="C637" s="191" t="s">
        <v>129</v>
      </c>
      <c r="D637" s="1" t="s">
        <v>202</v>
      </c>
      <c r="E637" s="4" t="s">
        <v>125</v>
      </c>
      <c r="F637" s="1" t="s">
        <v>10</v>
      </c>
      <c r="G637" s="71" t="s">
        <v>1001</v>
      </c>
      <c r="H637" s="2">
        <v>250000</v>
      </c>
      <c r="I637" s="2">
        <v>150000</v>
      </c>
      <c r="J637" s="192">
        <v>100000</v>
      </c>
      <c r="L637" s="11"/>
      <c r="M637" s="11"/>
      <c r="N637" s="2" t="s">
        <v>25</v>
      </c>
      <c r="O637" s="15">
        <v>0</v>
      </c>
    </row>
    <row r="638" spans="1:15" x14ac:dyDescent="0.25">
      <c r="A638" s="56">
        <v>44704</v>
      </c>
      <c r="B638" s="4" t="s">
        <v>1863</v>
      </c>
      <c r="C638" s="191" t="s">
        <v>129</v>
      </c>
      <c r="D638" s="1" t="s">
        <v>202</v>
      </c>
      <c r="E638" s="4" t="s">
        <v>125</v>
      </c>
      <c r="F638" s="1" t="s">
        <v>408</v>
      </c>
      <c r="G638" s="71" t="s">
        <v>140</v>
      </c>
      <c r="H638" s="2">
        <v>200000</v>
      </c>
      <c r="I638" s="2">
        <v>120000</v>
      </c>
      <c r="J638" s="192">
        <v>80000</v>
      </c>
      <c r="L638" s="11"/>
      <c r="M638" s="11"/>
      <c r="O638" s="15">
        <v>0</v>
      </c>
    </row>
    <row r="639" spans="1:15" x14ac:dyDescent="0.25">
      <c r="A639" s="56">
        <v>44704</v>
      </c>
      <c r="B639" s="4" t="s">
        <v>1864</v>
      </c>
      <c r="C639" s="191" t="s">
        <v>922</v>
      </c>
      <c r="D639" s="1" t="s">
        <v>1865</v>
      </c>
      <c r="E639" s="4" t="s">
        <v>924</v>
      </c>
      <c r="F639" s="1" t="s">
        <v>1039</v>
      </c>
      <c r="G639" s="71" t="s">
        <v>1866</v>
      </c>
      <c r="H639" s="2">
        <v>30000</v>
      </c>
      <c r="I639" s="2">
        <v>18000</v>
      </c>
      <c r="J639" s="192">
        <v>12000</v>
      </c>
      <c r="L639" s="11"/>
      <c r="M639" s="11"/>
      <c r="O639" s="15">
        <v>0</v>
      </c>
    </row>
    <row r="640" spans="1:15" x14ac:dyDescent="0.25">
      <c r="A640" s="56">
        <v>44705</v>
      </c>
      <c r="B640" s="4" t="s">
        <v>1867</v>
      </c>
      <c r="C640" s="191" t="s">
        <v>1868</v>
      </c>
      <c r="D640" s="1" t="s">
        <v>84</v>
      </c>
      <c r="E640" s="4" t="s">
        <v>1869</v>
      </c>
      <c r="F640" s="1" t="s">
        <v>30</v>
      </c>
      <c r="G640" s="71" t="s">
        <v>1870</v>
      </c>
      <c r="H640" s="2">
        <v>80000</v>
      </c>
      <c r="I640" s="2">
        <v>48000</v>
      </c>
      <c r="J640" s="192">
        <v>32000</v>
      </c>
      <c r="L640" s="11"/>
      <c r="M640" s="11"/>
      <c r="O640" s="15">
        <v>0</v>
      </c>
    </row>
    <row r="641" spans="1:15" x14ac:dyDescent="0.25">
      <c r="A641" s="56">
        <v>44705</v>
      </c>
      <c r="B641" s="4" t="s">
        <v>1871</v>
      </c>
      <c r="C641" s="191" t="s">
        <v>1868</v>
      </c>
      <c r="D641" s="1" t="s">
        <v>1872</v>
      </c>
      <c r="E641" s="4" t="s">
        <v>1873</v>
      </c>
      <c r="F641" s="1" t="s">
        <v>19</v>
      </c>
      <c r="G641" s="71" t="s">
        <v>1874</v>
      </c>
      <c r="H641" s="2">
        <v>70000</v>
      </c>
      <c r="I641" s="2">
        <v>42000</v>
      </c>
      <c r="J641" s="192">
        <v>28000</v>
      </c>
      <c r="L641" s="11"/>
      <c r="M641" s="11"/>
      <c r="O641" s="15">
        <v>0</v>
      </c>
    </row>
    <row r="642" spans="1:15" x14ac:dyDescent="0.25">
      <c r="A642" s="56">
        <v>44705</v>
      </c>
      <c r="C642" s="191"/>
      <c r="D642" s="1" t="s">
        <v>65</v>
      </c>
      <c r="E642" s="4"/>
      <c r="F642" s="1" t="s">
        <v>1039</v>
      </c>
      <c r="G642" s="71" t="s">
        <v>21</v>
      </c>
      <c r="H642" s="2">
        <v>15000</v>
      </c>
      <c r="I642" s="2">
        <v>15000</v>
      </c>
      <c r="J642" s="192">
        <v>5000</v>
      </c>
      <c r="L642" s="11"/>
      <c r="M642" s="11"/>
      <c r="O642" s="15">
        <v>0</v>
      </c>
    </row>
    <row r="643" spans="1:15" x14ac:dyDescent="0.25">
      <c r="A643" s="56">
        <v>44705</v>
      </c>
      <c r="B643" s="4" t="s">
        <v>2081</v>
      </c>
      <c r="C643" s="191" t="s">
        <v>1097</v>
      </c>
      <c r="D643" s="1" t="s">
        <v>540</v>
      </c>
      <c r="E643" s="4" t="s">
        <v>1875</v>
      </c>
      <c r="F643" s="1" t="s">
        <v>1039</v>
      </c>
      <c r="G643" s="71" t="s">
        <v>1876</v>
      </c>
      <c r="H643" s="2">
        <v>40000</v>
      </c>
      <c r="I643" s="2">
        <v>24000</v>
      </c>
      <c r="J643" s="192">
        <v>16000</v>
      </c>
      <c r="L643" s="11"/>
      <c r="M643" s="11"/>
      <c r="O643" s="15">
        <v>0</v>
      </c>
    </row>
    <row r="644" spans="1:15" x14ac:dyDescent="0.25">
      <c r="A644" s="56">
        <v>44705</v>
      </c>
      <c r="B644" s="4" t="s">
        <v>1877</v>
      </c>
      <c r="C644" s="191" t="s">
        <v>1878</v>
      </c>
      <c r="D644" s="1" t="s">
        <v>1879</v>
      </c>
      <c r="E644" s="4" t="s">
        <v>1880</v>
      </c>
      <c r="F644" s="1" t="s">
        <v>10</v>
      </c>
      <c r="G644" s="71" t="s">
        <v>1881</v>
      </c>
      <c r="H644" s="2">
        <v>350000</v>
      </c>
      <c r="I644" s="2">
        <v>210000</v>
      </c>
      <c r="J644" s="192">
        <v>140000</v>
      </c>
      <c r="L644" s="11"/>
      <c r="M644" s="11"/>
      <c r="N644" s="2" t="s">
        <v>25</v>
      </c>
      <c r="O644" s="15">
        <v>0</v>
      </c>
    </row>
    <row r="645" spans="1:15" x14ac:dyDescent="0.25">
      <c r="A645" s="56">
        <v>44706</v>
      </c>
      <c r="B645" s="4" t="s">
        <v>1882</v>
      </c>
      <c r="C645" s="191" t="s">
        <v>1883</v>
      </c>
      <c r="D645" s="1" t="s">
        <v>1884</v>
      </c>
      <c r="E645" s="4" t="s">
        <v>1885</v>
      </c>
      <c r="F645" s="1" t="s">
        <v>1039</v>
      </c>
      <c r="G645" s="71" t="s">
        <v>1886</v>
      </c>
      <c r="H645" s="2">
        <v>200000</v>
      </c>
      <c r="I645" s="2">
        <v>120000</v>
      </c>
      <c r="J645" s="192">
        <v>80000</v>
      </c>
      <c r="L645" s="11"/>
      <c r="M645" s="11"/>
      <c r="O645" s="15">
        <v>0</v>
      </c>
    </row>
    <row r="646" spans="1:15" x14ac:dyDescent="0.25">
      <c r="A646" s="56">
        <v>44706</v>
      </c>
      <c r="B646" s="4" t="s">
        <v>1882</v>
      </c>
      <c r="C646" s="191" t="s">
        <v>1883</v>
      </c>
      <c r="D646" s="1" t="s">
        <v>1884</v>
      </c>
      <c r="E646" s="4" t="s">
        <v>1885</v>
      </c>
      <c r="F646" s="1" t="s">
        <v>18</v>
      </c>
      <c r="G646" s="71" t="s">
        <v>1896</v>
      </c>
      <c r="H646" s="2">
        <v>20000</v>
      </c>
      <c r="I646" s="2">
        <v>20000</v>
      </c>
      <c r="J646" s="192">
        <f>Tabla210[[#This Row],[TOTAL FACTURA]]*0.4</f>
        <v>8000</v>
      </c>
      <c r="L646" s="11"/>
      <c r="M646" s="11"/>
      <c r="O646" s="15">
        <f>Tabla210[[#This Row],[MONTO DE COMPRA]]-Tabla210[[#This Row],[MONTO DE LA VENTA]]</f>
        <v>0</v>
      </c>
    </row>
    <row r="647" spans="1:15" x14ac:dyDescent="0.25">
      <c r="A647" s="56">
        <v>44706</v>
      </c>
      <c r="B647" s="4" t="s">
        <v>1882</v>
      </c>
      <c r="C647" s="191" t="s">
        <v>1883</v>
      </c>
      <c r="D647" s="1" t="s">
        <v>1884</v>
      </c>
      <c r="E647" s="4" t="s">
        <v>1885</v>
      </c>
      <c r="F647" s="1" t="s">
        <v>10</v>
      </c>
      <c r="G647" s="71" t="s">
        <v>1887</v>
      </c>
      <c r="H647" s="2">
        <v>160000</v>
      </c>
      <c r="I647" s="2">
        <v>96000</v>
      </c>
      <c r="J647" s="192">
        <v>64000</v>
      </c>
      <c r="L647" s="11"/>
      <c r="M647" s="11"/>
      <c r="N647" s="2" t="s">
        <v>25</v>
      </c>
      <c r="O647" s="15">
        <v>0</v>
      </c>
    </row>
    <row r="648" spans="1:15" x14ac:dyDescent="0.25">
      <c r="A648" s="56">
        <v>44706</v>
      </c>
      <c r="B648" s="4" t="s">
        <v>1888</v>
      </c>
      <c r="C648" s="191" t="s">
        <v>1097</v>
      </c>
      <c r="D648" s="1" t="s">
        <v>240</v>
      </c>
      <c r="E648" s="4" t="s">
        <v>1889</v>
      </c>
      <c r="F648" s="1" t="s">
        <v>19</v>
      </c>
      <c r="G648" s="71" t="s">
        <v>1890</v>
      </c>
      <c r="H648" s="2">
        <v>30000</v>
      </c>
      <c r="I648" s="2">
        <v>20000</v>
      </c>
      <c r="J648" s="192">
        <v>12000</v>
      </c>
      <c r="L648" s="11"/>
      <c r="M648" s="11"/>
      <c r="O648" s="15">
        <v>0</v>
      </c>
    </row>
    <row r="649" spans="1:15" x14ac:dyDescent="0.25">
      <c r="A649" s="56">
        <v>44706</v>
      </c>
      <c r="B649" s="4" t="s">
        <v>1892</v>
      </c>
      <c r="C649" s="191" t="s">
        <v>1059</v>
      </c>
      <c r="D649" s="1" t="s">
        <v>864</v>
      </c>
      <c r="E649" s="4" t="s">
        <v>1061</v>
      </c>
      <c r="F649" s="1" t="s">
        <v>1039</v>
      </c>
      <c r="G649" s="71" t="s">
        <v>114</v>
      </c>
      <c r="H649" s="2">
        <v>30000</v>
      </c>
      <c r="I649" s="2">
        <v>18000</v>
      </c>
      <c r="J649" s="192">
        <v>12000</v>
      </c>
      <c r="L649" s="11"/>
      <c r="M649" s="11"/>
      <c r="O649" s="15">
        <v>0</v>
      </c>
    </row>
    <row r="650" spans="1:15" x14ac:dyDescent="0.25">
      <c r="A650" s="56">
        <v>44706</v>
      </c>
      <c r="C650" s="191"/>
      <c r="D650" s="1" t="s">
        <v>439</v>
      </c>
      <c r="E650" s="4" t="s">
        <v>1893</v>
      </c>
      <c r="F650" s="1" t="s">
        <v>408</v>
      </c>
      <c r="G650" s="71" t="s">
        <v>1894</v>
      </c>
      <c r="H650" s="2">
        <v>150000</v>
      </c>
      <c r="I650" s="2">
        <v>90000</v>
      </c>
      <c r="J650" s="192">
        <v>60000</v>
      </c>
      <c r="L650" s="11"/>
      <c r="M650" s="11"/>
      <c r="O650" s="15">
        <v>0</v>
      </c>
    </row>
    <row r="651" spans="1:15" x14ac:dyDescent="0.25">
      <c r="A651" s="56">
        <v>44706</v>
      </c>
      <c r="C651" s="191"/>
      <c r="D651" s="1" t="s">
        <v>439</v>
      </c>
      <c r="E651" s="4" t="s">
        <v>1891</v>
      </c>
      <c r="F651" s="1" t="s">
        <v>19</v>
      </c>
      <c r="G651" s="71" t="s">
        <v>1895</v>
      </c>
      <c r="H651" s="2">
        <v>60000</v>
      </c>
      <c r="I651" s="2">
        <v>36000</v>
      </c>
      <c r="J651" s="192">
        <v>24000</v>
      </c>
      <c r="L651" s="11"/>
      <c r="M651" s="11"/>
      <c r="O651" s="15">
        <v>0</v>
      </c>
    </row>
    <row r="652" spans="1:15" x14ac:dyDescent="0.25">
      <c r="A652" s="56">
        <v>44707</v>
      </c>
      <c r="C652" s="191"/>
      <c r="D652" s="1" t="s">
        <v>65</v>
      </c>
      <c r="E652" s="4" t="s">
        <v>1897</v>
      </c>
      <c r="F652" s="1" t="s">
        <v>19</v>
      </c>
      <c r="G652" s="71" t="s">
        <v>1898</v>
      </c>
      <c r="H652" s="2">
        <v>80000</v>
      </c>
      <c r="I652" s="2">
        <v>80000</v>
      </c>
      <c r="J652" s="192">
        <v>20000</v>
      </c>
      <c r="L652" s="11"/>
      <c r="M652" s="11"/>
      <c r="O652" s="15">
        <v>0</v>
      </c>
    </row>
    <row r="653" spans="1:15" x14ac:dyDescent="0.25">
      <c r="A653" s="56">
        <v>44707</v>
      </c>
      <c r="C653" s="191"/>
      <c r="D653" s="1" t="s">
        <v>213</v>
      </c>
      <c r="E653" s="4" t="s">
        <v>1668</v>
      </c>
      <c r="F653" s="1" t="s">
        <v>1039</v>
      </c>
      <c r="G653" s="71" t="s">
        <v>1899</v>
      </c>
      <c r="H653" s="2">
        <v>30000</v>
      </c>
      <c r="I653" s="2">
        <v>30000</v>
      </c>
      <c r="J653" s="192">
        <v>10000</v>
      </c>
      <c r="L653" s="11"/>
      <c r="M653" s="11"/>
      <c r="O653" s="15">
        <v>0</v>
      </c>
    </row>
    <row r="654" spans="1:15" x14ac:dyDescent="0.25">
      <c r="A654" s="56">
        <v>44707</v>
      </c>
      <c r="C654" s="191"/>
      <c r="D654" s="1" t="s">
        <v>213</v>
      </c>
      <c r="E654" s="4" t="s">
        <v>1668</v>
      </c>
      <c r="F654" s="1" t="s">
        <v>18</v>
      </c>
      <c r="G654" s="71" t="s">
        <v>1900</v>
      </c>
      <c r="H654" s="2">
        <v>30000</v>
      </c>
      <c r="I654" s="2">
        <v>30000</v>
      </c>
      <c r="J654" s="192">
        <v>10000</v>
      </c>
      <c r="L654" s="11"/>
      <c r="M654" s="11"/>
      <c r="O654" s="15">
        <v>0</v>
      </c>
    </row>
    <row r="655" spans="1:15" x14ac:dyDescent="0.25">
      <c r="A655" s="56">
        <v>44708</v>
      </c>
      <c r="B655" s="4" t="s">
        <v>1901</v>
      </c>
      <c r="C655" s="191" t="s">
        <v>1502</v>
      </c>
      <c r="D655" s="1" t="s">
        <v>385</v>
      </c>
      <c r="E655" s="4" t="s">
        <v>1504</v>
      </c>
      <c r="F655" s="1" t="s">
        <v>10</v>
      </c>
      <c r="G655" s="71" t="s">
        <v>1902</v>
      </c>
      <c r="H655" s="2">
        <v>250000</v>
      </c>
      <c r="I655" s="2">
        <v>150000</v>
      </c>
      <c r="J655" s="192">
        <v>100000</v>
      </c>
      <c r="L655" s="11"/>
      <c r="M655" s="11"/>
      <c r="N655" s="2" t="s">
        <v>25</v>
      </c>
      <c r="O655" s="15">
        <v>0</v>
      </c>
    </row>
    <row r="656" spans="1:15" x14ac:dyDescent="0.25">
      <c r="A656" s="56">
        <v>44708</v>
      </c>
      <c r="C656" s="191" t="s">
        <v>1903</v>
      </c>
      <c r="D656" s="1" t="s">
        <v>200</v>
      </c>
      <c r="E656" s="4" t="s">
        <v>1904</v>
      </c>
      <c r="F656" s="1" t="s">
        <v>408</v>
      </c>
      <c r="G656" s="71" t="s">
        <v>1905</v>
      </c>
      <c r="H656" s="2">
        <v>10000</v>
      </c>
      <c r="I656" s="2">
        <v>6000</v>
      </c>
      <c r="J656" s="192">
        <v>4000</v>
      </c>
      <c r="L656" s="11"/>
      <c r="M656" s="11"/>
      <c r="O656" s="15">
        <v>0</v>
      </c>
    </row>
    <row r="657" spans="1:15" x14ac:dyDescent="0.25">
      <c r="A657" s="56">
        <v>44708</v>
      </c>
      <c r="C657" s="191" t="s">
        <v>1908</v>
      </c>
      <c r="D657" s="1" t="s">
        <v>899</v>
      </c>
      <c r="E657" s="4" t="s">
        <v>900</v>
      </c>
      <c r="F657" s="1" t="s">
        <v>408</v>
      </c>
      <c r="G657" s="71" t="s">
        <v>1909</v>
      </c>
      <c r="H657" s="2">
        <v>230000</v>
      </c>
      <c r="I657" s="2">
        <v>138000</v>
      </c>
      <c r="J657" s="192">
        <v>92000</v>
      </c>
      <c r="L657" s="11"/>
      <c r="M657" s="11"/>
      <c r="O657" s="15">
        <f>Tabla210[[#This Row],[MONTO DE COMPRA]]-Tabla210[[#This Row],[MONTO DE LA VENTA]]</f>
        <v>0</v>
      </c>
    </row>
    <row r="658" spans="1:15" x14ac:dyDescent="0.25">
      <c r="A658" s="56">
        <v>44708</v>
      </c>
      <c r="C658" s="191"/>
      <c r="E658" s="4"/>
      <c r="F658" s="1" t="s">
        <v>408</v>
      </c>
      <c r="G658" s="71" t="s">
        <v>1911</v>
      </c>
      <c r="H658" s="2">
        <v>30000</v>
      </c>
      <c r="I658" s="2">
        <v>30000</v>
      </c>
      <c r="J658" s="192">
        <v>12000</v>
      </c>
      <c r="L658" s="11"/>
      <c r="M658" s="11"/>
      <c r="O658" s="15">
        <v>0</v>
      </c>
    </row>
    <row r="659" spans="1:15" x14ac:dyDescent="0.25">
      <c r="A659" s="56">
        <v>44709</v>
      </c>
      <c r="B659" s="4" t="s">
        <v>1912</v>
      </c>
      <c r="C659" s="191" t="s">
        <v>1913</v>
      </c>
      <c r="D659" s="1" t="s">
        <v>1914</v>
      </c>
      <c r="E659" s="4" t="s">
        <v>1915</v>
      </c>
      <c r="F659" s="1" t="s">
        <v>19</v>
      </c>
      <c r="G659" s="71" t="s">
        <v>1916</v>
      </c>
      <c r="H659" s="2">
        <v>90000</v>
      </c>
      <c r="I659" s="2">
        <v>62999.999999999993</v>
      </c>
      <c r="J659" s="192">
        <v>36000</v>
      </c>
      <c r="L659" s="11"/>
      <c r="M659" s="11"/>
      <c r="O659" s="15">
        <v>0</v>
      </c>
    </row>
    <row r="660" spans="1:15" x14ac:dyDescent="0.25">
      <c r="A660" s="56">
        <v>44709</v>
      </c>
      <c r="B660" s="4" t="s">
        <v>1917</v>
      </c>
      <c r="C660" s="191" t="s">
        <v>1918</v>
      </c>
      <c r="E660" s="4" t="s">
        <v>1668</v>
      </c>
      <c r="F660" s="1" t="s">
        <v>1919</v>
      </c>
      <c r="G660" s="71" t="s">
        <v>1920</v>
      </c>
      <c r="I660" s="2">
        <v>0</v>
      </c>
      <c r="J660" s="192">
        <v>0</v>
      </c>
      <c r="L660" s="11"/>
      <c r="M660" s="11"/>
      <c r="O660" s="15">
        <v>0</v>
      </c>
    </row>
    <row r="661" spans="1:15" x14ac:dyDescent="0.25">
      <c r="A661" s="56">
        <v>44709</v>
      </c>
      <c r="C661" s="191"/>
      <c r="D661" s="1" t="s">
        <v>122</v>
      </c>
      <c r="E661" s="4"/>
      <c r="F661" s="1" t="s">
        <v>1039</v>
      </c>
      <c r="G661" s="71" t="s">
        <v>434</v>
      </c>
      <c r="H661" s="2">
        <v>50000</v>
      </c>
      <c r="I661" s="2">
        <v>30000</v>
      </c>
      <c r="J661" s="192">
        <v>20000</v>
      </c>
      <c r="L661" s="11"/>
      <c r="M661" s="11"/>
      <c r="O661" s="15">
        <v>0</v>
      </c>
    </row>
    <row r="662" spans="1:15" x14ac:dyDescent="0.25">
      <c r="A662" s="56">
        <v>44709</v>
      </c>
      <c r="C662" s="191" t="s">
        <v>1757</v>
      </c>
      <c r="D662" s="1" t="s">
        <v>65</v>
      </c>
      <c r="E662" s="4" t="s">
        <v>1468</v>
      </c>
      <c r="F662" s="1" t="s">
        <v>10</v>
      </c>
      <c r="G662" s="71" t="s">
        <v>1921</v>
      </c>
      <c r="H662" s="2">
        <v>150000</v>
      </c>
      <c r="I662" s="2">
        <v>105000</v>
      </c>
      <c r="J662" s="192">
        <v>60000</v>
      </c>
      <c r="L662" s="11"/>
      <c r="M662" s="11"/>
      <c r="N662" s="2" t="s">
        <v>25</v>
      </c>
      <c r="O662" s="15">
        <v>0</v>
      </c>
    </row>
    <row r="663" spans="1:15" x14ac:dyDescent="0.25">
      <c r="A663" s="56">
        <v>44709</v>
      </c>
      <c r="B663" s="4" t="s">
        <v>1924</v>
      </c>
      <c r="C663" s="191"/>
      <c r="D663" s="1" t="s">
        <v>1922</v>
      </c>
      <c r="E663" s="4" t="s">
        <v>1923</v>
      </c>
      <c r="F663" s="1" t="s">
        <v>1039</v>
      </c>
      <c r="G663" s="71" t="s">
        <v>423</v>
      </c>
      <c r="H663" s="2">
        <v>40000</v>
      </c>
      <c r="I663" s="2">
        <v>24000</v>
      </c>
      <c r="J663" s="192">
        <v>16000</v>
      </c>
      <c r="L663" s="11"/>
      <c r="M663" s="11"/>
      <c r="O663" s="15">
        <v>0</v>
      </c>
    </row>
    <row r="664" spans="1:15" x14ac:dyDescent="0.25">
      <c r="A664" s="56">
        <v>44712</v>
      </c>
      <c r="C664" s="191" t="s">
        <v>1278</v>
      </c>
      <c r="D664" s="1" t="s">
        <v>1925</v>
      </c>
      <c r="E664" s="4" t="s">
        <v>1926</v>
      </c>
      <c r="F664" s="1" t="s">
        <v>408</v>
      </c>
      <c r="G664" s="71" t="s">
        <v>1961</v>
      </c>
      <c r="H664" s="2">
        <v>40000</v>
      </c>
      <c r="I664" s="2">
        <v>28000</v>
      </c>
      <c r="J664" s="192">
        <v>16000</v>
      </c>
      <c r="L664" s="11"/>
      <c r="M664" s="11"/>
      <c r="O664" s="15">
        <v>0</v>
      </c>
    </row>
    <row r="665" spans="1:15" x14ac:dyDescent="0.25">
      <c r="A665" s="56">
        <v>44712</v>
      </c>
      <c r="C665" s="191"/>
      <c r="D665" s="1" t="s">
        <v>54</v>
      </c>
      <c r="E665" s="4" t="s">
        <v>1927</v>
      </c>
      <c r="F665" s="1" t="s">
        <v>30</v>
      </c>
      <c r="G665" s="71" t="s">
        <v>1928</v>
      </c>
      <c r="H665" s="2">
        <v>40000</v>
      </c>
      <c r="I665" s="2">
        <v>24000</v>
      </c>
      <c r="J665" s="192">
        <v>16000</v>
      </c>
      <c r="L665" s="11"/>
      <c r="M665" s="11"/>
      <c r="O665" s="15">
        <v>0</v>
      </c>
    </row>
    <row r="666" spans="1:15" x14ac:dyDescent="0.25">
      <c r="A666" s="56">
        <v>44712</v>
      </c>
      <c r="B666" s="4" t="s">
        <v>1929</v>
      </c>
      <c r="C666" s="191" t="s">
        <v>1930</v>
      </c>
      <c r="D666" s="1" t="s">
        <v>1931</v>
      </c>
      <c r="E666" s="4" t="s">
        <v>1932</v>
      </c>
      <c r="F666" s="1" t="s">
        <v>30</v>
      </c>
      <c r="G666" s="71" t="s">
        <v>1933</v>
      </c>
      <c r="H666" s="2">
        <v>60000</v>
      </c>
      <c r="I666" s="2">
        <v>36000</v>
      </c>
      <c r="J666" s="192">
        <v>24000</v>
      </c>
      <c r="L666" s="11"/>
      <c r="M666" s="11"/>
      <c r="O666" s="15">
        <v>0</v>
      </c>
    </row>
    <row r="667" spans="1:15" x14ac:dyDescent="0.25">
      <c r="A667" s="56">
        <v>44712</v>
      </c>
      <c r="C667" s="191" t="s">
        <v>1483</v>
      </c>
      <c r="D667" s="1" t="s">
        <v>815</v>
      </c>
      <c r="E667" s="4" t="s">
        <v>1484</v>
      </c>
      <c r="F667" s="1" t="s">
        <v>1039</v>
      </c>
      <c r="G667" s="71" t="s">
        <v>1934</v>
      </c>
      <c r="H667" s="2">
        <v>20000</v>
      </c>
      <c r="I667" s="2">
        <v>20000</v>
      </c>
      <c r="J667" s="192">
        <v>8000</v>
      </c>
      <c r="L667" s="11"/>
      <c r="M667" s="11"/>
      <c r="O667" s="15">
        <v>0</v>
      </c>
    </row>
    <row r="668" spans="1:15" x14ac:dyDescent="0.25">
      <c r="A668" s="56">
        <v>44713</v>
      </c>
      <c r="B668" s="4" t="s">
        <v>1935</v>
      </c>
      <c r="C668" s="191" t="s">
        <v>1860</v>
      </c>
      <c r="D668" s="1" t="s">
        <v>688</v>
      </c>
      <c r="E668" s="4" t="s">
        <v>1861</v>
      </c>
      <c r="F668" s="1" t="s">
        <v>408</v>
      </c>
      <c r="G668" s="71" t="s">
        <v>1936</v>
      </c>
      <c r="H668" s="2">
        <v>180000</v>
      </c>
      <c r="I668" s="2">
        <v>125999.99999999999</v>
      </c>
      <c r="J668" s="192">
        <v>72000</v>
      </c>
      <c r="L668" s="11"/>
      <c r="M668" s="11"/>
      <c r="O668" s="15">
        <v>0</v>
      </c>
    </row>
    <row r="669" spans="1:15" x14ac:dyDescent="0.25">
      <c r="A669" s="56">
        <v>44713</v>
      </c>
      <c r="C669" s="191" t="s">
        <v>1937</v>
      </c>
      <c r="D669" s="1" t="s">
        <v>1318</v>
      </c>
      <c r="E669" s="4" t="s">
        <v>1938</v>
      </c>
      <c r="F669" s="1" t="s">
        <v>34</v>
      </c>
      <c r="G669" s="71" t="s">
        <v>138</v>
      </c>
      <c r="H669" s="2">
        <v>60000</v>
      </c>
      <c r="I669" s="2">
        <v>36000</v>
      </c>
      <c r="J669" s="192">
        <v>24000</v>
      </c>
      <c r="L669" s="11"/>
      <c r="M669" s="11"/>
      <c r="O669" s="15">
        <v>0</v>
      </c>
    </row>
    <row r="670" spans="1:15" x14ac:dyDescent="0.25">
      <c r="A670" s="56">
        <v>44714</v>
      </c>
      <c r="C670" s="191"/>
      <c r="E670" s="4" t="s">
        <v>1939</v>
      </c>
      <c r="F670" s="1" t="s">
        <v>408</v>
      </c>
      <c r="G670" s="71" t="s">
        <v>1940</v>
      </c>
      <c r="H670" s="2">
        <v>80000</v>
      </c>
      <c r="I670" s="2">
        <v>56000</v>
      </c>
      <c r="J670" s="192">
        <v>32000</v>
      </c>
      <c r="L670" s="11"/>
      <c r="M670" s="11"/>
      <c r="O670" s="15">
        <v>0</v>
      </c>
    </row>
    <row r="671" spans="1:15" x14ac:dyDescent="0.25">
      <c r="A671" s="56">
        <v>44714</v>
      </c>
      <c r="B671" s="4" t="s">
        <v>1941</v>
      </c>
      <c r="C671" s="191" t="s">
        <v>1942</v>
      </c>
      <c r="D671" s="1" t="s">
        <v>1944</v>
      </c>
      <c r="E671" s="4" t="s">
        <v>1943</v>
      </c>
      <c r="F671" s="1" t="s">
        <v>408</v>
      </c>
      <c r="G671" s="71" t="s">
        <v>20</v>
      </c>
      <c r="H671" s="2">
        <v>30000</v>
      </c>
      <c r="I671" s="2">
        <v>21000</v>
      </c>
      <c r="J671" s="192">
        <v>12000</v>
      </c>
      <c r="L671" s="11"/>
      <c r="M671" s="11"/>
      <c r="O671" s="15">
        <v>0</v>
      </c>
    </row>
    <row r="672" spans="1:15" x14ac:dyDescent="0.25">
      <c r="A672" s="56">
        <v>44714</v>
      </c>
      <c r="C672" s="191"/>
      <c r="D672" s="1" t="s">
        <v>107</v>
      </c>
      <c r="E672" s="4" t="s">
        <v>1945</v>
      </c>
      <c r="F672" s="1" t="s">
        <v>408</v>
      </c>
      <c r="G672" s="71" t="s">
        <v>341</v>
      </c>
      <c r="H672" s="2">
        <v>10000</v>
      </c>
      <c r="I672" s="2">
        <v>7000</v>
      </c>
      <c r="J672" s="192">
        <v>4000</v>
      </c>
      <c r="L672" s="11"/>
      <c r="M672" s="11"/>
      <c r="O672" s="15">
        <v>0</v>
      </c>
    </row>
    <row r="673" spans="1:15" x14ac:dyDescent="0.25">
      <c r="A673" s="56">
        <v>44714</v>
      </c>
      <c r="C673" s="191" t="s">
        <v>1946</v>
      </c>
      <c r="D673" s="1" t="s">
        <v>1947</v>
      </c>
      <c r="E673" s="4" t="s">
        <v>1948</v>
      </c>
      <c r="F673" s="1" t="s">
        <v>1039</v>
      </c>
      <c r="G673" s="71" t="s">
        <v>1949</v>
      </c>
      <c r="H673" s="2">
        <v>100000</v>
      </c>
      <c r="I673" s="2">
        <v>70000</v>
      </c>
      <c r="J673" s="192">
        <v>40000</v>
      </c>
      <c r="L673" s="11"/>
      <c r="M673" s="11"/>
      <c r="O673" s="15">
        <v>0</v>
      </c>
    </row>
    <row r="674" spans="1:15" x14ac:dyDescent="0.25">
      <c r="A674" s="56">
        <v>44714</v>
      </c>
      <c r="C674" s="191" t="s">
        <v>1946</v>
      </c>
      <c r="D674" s="1" t="s">
        <v>1947</v>
      </c>
      <c r="E674" s="4" t="s">
        <v>1948</v>
      </c>
      <c r="F674" s="1" t="s">
        <v>1039</v>
      </c>
      <c r="G674" s="71" t="s">
        <v>1962</v>
      </c>
      <c r="H674" s="2">
        <v>10000</v>
      </c>
      <c r="I674" s="2">
        <v>6000</v>
      </c>
      <c r="J674" s="192">
        <v>4000</v>
      </c>
      <c r="L674" s="11"/>
      <c r="M674" s="11"/>
      <c r="O674" s="15">
        <v>0</v>
      </c>
    </row>
    <row r="675" spans="1:15" x14ac:dyDescent="0.25">
      <c r="A675" s="56">
        <v>44714</v>
      </c>
      <c r="C675" s="191"/>
      <c r="D675" s="1" t="s">
        <v>59</v>
      </c>
      <c r="E675" s="4" t="s">
        <v>380</v>
      </c>
      <c r="F675" s="1" t="s">
        <v>19</v>
      </c>
      <c r="G675" s="71" t="s">
        <v>341</v>
      </c>
      <c r="H675" s="2">
        <v>10000</v>
      </c>
      <c r="I675" s="2">
        <v>7000</v>
      </c>
      <c r="J675" s="192">
        <v>4000</v>
      </c>
      <c r="L675" s="11"/>
      <c r="M675" s="11"/>
      <c r="O675" s="15">
        <v>0</v>
      </c>
    </row>
    <row r="676" spans="1:15" x14ac:dyDescent="0.25">
      <c r="A676" s="56">
        <v>44715</v>
      </c>
      <c r="B676" s="4" t="s">
        <v>1950</v>
      </c>
      <c r="C676" s="191" t="s">
        <v>1951</v>
      </c>
      <c r="D676" s="1" t="s">
        <v>389</v>
      </c>
      <c r="E676" s="4" t="s">
        <v>1952</v>
      </c>
      <c r="F676" s="1" t="s">
        <v>408</v>
      </c>
      <c r="G676" s="71" t="s">
        <v>1953</v>
      </c>
      <c r="H676" s="2">
        <v>180000</v>
      </c>
      <c r="I676" s="2">
        <v>125999.99999999999</v>
      </c>
      <c r="J676" s="192">
        <v>72000</v>
      </c>
      <c r="L676" s="11"/>
      <c r="M676" s="11"/>
      <c r="O676" s="15">
        <v>0</v>
      </c>
    </row>
    <row r="677" spans="1:15" x14ac:dyDescent="0.25">
      <c r="A677" s="56">
        <v>44715</v>
      </c>
      <c r="C677" s="191" t="s">
        <v>1954</v>
      </c>
      <c r="D677" s="1" t="s">
        <v>54</v>
      </c>
      <c r="E677" s="4" t="s">
        <v>1955</v>
      </c>
      <c r="F677" s="1" t="s">
        <v>19</v>
      </c>
      <c r="G677" s="71" t="s">
        <v>1956</v>
      </c>
      <c r="H677" s="2">
        <v>15000</v>
      </c>
      <c r="I677" s="2">
        <v>10500</v>
      </c>
      <c r="J677" s="192">
        <v>6000</v>
      </c>
      <c r="L677" s="11"/>
      <c r="M677" s="11"/>
      <c r="O677" s="15">
        <v>0</v>
      </c>
    </row>
    <row r="678" spans="1:15" x14ac:dyDescent="0.25">
      <c r="A678" s="56">
        <v>44715</v>
      </c>
      <c r="C678" s="191" t="s">
        <v>1958</v>
      </c>
      <c r="D678" s="1" t="s">
        <v>521</v>
      </c>
      <c r="E678" s="4" t="s">
        <v>1959</v>
      </c>
      <c r="F678" s="1" t="s">
        <v>10</v>
      </c>
      <c r="G678" s="71" t="s">
        <v>956</v>
      </c>
      <c r="H678" s="2">
        <v>1200000</v>
      </c>
      <c r="I678" s="2">
        <v>840000</v>
      </c>
      <c r="J678" s="192">
        <v>480000</v>
      </c>
      <c r="L678" s="11"/>
      <c r="M678" s="11"/>
      <c r="N678" s="2" t="s">
        <v>25</v>
      </c>
      <c r="O678" s="15">
        <v>0</v>
      </c>
    </row>
    <row r="679" spans="1:15" x14ac:dyDescent="0.25">
      <c r="A679" s="56">
        <v>44715</v>
      </c>
      <c r="C679" s="191" t="s">
        <v>1958</v>
      </c>
      <c r="D679" s="1" t="s">
        <v>521</v>
      </c>
      <c r="E679" s="4" t="s">
        <v>1959</v>
      </c>
      <c r="F679" s="1" t="s">
        <v>1039</v>
      </c>
      <c r="G679" s="71" t="s">
        <v>1960</v>
      </c>
      <c r="H679" s="2">
        <v>70000</v>
      </c>
      <c r="I679" s="2">
        <v>70000</v>
      </c>
      <c r="J679" s="192">
        <f>Tabla210[[#This Row],[TOTAL FACTURA]]*0.4</f>
        <v>28000</v>
      </c>
      <c r="L679" s="11"/>
      <c r="M679" s="11"/>
      <c r="O679" s="15">
        <v>0</v>
      </c>
    </row>
    <row r="680" spans="1:15" x14ac:dyDescent="0.25">
      <c r="A680" s="56">
        <v>44715</v>
      </c>
      <c r="C680" s="191" t="s">
        <v>1908</v>
      </c>
      <c r="D680" s="1" t="s">
        <v>899</v>
      </c>
      <c r="E680" s="4" t="s">
        <v>900</v>
      </c>
      <c r="F680" s="1" t="s">
        <v>10</v>
      </c>
      <c r="G680" s="71" t="s">
        <v>12</v>
      </c>
      <c r="H680" s="2">
        <v>200000</v>
      </c>
      <c r="I680" s="2">
        <v>200000</v>
      </c>
      <c r="J680" s="192" t="s">
        <v>655</v>
      </c>
      <c r="L680" s="11"/>
      <c r="M680" s="11"/>
      <c r="N680" s="2" t="s">
        <v>25</v>
      </c>
      <c r="O680" s="15">
        <v>0</v>
      </c>
    </row>
    <row r="681" spans="1:15" x14ac:dyDescent="0.25">
      <c r="A681" s="56">
        <v>44716</v>
      </c>
      <c r="C681" s="191" t="s">
        <v>1860</v>
      </c>
      <c r="D681" s="1" t="s">
        <v>96</v>
      </c>
      <c r="E681" s="4" t="s">
        <v>1861</v>
      </c>
      <c r="F681" s="1" t="s">
        <v>408</v>
      </c>
      <c r="G681" s="71" t="s">
        <v>2047</v>
      </c>
      <c r="H681" s="2">
        <v>50000</v>
      </c>
      <c r="I681" s="2">
        <v>35000</v>
      </c>
      <c r="J681" s="192">
        <v>20000</v>
      </c>
      <c r="L681" s="11"/>
      <c r="M681" s="11"/>
      <c r="N681" s="2" t="s">
        <v>25</v>
      </c>
      <c r="O681" s="15">
        <v>0</v>
      </c>
    </row>
    <row r="682" spans="1:15" x14ac:dyDescent="0.25">
      <c r="A682" s="56">
        <v>44716</v>
      </c>
      <c r="C682" s="191" t="s">
        <v>1963</v>
      </c>
      <c r="D682" s="1" t="s">
        <v>1964</v>
      </c>
      <c r="E682" s="4" t="s">
        <v>1965</v>
      </c>
      <c r="F682" s="1" t="s">
        <v>10</v>
      </c>
      <c r="G682" s="71" t="s">
        <v>639</v>
      </c>
      <c r="H682" s="2">
        <v>60000</v>
      </c>
      <c r="I682" s="2">
        <v>42000</v>
      </c>
      <c r="J682" s="192">
        <v>24000</v>
      </c>
      <c r="L682" s="11"/>
      <c r="M682" s="11"/>
      <c r="N682" s="2" t="s">
        <v>25</v>
      </c>
      <c r="O682" s="15">
        <v>0</v>
      </c>
    </row>
    <row r="683" spans="1:15" x14ac:dyDescent="0.25">
      <c r="A683" s="56">
        <v>44716</v>
      </c>
      <c r="C683" s="191" t="s">
        <v>1966</v>
      </c>
      <c r="D683" s="1" t="s">
        <v>580</v>
      </c>
      <c r="E683" s="4" t="s">
        <v>1968</v>
      </c>
      <c r="F683" s="1" t="s">
        <v>408</v>
      </c>
      <c r="G683" s="71" t="s">
        <v>1967</v>
      </c>
      <c r="H683" s="2">
        <v>45000</v>
      </c>
      <c r="I683" s="2">
        <v>31499.999999999996</v>
      </c>
      <c r="J683" s="192">
        <v>18000</v>
      </c>
      <c r="L683" s="11"/>
      <c r="M683" s="11"/>
      <c r="N683" s="2" t="s">
        <v>25</v>
      </c>
      <c r="O683" s="15">
        <v>0</v>
      </c>
    </row>
    <row r="684" spans="1:15" x14ac:dyDescent="0.25">
      <c r="A684" s="56">
        <v>44716</v>
      </c>
      <c r="C684" s="191"/>
      <c r="D684" s="1" t="s">
        <v>1749</v>
      </c>
      <c r="E684" s="4"/>
      <c r="F684" s="1" t="s">
        <v>18</v>
      </c>
      <c r="G684" s="71" t="s">
        <v>1969</v>
      </c>
      <c r="H684" s="2">
        <v>70000</v>
      </c>
      <c r="I684" s="2">
        <v>42000</v>
      </c>
      <c r="J684" s="192">
        <v>28000</v>
      </c>
      <c r="L684" s="11"/>
      <c r="M684" s="11"/>
      <c r="N684" s="2" t="s">
        <v>25</v>
      </c>
      <c r="O684" s="15">
        <v>0</v>
      </c>
    </row>
    <row r="685" spans="1:15" x14ac:dyDescent="0.25">
      <c r="A685" s="56">
        <v>44716</v>
      </c>
      <c r="C685" s="191"/>
      <c r="D685" s="1" t="s">
        <v>1970</v>
      </c>
      <c r="E685" s="4" t="s">
        <v>1971</v>
      </c>
      <c r="F685" s="1" t="s">
        <v>408</v>
      </c>
      <c r="G685" s="71" t="s">
        <v>1972</v>
      </c>
      <c r="H685" s="2">
        <v>40000</v>
      </c>
      <c r="I685" s="2">
        <v>28000</v>
      </c>
      <c r="J685" s="192">
        <v>16000</v>
      </c>
      <c r="L685" s="11"/>
      <c r="M685" s="11"/>
      <c r="N685" s="2" t="s">
        <v>25</v>
      </c>
      <c r="O685" s="15">
        <v>0</v>
      </c>
    </row>
    <row r="686" spans="1:15" x14ac:dyDescent="0.25">
      <c r="A686" s="56">
        <v>44718</v>
      </c>
      <c r="C686" s="191"/>
      <c r="D686" s="1" t="s">
        <v>1503</v>
      </c>
      <c r="E686" s="4" t="s">
        <v>1973</v>
      </c>
      <c r="F686" s="1" t="s">
        <v>10</v>
      </c>
      <c r="G686" s="71" t="s">
        <v>639</v>
      </c>
      <c r="H686" s="2">
        <v>40000</v>
      </c>
      <c r="I686" s="2">
        <v>28000</v>
      </c>
      <c r="J686" s="192">
        <v>16000</v>
      </c>
      <c r="L686" s="11"/>
      <c r="M686" s="11"/>
      <c r="N686" s="2" t="s">
        <v>25</v>
      </c>
      <c r="O686" s="15">
        <v>0</v>
      </c>
    </row>
    <row r="687" spans="1:15" x14ac:dyDescent="0.25">
      <c r="A687" s="56">
        <v>44718</v>
      </c>
      <c r="C687" s="191" t="s">
        <v>1978</v>
      </c>
      <c r="D687" s="1" t="s">
        <v>201</v>
      </c>
      <c r="E687" s="4" t="s">
        <v>1979</v>
      </c>
      <c r="F687" s="1" t="s">
        <v>408</v>
      </c>
      <c r="G687" s="71" t="s">
        <v>1993</v>
      </c>
      <c r="H687" s="2">
        <v>70000</v>
      </c>
      <c r="I687" s="2">
        <v>49000</v>
      </c>
      <c r="J687" s="192">
        <v>28000</v>
      </c>
      <c r="L687" s="11"/>
      <c r="M687" s="11"/>
      <c r="N687" s="2" t="s">
        <v>25</v>
      </c>
      <c r="O687" s="15">
        <v>0</v>
      </c>
    </row>
    <row r="688" spans="1:15" x14ac:dyDescent="0.25">
      <c r="A688" s="56">
        <v>44718</v>
      </c>
      <c r="B688" s="4">
        <v>320</v>
      </c>
      <c r="C688" s="191" t="s">
        <v>1974</v>
      </c>
      <c r="D688" s="1" t="s">
        <v>975</v>
      </c>
      <c r="E688" s="4" t="s">
        <v>1975</v>
      </c>
      <c r="F688" s="1" t="s">
        <v>408</v>
      </c>
      <c r="G688" s="71" t="s">
        <v>2048</v>
      </c>
      <c r="H688" s="2">
        <v>100000</v>
      </c>
      <c r="I688" s="2">
        <v>70000</v>
      </c>
      <c r="J688" s="192">
        <f>Tabla210[[#This Row],[TOTAL FACTURA]]*0.4</f>
        <v>40000</v>
      </c>
      <c r="L688" s="11"/>
      <c r="M688" s="11"/>
      <c r="N688" s="2" t="s">
        <v>25</v>
      </c>
      <c r="O688" s="15">
        <f>Tabla210[[#This Row],[MONTO DE COMPRA]]-Tabla210[[#This Row],[MONTO DE LA VENTA]]</f>
        <v>0</v>
      </c>
    </row>
    <row r="689" spans="1:15" x14ac:dyDescent="0.25">
      <c r="A689" s="56">
        <v>44718</v>
      </c>
      <c r="B689" s="4">
        <v>324</v>
      </c>
      <c r="C689" s="191" t="s">
        <v>2051</v>
      </c>
      <c r="D689" s="1" t="s">
        <v>204</v>
      </c>
      <c r="E689" s="4" t="s">
        <v>1284</v>
      </c>
      <c r="F689" s="1" t="s">
        <v>10</v>
      </c>
      <c r="G689" s="71" t="s">
        <v>2052</v>
      </c>
      <c r="H689" s="2">
        <v>350000</v>
      </c>
      <c r="I689" s="2">
        <v>244999.99999999997</v>
      </c>
      <c r="J689" s="192">
        <f>Tabla210[[#This Row],[TOTAL FACTURA]]*0.4</f>
        <v>140000</v>
      </c>
      <c r="L689" s="11"/>
      <c r="M689" s="11"/>
      <c r="N689" s="2" t="s">
        <v>25</v>
      </c>
      <c r="O689" s="15">
        <f>Tabla210[[#This Row],[MONTO DE COMPRA]]-Tabla210[[#This Row],[MONTO DE LA VENTA]]</f>
        <v>0</v>
      </c>
    </row>
    <row r="690" spans="1:15" x14ac:dyDescent="0.25">
      <c r="A690" s="56">
        <v>44718</v>
      </c>
      <c r="B690" s="4">
        <v>320</v>
      </c>
      <c r="C690" s="191" t="s">
        <v>1974</v>
      </c>
      <c r="D690" s="1" t="s">
        <v>975</v>
      </c>
      <c r="E690" s="4" t="s">
        <v>1975</v>
      </c>
      <c r="F690" s="1" t="s">
        <v>2011</v>
      </c>
      <c r="G690" s="71" t="s">
        <v>2049</v>
      </c>
      <c r="H690" s="2">
        <v>150000</v>
      </c>
      <c r="I690" s="2">
        <v>90000</v>
      </c>
      <c r="J690" s="192">
        <f>Tabla210[[#This Row],[TOTAL FACTURA]]*0.4</f>
        <v>60000</v>
      </c>
      <c r="L690" s="11"/>
      <c r="M690" s="11"/>
      <c r="N690" s="2" t="s">
        <v>25</v>
      </c>
      <c r="O690" s="15">
        <f>Tabla210[[#This Row],[MONTO DE COMPRA]]-Tabla210[[#This Row],[MONTO DE LA VENTA]]</f>
        <v>0</v>
      </c>
    </row>
    <row r="691" spans="1:15" x14ac:dyDescent="0.25">
      <c r="A691" s="56">
        <v>44719</v>
      </c>
      <c r="C691" s="191" t="s">
        <v>1980</v>
      </c>
      <c r="D691" s="1" t="s">
        <v>1994</v>
      </c>
      <c r="E691" s="4" t="s">
        <v>1981</v>
      </c>
      <c r="F691" s="1" t="s">
        <v>30</v>
      </c>
      <c r="G691" s="71" t="s">
        <v>1995</v>
      </c>
      <c r="H691" s="2">
        <v>70000</v>
      </c>
      <c r="I691" s="2">
        <v>42000</v>
      </c>
      <c r="J691" s="192">
        <v>28000</v>
      </c>
      <c r="L691" s="11"/>
      <c r="M691" s="11"/>
      <c r="N691" s="2" t="s">
        <v>25</v>
      </c>
      <c r="O691" s="15">
        <v>0</v>
      </c>
    </row>
    <row r="692" spans="1:15" x14ac:dyDescent="0.25">
      <c r="A692" s="56">
        <v>44719</v>
      </c>
      <c r="C692" s="191"/>
      <c r="D692" s="1" t="s">
        <v>311</v>
      </c>
      <c r="E692" s="4" t="s">
        <v>839</v>
      </c>
      <c r="F692" s="1" t="s">
        <v>1039</v>
      </c>
      <c r="G692" s="71" t="s">
        <v>1996</v>
      </c>
      <c r="H692" s="2">
        <v>50000</v>
      </c>
      <c r="I692" s="2">
        <v>30000</v>
      </c>
      <c r="J692" s="192">
        <v>20000</v>
      </c>
      <c r="L692" s="11"/>
      <c r="M692" s="11"/>
      <c r="N692" s="2" t="s">
        <v>25</v>
      </c>
      <c r="O692" s="15">
        <v>0</v>
      </c>
    </row>
    <row r="693" spans="1:15" x14ac:dyDescent="0.25">
      <c r="A693" s="56">
        <v>44719</v>
      </c>
      <c r="B693" s="4" t="s">
        <v>1982</v>
      </c>
      <c r="C693" s="191" t="s">
        <v>1983</v>
      </c>
      <c r="D693" s="1" t="s">
        <v>385</v>
      </c>
      <c r="E693" s="4" t="s">
        <v>1984</v>
      </c>
      <c r="F693" s="1" t="s">
        <v>30</v>
      </c>
      <c r="G693" s="71" t="s">
        <v>1997</v>
      </c>
      <c r="H693" s="2">
        <v>40000</v>
      </c>
      <c r="I693" s="2">
        <v>24000</v>
      </c>
      <c r="J693" s="192">
        <v>16000</v>
      </c>
      <c r="L693" s="11"/>
      <c r="M693" s="11"/>
      <c r="N693" s="2" t="s">
        <v>25</v>
      </c>
      <c r="O693" s="15">
        <v>0</v>
      </c>
    </row>
    <row r="694" spans="1:15" x14ac:dyDescent="0.25">
      <c r="A694" s="56">
        <v>44719</v>
      </c>
      <c r="C694" s="191"/>
      <c r="D694" s="1" t="s">
        <v>1985</v>
      </c>
      <c r="E694" s="4" t="s">
        <v>1986</v>
      </c>
      <c r="F694" s="1" t="s">
        <v>10</v>
      </c>
      <c r="G694" s="71" t="s">
        <v>1998</v>
      </c>
      <c r="H694" s="2">
        <v>30000</v>
      </c>
      <c r="I694" s="2">
        <v>21000</v>
      </c>
      <c r="J694" s="192">
        <v>12000</v>
      </c>
      <c r="L694" s="11"/>
      <c r="M694" s="11"/>
      <c r="N694" s="2" t="s">
        <v>25</v>
      </c>
      <c r="O694" s="15">
        <v>0</v>
      </c>
    </row>
    <row r="695" spans="1:15" x14ac:dyDescent="0.25">
      <c r="A695" s="56">
        <v>44719</v>
      </c>
      <c r="C695" s="191" t="s">
        <v>1402</v>
      </c>
      <c r="D695" s="1" t="s">
        <v>955</v>
      </c>
      <c r="E695" s="4" t="s">
        <v>1403</v>
      </c>
      <c r="F695" s="1" t="s">
        <v>408</v>
      </c>
      <c r="G695" s="71" t="s">
        <v>1999</v>
      </c>
      <c r="H695" s="2">
        <v>140000</v>
      </c>
      <c r="I695" s="2">
        <v>98000</v>
      </c>
      <c r="J695" s="192">
        <v>56000</v>
      </c>
      <c r="L695" s="11"/>
      <c r="M695" s="11"/>
      <c r="N695" s="2" t="s">
        <v>25</v>
      </c>
      <c r="O695" s="15">
        <v>0</v>
      </c>
    </row>
    <row r="696" spans="1:15" x14ac:dyDescent="0.25">
      <c r="A696" s="56">
        <v>44719</v>
      </c>
      <c r="C696" s="191" t="s">
        <v>1988</v>
      </c>
      <c r="D696" s="1" t="s">
        <v>452</v>
      </c>
      <c r="E696" s="4" t="s">
        <v>1987</v>
      </c>
      <c r="F696" s="1" t="s">
        <v>19</v>
      </c>
      <c r="G696" s="71" t="s">
        <v>2000</v>
      </c>
      <c r="H696" s="2">
        <v>300000</v>
      </c>
      <c r="I696" s="2">
        <v>210000</v>
      </c>
      <c r="J696" s="192">
        <v>120000</v>
      </c>
      <c r="L696" s="11"/>
      <c r="M696" s="11"/>
      <c r="N696" s="2" t="s">
        <v>25</v>
      </c>
      <c r="O696" s="15">
        <v>0</v>
      </c>
    </row>
    <row r="697" spans="1:15" x14ac:dyDescent="0.25">
      <c r="A697" s="56">
        <v>44720</v>
      </c>
      <c r="C697" s="191" t="s">
        <v>2001</v>
      </c>
      <c r="D697" s="1" t="s">
        <v>1970</v>
      </c>
      <c r="E697" s="4" t="s">
        <v>1990</v>
      </c>
      <c r="F697" s="1" t="s">
        <v>30</v>
      </c>
      <c r="G697" s="71" t="s">
        <v>2002</v>
      </c>
      <c r="H697" s="2">
        <v>260000</v>
      </c>
      <c r="I697" s="2">
        <v>156000</v>
      </c>
      <c r="J697" s="192">
        <v>104000</v>
      </c>
      <c r="L697" s="11"/>
      <c r="M697" s="11"/>
      <c r="N697" s="2" t="s">
        <v>25</v>
      </c>
      <c r="O697" s="15">
        <v>0</v>
      </c>
    </row>
    <row r="698" spans="1:15" x14ac:dyDescent="0.25">
      <c r="A698" s="56">
        <v>44720</v>
      </c>
      <c r="B698" s="4" t="s">
        <v>2003</v>
      </c>
      <c r="C698" s="191" t="s">
        <v>1991</v>
      </c>
      <c r="D698" s="1" t="s">
        <v>1992</v>
      </c>
      <c r="E698" s="4" t="s">
        <v>1760</v>
      </c>
      <c r="F698" s="1" t="s">
        <v>19</v>
      </c>
      <c r="G698" s="71" t="s">
        <v>2004</v>
      </c>
      <c r="H698" s="2">
        <v>180000</v>
      </c>
      <c r="I698" s="2">
        <v>125999.99999999999</v>
      </c>
      <c r="J698" s="192">
        <v>72000</v>
      </c>
      <c r="L698" s="11"/>
      <c r="M698" s="11"/>
      <c r="N698" s="2" t="s">
        <v>25</v>
      </c>
      <c r="O698" s="15">
        <v>0</v>
      </c>
    </row>
    <row r="699" spans="1:15" x14ac:dyDescent="0.25">
      <c r="A699" s="56">
        <v>44720</v>
      </c>
      <c r="C699" s="191" t="s">
        <v>894</v>
      </c>
      <c r="D699" s="1" t="s">
        <v>439</v>
      </c>
      <c r="E699" s="4" t="s">
        <v>395</v>
      </c>
      <c r="F699" s="1" t="s">
        <v>408</v>
      </c>
      <c r="G699" s="71" t="s">
        <v>2005</v>
      </c>
      <c r="H699" s="2">
        <v>500000</v>
      </c>
      <c r="I699" s="2">
        <v>350000</v>
      </c>
      <c r="J699" s="192">
        <f>Tabla210[[#This Row],[TOTAL FACTURA]]*0.4</f>
        <v>200000</v>
      </c>
      <c r="L699" s="11"/>
      <c r="M699" s="11"/>
      <c r="N699" s="2" t="s">
        <v>25</v>
      </c>
      <c r="O699" s="15">
        <v>0</v>
      </c>
    </row>
    <row r="700" spans="1:15" x14ac:dyDescent="0.25">
      <c r="A700" s="56">
        <v>44721</v>
      </c>
      <c r="C700" s="191" t="s">
        <v>1963</v>
      </c>
      <c r="D700" s="1" t="s">
        <v>2006</v>
      </c>
      <c r="E700" s="4" t="s">
        <v>1965</v>
      </c>
      <c r="F700" s="1" t="s">
        <v>10</v>
      </c>
      <c r="G700" s="71" t="s">
        <v>2050</v>
      </c>
      <c r="H700" s="2">
        <v>40000</v>
      </c>
      <c r="I700" s="2">
        <v>28000</v>
      </c>
      <c r="J700" s="192">
        <f>Tabla210[[#This Row],[TOTAL FACTURA]]*0.4</f>
        <v>16000</v>
      </c>
      <c r="L700" s="11"/>
      <c r="M700" s="11"/>
      <c r="N700" s="2" t="s">
        <v>25</v>
      </c>
      <c r="O700" s="15">
        <f>Tabla210[[#This Row],[MONTO DE COMPRA]]-Tabla210[[#This Row],[MONTO DE LA VENTA]]</f>
        <v>0</v>
      </c>
    </row>
    <row r="701" spans="1:15" x14ac:dyDescent="0.25">
      <c r="A701" s="56">
        <v>44721</v>
      </c>
      <c r="B701" s="4" t="s">
        <v>2007</v>
      </c>
      <c r="C701" s="191" t="s">
        <v>2008</v>
      </c>
      <c r="D701" s="1" t="s">
        <v>84</v>
      </c>
      <c r="E701" s="4" t="s">
        <v>2009</v>
      </c>
      <c r="F701" s="1" t="s">
        <v>408</v>
      </c>
      <c r="G701" s="71" t="s">
        <v>2010</v>
      </c>
      <c r="H701" s="2">
        <v>20000</v>
      </c>
      <c r="I701" s="2">
        <v>14000</v>
      </c>
      <c r="J701" s="192">
        <f>Tabla210[[#This Row],[TOTAL FACTURA]]*0.4</f>
        <v>8000</v>
      </c>
      <c r="L701" s="11"/>
      <c r="M701" s="11"/>
      <c r="N701" s="2" t="s">
        <v>25</v>
      </c>
      <c r="O701" s="15">
        <f>Tabla210[[#This Row],[MONTO DE COMPRA]]-Tabla210[[#This Row],[MONTO DE LA VENTA]]</f>
        <v>0</v>
      </c>
    </row>
    <row r="702" spans="1:15" x14ac:dyDescent="0.25">
      <c r="A702" s="56">
        <v>44721</v>
      </c>
      <c r="C702" s="191" t="s">
        <v>1070</v>
      </c>
      <c r="D702" s="1" t="s">
        <v>1071</v>
      </c>
      <c r="E702" s="4" t="s">
        <v>385</v>
      </c>
      <c r="F702" s="1" t="s">
        <v>2011</v>
      </c>
      <c r="G702" s="71" t="s">
        <v>2012</v>
      </c>
      <c r="H702" s="2">
        <v>70000</v>
      </c>
      <c r="I702" s="2">
        <v>42000</v>
      </c>
      <c r="J702" s="192">
        <f>Tabla210[[#This Row],[TOTAL FACTURA]]*0.4</f>
        <v>28000</v>
      </c>
      <c r="L702" s="11"/>
      <c r="M702" s="11"/>
      <c r="N702" s="2" t="s">
        <v>25</v>
      </c>
      <c r="O702" s="15">
        <f>Tabla210[[#This Row],[MONTO DE COMPRA]]-Tabla210[[#This Row],[MONTO DE LA VENTA]]</f>
        <v>0</v>
      </c>
    </row>
    <row r="703" spans="1:15" x14ac:dyDescent="0.25">
      <c r="A703" s="56">
        <v>44721</v>
      </c>
      <c r="C703" s="191" t="s">
        <v>598</v>
      </c>
      <c r="D703" s="1" t="s">
        <v>162</v>
      </c>
      <c r="E703" s="4" t="s">
        <v>161</v>
      </c>
      <c r="F703" s="1" t="s">
        <v>2011</v>
      </c>
      <c r="G703" s="71" t="s">
        <v>2013</v>
      </c>
      <c r="H703" s="2">
        <v>40000</v>
      </c>
      <c r="I703" s="2">
        <v>24000</v>
      </c>
      <c r="J703" s="192">
        <f>Tabla210[[#This Row],[TOTAL FACTURA]]*0.4</f>
        <v>16000</v>
      </c>
      <c r="L703" s="11"/>
      <c r="M703" s="11"/>
      <c r="N703" s="2" t="s">
        <v>25</v>
      </c>
      <c r="O703" s="15">
        <f>Tabla210[[#This Row],[MONTO DE COMPRA]]-Tabla210[[#This Row],[MONTO DE LA VENTA]]</f>
        <v>0</v>
      </c>
    </row>
    <row r="704" spans="1:15" x14ac:dyDescent="0.25">
      <c r="A704" s="56">
        <v>44721</v>
      </c>
      <c r="C704" s="191" t="s">
        <v>598</v>
      </c>
      <c r="D704" s="1" t="s">
        <v>162</v>
      </c>
      <c r="E704" s="4" t="s">
        <v>161</v>
      </c>
      <c r="F704" s="1" t="s">
        <v>18</v>
      </c>
      <c r="G704" s="71" t="s">
        <v>2014</v>
      </c>
      <c r="H704" s="2">
        <v>130000</v>
      </c>
      <c r="I704" s="2">
        <v>78000</v>
      </c>
      <c r="J704" s="192">
        <f>Tabla210[[#This Row],[TOTAL FACTURA]]*0.4</f>
        <v>52000</v>
      </c>
      <c r="L704" s="11"/>
      <c r="M704" s="11"/>
      <c r="N704" s="2" t="s">
        <v>25</v>
      </c>
      <c r="O704" s="15">
        <f>Tabla210[[#This Row],[MONTO DE COMPRA]]-Tabla210[[#This Row],[MONTO DE LA VENTA]]</f>
        <v>0</v>
      </c>
    </row>
    <row r="705" spans="1:15" x14ac:dyDescent="0.25">
      <c r="A705" s="56">
        <v>44721</v>
      </c>
      <c r="C705" s="191" t="s">
        <v>598</v>
      </c>
      <c r="D705" s="1" t="s">
        <v>152</v>
      </c>
      <c r="E705" s="4" t="s">
        <v>151</v>
      </c>
      <c r="F705" s="1" t="s">
        <v>18</v>
      </c>
      <c r="G705" s="71" t="s">
        <v>2015</v>
      </c>
      <c r="H705" s="2">
        <v>20000</v>
      </c>
      <c r="I705" s="2">
        <v>12000</v>
      </c>
      <c r="J705" s="192">
        <f>Tabla210[[#This Row],[TOTAL FACTURA]]*0.4</f>
        <v>8000</v>
      </c>
      <c r="L705" s="11"/>
      <c r="M705" s="11"/>
      <c r="N705" s="2" t="s">
        <v>25</v>
      </c>
      <c r="O705" s="15">
        <f>Tabla210[[#This Row],[MONTO DE COMPRA]]-Tabla210[[#This Row],[MONTO DE LA VENTA]]</f>
        <v>0</v>
      </c>
    </row>
    <row r="706" spans="1:15" x14ac:dyDescent="0.25">
      <c r="A706" s="56">
        <v>44721</v>
      </c>
      <c r="B706" s="4" t="s">
        <v>2016</v>
      </c>
      <c r="C706" s="191" t="s">
        <v>2017</v>
      </c>
      <c r="D706" s="1" t="s">
        <v>1948</v>
      </c>
      <c r="E706" s="4" t="s">
        <v>1947</v>
      </c>
      <c r="F706" s="1" t="s">
        <v>19</v>
      </c>
      <c r="G706" s="71" t="s">
        <v>2018</v>
      </c>
      <c r="H706" s="2">
        <v>110000</v>
      </c>
      <c r="I706" s="2">
        <v>77000</v>
      </c>
      <c r="J706" s="192">
        <f>Tabla210[[#This Row],[TOTAL FACTURA]]*0.4</f>
        <v>44000</v>
      </c>
      <c r="L706" s="11"/>
      <c r="M706" s="11"/>
      <c r="N706" s="2" t="s">
        <v>25</v>
      </c>
      <c r="O706" s="15">
        <f>Tabla210[[#This Row],[MONTO DE COMPRA]]-Tabla210[[#This Row],[MONTO DE LA VENTA]]</f>
        <v>0</v>
      </c>
    </row>
    <row r="707" spans="1:15" x14ac:dyDescent="0.25">
      <c r="A707" s="56">
        <v>44722</v>
      </c>
      <c r="B707" s="4" t="s">
        <v>2019</v>
      </c>
      <c r="C707" s="191" t="s">
        <v>2020</v>
      </c>
      <c r="D707" s="1" t="s">
        <v>2021</v>
      </c>
      <c r="E707" s="4" t="s">
        <v>2022</v>
      </c>
      <c r="F707" s="1" t="s">
        <v>19</v>
      </c>
      <c r="G707" s="71" t="s">
        <v>2023</v>
      </c>
      <c r="H707" s="2">
        <v>30000</v>
      </c>
      <c r="I707" s="2">
        <v>21000</v>
      </c>
      <c r="J707" s="192">
        <f>Tabla210[[#This Row],[TOTAL FACTURA]]*0.4</f>
        <v>12000</v>
      </c>
      <c r="L707" s="11"/>
      <c r="M707" s="11"/>
      <c r="N707" s="2" t="s">
        <v>25</v>
      </c>
      <c r="O707" s="15">
        <f>Tabla210[[#This Row],[MONTO DE COMPRA]]-Tabla210[[#This Row],[MONTO DE LA VENTA]]</f>
        <v>0</v>
      </c>
    </row>
    <row r="708" spans="1:15" x14ac:dyDescent="0.25">
      <c r="A708" s="56">
        <v>44722</v>
      </c>
      <c r="C708" s="191" t="s">
        <v>2024</v>
      </c>
      <c r="D708" s="1" t="s">
        <v>2025</v>
      </c>
      <c r="E708" s="4" t="s">
        <v>59</v>
      </c>
      <c r="F708" s="1" t="s">
        <v>19</v>
      </c>
      <c r="G708" s="71" t="s">
        <v>1956</v>
      </c>
      <c r="H708" s="2">
        <v>15000</v>
      </c>
      <c r="I708" s="2">
        <v>10500</v>
      </c>
      <c r="J708" s="192">
        <f>Tabla210[[#This Row],[TOTAL FACTURA]]*0.4</f>
        <v>6000</v>
      </c>
      <c r="L708" s="11"/>
      <c r="M708" s="11"/>
      <c r="N708" s="2" t="s">
        <v>25</v>
      </c>
      <c r="O708" s="15">
        <f>Tabla210[[#This Row],[MONTO DE COMPRA]]-Tabla210[[#This Row],[MONTO DE LA VENTA]]</f>
        <v>0</v>
      </c>
    </row>
    <row r="709" spans="1:15" x14ac:dyDescent="0.25">
      <c r="A709" s="56">
        <v>44722</v>
      </c>
      <c r="C709" s="191" t="s">
        <v>2026</v>
      </c>
      <c r="D709" s="1" t="s">
        <v>2027</v>
      </c>
      <c r="E709" s="4" t="s">
        <v>48</v>
      </c>
      <c r="F709" s="1" t="s">
        <v>19</v>
      </c>
      <c r="G709" s="71" t="s">
        <v>21</v>
      </c>
      <c r="H709" s="2">
        <v>10000</v>
      </c>
      <c r="I709" s="2">
        <v>7000</v>
      </c>
      <c r="J709" s="192">
        <f>Tabla210[[#This Row],[TOTAL FACTURA]]*0.4</f>
        <v>4000</v>
      </c>
      <c r="L709" s="11"/>
      <c r="M709" s="11"/>
      <c r="N709" s="2" t="s">
        <v>25</v>
      </c>
      <c r="O709" s="15">
        <f>Tabla210[[#This Row],[MONTO DE COMPRA]]-Tabla210[[#This Row],[MONTO DE LA VENTA]]</f>
        <v>0</v>
      </c>
    </row>
    <row r="710" spans="1:15" x14ac:dyDescent="0.25">
      <c r="A710" s="56">
        <v>44722</v>
      </c>
      <c r="C710" s="191" t="s">
        <v>2028</v>
      </c>
      <c r="D710" s="1" t="s">
        <v>2030</v>
      </c>
      <c r="E710" s="4" t="s">
        <v>2029</v>
      </c>
      <c r="F710" s="1" t="s">
        <v>2011</v>
      </c>
      <c r="G710" s="71" t="s">
        <v>2031</v>
      </c>
      <c r="H710" s="2">
        <v>15000</v>
      </c>
      <c r="I710" s="2">
        <v>9000</v>
      </c>
      <c r="J710" s="192">
        <f>Tabla210[[#This Row],[TOTAL FACTURA]]*0.4</f>
        <v>6000</v>
      </c>
      <c r="L710" s="11"/>
      <c r="M710" s="11"/>
      <c r="N710" s="2" t="s">
        <v>25</v>
      </c>
      <c r="O710" s="15">
        <f>Tabla210[[#This Row],[MONTO DE COMPRA]]-Tabla210[[#This Row],[MONTO DE LA VENTA]]</f>
        <v>0</v>
      </c>
    </row>
    <row r="711" spans="1:15" x14ac:dyDescent="0.25">
      <c r="A711" s="56">
        <v>44722</v>
      </c>
      <c r="C711" s="191" t="s">
        <v>2032</v>
      </c>
      <c r="D711" s="1" t="s">
        <v>54</v>
      </c>
      <c r="E711" s="4" t="s">
        <v>1357</v>
      </c>
      <c r="F711" s="1" t="s">
        <v>10</v>
      </c>
      <c r="G711" s="71" t="s">
        <v>2033</v>
      </c>
      <c r="H711" s="2">
        <v>20000</v>
      </c>
      <c r="I711" s="2">
        <v>14000</v>
      </c>
      <c r="J711" s="192">
        <f>Tabla210[[#This Row],[TOTAL FACTURA]]*0.4</f>
        <v>8000</v>
      </c>
      <c r="L711" s="11"/>
      <c r="M711" s="11"/>
      <c r="N711" s="2" t="s">
        <v>25</v>
      </c>
      <c r="O711" s="15">
        <f>Tabla210[[#This Row],[MONTO DE COMPRA]]-Tabla210[[#This Row],[MONTO DE LA VENTA]]</f>
        <v>0</v>
      </c>
    </row>
    <row r="712" spans="1:15" x14ac:dyDescent="0.25">
      <c r="A712" s="56">
        <v>44722</v>
      </c>
      <c r="C712" s="191"/>
      <c r="D712" s="1" t="s">
        <v>2035</v>
      </c>
      <c r="E712" s="4" t="s">
        <v>2034</v>
      </c>
      <c r="F712" s="1" t="s">
        <v>408</v>
      </c>
      <c r="G712" s="71" t="s">
        <v>2036</v>
      </c>
      <c r="H712" s="2">
        <v>100000</v>
      </c>
      <c r="I712" s="2">
        <v>70000</v>
      </c>
      <c r="J712" s="192">
        <f>Tabla210[[#This Row],[TOTAL FACTURA]]*0.4</f>
        <v>40000</v>
      </c>
      <c r="L712" s="11"/>
      <c r="M712" s="11"/>
      <c r="N712" s="2" t="s">
        <v>25</v>
      </c>
      <c r="O712" s="15">
        <f>Tabla210[[#This Row],[MONTO DE COMPRA]]-Tabla210[[#This Row],[MONTO DE LA VENTA]]</f>
        <v>0</v>
      </c>
    </row>
    <row r="713" spans="1:15" x14ac:dyDescent="0.25">
      <c r="A713" s="56">
        <v>44722</v>
      </c>
      <c r="C713" s="191" t="s">
        <v>2037</v>
      </c>
      <c r="D713" s="1" t="s">
        <v>194</v>
      </c>
      <c r="E713" s="4" t="s">
        <v>2038</v>
      </c>
      <c r="F713" s="1" t="s">
        <v>19</v>
      </c>
      <c r="G713" s="71" t="s">
        <v>2039</v>
      </c>
      <c r="H713" s="2">
        <v>140000</v>
      </c>
      <c r="I713" s="2">
        <v>98000</v>
      </c>
      <c r="J713" s="192">
        <f>Tabla210[[#This Row],[TOTAL FACTURA]]*0.4</f>
        <v>56000</v>
      </c>
      <c r="L713" s="11"/>
      <c r="M713" s="11"/>
      <c r="N713" s="2" t="s">
        <v>25</v>
      </c>
      <c r="O713" s="15">
        <f>Tabla210[[#This Row],[MONTO DE COMPRA]]-Tabla210[[#This Row],[MONTO DE LA VENTA]]</f>
        <v>0</v>
      </c>
    </row>
    <row r="714" spans="1:15" x14ac:dyDescent="0.25">
      <c r="A714" s="56">
        <v>44722</v>
      </c>
      <c r="C714" s="191" t="s">
        <v>2040</v>
      </c>
      <c r="D714" s="1" t="s">
        <v>815</v>
      </c>
      <c r="E714" s="4" t="s">
        <v>2041</v>
      </c>
      <c r="F714" s="1" t="s">
        <v>408</v>
      </c>
      <c r="G714" s="71" t="s">
        <v>343</v>
      </c>
      <c r="H714" s="2">
        <v>120000</v>
      </c>
      <c r="I714" s="2">
        <v>84000</v>
      </c>
      <c r="J714" s="192">
        <f>Tabla210[[#This Row],[TOTAL FACTURA]]*0.4</f>
        <v>48000</v>
      </c>
      <c r="L714" s="11"/>
      <c r="M714" s="11"/>
      <c r="N714" s="2" t="s">
        <v>25</v>
      </c>
      <c r="O714" s="15">
        <f>Tabla210[[#This Row],[MONTO DE COMPRA]]-Tabla210[[#This Row],[MONTO DE LA VENTA]]</f>
        <v>0</v>
      </c>
    </row>
    <row r="715" spans="1:15" x14ac:dyDescent="0.25">
      <c r="A715" s="56">
        <v>44722</v>
      </c>
      <c r="C715" s="191" t="s">
        <v>2040</v>
      </c>
      <c r="D715" s="1" t="s">
        <v>815</v>
      </c>
      <c r="E715" s="4" t="s">
        <v>2041</v>
      </c>
      <c r="F715" s="1" t="s">
        <v>18</v>
      </c>
      <c r="G715" s="71" t="s">
        <v>2042</v>
      </c>
      <c r="H715" s="2">
        <v>40000</v>
      </c>
      <c r="I715" s="2">
        <v>24000</v>
      </c>
      <c r="J715" s="192">
        <f>Tabla210[[#This Row],[TOTAL FACTURA]]*0.4</f>
        <v>16000</v>
      </c>
      <c r="L715" s="11"/>
      <c r="M715" s="11"/>
      <c r="N715" s="2" t="s">
        <v>25</v>
      </c>
      <c r="O715" s="15">
        <f>Tabla210[[#This Row],[MONTO DE COMPRA]]-Tabla210[[#This Row],[MONTO DE LA VENTA]]</f>
        <v>0</v>
      </c>
    </row>
    <row r="716" spans="1:15" x14ac:dyDescent="0.25">
      <c r="A716" s="56">
        <v>44722</v>
      </c>
      <c r="C716" s="191" t="s">
        <v>2040</v>
      </c>
      <c r="D716" s="1" t="s">
        <v>815</v>
      </c>
      <c r="E716" s="4" t="s">
        <v>2041</v>
      </c>
      <c r="F716" s="1" t="s">
        <v>1039</v>
      </c>
      <c r="G716" s="71" t="s">
        <v>2043</v>
      </c>
      <c r="H716" s="2">
        <v>100000</v>
      </c>
      <c r="I716" s="2">
        <v>60000</v>
      </c>
      <c r="J716" s="192">
        <f>Tabla210[[#This Row],[TOTAL FACTURA]]*0.4</f>
        <v>40000</v>
      </c>
      <c r="L716" s="11"/>
      <c r="M716" s="11"/>
      <c r="N716" s="2" t="s">
        <v>25</v>
      </c>
      <c r="O716" s="15">
        <f>Tabla210[[#This Row],[MONTO DE COMPRA]]-Tabla210[[#This Row],[MONTO DE LA VENTA]]</f>
        <v>0</v>
      </c>
    </row>
    <row r="717" spans="1:15" x14ac:dyDescent="0.25">
      <c r="A717" s="56">
        <v>44722</v>
      </c>
      <c r="C717" s="191" t="s">
        <v>2040</v>
      </c>
      <c r="D717" s="1" t="s">
        <v>815</v>
      </c>
      <c r="E717" s="4" t="s">
        <v>2041</v>
      </c>
      <c r="F717" s="1" t="s">
        <v>19</v>
      </c>
      <c r="G717" s="71" t="s">
        <v>744</v>
      </c>
      <c r="H717" s="2">
        <v>40000</v>
      </c>
      <c r="I717" s="2">
        <v>28000</v>
      </c>
      <c r="J717" s="192">
        <f>Tabla210[[#This Row],[TOTAL FACTURA]]*0.4</f>
        <v>16000</v>
      </c>
      <c r="L717" s="11"/>
      <c r="M717" s="11"/>
      <c r="N717" s="2" t="s">
        <v>25</v>
      </c>
      <c r="O717" s="15">
        <f>Tabla210[[#This Row],[MONTO DE COMPRA]]-Tabla210[[#This Row],[MONTO DE LA VENTA]]</f>
        <v>0</v>
      </c>
    </row>
    <row r="718" spans="1:15" x14ac:dyDescent="0.25">
      <c r="A718" s="56">
        <v>44722</v>
      </c>
      <c r="C718" s="191" t="s">
        <v>2044</v>
      </c>
      <c r="D718" s="1" t="s">
        <v>962</v>
      </c>
      <c r="E718" s="4" t="s">
        <v>2045</v>
      </c>
      <c r="F718" s="1" t="s">
        <v>10</v>
      </c>
      <c r="G718" s="71" t="s">
        <v>2046</v>
      </c>
      <c r="H718" s="2">
        <v>150000</v>
      </c>
      <c r="I718" s="2">
        <v>105000</v>
      </c>
      <c r="J718" s="192">
        <f>Tabla210[[#This Row],[TOTAL FACTURA]]*0.4</f>
        <v>60000</v>
      </c>
      <c r="L718" s="11"/>
      <c r="M718" s="11"/>
      <c r="N718" s="2" t="s">
        <v>25</v>
      </c>
      <c r="O718" s="15">
        <f>Tabla210[[#This Row],[MONTO DE COMPRA]]-Tabla210[[#This Row],[MONTO DE LA VENTA]]</f>
        <v>0</v>
      </c>
    </row>
    <row r="719" spans="1:15" x14ac:dyDescent="0.25">
      <c r="A719" s="56">
        <v>44722</v>
      </c>
      <c r="C719" s="191" t="s">
        <v>2054</v>
      </c>
      <c r="D719" s="1" t="s">
        <v>1970</v>
      </c>
      <c r="E719" s="4"/>
      <c r="F719" s="1" t="s">
        <v>10</v>
      </c>
      <c r="G719" s="71" t="s">
        <v>343</v>
      </c>
      <c r="H719" s="2">
        <v>70000</v>
      </c>
      <c r="I719" s="2">
        <v>49000</v>
      </c>
      <c r="J719" s="192">
        <f>Tabla210[[#This Row],[TOTAL FACTURA]]*0.4</f>
        <v>28000</v>
      </c>
      <c r="L719" s="11"/>
      <c r="M719" s="11"/>
      <c r="N719" s="2" t="s">
        <v>25</v>
      </c>
      <c r="O719" s="15">
        <f>Tabla210[[#This Row],[MONTO DE COMPRA]]-Tabla210[[#This Row],[MONTO DE LA VENTA]]</f>
        <v>0</v>
      </c>
    </row>
    <row r="720" spans="1:15" x14ac:dyDescent="0.25">
      <c r="A720" s="56">
        <v>44722</v>
      </c>
      <c r="B720" s="4" t="s">
        <v>2087</v>
      </c>
      <c r="C720" s="191" t="s">
        <v>2055</v>
      </c>
      <c r="E720" s="4" t="s">
        <v>2086</v>
      </c>
      <c r="F720" s="1" t="s">
        <v>1039</v>
      </c>
      <c r="G720" s="71" t="s">
        <v>2056</v>
      </c>
      <c r="H720" s="2">
        <v>90000</v>
      </c>
      <c r="I720" s="2">
        <v>60000</v>
      </c>
      <c r="J720" s="192">
        <f>Tabla210[[#This Row],[TOTAL FACTURA]]*0.4</f>
        <v>36000</v>
      </c>
      <c r="L720" s="11"/>
      <c r="M720" s="11"/>
      <c r="N720" s="2" t="s">
        <v>25</v>
      </c>
      <c r="O720" s="15">
        <f>Tabla210[[#This Row],[MONTO DE COMPRA]]-Tabla210[[#This Row],[MONTO DE LA VENTA]]</f>
        <v>0</v>
      </c>
    </row>
    <row r="721" spans="1:15" x14ac:dyDescent="0.25">
      <c r="A721" s="56">
        <v>44722</v>
      </c>
      <c r="C721" s="191" t="s">
        <v>129</v>
      </c>
      <c r="D721" s="1" t="s">
        <v>952</v>
      </c>
      <c r="E721" s="4" t="s">
        <v>953</v>
      </c>
      <c r="F721" s="1" t="s">
        <v>1039</v>
      </c>
      <c r="G721" s="71" t="s">
        <v>206</v>
      </c>
      <c r="H721" s="2">
        <v>100000</v>
      </c>
      <c r="I721" s="2">
        <v>80000</v>
      </c>
      <c r="J721" s="192">
        <f>Tabla210[[#This Row],[TOTAL FACTURA]]*0.4</f>
        <v>40000</v>
      </c>
      <c r="L721" s="11"/>
      <c r="M721" s="11"/>
      <c r="N721" s="2" t="s">
        <v>25</v>
      </c>
      <c r="O721" s="15">
        <f>Tabla210[[#This Row],[MONTO DE COMPRA]]-Tabla210[[#This Row],[MONTO DE LA VENTA]]</f>
        <v>0</v>
      </c>
    </row>
    <row r="722" spans="1:15" x14ac:dyDescent="0.25">
      <c r="A722" s="56">
        <v>44722</v>
      </c>
      <c r="B722" s="4" t="s">
        <v>2076</v>
      </c>
      <c r="C722" s="191" t="s">
        <v>2059</v>
      </c>
      <c r="D722" s="1" t="s">
        <v>2060</v>
      </c>
      <c r="E722" s="4" t="s">
        <v>2061</v>
      </c>
      <c r="F722" s="1" t="s">
        <v>10</v>
      </c>
      <c r="G722" s="71" t="s">
        <v>2062</v>
      </c>
      <c r="H722" s="2">
        <v>350000</v>
      </c>
      <c r="I722" s="2">
        <v>244999.99999999997</v>
      </c>
      <c r="J722" s="192">
        <f>Tabla210[[#This Row],[TOTAL FACTURA]]*0.4</f>
        <v>140000</v>
      </c>
      <c r="L722" s="11"/>
      <c r="M722" s="11"/>
      <c r="N722" s="2" t="s">
        <v>25</v>
      </c>
      <c r="O722" s="15">
        <f>Tabla210[[#This Row],[MONTO DE COMPRA]]-Tabla210[[#This Row],[MONTO DE LA VENTA]]</f>
        <v>0</v>
      </c>
    </row>
    <row r="723" spans="1:15" x14ac:dyDescent="0.25">
      <c r="A723" s="56">
        <v>44723</v>
      </c>
      <c r="C723" s="191"/>
      <c r="D723" s="1" t="s">
        <v>142</v>
      </c>
      <c r="E723" s="4" t="s">
        <v>2063</v>
      </c>
      <c r="F723" s="1" t="s">
        <v>2011</v>
      </c>
      <c r="G723" s="71" t="s">
        <v>2064</v>
      </c>
      <c r="H723" s="2">
        <v>30000</v>
      </c>
      <c r="I723" s="2">
        <v>18000</v>
      </c>
      <c r="J723" s="192">
        <f>Tabla210[[#This Row],[TOTAL FACTURA]]*0.4</f>
        <v>12000</v>
      </c>
      <c r="L723" s="11"/>
      <c r="M723" s="11"/>
      <c r="O723" s="15">
        <f>Tabla210[[#This Row],[MONTO DE COMPRA]]-Tabla210[[#This Row],[MONTO DE LA VENTA]]</f>
        <v>0</v>
      </c>
    </row>
    <row r="724" spans="1:15" x14ac:dyDescent="0.25">
      <c r="A724" s="56">
        <v>44723</v>
      </c>
      <c r="B724" s="4" t="s">
        <v>2066</v>
      </c>
      <c r="C724" s="191" t="s">
        <v>2067</v>
      </c>
      <c r="D724" s="1" t="s">
        <v>201</v>
      </c>
      <c r="E724" s="4" t="s">
        <v>2068</v>
      </c>
      <c r="F724" s="1" t="s">
        <v>408</v>
      </c>
      <c r="G724" s="71" t="s">
        <v>138</v>
      </c>
      <c r="H724" s="2">
        <v>50000</v>
      </c>
      <c r="I724" s="2">
        <v>35000</v>
      </c>
      <c r="J724" s="192">
        <f>Tabla210[[#This Row],[TOTAL FACTURA]]*0.4</f>
        <v>20000</v>
      </c>
      <c r="L724" s="11"/>
      <c r="M724" s="11"/>
      <c r="O724" s="15">
        <f>Tabla210[[#This Row],[MONTO DE COMPRA]]-Tabla210[[#This Row],[MONTO DE LA VENTA]]</f>
        <v>0</v>
      </c>
    </row>
    <row r="725" spans="1:15" x14ac:dyDescent="0.25">
      <c r="A725" s="56">
        <v>44723</v>
      </c>
      <c r="C725" s="191" t="s">
        <v>734</v>
      </c>
      <c r="D725" s="1" t="s">
        <v>76</v>
      </c>
      <c r="E725" s="4" t="s">
        <v>735</v>
      </c>
      <c r="F725" s="1" t="s">
        <v>30</v>
      </c>
      <c r="G725" s="71" t="s">
        <v>2069</v>
      </c>
      <c r="H725" s="2">
        <v>200000</v>
      </c>
      <c r="I725" s="2">
        <v>120000</v>
      </c>
      <c r="J725" s="192">
        <f>Tabla210[[#This Row],[TOTAL FACTURA]]*0.4</f>
        <v>80000</v>
      </c>
      <c r="L725" s="11"/>
      <c r="M725" s="11"/>
      <c r="O725" s="15">
        <f>Tabla210[[#This Row],[MONTO DE COMPRA]]-Tabla210[[#This Row],[MONTO DE LA VENTA]]</f>
        <v>0</v>
      </c>
    </row>
    <row r="726" spans="1:15" x14ac:dyDescent="0.25">
      <c r="A726" s="56">
        <v>44723</v>
      </c>
      <c r="B726" s="4" t="s">
        <v>2070</v>
      </c>
      <c r="C726" s="191" t="s">
        <v>129</v>
      </c>
      <c r="D726" s="1" t="s">
        <v>202</v>
      </c>
      <c r="E726" s="4" t="s">
        <v>125</v>
      </c>
      <c r="F726" s="1" t="s">
        <v>408</v>
      </c>
      <c r="G726" s="71" t="s">
        <v>329</v>
      </c>
      <c r="H726" s="2">
        <v>80000</v>
      </c>
      <c r="I726" s="2">
        <v>56000</v>
      </c>
      <c r="J726" s="192">
        <f>Tabla210[[#This Row],[TOTAL FACTURA]]*0.4</f>
        <v>32000</v>
      </c>
      <c r="L726" s="11"/>
      <c r="M726" s="11"/>
      <c r="O726" s="15">
        <f>Tabla210[[#This Row],[MONTO DE COMPRA]]-Tabla210[[#This Row],[MONTO DE LA VENTA]]</f>
        <v>0</v>
      </c>
    </row>
    <row r="727" spans="1:15" x14ac:dyDescent="0.25">
      <c r="A727" s="56">
        <v>44723</v>
      </c>
      <c r="B727" s="4" t="s">
        <v>2070</v>
      </c>
      <c r="C727" s="191" t="s">
        <v>129</v>
      </c>
      <c r="D727" s="1" t="s">
        <v>202</v>
      </c>
      <c r="E727" s="4" t="s">
        <v>125</v>
      </c>
      <c r="F727" s="1" t="s">
        <v>1039</v>
      </c>
      <c r="G727" s="71" t="s">
        <v>2071</v>
      </c>
      <c r="H727" s="2">
        <v>50000</v>
      </c>
      <c r="I727" s="2">
        <v>50000</v>
      </c>
      <c r="J727" s="192">
        <f>Tabla210[[#This Row],[TOTAL FACTURA]]*0.4</f>
        <v>20000</v>
      </c>
      <c r="L727" s="11"/>
      <c r="M727" s="11"/>
      <c r="O727" s="15">
        <f>Tabla210[[#This Row],[MONTO DE COMPRA]]-Tabla210[[#This Row],[MONTO DE LA VENTA]]</f>
        <v>0</v>
      </c>
    </row>
    <row r="728" spans="1:15" x14ac:dyDescent="0.25">
      <c r="A728" s="56">
        <v>44723</v>
      </c>
      <c r="C728" s="191"/>
      <c r="D728" s="1" t="s">
        <v>385</v>
      </c>
      <c r="E728" s="4"/>
      <c r="F728" s="1" t="s">
        <v>10</v>
      </c>
      <c r="G728" s="71" t="s">
        <v>2072</v>
      </c>
      <c r="H728" s="2">
        <v>35000</v>
      </c>
      <c r="I728" s="2">
        <v>24500</v>
      </c>
      <c r="J728" s="192">
        <f>Tabla210[[#This Row],[TOTAL FACTURA]]*0.4</f>
        <v>14000</v>
      </c>
      <c r="L728" s="11"/>
      <c r="M728" s="11"/>
      <c r="N728" s="2" t="s">
        <v>25</v>
      </c>
      <c r="O728" s="15">
        <f>Tabla210[[#This Row],[MONTO DE COMPRA]]-Tabla210[[#This Row],[MONTO DE LA VENTA]]</f>
        <v>0</v>
      </c>
    </row>
    <row r="729" spans="1:15" x14ac:dyDescent="0.25">
      <c r="A729" s="56">
        <v>44723</v>
      </c>
      <c r="B729" s="4" t="s">
        <v>2073</v>
      </c>
      <c r="C729" s="191" t="s">
        <v>922</v>
      </c>
      <c r="D729" s="1" t="s">
        <v>2074</v>
      </c>
      <c r="E729" s="4" t="s">
        <v>924</v>
      </c>
      <c r="F729" s="1" t="s">
        <v>408</v>
      </c>
      <c r="G729" s="71" t="s">
        <v>2075</v>
      </c>
      <c r="H729" s="2">
        <v>200000</v>
      </c>
      <c r="I729" s="2">
        <v>140000</v>
      </c>
      <c r="J729" s="192">
        <f>Tabla210[[#This Row],[TOTAL FACTURA]]*0.4</f>
        <v>80000</v>
      </c>
      <c r="L729" s="11"/>
      <c r="M729" s="11"/>
      <c r="O729" s="15">
        <f>Tabla210[[#This Row],[MONTO DE COMPRA]]-Tabla210[[#This Row],[MONTO DE LA VENTA]]</f>
        <v>0</v>
      </c>
    </row>
    <row r="730" spans="1:15" x14ac:dyDescent="0.25">
      <c r="A730" s="56">
        <v>44724</v>
      </c>
      <c r="B730" s="4" t="s">
        <v>2080</v>
      </c>
      <c r="C730" s="191" t="s">
        <v>2077</v>
      </c>
      <c r="D730" s="1" t="s">
        <v>76</v>
      </c>
      <c r="E730" s="4" t="s">
        <v>2078</v>
      </c>
      <c r="F730" s="1" t="s">
        <v>34</v>
      </c>
      <c r="G730" s="71" t="s">
        <v>2079</v>
      </c>
      <c r="H730" s="2">
        <v>40000</v>
      </c>
      <c r="I730" s="2">
        <v>24000</v>
      </c>
      <c r="J730" s="192">
        <f>Tabla210[[#This Row],[TOTAL FACTURA]]*0.4</f>
        <v>16000</v>
      </c>
      <c r="L730" s="11"/>
      <c r="M730" s="11"/>
      <c r="O730" s="15">
        <f>Tabla210[[#This Row],[MONTO DE COMPRA]]-Tabla210[[#This Row],[MONTO DE LA VENTA]]</f>
        <v>0</v>
      </c>
    </row>
    <row r="731" spans="1:15" x14ac:dyDescent="0.25">
      <c r="A731" s="56">
        <v>44724</v>
      </c>
      <c r="B731" s="4" t="s">
        <v>2082</v>
      </c>
      <c r="C731" s="191" t="s">
        <v>598</v>
      </c>
      <c r="D731" s="1" t="s">
        <v>2083</v>
      </c>
      <c r="E731" s="4" t="s">
        <v>1333</v>
      </c>
      <c r="F731" s="1" t="s">
        <v>1039</v>
      </c>
      <c r="G731" s="71" t="s">
        <v>2084</v>
      </c>
      <c r="H731" s="2">
        <v>100000</v>
      </c>
      <c r="I731" s="2">
        <v>60000</v>
      </c>
      <c r="J731" s="192">
        <f>Tabla210[[#This Row],[TOTAL FACTURA]]*0.4</f>
        <v>40000</v>
      </c>
      <c r="L731" s="11"/>
      <c r="M731" s="11"/>
      <c r="O731" s="15">
        <f>Tabla210[[#This Row],[MONTO DE COMPRA]]-Tabla210[[#This Row],[MONTO DE LA VENTA]]</f>
        <v>0</v>
      </c>
    </row>
    <row r="732" spans="1:15" x14ac:dyDescent="0.25">
      <c r="A732" s="56">
        <v>44723</v>
      </c>
      <c r="B732" s="4" t="s">
        <v>2085</v>
      </c>
      <c r="C732" s="191" t="s">
        <v>129</v>
      </c>
      <c r="D732" s="1" t="s">
        <v>952</v>
      </c>
      <c r="E732" s="4" t="s">
        <v>953</v>
      </c>
      <c r="F732" s="1" t="s">
        <v>408</v>
      </c>
      <c r="G732" s="71" t="s">
        <v>1518</v>
      </c>
      <c r="H732" s="2">
        <v>60000</v>
      </c>
      <c r="I732" s="2">
        <v>42000</v>
      </c>
      <c r="J732" s="192">
        <f>Tabla210[[#This Row],[TOTAL FACTURA]]*0.4</f>
        <v>24000</v>
      </c>
      <c r="L732" s="11"/>
      <c r="M732" s="11"/>
      <c r="O732" s="15">
        <f>Tabla210[[#This Row],[MONTO DE COMPRA]]-Tabla210[[#This Row],[MONTO DE LA VENTA]]</f>
        <v>0</v>
      </c>
    </row>
    <row r="733" spans="1:15" x14ac:dyDescent="0.25">
      <c r="A733" s="56">
        <v>44725</v>
      </c>
      <c r="C733" s="191" t="s">
        <v>598</v>
      </c>
      <c r="E733" s="4" t="s">
        <v>152</v>
      </c>
      <c r="F733" s="1" t="s">
        <v>18</v>
      </c>
      <c r="G733" s="71" t="s">
        <v>2088</v>
      </c>
      <c r="H733" s="2">
        <v>300000</v>
      </c>
      <c r="I733" s="2">
        <v>180000</v>
      </c>
      <c r="J733" s="192">
        <f>Tabla210[[#This Row],[TOTAL FACTURA]]*0.4</f>
        <v>120000</v>
      </c>
      <c r="L733" s="11"/>
      <c r="M733" s="11"/>
      <c r="O733" s="15">
        <f>Tabla210[[#This Row],[MONTO DE COMPRA]]-Tabla210[[#This Row],[MONTO DE LA VENTA]]</f>
        <v>0</v>
      </c>
    </row>
    <row r="734" spans="1:15" x14ac:dyDescent="0.25">
      <c r="A734" s="56">
        <v>44725</v>
      </c>
      <c r="B734" s="4" t="s">
        <v>2089</v>
      </c>
      <c r="C734" s="191" t="s">
        <v>2090</v>
      </c>
      <c r="D734" s="1" t="s">
        <v>54</v>
      </c>
      <c r="E734" s="4" t="s">
        <v>424</v>
      </c>
      <c r="F734" s="1" t="s">
        <v>19</v>
      </c>
      <c r="G734" s="71" t="s">
        <v>2091</v>
      </c>
      <c r="H734" s="2">
        <v>30000</v>
      </c>
      <c r="I734" s="2">
        <v>21000</v>
      </c>
      <c r="J734" s="192">
        <f>Tabla210[[#This Row],[TOTAL FACTURA]]*0.4</f>
        <v>12000</v>
      </c>
      <c r="L734" s="11"/>
      <c r="M734" s="11"/>
      <c r="O734" s="15">
        <f>Tabla210[[#This Row],[MONTO DE COMPRA]]-Tabla210[[#This Row],[MONTO DE LA VENTA]]</f>
        <v>0</v>
      </c>
    </row>
    <row r="735" spans="1:15" x14ac:dyDescent="0.25">
      <c r="A735" s="56">
        <v>44725</v>
      </c>
      <c r="C735" s="191" t="s">
        <v>2092</v>
      </c>
      <c r="E735" s="4"/>
      <c r="F735" s="1" t="s">
        <v>1039</v>
      </c>
      <c r="G735" s="71" t="s">
        <v>869</v>
      </c>
      <c r="H735" s="2">
        <v>10000</v>
      </c>
      <c r="I735" s="2">
        <v>6000</v>
      </c>
      <c r="J735" s="192">
        <f>Tabla210[[#This Row],[TOTAL FACTURA]]*0.4</f>
        <v>4000</v>
      </c>
      <c r="L735" s="11"/>
      <c r="M735" s="11"/>
      <c r="O735" s="15">
        <f>Tabla210[[#This Row],[MONTO DE COMPRA]]-Tabla210[[#This Row],[MONTO DE LA VENTA]]</f>
        <v>0</v>
      </c>
    </row>
    <row r="736" spans="1:15" x14ac:dyDescent="0.25">
      <c r="A736" s="56">
        <v>44725</v>
      </c>
      <c r="C736" s="191" t="s">
        <v>2093</v>
      </c>
      <c r="D736" s="1" t="s">
        <v>54</v>
      </c>
      <c r="E736" s="4" t="s">
        <v>2094</v>
      </c>
      <c r="F736" s="1" t="s">
        <v>408</v>
      </c>
      <c r="G736" s="71" t="s">
        <v>744</v>
      </c>
      <c r="H736" s="2">
        <v>50000</v>
      </c>
      <c r="I736" s="2">
        <v>35000</v>
      </c>
      <c r="J736" s="192">
        <f>Tabla210[[#This Row],[TOTAL FACTURA]]*0.4</f>
        <v>20000</v>
      </c>
      <c r="L736" s="11"/>
      <c r="M736" s="11"/>
      <c r="O736" s="15">
        <f>Tabla210[[#This Row],[MONTO DE COMPRA]]-Tabla210[[#This Row],[MONTO DE LA VENTA]]</f>
        <v>0</v>
      </c>
    </row>
    <row r="737" spans="1:15" x14ac:dyDescent="0.25">
      <c r="A737" s="56">
        <v>44725</v>
      </c>
      <c r="C737" s="191" t="s">
        <v>2095</v>
      </c>
      <c r="D737" s="1" t="s">
        <v>59</v>
      </c>
      <c r="E737" s="4" t="s">
        <v>2096</v>
      </c>
      <c r="F737" s="1" t="s">
        <v>19</v>
      </c>
      <c r="G737" s="71" t="s">
        <v>2097</v>
      </c>
      <c r="H737" s="2">
        <v>10000</v>
      </c>
      <c r="I737" s="2">
        <v>7000</v>
      </c>
      <c r="J737" s="192">
        <f>Tabla210[[#This Row],[TOTAL FACTURA]]*0.4</f>
        <v>4000</v>
      </c>
      <c r="L737" s="11"/>
      <c r="M737" s="11"/>
      <c r="O737" s="15">
        <f>Tabla210[[#This Row],[MONTO DE COMPRA]]-Tabla210[[#This Row],[MONTO DE LA VENTA]]</f>
        <v>0</v>
      </c>
    </row>
    <row r="738" spans="1:15" x14ac:dyDescent="0.25">
      <c r="A738" s="56">
        <v>44725</v>
      </c>
      <c r="C738" s="191" t="s">
        <v>2098</v>
      </c>
      <c r="D738" s="1" t="s">
        <v>200</v>
      </c>
      <c r="E738" s="4" t="s">
        <v>2099</v>
      </c>
      <c r="F738" s="1" t="s">
        <v>408</v>
      </c>
      <c r="G738" s="71" t="s">
        <v>2100</v>
      </c>
      <c r="H738" s="2">
        <v>15000</v>
      </c>
      <c r="I738" s="2">
        <v>10500</v>
      </c>
      <c r="J738" s="192">
        <f>Tabla210[[#This Row],[TOTAL FACTURA]]*0.4</f>
        <v>6000</v>
      </c>
      <c r="L738" s="11"/>
      <c r="M738" s="11"/>
      <c r="O738" s="15">
        <f>Tabla210[[#This Row],[MONTO DE COMPRA]]-Tabla210[[#This Row],[MONTO DE LA VENTA]]</f>
        <v>0</v>
      </c>
    </row>
    <row r="739" spans="1:15" x14ac:dyDescent="0.25">
      <c r="A739" s="56">
        <v>44725</v>
      </c>
      <c r="C739" s="191" t="s">
        <v>2101</v>
      </c>
      <c r="D739" s="1" t="s">
        <v>2102</v>
      </c>
      <c r="E739" s="4" t="s">
        <v>2103</v>
      </c>
      <c r="F739" s="1" t="s">
        <v>1039</v>
      </c>
      <c r="G739" s="71" t="s">
        <v>2100</v>
      </c>
      <c r="H739" s="2">
        <v>15000</v>
      </c>
      <c r="I739" s="2">
        <v>9000</v>
      </c>
      <c r="J739" s="192">
        <f>Tabla210[[#This Row],[TOTAL FACTURA]]*0.4</f>
        <v>6000</v>
      </c>
      <c r="L739" s="11"/>
      <c r="M739" s="11"/>
      <c r="O739" s="15">
        <f>Tabla210[[#This Row],[MONTO DE COMPRA]]-Tabla210[[#This Row],[MONTO DE LA VENTA]]</f>
        <v>0</v>
      </c>
    </row>
    <row r="740" spans="1:15" x14ac:dyDescent="0.25">
      <c r="A740" s="56">
        <v>44725</v>
      </c>
      <c r="C740" s="191" t="s">
        <v>2104</v>
      </c>
      <c r="D740" s="1" t="s">
        <v>637</v>
      </c>
      <c r="E740" s="4" t="s">
        <v>2105</v>
      </c>
      <c r="F740" s="1" t="s">
        <v>1039</v>
      </c>
      <c r="G740" s="71" t="s">
        <v>2106</v>
      </c>
      <c r="H740" s="2">
        <v>20000</v>
      </c>
      <c r="I740" s="2">
        <v>12000</v>
      </c>
      <c r="J740" s="192">
        <f>Tabla210[[#This Row],[TOTAL FACTURA]]*0.4</f>
        <v>8000</v>
      </c>
      <c r="L740" s="11"/>
      <c r="M740" s="11"/>
      <c r="O740" s="15">
        <f>Tabla210[[#This Row],[MONTO DE COMPRA]]-Tabla210[[#This Row],[MONTO DE LA VENTA]]</f>
        <v>0</v>
      </c>
    </row>
    <row r="741" spans="1:15" x14ac:dyDescent="0.25">
      <c r="A741" s="56">
        <v>44726</v>
      </c>
      <c r="C741" s="191" t="s">
        <v>2108</v>
      </c>
      <c r="D741" s="1" t="s">
        <v>2109</v>
      </c>
      <c r="E741" s="4" t="s">
        <v>2110</v>
      </c>
      <c r="F741" s="1" t="s">
        <v>408</v>
      </c>
      <c r="G741" s="71" t="s">
        <v>2111</v>
      </c>
      <c r="H741" s="2">
        <v>30000</v>
      </c>
      <c r="I741" s="2">
        <v>21000</v>
      </c>
      <c r="J741" s="192">
        <f>Tabla210[[#This Row],[TOTAL FACTURA]]*0.4</f>
        <v>12000</v>
      </c>
      <c r="L741" s="11"/>
      <c r="M741" s="11"/>
      <c r="O741" s="15">
        <f>Tabla210[[#This Row],[MONTO DE COMPRA]]-Tabla210[[#This Row],[MONTO DE LA VENTA]]</f>
        <v>0</v>
      </c>
    </row>
    <row r="742" spans="1:15" x14ac:dyDescent="0.25">
      <c r="A742" s="56"/>
      <c r="C742" s="191"/>
      <c r="D742" s="1" t="s">
        <v>1077</v>
      </c>
      <c r="E742" s="4"/>
      <c r="F742" s="1" t="s">
        <v>10</v>
      </c>
      <c r="G742" s="71" t="s">
        <v>2147</v>
      </c>
      <c r="H742" s="2">
        <v>20000</v>
      </c>
      <c r="I742" s="2">
        <v>14000</v>
      </c>
      <c r="J742" s="192">
        <f>Tabla210[[#This Row],[TOTAL FACTURA]]*0.4</f>
        <v>8000</v>
      </c>
      <c r="L742" s="11"/>
      <c r="M742" s="11"/>
      <c r="N742" s="2" t="s">
        <v>25</v>
      </c>
      <c r="O742" s="15">
        <f>Tabla210[[#This Row],[MONTO DE COMPRA]]-Tabla210[[#This Row],[MONTO DE LA VENTA]]</f>
        <v>0</v>
      </c>
    </row>
    <row r="743" spans="1:15" x14ac:dyDescent="0.25">
      <c r="A743" s="56">
        <v>44726</v>
      </c>
      <c r="C743" s="191" t="s">
        <v>1097</v>
      </c>
      <c r="D743" s="1" t="s">
        <v>240</v>
      </c>
      <c r="E743" s="4" t="s">
        <v>1625</v>
      </c>
      <c r="F743" s="1" t="s">
        <v>10</v>
      </c>
      <c r="G743" s="71" t="s">
        <v>2112</v>
      </c>
      <c r="H743" s="2">
        <v>150000</v>
      </c>
      <c r="I743" s="2">
        <v>105000</v>
      </c>
      <c r="J743" s="192">
        <f>Tabla210[[#This Row],[TOTAL FACTURA]]*0.4</f>
        <v>60000</v>
      </c>
      <c r="L743" s="11"/>
      <c r="M743" s="11"/>
      <c r="N743" s="2" t="s">
        <v>25</v>
      </c>
      <c r="O743" s="15">
        <f>Tabla210[[#This Row],[MONTO DE COMPRA]]-Tabla210[[#This Row],[MONTO DE LA VENTA]]</f>
        <v>0</v>
      </c>
    </row>
    <row r="744" spans="1:15" x14ac:dyDescent="0.25">
      <c r="A744" s="56">
        <v>44726</v>
      </c>
      <c r="C744" s="191" t="s">
        <v>2113</v>
      </c>
      <c r="D744" s="1" t="s">
        <v>201</v>
      </c>
      <c r="E744" s="4" t="s">
        <v>2114</v>
      </c>
      <c r="F744" s="1" t="s">
        <v>1039</v>
      </c>
      <c r="G744" s="71" t="s">
        <v>2115</v>
      </c>
      <c r="H744" s="2">
        <v>20000</v>
      </c>
      <c r="I744" s="2">
        <v>12000</v>
      </c>
      <c r="J744" s="192">
        <f>Tabla210[[#This Row],[TOTAL FACTURA]]*0.4</f>
        <v>8000</v>
      </c>
      <c r="L744" s="11"/>
      <c r="M744" s="11"/>
      <c r="O744" s="15">
        <f>Tabla210[[#This Row],[MONTO DE COMPRA]]-Tabla210[[#This Row],[MONTO DE LA VENTA]]</f>
        <v>0</v>
      </c>
    </row>
    <row r="745" spans="1:15" x14ac:dyDescent="0.25">
      <c r="A745" s="56">
        <v>44727</v>
      </c>
      <c r="C745" s="191" t="s">
        <v>1399</v>
      </c>
      <c r="D745" s="1" t="s">
        <v>59</v>
      </c>
      <c r="E745" s="4" t="s">
        <v>1397</v>
      </c>
      <c r="F745" s="1" t="s">
        <v>19</v>
      </c>
      <c r="G745" s="71" t="s">
        <v>2116</v>
      </c>
      <c r="H745" s="2">
        <v>60000</v>
      </c>
      <c r="I745" s="2">
        <v>42000</v>
      </c>
      <c r="J745" s="192">
        <f>Tabla210[[#This Row],[TOTAL FACTURA]]*0.4</f>
        <v>24000</v>
      </c>
      <c r="L745" s="11"/>
      <c r="M745" s="11"/>
      <c r="O745" s="15">
        <f>Tabla210[[#This Row],[MONTO DE COMPRA]]-Tabla210[[#This Row],[MONTO DE LA VENTA]]</f>
        <v>0</v>
      </c>
    </row>
    <row r="746" spans="1:15" x14ac:dyDescent="0.25">
      <c r="A746" s="56">
        <v>44727</v>
      </c>
      <c r="C746" s="191" t="s">
        <v>1399</v>
      </c>
      <c r="D746" s="1" t="s">
        <v>59</v>
      </c>
      <c r="E746" s="4" t="s">
        <v>1397</v>
      </c>
      <c r="F746" s="1" t="s">
        <v>10</v>
      </c>
      <c r="G746" s="71" t="s">
        <v>2117</v>
      </c>
      <c r="H746" s="2">
        <v>200000</v>
      </c>
      <c r="I746" s="2">
        <v>140000</v>
      </c>
      <c r="J746" s="192">
        <f>Tabla210[[#This Row],[TOTAL FACTURA]]*0.4</f>
        <v>80000</v>
      </c>
      <c r="L746" s="11"/>
      <c r="M746" s="11"/>
      <c r="N746" s="2" t="s">
        <v>25</v>
      </c>
      <c r="O746" s="15">
        <f>Tabla210[[#This Row],[MONTO DE COMPRA]]-Tabla210[[#This Row],[MONTO DE LA VENTA]]</f>
        <v>0</v>
      </c>
    </row>
    <row r="747" spans="1:15" x14ac:dyDescent="0.25">
      <c r="A747" s="56">
        <v>44728</v>
      </c>
      <c r="C747" s="191" t="s">
        <v>2118</v>
      </c>
      <c r="D747" s="1" t="s">
        <v>59</v>
      </c>
      <c r="E747" s="4" t="s">
        <v>2119</v>
      </c>
      <c r="F747" s="1" t="s">
        <v>19</v>
      </c>
      <c r="G747" s="71" t="s">
        <v>1518</v>
      </c>
      <c r="H747" s="2">
        <v>50000</v>
      </c>
      <c r="I747" s="2">
        <v>35000</v>
      </c>
      <c r="J747" s="192">
        <f>Tabla210[[#This Row],[TOTAL FACTURA]]*0.4</f>
        <v>20000</v>
      </c>
      <c r="L747" s="11"/>
      <c r="M747" s="11"/>
      <c r="O747" s="15">
        <f>Tabla210[[#This Row],[MONTO DE COMPRA]]-Tabla210[[#This Row],[MONTO DE LA VENTA]]</f>
        <v>0</v>
      </c>
    </row>
    <row r="748" spans="1:15" x14ac:dyDescent="0.25">
      <c r="A748" s="56">
        <v>44728</v>
      </c>
      <c r="C748" s="191" t="s">
        <v>598</v>
      </c>
      <c r="D748" s="1" t="s">
        <v>151</v>
      </c>
      <c r="E748" s="4" t="s">
        <v>152</v>
      </c>
      <c r="F748" s="1" t="s">
        <v>408</v>
      </c>
      <c r="G748" s="71" t="s">
        <v>2120</v>
      </c>
      <c r="H748" s="2">
        <v>120000</v>
      </c>
      <c r="I748" s="2">
        <v>84000</v>
      </c>
      <c r="J748" s="192">
        <f>Tabla210[[#This Row],[TOTAL FACTURA]]*0.4</f>
        <v>48000</v>
      </c>
      <c r="L748" s="11"/>
      <c r="M748" s="11"/>
      <c r="O748" s="15">
        <f>Tabla210[[#This Row],[MONTO DE COMPRA]]-Tabla210[[#This Row],[MONTO DE LA VENTA]]</f>
        <v>0</v>
      </c>
    </row>
    <row r="749" spans="1:15" x14ac:dyDescent="0.25">
      <c r="A749" s="56">
        <v>44726</v>
      </c>
      <c r="C749" s="191" t="s">
        <v>1263</v>
      </c>
      <c r="D749" s="1" t="s">
        <v>1305</v>
      </c>
      <c r="E749" s="4" t="s">
        <v>2121</v>
      </c>
      <c r="F749" s="1" t="s">
        <v>408</v>
      </c>
      <c r="G749" s="71" t="s">
        <v>2122</v>
      </c>
      <c r="H749" s="2">
        <v>300000</v>
      </c>
      <c r="I749" s="2">
        <v>210000</v>
      </c>
      <c r="J749" s="192">
        <f>Tabla210[[#This Row],[TOTAL FACTURA]]*0.4</f>
        <v>120000</v>
      </c>
      <c r="L749" s="11"/>
      <c r="M749" s="11"/>
      <c r="O749" s="15">
        <f>Tabla210[[#This Row],[MONTO DE COMPRA]]-Tabla210[[#This Row],[MONTO DE LA VENTA]]</f>
        <v>0</v>
      </c>
    </row>
    <row r="750" spans="1:15" x14ac:dyDescent="0.25">
      <c r="A750" s="56">
        <v>44728</v>
      </c>
      <c r="C750" s="191" t="s">
        <v>2123</v>
      </c>
      <c r="D750" s="1" t="s">
        <v>2124</v>
      </c>
      <c r="E750" s="4" t="s">
        <v>2125</v>
      </c>
      <c r="F750" s="1" t="s">
        <v>30</v>
      </c>
      <c r="G750" s="71" t="s">
        <v>2126</v>
      </c>
      <c r="H750" s="2">
        <v>150000</v>
      </c>
      <c r="I750" s="2">
        <v>90000</v>
      </c>
      <c r="J750" s="192">
        <f>Tabla210[[#This Row],[TOTAL FACTURA]]*0.4</f>
        <v>60000</v>
      </c>
      <c r="L750" s="11"/>
      <c r="M750" s="11"/>
      <c r="O750" s="15">
        <f>Tabla210[[#This Row],[MONTO DE COMPRA]]-Tabla210[[#This Row],[MONTO DE LA VENTA]]</f>
        <v>0</v>
      </c>
    </row>
    <row r="751" spans="1:15" x14ac:dyDescent="0.25">
      <c r="A751" s="56">
        <v>44728</v>
      </c>
      <c r="C751" s="191" t="s">
        <v>1823</v>
      </c>
      <c r="D751" s="1" t="s">
        <v>412</v>
      </c>
      <c r="E751" s="4" t="s">
        <v>1824</v>
      </c>
      <c r="F751" s="1" t="s">
        <v>19</v>
      </c>
      <c r="G751" s="71" t="s">
        <v>2127</v>
      </c>
      <c r="H751" s="2">
        <v>100000</v>
      </c>
      <c r="I751" s="2">
        <v>70000</v>
      </c>
      <c r="J751" s="192">
        <f>Tabla210[[#This Row],[TOTAL FACTURA]]*0.4</f>
        <v>40000</v>
      </c>
      <c r="L751" s="11"/>
      <c r="M751" s="11"/>
      <c r="O751" s="15">
        <f>Tabla210[[#This Row],[MONTO DE COMPRA]]-Tabla210[[#This Row],[MONTO DE LA VENTA]]</f>
        <v>0</v>
      </c>
    </row>
    <row r="752" spans="1:15" x14ac:dyDescent="0.25">
      <c r="A752" s="56">
        <v>44728</v>
      </c>
      <c r="B752" s="4" t="s">
        <v>2159</v>
      </c>
      <c r="C752" s="191" t="s">
        <v>2128</v>
      </c>
      <c r="D752" s="1" t="s">
        <v>2129</v>
      </c>
      <c r="E752" s="4" t="s">
        <v>442</v>
      </c>
      <c r="F752" s="1" t="s">
        <v>10</v>
      </c>
      <c r="G752" s="71" t="s">
        <v>2130</v>
      </c>
      <c r="H752" s="2">
        <v>600000</v>
      </c>
      <c r="I752" s="2">
        <v>420000</v>
      </c>
      <c r="J752" s="192">
        <f>Tabla210[[#This Row],[TOTAL FACTURA]]*0.4</f>
        <v>240000</v>
      </c>
      <c r="L752" s="11"/>
      <c r="M752" s="11"/>
      <c r="N752" s="2" t="s">
        <v>25</v>
      </c>
      <c r="O752" s="15">
        <f>Tabla210[[#This Row],[MONTO DE COMPRA]]-Tabla210[[#This Row],[MONTO DE LA VENTA]]</f>
        <v>0</v>
      </c>
    </row>
    <row r="753" spans="1:15" x14ac:dyDescent="0.25">
      <c r="A753" s="56">
        <v>44729</v>
      </c>
      <c r="C753" s="191" t="s">
        <v>2131</v>
      </c>
      <c r="D753" s="1" t="s">
        <v>1434</v>
      </c>
      <c r="E753" s="4" t="s">
        <v>1435</v>
      </c>
      <c r="F753" s="1" t="s">
        <v>19</v>
      </c>
      <c r="G753" s="71" t="s">
        <v>2132</v>
      </c>
      <c r="H753" s="2">
        <v>100000</v>
      </c>
      <c r="I753" s="2">
        <v>70000</v>
      </c>
      <c r="J753" s="192">
        <f>Tabla210[[#This Row],[TOTAL FACTURA]]*0.4</f>
        <v>40000</v>
      </c>
      <c r="L753" s="11"/>
      <c r="M753" s="11"/>
      <c r="O753" s="15">
        <f>Tabla210[[#This Row],[MONTO DE COMPRA]]-Tabla210[[#This Row],[MONTO DE LA VENTA]]</f>
        <v>0</v>
      </c>
    </row>
    <row r="754" spans="1:15" x14ac:dyDescent="0.25">
      <c r="A754" s="56">
        <v>44729</v>
      </c>
      <c r="C754" s="191" t="s">
        <v>2131</v>
      </c>
      <c r="D754" s="1" t="s">
        <v>1434</v>
      </c>
      <c r="E754" s="4" t="s">
        <v>1435</v>
      </c>
      <c r="F754" s="1" t="s">
        <v>18</v>
      </c>
      <c r="G754" s="71" t="s">
        <v>18</v>
      </c>
      <c r="H754" s="2">
        <v>50000</v>
      </c>
      <c r="I754" s="2">
        <v>30000</v>
      </c>
      <c r="J754" s="192">
        <f>Tabla210[[#This Row],[TOTAL FACTURA]]*0.4</f>
        <v>20000</v>
      </c>
      <c r="L754" s="11"/>
      <c r="M754" s="11"/>
      <c r="O754" s="15">
        <f>Tabla210[[#This Row],[MONTO DE COMPRA]]-Tabla210[[#This Row],[MONTO DE LA VENTA]]</f>
        <v>0</v>
      </c>
    </row>
    <row r="755" spans="1:15" x14ac:dyDescent="0.25">
      <c r="A755" s="56">
        <v>44729</v>
      </c>
      <c r="C755" s="191" t="s">
        <v>734</v>
      </c>
      <c r="D755" s="1" t="s">
        <v>1593</v>
      </c>
      <c r="E755" s="4" t="s">
        <v>735</v>
      </c>
      <c r="F755" s="1" t="s">
        <v>10</v>
      </c>
      <c r="G755" s="71" t="s">
        <v>338</v>
      </c>
      <c r="H755" s="2">
        <v>150000</v>
      </c>
      <c r="I755" s="2">
        <v>105000</v>
      </c>
      <c r="J755" s="192">
        <f>Tabla210[[#This Row],[TOTAL FACTURA]]*0.4</f>
        <v>60000</v>
      </c>
      <c r="L755" s="11"/>
      <c r="M755" s="11"/>
      <c r="N755" s="2" t="s">
        <v>25</v>
      </c>
      <c r="O755" s="15">
        <f>Tabla210[[#This Row],[MONTO DE COMPRA]]-Tabla210[[#This Row],[MONTO DE LA VENTA]]</f>
        <v>0</v>
      </c>
    </row>
    <row r="756" spans="1:15" x14ac:dyDescent="0.25">
      <c r="A756" s="56">
        <v>44729</v>
      </c>
      <c r="C756" s="191" t="s">
        <v>2133</v>
      </c>
      <c r="D756" s="1" t="s">
        <v>65</v>
      </c>
      <c r="E756" s="4" t="s">
        <v>2134</v>
      </c>
      <c r="F756" s="1" t="s">
        <v>30</v>
      </c>
      <c r="G756" s="71" t="s">
        <v>2135</v>
      </c>
      <c r="H756" s="2">
        <v>450000</v>
      </c>
      <c r="I756" s="2">
        <v>270000</v>
      </c>
      <c r="J756" s="192">
        <f>Tabla210[[#This Row],[TOTAL FACTURA]]*0.4</f>
        <v>180000</v>
      </c>
      <c r="L756" s="11"/>
      <c r="M756" s="11"/>
      <c r="O756" s="15">
        <f>Tabla210[[#This Row],[MONTO DE COMPRA]]-Tabla210[[#This Row],[MONTO DE LA VENTA]]</f>
        <v>0</v>
      </c>
    </row>
    <row r="757" spans="1:15" x14ac:dyDescent="0.25">
      <c r="A757" s="56">
        <v>44729</v>
      </c>
      <c r="C757" s="191" t="s">
        <v>2136</v>
      </c>
      <c r="D757" s="1" t="s">
        <v>2137</v>
      </c>
      <c r="E757" s="4" t="s">
        <v>1948</v>
      </c>
      <c r="F757" s="1" t="s">
        <v>408</v>
      </c>
      <c r="G757" s="71" t="s">
        <v>2138</v>
      </c>
      <c r="H757" s="2">
        <v>60000</v>
      </c>
      <c r="I757" s="2">
        <v>42000</v>
      </c>
      <c r="J757" s="192">
        <f>Tabla210[[#This Row],[TOTAL FACTURA]]*0.4</f>
        <v>24000</v>
      </c>
      <c r="L757" s="11"/>
      <c r="M757" s="11"/>
      <c r="O757" s="15">
        <f>Tabla210[[#This Row],[MONTO DE COMPRA]]-Tabla210[[#This Row],[MONTO DE LA VENTA]]</f>
        <v>0</v>
      </c>
    </row>
    <row r="758" spans="1:15" x14ac:dyDescent="0.25">
      <c r="A758" s="56">
        <v>44729</v>
      </c>
      <c r="C758" s="191" t="s">
        <v>2139</v>
      </c>
      <c r="D758" s="1" t="s">
        <v>1077</v>
      </c>
      <c r="E758" s="4" t="s">
        <v>1848</v>
      </c>
      <c r="F758" s="1" t="s">
        <v>19</v>
      </c>
      <c r="G758" s="71" t="s">
        <v>2140</v>
      </c>
      <c r="H758" s="2">
        <v>280000</v>
      </c>
      <c r="I758" s="2">
        <v>168000</v>
      </c>
      <c r="J758" s="192">
        <f>Tabla210[[#This Row],[TOTAL FACTURA]]*0.4</f>
        <v>112000</v>
      </c>
      <c r="L758" s="11"/>
      <c r="M758" s="11"/>
      <c r="O758" s="15">
        <f>Tabla210[[#This Row],[MONTO DE COMPRA]]-Tabla210[[#This Row],[MONTO DE LA VENTA]]</f>
        <v>0</v>
      </c>
    </row>
    <row r="759" spans="1:15" x14ac:dyDescent="0.25">
      <c r="A759" s="56">
        <v>44729</v>
      </c>
      <c r="B759" s="4" t="s">
        <v>2142</v>
      </c>
      <c r="C759" s="191" t="s">
        <v>2141</v>
      </c>
      <c r="D759" s="1" t="s">
        <v>574</v>
      </c>
      <c r="E759" s="4" t="s">
        <v>546</v>
      </c>
      <c r="F759" s="1" t="s">
        <v>10</v>
      </c>
      <c r="G759" s="71" t="s">
        <v>1407</v>
      </c>
      <c r="H759" s="2">
        <v>300000</v>
      </c>
      <c r="I759" s="2">
        <v>180000</v>
      </c>
      <c r="J759" s="192">
        <f>Tabla210[[#This Row],[TOTAL FACTURA]]*0.4</f>
        <v>120000</v>
      </c>
      <c r="L759" s="11"/>
      <c r="M759" s="11"/>
      <c r="N759" s="2" t="s">
        <v>25</v>
      </c>
      <c r="O759" s="15">
        <f>Tabla210[[#This Row],[MONTO DE COMPRA]]-Tabla210[[#This Row],[MONTO DE LA VENTA]]</f>
        <v>0</v>
      </c>
    </row>
    <row r="760" spans="1:15" x14ac:dyDescent="0.25">
      <c r="A760" s="56">
        <v>44729</v>
      </c>
      <c r="B760" s="4" t="s">
        <v>2143</v>
      </c>
      <c r="C760" s="191" t="s">
        <v>2144</v>
      </c>
      <c r="D760" s="1" t="s">
        <v>2145</v>
      </c>
      <c r="E760" s="4" t="s">
        <v>2146</v>
      </c>
      <c r="F760" s="1" t="s">
        <v>10</v>
      </c>
      <c r="G760" s="71" t="s">
        <v>174</v>
      </c>
      <c r="H760" s="2">
        <v>50000</v>
      </c>
      <c r="I760" s="2">
        <v>30000</v>
      </c>
      <c r="J760" s="192">
        <f>Tabla210[[#This Row],[TOTAL FACTURA]]*0.4</f>
        <v>20000</v>
      </c>
      <c r="L760" s="11"/>
      <c r="M760" s="11"/>
      <c r="N760" s="2" t="s">
        <v>25</v>
      </c>
      <c r="O760" s="15">
        <f>Tabla210[[#This Row],[MONTO DE COMPRA]]-Tabla210[[#This Row],[MONTO DE LA VENTA]]</f>
        <v>0</v>
      </c>
    </row>
    <row r="761" spans="1:15" x14ac:dyDescent="0.25">
      <c r="A761" s="56">
        <v>44730</v>
      </c>
      <c r="B761" s="4" t="s">
        <v>2148</v>
      </c>
      <c r="C761" s="191" t="s">
        <v>2149</v>
      </c>
      <c r="D761" s="1" t="s">
        <v>2150</v>
      </c>
      <c r="E761" s="4" t="s">
        <v>2151</v>
      </c>
      <c r="F761" s="1" t="s">
        <v>408</v>
      </c>
      <c r="G761" s="71" t="s">
        <v>2010</v>
      </c>
      <c r="H761" s="2">
        <v>20000</v>
      </c>
      <c r="I761" s="2">
        <v>14000</v>
      </c>
      <c r="J761" s="192">
        <f>Tabla210[[#This Row],[TOTAL FACTURA]]*0.4</f>
        <v>8000</v>
      </c>
      <c r="L761" s="11"/>
      <c r="M761" s="11"/>
      <c r="O761" s="15">
        <f>Tabla210[[#This Row],[MONTO DE COMPRA]]-Tabla210[[#This Row],[MONTO DE LA VENTA]]</f>
        <v>0</v>
      </c>
    </row>
    <row r="762" spans="1:15" x14ac:dyDescent="0.25">
      <c r="A762" s="56">
        <v>44730</v>
      </c>
      <c r="B762" s="4" t="s">
        <v>2152</v>
      </c>
      <c r="C762" s="191" t="s">
        <v>2153</v>
      </c>
      <c r="D762" s="1" t="s">
        <v>103</v>
      </c>
      <c r="E762" s="4" t="s">
        <v>2154</v>
      </c>
      <c r="F762" s="1" t="s">
        <v>408</v>
      </c>
      <c r="G762" s="71" t="s">
        <v>338</v>
      </c>
      <c r="H762" s="2">
        <v>150000</v>
      </c>
      <c r="I762" s="2">
        <v>105000</v>
      </c>
      <c r="J762" s="192">
        <f>Tabla210[[#This Row],[TOTAL FACTURA]]*0.4</f>
        <v>60000</v>
      </c>
      <c r="L762" s="11"/>
      <c r="M762" s="11"/>
      <c r="O762" s="15">
        <f>Tabla210[[#This Row],[MONTO DE COMPRA]]-Tabla210[[#This Row],[MONTO DE LA VENTA]]</f>
        <v>0</v>
      </c>
    </row>
    <row r="763" spans="1:15" x14ac:dyDescent="0.25">
      <c r="A763" s="56">
        <v>44730</v>
      </c>
      <c r="C763" s="191"/>
      <c r="D763" s="1" t="s">
        <v>2155</v>
      </c>
      <c r="E763" s="4"/>
      <c r="F763" s="1" t="s">
        <v>1039</v>
      </c>
      <c r="G763" s="71" t="s">
        <v>2156</v>
      </c>
      <c r="H763" s="2">
        <v>80000</v>
      </c>
      <c r="I763" s="2">
        <v>48000</v>
      </c>
      <c r="J763" s="192">
        <f>Tabla210[[#This Row],[TOTAL FACTURA]]*0.4</f>
        <v>32000</v>
      </c>
      <c r="L763" s="11"/>
      <c r="M763" s="11"/>
      <c r="O763" s="15">
        <f>Tabla210[[#This Row],[MONTO DE COMPRA]]-Tabla210[[#This Row],[MONTO DE LA VENTA]]</f>
        <v>0</v>
      </c>
    </row>
    <row r="764" spans="1:15" x14ac:dyDescent="0.25">
      <c r="A764" s="56">
        <v>44731</v>
      </c>
      <c r="C764" s="191" t="s">
        <v>2157</v>
      </c>
      <c r="D764" s="1" t="s">
        <v>466</v>
      </c>
      <c r="E764" s="4"/>
      <c r="F764" s="1" t="s">
        <v>1039</v>
      </c>
      <c r="G764" s="71" t="s">
        <v>2158</v>
      </c>
      <c r="H764" s="2">
        <v>30000</v>
      </c>
      <c r="I764" s="2">
        <v>18000</v>
      </c>
      <c r="J764" s="192">
        <f>Tabla210[[#This Row],[TOTAL FACTURA]]*0.4</f>
        <v>12000</v>
      </c>
      <c r="L764" s="11"/>
      <c r="M764" s="11"/>
      <c r="O764" s="15">
        <f>Tabla210[[#This Row],[MONTO DE COMPRA]]-Tabla210[[#This Row],[MONTO DE LA VENTA]]</f>
        <v>0</v>
      </c>
    </row>
    <row r="765" spans="1:15" x14ac:dyDescent="0.25">
      <c r="A765" s="56">
        <v>44732</v>
      </c>
      <c r="C765" s="191"/>
      <c r="D765" s="1" t="s">
        <v>311</v>
      </c>
      <c r="E765" s="4"/>
      <c r="F765" s="1" t="s">
        <v>10</v>
      </c>
      <c r="G765" s="71" t="s">
        <v>2161</v>
      </c>
      <c r="H765" s="2">
        <v>20000</v>
      </c>
      <c r="I765" s="2">
        <v>14000</v>
      </c>
      <c r="J765" s="192">
        <f>Tabla210[[#This Row],[TOTAL FACTURA]]*0.4</f>
        <v>8000</v>
      </c>
      <c r="L765" s="11"/>
      <c r="M765" s="11"/>
      <c r="N765" s="2" t="s">
        <v>25</v>
      </c>
      <c r="O765" s="15">
        <f>Tabla210[[#This Row],[MONTO DE COMPRA]]-Tabla210[[#This Row],[MONTO DE LA VENTA]]</f>
        <v>0</v>
      </c>
    </row>
    <row r="766" spans="1:15" x14ac:dyDescent="0.25">
      <c r="A766" s="56">
        <v>44729</v>
      </c>
      <c r="C766" s="191"/>
      <c r="E766" s="4"/>
      <c r="F766" s="1" t="s">
        <v>10</v>
      </c>
      <c r="G766" s="71" t="s">
        <v>2147</v>
      </c>
      <c r="H766" s="2">
        <v>30000</v>
      </c>
      <c r="I766" s="2">
        <v>18000</v>
      </c>
      <c r="J766" s="192">
        <f>Tabla210[[#This Row],[TOTAL FACTURA]]*0.4</f>
        <v>12000</v>
      </c>
      <c r="L766" s="11"/>
      <c r="M766" s="11"/>
      <c r="N766" s="2" t="s">
        <v>25</v>
      </c>
      <c r="O766" s="15">
        <f>Tabla210[[#This Row],[MONTO DE COMPRA]]-Tabla210[[#This Row],[MONTO DE LA VENTA]]</f>
        <v>0</v>
      </c>
    </row>
    <row r="767" spans="1:15" x14ac:dyDescent="0.25">
      <c r="A767" s="56">
        <v>44733</v>
      </c>
      <c r="B767" s="4" t="s">
        <v>2160</v>
      </c>
      <c r="C767" s="191" t="s">
        <v>598</v>
      </c>
      <c r="D767" s="1" t="s">
        <v>1414</v>
      </c>
      <c r="E767" s="4" t="s">
        <v>2162</v>
      </c>
      <c r="F767" s="1" t="s">
        <v>408</v>
      </c>
      <c r="G767" s="71" t="s">
        <v>2163</v>
      </c>
      <c r="H767" s="2">
        <v>130000</v>
      </c>
      <c r="I767" s="2">
        <v>91000</v>
      </c>
      <c r="J767" s="192">
        <f>Tabla210[[#This Row],[TOTAL FACTURA]]*0.4</f>
        <v>52000</v>
      </c>
      <c r="L767" s="11"/>
      <c r="M767" s="11"/>
      <c r="O767" s="15">
        <f>Tabla210[[#This Row],[MONTO DE COMPRA]]-Tabla210[[#This Row],[MONTO DE LA VENTA]]</f>
        <v>0</v>
      </c>
    </row>
    <row r="768" spans="1:15" x14ac:dyDescent="0.25">
      <c r="A768" s="56">
        <v>44734</v>
      </c>
      <c r="C768" s="191" t="s">
        <v>2201</v>
      </c>
      <c r="D768" s="1" t="s">
        <v>2202</v>
      </c>
      <c r="E768" s="4" t="s">
        <v>2203</v>
      </c>
      <c r="F768" s="1" t="s">
        <v>30</v>
      </c>
      <c r="G768" s="71" t="s">
        <v>2204</v>
      </c>
      <c r="H768" s="2">
        <v>40000</v>
      </c>
      <c r="I768" s="2">
        <v>24000</v>
      </c>
      <c r="J768" s="192">
        <f>Tabla210[[#This Row],[TOTAL FACTURA]]*0.4</f>
        <v>16000</v>
      </c>
      <c r="L768" s="11"/>
      <c r="M768" s="11"/>
      <c r="O768" s="15">
        <f>Tabla210[[#This Row],[MONTO DE COMPRA]]-Tabla210[[#This Row],[MONTO DE LA VENTA]]</f>
        <v>0</v>
      </c>
    </row>
    <row r="769" spans="1:15" x14ac:dyDescent="0.25">
      <c r="A769" s="56">
        <v>44734</v>
      </c>
      <c r="B769" s="4" t="s">
        <v>2164</v>
      </c>
      <c r="C769" s="191" t="s">
        <v>2165</v>
      </c>
      <c r="D769" s="1" t="s">
        <v>1414</v>
      </c>
      <c r="E769" s="4" t="s">
        <v>2166</v>
      </c>
      <c r="F769" s="1" t="s">
        <v>10</v>
      </c>
      <c r="G769" s="71" t="s">
        <v>338</v>
      </c>
      <c r="H769" s="2">
        <v>150000</v>
      </c>
      <c r="I769" s="2">
        <v>105000</v>
      </c>
      <c r="J769" s="192">
        <f>Tabla210[[#This Row],[TOTAL FACTURA]]*0.4</f>
        <v>60000</v>
      </c>
      <c r="L769" s="11"/>
      <c r="M769" s="11"/>
      <c r="N769" s="2" t="s">
        <v>25</v>
      </c>
      <c r="O769" s="15">
        <f>Tabla210[[#This Row],[MONTO DE COMPRA]]-Tabla210[[#This Row],[MONTO DE LA VENTA]]</f>
        <v>0</v>
      </c>
    </row>
    <row r="770" spans="1:15" x14ac:dyDescent="0.25">
      <c r="A770" s="56">
        <v>44734</v>
      </c>
      <c r="B770" s="4" t="s">
        <v>2167</v>
      </c>
      <c r="C770" s="191" t="s">
        <v>1699</v>
      </c>
      <c r="D770" s="1" t="s">
        <v>2168</v>
      </c>
      <c r="E770" s="4" t="s">
        <v>2169</v>
      </c>
      <c r="F770" s="1" t="s">
        <v>19</v>
      </c>
      <c r="G770" s="71" t="s">
        <v>2170</v>
      </c>
      <c r="H770" s="2">
        <v>50000</v>
      </c>
      <c r="I770" s="2">
        <v>35000</v>
      </c>
      <c r="J770" s="192">
        <f>Tabla210[[#This Row],[TOTAL FACTURA]]*0.4</f>
        <v>20000</v>
      </c>
      <c r="L770" s="11"/>
      <c r="M770" s="11"/>
      <c r="O770" s="15">
        <f>Tabla210[[#This Row],[MONTO DE COMPRA]]-Tabla210[[#This Row],[MONTO DE LA VENTA]]</f>
        <v>0</v>
      </c>
    </row>
    <row r="771" spans="1:15" x14ac:dyDescent="0.25">
      <c r="A771" s="56">
        <v>44734</v>
      </c>
      <c r="B771" s="4" t="s">
        <v>2171</v>
      </c>
      <c r="C771" s="191" t="s">
        <v>2172</v>
      </c>
      <c r="D771" s="1" t="s">
        <v>566</v>
      </c>
      <c r="E771" s="4" t="s">
        <v>2173</v>
      </c>
      <c r="F771" s="1" t="s">
        <v>1039</v>
      </c>
      <c r="G771" s="71" t="s">
        <v>2174</v>
      </c>
      <c r="H771" s="2">
        <v>120000</v>
      </c>
      <c r="I771" s="2">
        <v>72000</v>
      </c>
      <c r="J771" s="192">
        <f>Tabla210[[#This Row],[TOTAL FACTURA]]*0.4</f>
        <v>48000</v>
      </c>
      <c r="L771" s="11"/>
      <c r="M771" s="11"/>
      <c r="O771" s="15">
        <f>Tabla210[[#This Row],[MONTO DE COMPRA]]-Tabla210[[#This Row],[MONTO DE LA VENTA]]</f>
        <v>0</v>
      </c>
    </row>
    <row r="772" spans="1:15" x14ac:dyDescent="0.25">
      <c r="A772" s="56">
        <v>44734</v>
      </c>
      <c r="C772" s="191" t="s">
        <v>2175</v>
      </c>
      <c r="D772" s="1" t="s">
        <v>2176</v>
      </c>
      <c r="E772" s="4" t="s">
        <v>2177</v>
      </c>
      <c r="F772" s="1" t="s">
        <v>1039</v>
      </c>
      <c r="G772" s="71" t="s">
        <v>1573</v>
      </c>
      <c r="H772" s="2">
        <v>15000</v>
      </c>
      <c r="I772" s="2">
        <v>9000</v>
      </c>
      <c r="J772" s="192">
        <f>Tabla210[[#This Row],[TOTAL FACTURA]]*0.4</f>
        <v>6000</v>
      </c>
      <c r="L772" s="11"/>
      <c r="M772" s="11"/>
      <c r="O772" s="15">
        <f>Tabla210[[#This Row],[MONTO DE COMPRA]]-Tabla210[[#This Row],[MONTO DE LA VENTA]]</f>
        <v>0</v>
      </c>
    </row>
    <row r="773" spans="1:15" x14ac:dyDescent="0.25">
      <c r="A773" s="56">
        <v>44734</v>
      </c>
      <c r="C773" s="191"/>
      <c r="D773" s="1" t="s">
        <v>22</v>
      </c>
      <c r="E773" s="4" t="s">
        <v>2178</v>
      </c>
      <c r="F773" s="1" t="s">
        <v>1039</v>
      </c>
      <c r="G773" s="71" t="s">
        <v>2179</v>
      </c>
      <c r="H773" s="2">
        <v>30000</v>
      </c>
      <c r="I773" s="2">
        <v>18000</v>
      </c>
      <c r="J773" s="192">
        <f>Tabla210[[#This Row],[TOTAL FACTURA]]*0.4</f>
        <v>12000</v>
      </c>
      <c r="L773" s="11"/>
      <c r="M773" s="11"/>
      <c r="O773" s="15">
        <f>Tabla210[[#This Row],[MONTO DE COMPRA]]-Tabla210[[#This Row],[MONTO DE LA VENTA]]</f>
        <v>0</v>
      </c>
    </row>
    <row r="774" spans="1:15" x14ac:dyDescent="0.25">
      <c r="A774" s="56">
        <v>44735</v>
      </c>
      <c r="B774" s="4" t="s">
        <v>2181</v>
      </c>
      <c r="C774" s="191" t="s">
        <v>2180</v>
      </c>
      <c r="E774" s="4" t="s">
        <v>2182</v>
      </c>
      <c r="F774" s="1" t="s">
        <v>10</v>
      </c>
      <c r="G774" s="71" t="s">
        <v>2183</v>
      </c>
      <c r="H774" s="2">
        <v>800000</v>
      </c>
      <c r="I774" s="2">
        <v>560000</v>
      </c>
      <c r="J774" s="192">
        <f>Tabla210[[#This Row],[TOTAL FACTURA]]*0.4</f>
        <v>320000</v>
      </c>
      <c r="L774" s="11"/>
      <c r="M774" s="11"/>
      <c r="N774" s="2" t="s">
        <v>25</v>
      </c>
      <c r="O774" s="15">
        <f>Tabla210[[#This Row],[MONTO DE COMPRA]]-Tabla210[[#This Row],[MONTO DE LA VENTA]]</f>
        <v>0</v>
      </c>
    </row>
    <row r="775" spans="1:15" x14ac:dyDescent="0.25">
      <c r="A775" s="56">
        <v>44735</v>
      </c>
      <c r="B775" s="4" t="s">
        <v>2181</v>
      </c>
      <c r="C775" s="191" t="s">
        <v>2180</v>
      </c>
      <c r="E775" s="4" t="s">
        <v>2182</v>
      </c>
      <c r="F775" s="1" t="s">
        <v>1039</v>
      </c>
      <c r="G775" s="71" t="s">
        <v>206</v>
      </c>
      <c r="H775" s="2">
        <v>180000</v>
      </c>
      <c r="I775" s="2">
        <v>108000</v>
      </c>
      <c r="J775" s="192">
        <f>Tabla210[[#This Row],[TOTAL FACTURA]]*0.4</f>
        <v>72000</v>
      </c>
      <c r="L775" s="11"/>
      <c r="M775" s="11"/>
      <c r="O775" s="15">
        <f>Tabla210[[#This Row],[MONTO DE COMPRA]]-Tabla210[[#This Row],[MONTO DE LA VENTA]]</f>
        <v>0</v>
      </c>
    </row>
    <row r="776" spans="1:15" x14ac:dyDescent="0.25">
      <c r="A776" s="56">
        <v>44735</v>
      </c>
      <c r="C776" s="191"/>
      <c r="D776" s="1" t="s">
        <v>385</v>
      </c>
      <c r="E776" s="4" t="s">
        <v>2184</v>
      </c>
      <c r="F776" s="1" t="s">
        <v>10</v>
      </c>
      <c r="G776" s="71" t="s">
        <v>1407</v>
      </c>
      <c r="H776" s="2">
        <v>150000</v>
      </c>
      <c r="I776" s="2">
        <v>105000</v>
      </c>
      <c r="J776" s="192">
        <f>Tabla210[[#This Row],[TOTAL FACTURA]]*0.4</f>
        <v>60000</v>
      </c>
      <c r="L776" s="11"/>
      <c r="M776" s="11"/>
      <c r="N776" s="2" t="s">
        <v>25</v>
      </c>
      <c r="O776" s="15">
        <f>Tabla210[[#This Row],[MONTO DE COMPRA]]-Tabla210[[#This Row],[MONTO DE LA VENTA]]</f>
        <v>0</v>
      </c>
    </row>
    <row r="777" spans="1:15" x14ac:dyDescent="0.25">
      <c r="A777" s="56">
        <v>44735</v>
      </c>
      <c r="C777" s="191"/>
      <c r="D777" s="1" t="s">
        <v>1203</v>
      </c>
      <c r="E777" s="4"/>
      <c r="F777" s="1" t="s">
        <v>408</v>
      </c>
      <c r="G777" s="71" t="s">
        <v>2185</v>
      </c>
      <c r="H777" s="2">
        <v>120000</v>
      </c>
      <c r="I777" s="2">
        <v>84000</v>
      </c>
      <c r="J777" s="192">
        <f>Tabla210[[#This Row],[TOTAL FACTURA]]*0.4</f>
        <v>48000</v>
      </c>
      <c r="L777" s="11"/>
      <c r="M777" s="11"/>
      <c r="O777" s="15">
        <f>Tabla210[[#This Row],[MONTO DE COMPRA]]-Tabla210[[#This Row],[MONTO DE LA VENTA]]</f>
        <v>0</v>
      </c>
    </row>
    <row r="778" spans="1:15" x14ac:dyDescent="0.25">
      <c r="A778" s="56">
        <v>44736</v>
      </c>
      <c r="C778" s="191" t="s">
        <v>598</v>
      </c>
      <c r="D778" s="1" t="s">
        <v>151</v>
      </c>
      <c r="E778" s="4" t="s">
        <v>152</v>
      </c>
      <c r="F778" s="1" t="s">
        <v>2011</v>
      </c>
      <c r="G778" s="71" t="s">
        <v>2186</v>
      </c>
      <c r="H778" s="2">
        <v>30000</v>
      </c>
      <c r="I778" s="2">
        <v>18000</v>
      </c>
      <c r="J778" s="192">
        <f>Tabla210[[#This Row],[TOTAL FACTURA]]*0.4</f>
        <v>12000</v>
      </c>
      <c r="L778" s="11"/>
      <c r="M778" s="11"/>
      <c r="O778" s="15">
        <f>Tabla210[[#This Row],[MONTO DE COMPRA]]-Tabla210[[#This Row],[MONTO DE LA VENTA]]</f>
        <v>0</v>
      </c>
    </row>
    <row r="779" spans="1:15" x14ac:dyDescent="0.25">
      <c r="A779" s="56">
        <v>44736</v>
      </c>
      <c r="C779" s="191" t="s">
        <v>2187</v>
      </c>
      <c r="D779" s="1" t="s">
        <v>200</v>
      </c>
      <c r="E779" s="4" t="s">
        <v>1103</v>
      </c>
      <c r="F779" s="1" t="s">
        <v>408</v>
      </c>
      <c r="G779" s="71" t="s">
        <v>2209</v>
      </c>
      <c r="H779" s="2">
        <v>200000</v>
      </c>
      <c r="I779" s="2">
        <v>140000</v>
      </c>
      <c r="J779" s="192">
        <f>Tabla210[[#This Row],[TOTAL FACTURA]]*0.4</f>
        <v>80000</v>
      </c>
      <c r="L779" s="11"/>
      <c r="M779" s="11"/>
      <c r="O779" s="15">
        <f>Tabla210[[#This Row],[MONTO DE COMPRA]]-Tabla210[[#This Row],[MONTO DE LA VENTA]]</f>
        <v>0</v>
      </c>
    </row>
    <row r="780" spans="1:15" x14ac:dyDescent="0.25">
      <c r="A780" s="56">
        <v>44736</v>
      </c>
      <c r="B780" s="4" t="s">
        <v>2191</v>
      </c>
      <c r="C780" s="191" t="s">
        <v>2188</v>
      </c>
      <c r="D780" s="1" t="s">
        <v>2190</v>
      </c>
      <c r="E780" s="4" t="s">
        <v>2189</v>
      </c>
      <c r="F780" s="1" t="s">
        <v>408</v>
      </c>
      <c r="G780" s="71" t="s">
        <v>206</v>
      </c>
      <c r="H780" s="2">
        <v>70000</v>
      </c>
      <c r="I780" s="2">
        <v>49000</v>
      </c>
      <c r="J780" s="192">
        <f>Tabla210[[#This Row],[TOTAL FACTURA]]*0.4</f>
        <v>28000</v>
      </c>
      <c r="L780" s="11"/>
      <c r="M780" s="11"/>
      <c r="O780" s="15">
        <f>Tabla210[[#This Row],[MONTO DE COMPRA]]-Tabla210[[#This Row],[MONTO DE LA VENTA]]</f>
        <v>0</v>
      </c>
    </row>
    <row r="781" spans="1:15" x14ac:dyDescent="0.25">
      <c r="A781" s="56">
        <v>44736</v>
      </c>
      <c r="C781" s="191" t="s">
        <v>2192</v>
      </c>
      <c r="D781" s="1" t="s">
        <v>2193</v>
      </c>
      <c r="E781" s="4" t="s">
        <v>2194</v>
      </c>
      <c r="F781" s="1" t="s">
        <v>1039</v>
      </c>
      <c r="G781" s="71" t="s">
        <v>2195</v>
      </c>
      <c r="H781" s="2">
        <v>80000</v>
      </c>
      <c r="I781" s="2">
        <v>48000</v>
      </c>
      <c r="J781" s="192">
        <f>Tabla210[[#This Row],[TOTAL FACTURA]]*0.4</f>
        <v>32000</v>
      </c>
      <c r="L781" s="11"/>
      <c r="M781" s="11"/>
      <c r="O781" s="15">
        <f>Tabla210[[#This Row],[MONTO DE COMPRA]]-Tabla210[[#This Row],[MONTO DE LA VENTA]]</f>
        <v>0</v>
      </c>
    </row>
    <row r="782" spans="1:15" x14ac:dyDescent="0.25">
      <c r="A782" s="56">
        <v>44736</v>
      </c>
      <c r="C782" s="191"/>
      <c r="D782" s="1" t="s">
        <v>194</v>
      </c>
      <c r="E782" s="4" t="s">
        <v>2196</v>
      </c>
      <c r="F782" s="1" t="s">
        <v>408</v>
      </c>
      <c r="G782" s="71" t="s">
        <v>2197</v>
      </c>
      <c r="H782" s="2">
        <v>40000</v>
      </c>
      <c r="I782" s="2">
        <v>28000</v>
      </c>
      <c r="J782" s="192">
        <f>Tabla210[[#This Row],[TOTAL FACTURA]]*0.4</f>
        <v>16000</v>
      </c>
      <c r="L782" s="11"/>
      <c r="M782" s="11"/>
      <c r="O782" s="15">
        <f>Tabla210[[#This Row],[MONTO DE COMPRA]]-Tabla210[[#This Row],[MONTO DE LA VENTA]]</f>
        <v>0</v>
      </c>
    </row>
    <row r="783" spans="1:15" x14ac:dyDescent="0.25">
      <c r="A783" s="56">
        <v>44736</v>
      </c>
      <c r="C783" s="191" t="s">
        <v>2198</v>
      </c>
      <c r="D783" s="1" t="s">
        <v>54</v>
      </c>
      <c r="E783" s="4" t="s">
        <v>2199</v>
      </c>
      <c r="F783" s="1" t="s">
        <v>408</v>
      </c>
      <c r="G783" s="71" t="s">
        <v>341</v>
      </c>
      <c r="H783" s="2">
        <v>15000</v>
      </c>
      <c r="I783" s="2">
        <v>10500</v>
      </c>
      <c r="J783" s="192">
        <f>Tabla210[[#This Row],[TOTAL FACTURA]]*0.4</f>
        <v>6000</v>
      </c>
      <c r="L783" s="11"/>
      <c r="M783" s="11"/>
      <c r="O783" s="15">
        <f>Tabla210[[#This Row],[MONTO DE COMPRA]]-Tabla210[[#This Row],[MONTO DE LA VENTA]]</f>
        <v>0</v>
      </c>
    </row>
    <row r="784" spans="1:15" x14ac:dyDescent="0.25">
      <c r="A784" s="56">
        <v>44736</v>
      </c>
      <c r="C784" s="191" t="s">
        <v>2207</v>
      </c>
      <c r="D784" s="1" t="s">
        <v>2206</v>
      </c>
      <c r="E784" s="4" t="s">
        <v>2205</v>
      </c>
      <c r="F784" s="1" t="s">
        <v>408</v>
      </c>
      <c r="G784" s="71" t="s">
        <v>2208</v>
      </c>
      <c r="H784" s="2">
        <v>700000</v>
      </c>
      <c r="I784" s="2">
        <v>489999.99999999994</v>
      </c>
      <c r="J784" s="192">
        <f>Tabla210[[#This Row],[TOTAL FACTURA]]*0.4</f>
        <v>280000</v>
      </c>
      <c r="L784" s="11"/>
      <c r="M784" s="11"/>
      <c r="O784" s="15">
        <f>Tabla210[[#This Row],[MONTO DE COMPRA]]-Tabla210[[#This Row],[MONTO DE LA VENTA]]</f>
        <v>0</v>
      </c>
    </row>
    <row r="785" spans="1:15" x14ac:dyDescent="0.25">
      <c r="A785" s="56">
        <v>44736</v>
      </c>
      <c r="C785" s="191"/>
      <c r="D785" s="1" t="s">
        <v>168</v>
      </c>
      <c r="E785" s="4" t="s">
        <v>2210</v>
      </c>
      <c r="F785" s="1" t="s">
        <v>30</v>
      </c>
      <c r="G785" s="71" t="s">
        <v>2211</v>
      </c>
      <c r="H785" s="2">
        <v>150000</v>
      </c>
      <c r="I785" s="2">
        <v>90000</v>
      </c>
      <c r="J785" s="192">
        <f>Tabla210[[#This Row],[TOTAL FACTURA]]*0.4</f>
        <v>60000</v>
      </c>
      <c r="L785" s="11"/>
      <c r="M785" s="11"/>
      <c r="O785" s="15">
        <f>Tabla210[[#This Row],[MONTO DE COMPRA]]-Tabla210[[#This Row],[MONTO DE LA VENTA]]</f>
        <v>0</v>
      </c>
    </row>
    <row r="786" spans="1:15" x14ac:dyDescent="0.25">
      <c r="A786" s="56">
        <v>44737</v>
      </c>
      <c r="B786" s="4" t="s">
        <v>2212</v>
      </c>
      <c r="C786" s="191" t="s">
        <v>2213</v>
      </c>
      <c r="D786" s="1" t="s">
        <v>1305</v>
      </c>
      <c r="E786" s="4" t="s">
        <v>2214</v>
      </c>
      <c r="F786" s="1" t="s">
        <v>408</v>
      </c>
      <c r="G786" s="71" t="s">
        <v>2215</v>
      </c>
      <c r="H786" s="2">
        <v>160000</v>
      </c>
      <c r="I786" s="2">
        <v>112000</v>
      </c>
      <c r="J786" s="192">
        <f>Tabla210[[#This Row],[TOTAL FACTURA]]*0.4</f>
        <v>64000</v>
      </c>
      <c r="L786" s="11"/>
      <c r="M786" s="11"/>
      <c r="O786" s="15">
        <f>Tabla210[[#This Row],[MONTO DE COMPRA]]-Tabla210[[#This Row],[MONTO DE LA VENTA]]</f>
        <v>0</v>
      </c>
    </row>
    <row r="787" spans="1:15" x14ac:dyDescent="0.25">
      <c r="A787" s="56">
        <v>44737</v>
      </c>
      <c r="C787" s="191" t="s">
        <v>2216</v>
      </c>
      <c r="D787" s="1" t="s">
        <v>202</v>
      </c>
      <c r="E787" s="4" t="s">
        <v>2217</v>
      </c>
      <c r="F787" s="1" t="s">
        <v>1039</v>
      </c>
      <c r="G787" s="71" t="s">
        <v>2218</v>
      </c>
      <c r="H787" s="2">
        <v>40000</v>
      </c>
      <c r="I787" s="2">
        <v>24000</v>
      </c>
      <c r="J787" s="192">
        <f>Tabla210[[#This Row],[TOTAL FACTURA]]*0.4</f>
        <v>16000</v>
      </c>
      <c r="L787" s="11"/>
      <c r="M787" s="11"/>
      <c r="O787" s="15">
        <f>Tabla210[[#This Row],[MONTO DE COMPRA]]-Tabla210[[#This Row],[MONTO DE LA VENTA]]</f>
        <v>0</v>
      </c>
    </row>
    <row r="788" spans="1:15" x14ac:dyDescent="0.25">
      <c r="A788" s="56">
        <v>44737</v>
      </c>
      <c r="C788" s="191"/>
      <c r="D788" s="1" t="s">
        <v>1196</v>
      </c>
      <c r="E788" s="4" t="s">
        <v>2219</v>
      </c>
      <c r="F788" s="1" t="s">
        <v>1039</v>
      </c>
      <c r="G788" s="71" t="s">
        <v>560</v>
      </c>
      <c r="H788" s="2">
        <v>40000</v>
      </c>
      <c r="I788" s="2">
        <v>24000</v>
      </c>
      <c r="J788" s="192">
        <f>Tabla210[[#This Row],[TOTAL FACTURA]]*0.4</f>
        <v>16000</v>
      </c>
      <c r="L788" s="11"/>
      <c r="M788" s="11"/>
      <c r="O788" s="15">
        <f>Tabla210[[#This Row],[MONTO DE COMPRA]]-Tabla210[[#This Row],[MONTO DE LA VENTA]]</f>
        <v>0</v>
      </c>
    </row>
    <row r="789" spans="1:15" x14ac:dyDescent="0.25">
      <c r="A789" s="56">
        <v>44737</v>
      </c>
      <c r="B789" s="4" t="s">
        <v>2220</v>
      </c>
      <c r="C789" s="191" t="s">
        <v>2221</v>
      </c>
      <c r="D789" s="1" t="s">
        <v>2226</v>
      </c>
      <c r="E789" s="4" t="s">
        <v>2222</v>
      </c>
      <c r="F789" s="1" t="s">
        <v>1039</v>
      </c>
      <c r="G789" s="71" t="s">
        <v>2223</v>
      </c>
      <c r="H789" s="2">
        <v>80000</v>
      </c>
      <c r="I789" s="2">
        <v>48000</v>
      </c>
      <c r="J789" s="192">
        <f>Tabla210[[#This Row],[TOTAL FACTURA]]*0.4</f>
        <v>32000</v>
      </c>
      <c r="L789" s="11"/>
      <c r="M789" s="11"/>
      <c r="O789" s="15">
        <f>Tabla210[[#This Row],[MONTO DE COMPRA]]-Tabla210[[#This Row],[MONTO DE LA VENTA]]</f>
        <v>0</v>
      </c>
    </row>
    <row r="790" spans="1:15" x14ac:dyDescent="0.25">
      <c r="A790" s="56">
        <v>44737</v>
      </c>
      <c r="C790" s="191"/>
      <c r="D790" s="1" t="s">
        <v>2227</v>
      </c>
      <c r="E790" s="4" t="s">
        <v>2224</v>
      </c>
      <c r="F790" s="1" t="s">
        <v>10</v>
      </c>
      <c r="G790" s="71" t="s">
        <v>2289</v>
      </c>
      <c r="H790" s="2">
        <v>30000</v>
      </c>
      <c r="I790" s="2">
        <v>21000</v>
      </c>
      <c r="J790" s="192">
        <f>Tabla210[[#This Row],[TOTAL FACTURA]]*0.4</f>
        <v>12000</v>
      </c>
      <c r="L790" s="11"/>
      <c r="M790" s="11"/>
      <c r="N790" s="2" t="s">
        <v>25</v>
      </c>
      <c r="O790" s="15">
        <f>Tabla210[[#This Row],[MONTO DE COMPRA]]-Tabla210[[#This Row],[MONTO DE LA VENTA]]</f>
        <v>0</v>
      </c>
    </row>
    <row r="791" spans="1:15" x14ac:dyDescent="0.25">
      <c r="A791" s="56">
        <v>44737</v>
      </c>
      <c r="C791" s="191"/>
      <c r="D791" s="1" t="s">
        <v>2227</v>
      </c>
      <c r="E791" s="4" t="s">
        <v>2224</v>
      </c>
      <c r="F791" s="1" t="s">
        <v>19</v>
      </c>
      <c r="G791" s="71" t="s">
        <v>2225</v>
      </c>
      <c r="H791" s="2">
        <v>30000</v>
      </c>
      <c r="I791" s="2">
        <v>21000</v>
      </c>
      <c r="J791" s="192">
        <f>Tabla210[[#This Row],[TOTAL FACTURA]]*0.4</f>
        <v>12000</v>
      </c>
      <c r="L791" s="11"/>
      <c r="M791" s="11"/>
      <c r="O791" s="15">
        <f>Tabla210[[#This Row],[MONTO DE COMPRA]]-Tabla210[[#This Row],[MONTO DE LA VENTA]]</f>
        <v>0</v>
      </c>
    </row>
    <row r="792" spans="1:15" x14ac:dyDescent="0.25">
      <c r="A792" s="56">
        <v>44737</v>
      </c>
      <c r="C792" s="191" t="s">
        <v>2228</v>
      </c>
      <c r="D792" s="1" t="s">
        <v>2229</v>
      </c>
      <c r="E792" s="4" t="s">
        <v>2230</v>
      </c>
      <c r="F792" s="1" t="s">
        <v>408</v>
      </c>
      <c r="G792" s="71" t="s">
        <v>2231</v>
      </c>
      <c r="H792" s="2">
        <v>30000</v>
      </c>
      <c r="I792" s="2">
        <v>21000</v>
      </c>
      <c r="J792" s="192">
        <f>Tabla210[[#This Row],[TOTAL FACTURA]]*0.4</f>
        <v>12000</v>
      </c>
      <c r="L792" s="11"/>
      <c r="M792" s="11"/>
      <c r="O792" s="15">
        <f>Tabla210[[#This Row],[MONTO DE COMPRA]]-Tabla210[[#This Row],[MONTO DE LA VENTA]]</f>
        <v>0</v>
      </c>
    </row>
    <row r="793" spans="1:15" x14ac:dyDescent="0.25">
      <c r="A793" s="56">
        <v>44737</v>
      </c>
      <c r="C793" s="191" t="s">
        <v>129</v>
      </c>
      <c r="D793" s="1" t="s">
        <v>952</v>
      </c>
      <c r="E793" s="4" t="s">
        <v>953</v>
      </c>
      <c r="G793" s="71" t="s">
        <v>2232</v>
      </c>
      <c r="H793" s="2">
        <v>150000</v>
      </c>
      <c r="I793" s="2">
        <v>90000</v>
      </c>
      <c r="J793" s="192">
        <f>Tabla210[[#This Row],[TOTAL FACTURA]]*0.4</f>
        <v>60000</v>
      </c>
      <c r="L793" s="11"/>
      <c r="M793" s="11"/>
      <c r="O793" s="15">
        <f>Tabla210[[#This Row],[MONTO DE COMPRA]]-Tabla210[[#This Row],[MONTO DE LA VENTA]]</f>
        <v>0</v>
      </c>
    </row>
    <row r="794" spans="1:15" x14ac:dyDescent="0.25">
      <c r="A794" s="56">
        <v>44739</v>
      </c>
      <c r="C794" s="191"/>
      <c r="D794" s="1" t="s">
        <v>59</v>
      </c>
      <c r="E794" s="4"/>
      <c r="F794" s="1" t="s">
        <v>1039</v>
      </c>
      <c r="G794" s="71" t="s">
        <v>869</v>
      </c>
      <c r="I794" s="2">
        <v>25000</v>
      </c>
      <c r="J794" s="192">
        <f>Tabla210[[#This Row],[TOTAL FACTURA]]*0.4</f>
        <v>0</v>
      </c>
      <c r="L794" s="11"/>
      <c r="M794" s="11"/>
      <c r="O794" s="15">
        <f>Tabla210[[#This Row],[MONTO DE COMPRA]]-Tabla210[[#This Row],[MONTO DE LA VENTA]]</f>
        <v>0</v>
      </c>
    </row>
    <row r="795" spans="1:15" x14ac:dyDescent="0.25">
      <c r="A795" s="56">
        <v>44739</v>
      </c>
      <c r="C795" s="191"/>
      <c r="E795" s="4" t="s">
        <v>2176</v>
      </c>
      <c r="F795" s="1" t="s">
        <v>1039</v>
      </c>
      <c r="G795" s="71" t="s">
        <v>174</v>
      </c>
      <c r="J795" s="192">
        <f>Tabla210[[#This Row],[TOTAL FACTURA]]*0.4</f>
        <v>0</v>
      </c>
      <c r="L795" s="11"/>
      <c r="M795" s="11"/>
      <c r="O795" s="15">
        <f>Tabla210[[#This Row],[MONTO DE COMPRA]]-Tabla210[[#This Row],[MONTO DE LA VENTA]]</f>
        <v>0</v>
      </c>
    </row>
    <row r="796" spans="1:15" x14ac:dyDescent="0.25">
      <c r="A796" s="56">
        <v>44740</v>
      </c>
      <c r="C796" s="191"/>
      <c r="E796" s="4" t="s">
        <v>148</v>
      </c>
      <c r="F796" s="1" t="s">
        <v>1039</v>
      </c>
      <c r="G796" s="71" t="s">
        <v>2233</v>
      </c>
      <c r="H796" s="2">
        <v>10000</v>
      </c>
      <c r="I796" s="2">
        <v>6000</v>
      </c>
      <c r="J796" s="192">
        <f>Tabla210[[#This Row],[TOTAL FACTURA]]*0.4</f>
        <v>4000</v>
      </c>
      <c r="L796" s="11"/>
      <c r="M796" s="11"/>
      <c r="O796" s="15">
        <f>Tabla210[[#This Row],[MONTO DE COMPRA]]-Tabla210[[#This Row],[MONTO DE LA VENTA]]</f>
        <v>0</v>
      </c>
    </row>
    <row r="797" spans="1:15" x14ac:dyDescent="0.25">
      <c r="A797" s="56">
        <v>44740</v>
      </c>
      <c r="C797" s="191" t="s">
        <v>2234</v>
      </c>
      <c r="D797" s="1" t="s">
        <v>213</v>
      </c>
      <c r="E797" s="4" t="s">
        <v>2235</v>
      </c>
      <c r="F797" s="1" t="s">
        <v>1039</v>
      </c>
      <c r="G797" s="71" t="s">
        <v>2236</v>
      </c>
      <c r="H797" s="2">
        <v>70000</v>
      </c>
      <c r="I797" s="2">
        <v>42000</v>
      </c>
      <c r="J797" s="192">
        <f>Tabla210[[#This Row],[TOTAL FACTURA]]*0.4</f>
        <v>28000</v>
      </c>
      <c r="L797" s="11"/>
      <c r="M797" s="11"/>
      <c r="O797" s="15">
        <f>Tabla210[[#This Row],[MONTO DE COMPRA]]-Tabla210[[#This Row],[MONTO DE LA VENTA]]</f>
        <v>0</v>
      </c>
    </row>
    <row r="798" spans="1:15" x14ac:dyDescent="0.25">
      <c r="A798" s="56">
        <v>44740</v>
      </c>
      <c r="C798" s="191" t="s">
        <v>2237</v>
      </c>
      <c r="D798" s="1" t="s">
        <v>392</v>
      </c>
      <c r="E798" s="4" t="s">
        <v>2238</v>
      </c>
      <c r="F798" s="1" t="s">
        <v>408</v>
      </c>
      <c r="G798" s="71" t="s">
        <v>2239</v>
      </c>
      <c r="H798" s="2">
        <v>30000</v>
      </c>
      <c r="I798" s="2">
        <v>21000</v>
      </c>
      <c r="J798" s="192">
        <f>Tabla210[[#This Row],[TOTAL FACTURA]]*0.4</f>
        <v>12000</v>
      </c>
      <c r="L798" s="11"/>
      <c r="M798" s="11"/>
      <c r="O798" s="15">
        <f>Tabla210[[#This Row],[MONTO DE COMPRA]]-Tabla210[[#This Row],[MONTO DE LA VENTA]]</f>
        <v>0</v>
      </c>
    </row>
    <row r="799" spans="1:15" x14ac:dyDescent="0.25">
      <c r="A799" s="56">
        <v>44741</v>
      </c>
      <c r="C799" s="191" t="s">
        <v>2240</v>
      </c>
      <c r="D799" s="1" t="s">
        <v>889</v>
      </c>
      <c r="E799" s="4" t="s">
        <v>1088</v>
      </c>
      <c r="F799" s="1" t="s">
        <v>408</v>
      </c>
      <c r="G799" s="71" t="s">
        <v>140</v>
      </c>
      <c r="H799" s="2">
        <v>60000</v>
      </c>
      <c r="I799" s="2">
        <v>42000</v>
      </c>
      <c r="J799" s="192">
        <f>Tabla210[[#This Row],[TOTAL FACTURA]]*0.4</f>
        <v>24000</v>
      </c>
      <c r="L799" s="11"/>
      <c r="M799" s="11"/>
      <c r="O799" s="15">
        <f>Tabla210[[#This Row],[MONTO DE COMPRA]]-Tabla210[[#This Row],[MONTO DE LA VENTA]]</f>
        <v>0</v>
      </c>
    </row>
    <row r="800" spans="1:15" x14ac:dyDescent="0.25">
      <c r="A800" s="56"/>
      <c r="C800" s="191"/>
      <c r="D800" s="1" t="s">
        <v>64</v>
      </c>
      <c r="E800" s="4"/>
      <c r="G800" s="71" t="s">
        <v>2291</v>
      </c>
      <c r="H800" s="2">
        <v>50000</v>
      </c>
      <c r="I800" s="2">
        <v>30000</v>
      </c>
      <c r="J800" s="192">
        <f>Tabla210[[#This Row],[TOTAL FACTURA]]*0.4</f>
        <v>20000</v>
      </c>
      <c r="L800" s="11"/>
      <c r="M800" s="11"/>
      <c r="O800" s="15">
        <f>Tabla210[[#This Row],[MONTO DE COMPRA]]-Tabla210[[#This Row],[MONTO DE LA VENTA]]</f>
        <v>0</v>
      </c>
    </row>
    <row r="801" spans="1:15" x14ac:dyDescent="0.25">
      <c r="A801" s="56">
        <v>44741</v>
      </c>
      <c r="C801" s="191" t="s">
        <v>1144</v>
      </c>
      <c r="D801" s="1" t="s">
        <v>54</v>
      </c>
      <c r="E801" s="4" t="s">
        <v>1730</v>
      </c>
      <c r="F801" s="1" t="s">
        <v>30</v>
      </c>
      <c r="G801" s="71" t="s">
        <v>101</v>
      </c>
      <c r="H801" s="2">
        <v>180000</v>
      </c>
      <c r="I801" s="2">
        <v>108000</v>
      </c>
      <c r="J801" s="192">
        <f>Tabla210[[#This Row],[TOTAL FACTURA]]*0.4</f>
        <v>72000</v>
      </c>
      <c r="L801" s="11"/>
      <c r="M801" s="11"/>
      <c r="O801" s="15">
        <f>Tabla210[[#This Row],[MONTO DE COMPRA]]-Tabla210[[#This Row],[MONTO DE LA VENTA]]</f>
        <v>0</v>
      </c>
    </row>
    <row r="802" spans="1:15" x14ac:dyDescent="0.25">
      <c r="A802" s="56">
        <v>44741</v>
      </c>
      <c r="C802" s="191"/>
      <c r="D802" s="1" t="s">
        <v>2241</v>
      </c>
      <c r="E802" s="4" t="s">
        <v>1596</v>
      </c>
      <c r="F802" s="1" t="s">
        <v>1039</v>
      </c>
      <c r="G802" s="71" t="s">
        <v>2242</v>
      </c>
      <c r="H802" s="2">
        <v>45000</v>
      </c>
      <c r="I802" s="2">
        <v>27000</v>
      </c>
      <c r="J802" s="192">
        <f>Tabla210[[#This Row],[TOTAL FACTURA]]*0.4</f>
        <v>18000</v>
      </c>
      <c r="L802" s="11"/>
      <c r="M802" s="11"/>
      <c r="O802" s="15">
        <f>Tabla210[[#This Row],[MONTO DE COMPRA]]-Tabla210[[#This Row],[MONTO DE LA VENTA]]</f>
        <v>0</v>
      </c>
    </row>
    <row r="803" spans="1:15" x14ac:dyDescent="0.25">
      <c r="A803" s="56">
        <v>44741</v>
      </c>
      <c r="B803" s="4" t="s">
        <v>622</v>
      </c>
      <c r="C803" s="191" t="s">
        <v>2243</v>
      </c>
      <c r="D803" s="1" t="s">
        <v>168</v>
      </c>
      <c r="E803" s="4" t="s">
        <v>2244</v>
      </c>
      <c r="F803" s="1" t="s">
        <v>408</v>
      </c>
      <c r="G803" s="71" t="s">
        <v>2245</v>
      </c>
      <c r="H803" s="2">
        <v>100000</v>
      </c>
      <c r="I803" s="2">
        <v>70000</v>
      </c>
      <c r="J803" s="192">
        <f>Tabla210[[#This Row],[TOTAL FACTURA]]*0.4</f>
        <v>40000</v>
      </c>
      <c r="L803" s="11"/>
      <c r="M803" s="11"/>
      <c r="O803" s="15">
        <f>Tabla210[[#This Row],[MONTO DE COMPRA]]-Tabla210[[#This Row],[MONTO DE LA VENTA]]</f>
        <v>0</v>
      </c>
    </row>
    <row r="804" spans="1:15" x14ac:dyDescent="0.25">
      <c r="A804" s="56">
        <v>44741</v>
      </c>
      <c r="B804" s="4" t="s">
        <v>614</v>
      </c>
      <c r="C804" s="191" t="s">
        <v>2246</v>
      </c>
      <c r="D804" s="1" t="s">
        <v>2247</v>
      </c>
      <c r="E804" s="4" t="s">
        <v>2248</v>
      </c>
      <c r="F804" s="1" t="s">
        <v>408</v>
      </c>
      <c r="G804" s="71" t="s">
        <v>2249</v>
      </c>
      <c r="H804" s="2">
        <v>30000</v>
      </c>
      <c r="I804" s="2">
        <v>21000</v>
      </c>
      <c r="J804" s="192">
        <f>Tabla210[[#This Row],[TOTAL FACTURA]]*0.4</f>
        <v>12000</v>
      </c>
      <c r="L804" s="11"/>
      <c r="M804" s="11"/>
      <c r="O804" s="15">
        <f>Tabla210[[#This Row],[MONTO DE COMPRA]]-Tabla210[[#This Row],[MONTO DE LA VENTA]]</f>
        <v>0</v>
      </c>
    </row>
    <row r="805" spans="1:15" x14ac:dyDescent="0.25">
      <c r="A805" s="56">
        <v>44741</v>
      </c>
      <c r="C805" s="191"/>
      <c r="E805" s="4" t="s">
        <v>2250</v>
      </c>
      <c r="F805" s="1" t="s">
        <v>1039</v>
      </c>
      <c r="G805" s="71" t="s">
        <v>1734</v>
      </c>
      <c r="H805" s="2">
        <v>30000</v>
      </c>
      <c r="I805" s="2">
        <v>18000</v>
      </c>
      <c r="J805" s="192">
        <f>Tabla210[[#This Row],[TOTAL FACTURA]]*0.4</f>
        <v>12000</v>
      </c>
      <c r="L805" s="11"/>
      <c r="M805" s="11"/>
      <c r="O805" s="15">
        <f>Tabla210[[#This Row],[MONTO DE COMPRA]]-Tabla210[[#This Row],[MONTO DE LA VENTA]]</f>
        <v>0</v>
      </c>
    </row>
    <row r="806" spans="1:15" x14ac:dyDescent="0.25">
      <c r="A806" s="56">
        <v>44742</v>
      </c>
      <c r="C806" s="191" t="s">
        <v>2251</v>
      </c>
      <c r="D806" s="1" t="s">
        <v>46</v>
      </c>
      <c r="E806" s="4" t="s">
        <v>2252</v>
      </c>
      <c r="F806" s="1" t="s">
        <v>408</v>
      </c>
      <c r="G806" s="71" t="s">
        <v>2253</v>
      </c>
      <c r="H806" s="2">
        <v>100000</v>
      </c>
      <c r="I806" s="2">
        <v>70000</v>
      </c>
      <c r="J806" s="192">
        <f>Tabla210[[#This Row],[TOTAL FACTURA]]*0.4</f>
        <v>40000</v>
      </c>
      <c r="L806" s="11"/>
      <c r="M806" s="11"/>
      <c r="O806" s="15">
        <f>Tabla210[[#This Row],[MONTO DE COMPRA]]-Tabla210[[#This Row],[MONTO DE LA VENTA]]</f>
        <v>0</v>
      </c>
    </row>
    <row r="807" spans="1:15" x14ac:dyDescent="0.25">
      <c r="A807" s="56">
        <v>44742</v>
      </c>
      <c r="C807" s="191" t="s">
        <v>1394</v>
      </c>
      <c r="D807" s="1" t="s">
        <v>240</v>
      </c>
      <c r="E807" s="4" t="s">
        <v>1395</v>
      </c>
      <c r="F807" s="1" t="s">
        <v>19</v>
      </c>
      <c r="G807" s="71" t="s">
        <v>2254</v>
      </c>
      <c r="H807" s="2">
        <v>30000</v>
      </c>
      <c r="I807" s="2">
        <v>21000</v>
      </c>
      <c r="J807" s="192">
        <f>Tabla210[[#This Row],[TOTAL FACTURA]]*0.4</f>
        <v>12000</v>
      </c>
      <c r="L807" s="11"/>
      <c r="M807" s="11"/>
      <c r="O807" s="15">
        <f>Tabla210[[#This Row],[MONTO DE COMPRA]]-Tabla210[[#This Row],[MONTO DE LA VENTA]]</f>
        <v>0</v>
      </c>
    </row>
    <row r="808" spans="1:15" x14ac:dyDescent="0.25">
      <c r="A808" s="56">
        <v>44742</v>
      </c>
      <c r="C808" s="191" t="s">
        <v>2255</v>
      </c>
      <c r="D808" s="1" t="s">
        <v>96</v>
      </c>
      <c r="E808" s="4" t="s">
        <v>619</v>
      </c>
      <c r="F808" s="1" t="s">
        <v>19</v>
      </c>
      <c r="G808" s="71" t="s">
        <v>2256</v>
      </c>
      <c r="H808" s="2">
        <v>100000</v>
      </c>
      <c r="I808" s="2">
        <v>70000</v>
      </c>
      <c r="J808" s="192">
        <f>Tabla210[[#This Row],[TOTAL FACTURA]]*0.4</f>
        <v>40000</v>
      </c>
      <c r="L808" s="11"/>
      <c r="M808" s="11"/>
      <c r="O808" s="15">
        <f>Tabla210[[#This Row],[MONTO DE COMPRA]]-Tabla210[[#This Row],[MONTO DE LA VENTA]]</f>
        <v>0</v>
      </c>
    </row>
    <row r="809" spans="1:15" x14ac:dyDescent="0.25">
      <c r="A809" s="56">
        <v>44742</v>
      </c>
      <c r="C809" s="191" t="s">
        <v>2257</v>
      </c>
      <c r="D809" s="1" t="s">
        <v>2258</v>
      </c>
      <c r="E809" s="4" t="s">
        <v>2259</v>
      </c>
      <c r="F809" s="1" t="s">
        <v>10</v>
      </c>
      <c r="G809" s="71" t="s">
        <v>2260</v>
      </c>
      <c r="H809" s="2">
        <v>450000</v>
      </c>
      <c r="I809" s="2">
        <v>315000</v>
      </c>
      <c r="J809" s="192">
        <f>Tabla210[[#This Row],[TOTAL FACTURA]]*0.4</f>
        <v>180000</v>
      </c>
      <c r="L809" s="11"/>
      <c r="M809" s="11"/>
      <c r="N809" s="2" t="s">
        <v>25</v>
      </c>
      <c r="O809" s="15">
        <f>Tabla210[[#This Row],[MONTO DE COMPRA]]-Tabla210[[#This Row],[MONTO DE LA VENTA]]</f>
        <v>0</v>
      </c>
    </row>
    <row r="810" spans="1:15" x14ac:dyDescent="0.25">
      <c r="A810" s="56">
        <v>44742</v>
      </c>
      <c r="C810" s="191" t="s">
        <v>1527</v>
      </c>
      <c r="D810" s="1" t="s">
        <v>2261</v>
      </c>
      <c r="E810" s="4" t="s">
        <v>1528</v>
      </c>
      <c r="F810" s="1" t="s">
        <v>30</v>
      </c>
      <c r="G810" s="71" t="s">
        <v>2262</v>
      </c>
      <c r="H810" s="2">
        <v>400000</v>
      </c>
      <c r="I810" s="2">
        <v>240000</v>
      </c>
      <c r="J810" s="192">
        <f>Tabla210[[#This Row],[TOTAL FACTURA]]*0.4</f>
        <v>160000</v>
      </c>
      <c r="L810" s="11"/>
      <c r="M810" s="11"/>
      <c r="O810" s="15">
        <f>Tabla210[[#This Row],[MONTO DE COMPRA]]-Tabla210[[#This Row],[MONTO DE LA VENTA]]</f>
        <v>0</v>
      </c>
    </row>
    <row r="811" spans="1:15" x14ac:dyDescent="0.25">
      <c r="A811" s="56">
        <v>44743</v>
      </c>
      <c r="C811" s="191" t="s">
        <v>1263</v>
      </c>
      <c r="D811" s="1" t="s">
        <v>2168</v>
      </c>
      <c r="E811" s="4" t="s">
        <v>2263</v>
      </c>
      <c r="F811" s="1" t="s">
        <v>30</v>
      </c>
      <c r="G811" s="71" t="s">
        <v>2264</v>
      </c>
      <c r="H811" s="2">
        <v>800000</v>
      </c>
      <c r="I811" s="2">
        <v>480000</v>
      </c>
      <c r="J811" s="192">
        <f>Tabla210[[#This Row],[TOTAL FACTURA]]*0.4</f>
        <v>320000</v>
      </c>
      <c r="L811" s="11"/>
      <c r="M811" s="11"/>
      <c r="O811" s="15">
        <f>Tabla210[[#This Row],[MONTO DE COMPRA]]-Tabla210[[#This Row],[MONTO DE LA VENTA]]</f>
        <v>0</v>
      </c>
    </row>
    <row r="812" spans="1:15" x14ac:dyDescent="0.25">
      <c r="A812" s="56">
        <v>44743</v>
      </c>
      <c r="B812" s="4" t="s">
        <v>2265</v>
      </c>
      <c r="C812" s="191" t="s">
        <v>2266</v>
      </c>
      <c r="D812" s="1" t="s">
        <v>989</v>
      </c>
      <c r="E812" s="4" t="s">
        <v>2267</v>
      </c>
      <c r="F812" s="1" t="s">
        <v>1039</v>
      </c>
      <c r="G812" s="71" t="s">
        <v>2268</v>
      </c>
      <c r="H812" s="2">
        <v>40000</v>
      </c>
      <c r="I812" s="2">
        <v>24000</v>
      </c>
      <c r="J812" s="192">
        <f>Tabla210[[#This Row],[TOTAL FACTURA]]*0.4</f>
        <v>16000</v>
      </c>
      <c r="L812" s="11"/>
      <c r="M812" s="11"/>
      <c r="O812" s="15">
        <f>Tabla210[[#This Row],[MONTO DE COMPRA]]-Tabla210[[#This Row],[MONTO DE LA VENTA]]</f>
        <v>0</v>
      </c>
    </row>
    <row r="813" spans="1:15" x14ac:dyDescent="0.25">
      <c r="A813" s="56">
        <v>44743</v>
      </c>
      <c r="B813" s="4" t="s">
        <v>2265</v>
      </c>
      <c r="C813" s="191" t="s">
        <v>2266</v>
      </c>
      <c r="D813" s="1" t="s">
        <v>989</v>
      </c>
      <c r="E813" s="4" t="s">
        <v>2267</v>
      </c>
      <c r="F813" s="1" t="s">
        <v>19</v>
      </c>
      <c r="G813" s="71" t="s">
        <v>2269</v>
      </c>
      <c r="H813" s="2">
        <v>30000</v>
      </c>
      <c r="I813" s="2">
        <v>21000</v>
      </c>
      <c r="J813" s="192">
        <f>Tabla210[[#This Row],[TOTAL FACTURA]]*0.4</f>
        <v>12000</v>
      </c>
      <c r="L813" s="11"/>
      <c r="M813" s="11"/>
      <c r="O813" s="15">
        <f>Tabla210[[#This Row],[MONTO DE COMPRA]]-Tabla210[[#This Row],[MONTO DE LA VENTA]]</f>
        <v>0</v>
      </c>
    </row>
    <row r="814" spans="1:15" x14ac:dyDescent="0.25">
      <c r="A814" s="56">
        <v>44743</v>
      </c>
      <c r="B814" s="4" t="s">
        <v>2270</v>
      </c>
      <c r="C814" s="191" t="s">
        <v>2271</v>
      </c>
      <c r="D814" s="1" t="s">
        <v>242</v>
      </c>
      <c r="E814" s="4" t="s">
        <v>2272</v>
      </c>
      <c r="F814" s="1" t="s">
        <v>19</v>
      </c>
      <c r="G814" s="71" t="s">
        <v>2284</v>
      </c>
      <c r="H814" s="2">
        <v>110000</v>
      </c>
      <c r="I814" s="2">
        <v>77000</v>
      </c>
      <c r="J814" s="192">
        <f>Tabla210[[#This Row],[TOTAL FACTURA]]*0.4</f>
        <v>44000</v>
      </c>
      <c r="L814" s="11"/>
      <c r="M814" s="11"/>
      <c r="O814" s="15">
        <f>Tabla210[[#This Row],[MONTO DE COMPRA]]-Tabla210[[#This Row],[MONTO DE LA VENTA]]</f>
        <v>0</v>
      </c>
    </row>
    <row r="815" spans="1:15" x14ac:dyDescent="0.25">
      <c r="A815" s="56">
        <v>44743</v>
      </c>
      <c r="C815" s="191" t="s">
        <v>2273</v>
      </c>
      <c r="D815" s="1" t="s">
        <v>84</v>
      </c>
      <c r="E815" s="4" t="s">
        <v>2274</v>
      </c>
      <c r="F815" s="1" t="s">
        <v>19</v>
      </c>
      <c r="G815" s="71" t="s">
        <v>2275</v>
      </c>
      <c r="H815" s="2">
        <v>100000</v>
      </c>
      <c r="I815" s="2">
        <v>70000</v>
      </c>
      <c r="J815" s="192">
        <f>Tabla210[[#This Row],[TOTAL FACTURA]]*0.4</f>
        <v>40000</v>
      </c>
      <c r="L815" s="11"/>
      <c r="M815" s="11"/>
      <c r="O815" s="15">
        <f>Tabla210[[#This Row],[MONTO DE COMPRA]]-Tabla210[[#This Row],[MONTO DE LA VENTA]]</f>
        <v>0</v>
      </c>
    </row>
    <row r="816" spans="1:15" x14ac:dyDescent="0.25">
      <c r="A816" s="56">
        <v>44743</v>
      </c>
      <c r="B816" s="4" t="s">
        <v>2276</v>
      </c>
      <c r="C816" s="191" t="s">
        <v>2277</v>
      </c>
      <c r="D816" s="1" t="s">
        <v>76</v>
      </c>
      <c r="E816" s="4" t="s">
        <v>2278</v>
      </c>
      <c r="F816" s="1" t="s">
        <v>408</v>
      </c>
      <c r="G816" s="71" t="s">
        <v>20</v>
      </c>
      <c r="H816" s="2">
        <v>30000</v>
      </c>
      <c r="I816" s="2">
        <v>21000</v>
      </c>
      <c r="J816" s="192">
        <f>Tabla210[[#This Row],[TOTAL FACTURA]]*0.4</f>
        <v>12000</v>
      </c>
      <c r="L816" s="11"/>
      <c r="M816" s="11"/>
      <c r="O816" s="15">
        <f>Tabla210[[#This Row],[MONTO DE COMPRA]]-Tabla210[[#This Row],[MONTO DE LA VENTA]]</f>
        <v>0</v>
      </c>
    </row>
    <row r="817" spans="1:15" x14ac:dyDescent="0.25">
      <c r="A817" s="56">
        <v>44743</v>
      </c>
      <c r="C817" s="191" t="s">
        <v>2279</v>
      </c>
      <c r="D817" s="1" t="s">
        <v>2285</v>
      </c>
      <c r="E817" s="4" t="s">
        <v>2280</v>
      </c>
      <c r="F817" s="1" t="s">
        <v>408</v>
      </c>
      <c r="G817" s="71" t="s">
        <v>21</v>
      </c>
      <c r="H817" s="2">
        <v>20000</v>
      </c>
      <c r="I817" s="2">
        <v>14000</v>
      </c>
      <c r="J817" s="192">
        <f>Tabla210[[#This Row],[TOTAL FACTURA]]*0.4</f>
        <v>8000</v>
      </c>
      <c r="L817" s="11"/>
      <c r="M817" s="11"/>
      <c r="O817" s="15">
        <f>Tabla210[[#This Row],[MONTO DE COMPRA]]-Tabla210[[#This Row],[MONTO DE LA VENTA]]</f>
        <v>0</v>
      </c>
    </row>
    <row r="818" spans="1:15" x14ac:dyDescent="0.25">
      <c r="A818" s="56">
        <v>44743</v>
      </c>
      <c r="C818" s="191" t="s">
        <v>2281</v>
      </c>
      <c r="D818" s="1" t="s">
        <v>2282</v>
      </c>
      <c r="E818" s="4" t="s">
        <v>2283</v>
      </c>
      <c r="F818" s="1" t="s">
        <v>1039</v>
      </c>
      <c r="G818" s="71" t="s">
        <v>21</v>
      </c>
      <c r="H818" s="2">
        <v>10000</v>
      </c>
      <c r="I818" s="2">
        <v>6000</v>
      </c>
      <c r="J818" s="192">
        <f>Tabla210[[#This Row],[TOTAL FACTURA]]*0.4</f>
        <v>4000</v>
      </c>
      <c r="L818" s="11"/>
      <c r="M818" s="11"/>
      <c r="O818" s="15">
        <f>Tabla210[[#This Row],[MONTO DE COMPRA]]-Tabla210[[#This Row],[MONTO DE LA VENTA]]</f>
        <v>0</v>
      </c>
    </row>
    <row r="819" spans="1:15" x14ac:dyDescent="0.25">
      <c r="A819" s="56">
        <v>44743</v>
      </c>
      <c r="C819" s="191" t="s">
        <v>215</v>
      </c>
      <c r="E819" s="4"/>
      <c r="F819" s="1" t="s">
        <v>408</v>
      </c>
      <c r="G819" s="71" t="s">
        <v>21</v>
      </c>
      <c r="H819" s="2">
        <v>8000</v>
      </c>
      <c r="I819" s="2">
        <v>5600</v>
      </c>
      <c r="J819" s="192">
        <f>Tabla210[[#This Row],[TOTAL FACTURA]]*0.4</f>
        <v>3200</v>
      </c>
      <c r="L819" s="11"/>
      <c r="M819" s="11"/>
      <c r="O819" s="15">
        <f>Tabla210[[#This Row],[MONTO DE COMPRA]]-Tabla210[[#This Row],[MONTO DE LA VENTA]]</f>
        <v>0</v>
      </c>
    </row>
    <row r="820" spans="1:15" x14ac:dyDescent="0.25">
      <c r="A820" s="56">
        <v>44743</v>
      </c>
      <c r="C820" s="191"/>
      <c r="D820" s="1" t="s">
        <v>204</v>
      </c>
      <c r="E820" s="4"/>
      <c r="F820" s="1" t="s">
        <v>408</v>
      </c>
      <c r="G820" s="71" t="s">
        <v>2286</v>
      </c>
      <c r="J820" s="192">
        <f>Tabla210[[#This Row],[TOTAL FACTURA]]*0.4</f>
        <v>0</v>
      </c>
      <c r="L820" s="11"/>
      <c r="M820" s="11"/>
      <c r="O820" s="15">
        <f>Tabla210[[#This Row],[MONTO DE COMPRA]]-Tabla210[[#This Row],[MONTO DE LA VENTA]]</f>
        <v>0</v>
      </c>
    </row>
    <row r="821" spans="1:15" x14ac:dyDescent="0.25">
      <c r="A821" s="56">
        <v>44743</v>
      </c>
      <c r="C821" s="191" t="s">
        <v>2287</v>
      </c>
      <c r="D821" s="1" t="s">
        <v>54</v>
      </c>
      <c r="E821" s="4" t="s">
        <v>2288</v>
      </c>
      <c r="F821" s="1" t="s">
        <v>10</v>
      </c>
      <c r="G821" s="71" t="s">
        <v>1151</v>
      </c>
      <c r="H821" s="2">
        <v>700000</v>
      </c>
      <c r="I821" s="2">
        <v>500000</v>
      </c>
      <c r="J821" s="192">
        <f>Tabla210[[#This Row],[TOTAL FACTURA]]*0.4</f>
        <v>280000</v>
      </c>
      <c r="L821" s="11"/>
      <c r="M821" s="11"/>
      <c r="N821" s="2" t="s">
        <v>25</v>
      </c>
      <c r="O821" s="15">
        <f>Tabla210[[#This Row],[MONTO DE COMPRA]]-Tabla210[[#This Row],[MONTO DE LA VENTA]]</f>
        <v>0</v>
      </c>
    </row>
    <row r="822" spans="1:15" x14ac:dyDescent="0.25">
      <c r="A822" s="56">
        <v>44743</v>
      </c>
      <c r="C822" s="191"/>
      <c r="E822" s="4"/>
      <c r="F822" s="1" t="s">
        <v>10</v>
      </c>
      <c r="G822" s="71" t="s">
        <v>434</v>
      </c>
      <c r="H822" s="2">
        <v>80000</v>
      </c>
      <c r="I822" s="2">
        <v>56000</v>
      </c>
      <c r="J822" s="192">
        <f>Tabla210[[#This Row],[TOTAL FACTURA]]*0.4</f>
        <v>32000</v>
      </c>
      <c r="L822" s="11"/>
      <c r="M822" s="11"/>
      <c r="N822" s="2" t="s">
        <v>25</v>
      </c>
      <c r="O822" s="15">
        <f>Tabla210[[#This Row],[MONTO DE COMPRA]]-Tabla210[[#This Row],[MONTO DE LA VENTA]]</f>
        <v>0</v>
      </c>
    </row>
    <row r="823" spans="1:15" x14ac:dyDescent="0.25">
      <c r="A823" s="56">
        <v>44744</v>
      </c>
      <c r="C823" s="191" t="s">
        <v>2221</v>
      </c>
      <c r="D823" s="1" t="s">
        <v>65</v>
      </c>
      <c r="E823" s="4" t="s">
        <v>2222</v>
      </c>
      <c r="F823" s="1" t="s">
        <v>10</v>
      </c>
      <c r="G823" s="71" t="s">
        <v>2293</v>
      </c>
      <c r="H823" s="2">
        <v>35000</v>
      </c>
      <c r="I823" s="2">
        <v>24500</v>
      </c>
      <c r="J823" s="192">
        <f>Tabla210[[#This Row],[TOTAL FACTURA]]*0.4</f>
        <v>14000</v>
      </c>
      <c r="L823" s="11"/>
      <c r="M823" s="11"/>
      <c r="N823" s="2" t="s">
        <v>25</v>
      </c>
      <c r="O823" s="15">
        <f>Tabla210[[#This Row],[MONTO DE COMPRA]]-Tabla210[[#This Row],[MONTO DE LA VENTA]]</f>
        <v>0</v>
      </c>
    </row>
    <row r="824" spans="1:15" x14ac:dyDescent="0.25">
      <c r="A824" s="56">
        <v>44744</v>
      </c>
      <c r="B824" s="4" t="s">
        <v>2341</v>
      </c>
      <c r="C824" s="191" t="s">
        <v>2342</v>
      </c>
      <c r="D824" s="1" t="s">
        <v>389</v>
      </c>
      <c r="E824" s="4" t="s">
        <v>2343</v>
      </c>
      <c r="F824" s="1" t="s">
        <v>408</v>
      </c>
      <c r="G824" s="71" t="s">
        <v>2344</v>
      </c>
      <c r="H824" s="2">
        <v>190000</v>
      </c>
      <c r="I824" s="2">
        <v>133000</v>
      </c>
      <c r="J824" s="192">
        <f>Tabla210[[#This Row],[TOTAL FACTURA]]*0.4</f>
        <v>76000</v>
      </c>
      <c r="L824" s="11"/>
      <c r="M824" s="11"/>
      <c r="O824" s="15">
        <f>Tabla210[[#This Row],[MONTO DE COMPRA]]-Tabla210[[#This Row],[MONTO DE LA VENTA]]</f>
        <v>0</v>
      </c>
    </row>
    <row r="825" spans="1:15" x14ac:dyDescent="0.25">
      <c r="A825" s="56">
        <v>44744</v>
      </c>
      <c r="B825" s="4" t="s">
        <v>2295</v>
      </c>
      <c r="C825" s="191" t="s">
        <v>2294</v>
      </c>
      <c r="D825" s="1" t="s">
        <v>540</v>
      </c>
      <c r="E825" s="4" t="s">
        <v>2296</v>
      </c>
      <c r="F825" s="1" t="s">
        <v>1039</v>
      </c>
      <c r="G825" s="71" t="s">
        <v>2297</v>
      </c>
      <c r="H825" s="2">
        <v>150000</v>
      </c>
      <c r="I825" s="2">
        <v>105000</v>
      </c>
      <c r="J825" s="192">
        <f>Tabla210[[#This Row],[TOTAL FACTURA]]*0.4</f>
        <v>60000</v>
      </c>
      <c r="L825" s="11"/>
      <c r="M825" s="11"/>
      <c r="O825" s="15">
        <f>Tabla210[[#This Row],[MONTO DE COMPRA]]-Tabla210[[#This Row],[MONTO DE LA VENTA]]</f>
        <v>0</v>
      </c>
    </row>
    <row r="826" spans="1:15" x14ac:dyDescent="0.25">
      <c r="A826" s="56">
        <v>44747</v>
      </c>
      <c r="B826" s="4" t="s">
        <v>2298</v>
      </c>
      <c r="C826" s="191" t="s">
        <v>2299</v>
      </c>
      <c r="D826" s="1" t="s">
        <v>311</v>
      </c>
      <c r="E826" s="4" t="s">
        <v>2300</v>
      </c>
      <c r="F826" s="1" t="s">
        <v>19</v>
      </c>
      <c r="G826" s="71" t="s">
        <v>744</v>
      </c>
      <c r="H826" s="2">
        <v>40000</v>
      </c>
      <c r="I826" s="2">
        <v>28000</v>
      </c>
      <c r="J826" s="192">
        <f>Tabla210[[#This Row],[TOTAL FACTURA]]*0.4</f>
        <v>16000</v>
      </c>
      <c r="L826" s="11"/>
      <c r="M826" s="11"/>
      <c r="O826" s="15">
        <f>Tabla210[[#This Row],[MONTO DE COMPRA]]-Tabla210[[#This Row],[MONTO DE LA VENTA]]</f>
        <v>0</v>
      </c>
    </row>
    <row r="827" spans="1:15" x14ac:dyDescent="0.25">
      <c r="A827" s="56">
        <v>44747</v>
      </c>
      <c r="C827" s="191" t="s">
        <v>2301</v>
      </c>
      <c r="D827" s="1" t="s">
        <v>2302</v>
      </c>
      <c r="E827" s="4" t="s">
        <v>1103</v>
      </c>
      <c r="F827" s="1" t="s">
        <v>19</v>
      </c>
      <c r="G827" s="71" t="s">
        <v>2303</v>
      </c>
      <c r="H827" s="2">
        <v>30000</v>
      </c>
      <c r="I827" s="2">
        <v>21000</v>
      </c>
      <c r="J827" s="192">
        <f>Tabla210[[#This Row],[TOTAL FACTURA]]*0.4</f>
        <v>12000</v>
      </c>
      <c r="L827" s="11"/>
      <c r="M827" s="11"/>
      <c r="O827" s="15">
        <f>Tabla210[[#This Row],[MONTO DE COMPRA]]-Tabla210[[#This Row],[MONTO DE LA VENTA]]</f>
        <v>0</v>
      </c>
    </row>
    <row r="828" spans="1:15" x14ac:dyDescent="0.25">
      <c r="A828" s="56">
        <v>44747</v>
      </c>
      <c r="B828" s="4" t="s">
        <v>2304</v>
      </c>
      <c r="C828" s="191" t="s">
        <v>827</v>
      </c>
      <c r="D828" s="1" t="s">
        <v>2305</v>
      </c>
      <c r="E828" s="4" t="s">
        <v>829</v>
      </c>
      <c r="F828" s="1" t="s">
        <v>19</v>
      </c>
      <c r="G828" s="71" t="s">
        <v>2306</v>
      </c>
      <c r="H828" s="2">
        <v>120000</v>
      </c>
      <c r="I828" s="2">
        <v>84000</v>
      </c>
      <c r="J828" s="192">
        <f>Tabla210[[#This Row],[TOTAL FACTURA]]*0.4</f>
        <v>48000</v>
      </c>
      <c r="L828" s="11"/>
      <c r="M828" s="11"/>
      <c r="O828" s="15">
        <f>Tabla210[[#This Row],[MONTO DE COMPRA]]-Tabla210[[#This Row],[MONTO DE LA VENTA]]</f>
        <v>0</v>
      </c>
    </row>
    <row r="829" spans="1:15" x14ac:dyDescent="0.25">
      <c r="A829" s="56">
        <v>44748</v>
      </c>
      <c r="C829" s="191"/>
      <c r="D829" s="1" t="s">
        <v>1077</v>
      </c>
      <c r="E829" s="4" t="s">
        <v>2307</v>
      </c>
      <c r="F829" s="1" t="s">
        <v>19</v>
      </c>
      <c r="G829" s="71" t="s">
        <v>50</v>
      </c>
      <c r="H829" s="2">
        <v>60000</v>
      </c>
      <c r="I829" s="2">
        <v>42000</v>
      </c>
      <c r="J829" s="192">
        <f>Tabla210[[#This Row],[TOTAL FACTURA]]*0.4</f>
        <v>24000</v>
      </c>
      <c r="L829" s="11"/>
      <c r="M829" s="11"/>
      <c r="O829" s="15">
        <f>Tabla210[[#This Row],[MONTO DE COMPRA]]-Tabla210[[#This Row],[MONTO DE LA VENTA]]</f>
        <v>0</v>
      </c>
    </row>
    <row r="830" spans="1:15" x14ac:dyDescent="0.25">
      <c r="A830" s="56">
        <v>44748</v>
      </c>
      <c r="B830" s="4" t="s">
        <v>2308</v>
      </c>
      <c r="C830" s="191" t="s">
        <v>1320</v>
      </c>
      <c r="D830" s="1" t="s">
        <v>52</v>
      </c>
      <c r="E830" s="4" t="s">
        <v>1321</v>
      </c>
      <c r="F830" s="1" t="s">
        <v>1039</v>
      </c>
      <c r="G830" s="71" t="s">
        <v>2309</v>
      </c>
      <c r="H830" s="2">
        <v>60000</v>
      </c>
      <c r="I830" s="2">
        <v>36000</v>
      </c>
      <c r="J830" s="192">
        <f>Tabla210[[#This Row],[TOTAL FACTURA]]*0.4</f>
        <v>24000</v>
      </c>
      <c r="L830" s="11"/>
      <c r="M830" s="11"/>
      <c r="O830" s="15">
        <f>Tabla210[[#This Row],[MONTO DE COMPRA]]-Tabla210[[#This Row],[MONTO DE LA VENTA]]</f>
        <v>0</v>
      </c>
    </row>
    <row r="831" spans="1:15" x14ac:dyDescent="0.25">
      <c r="A831" s="56">
        <v>44748</v>
      </c>
      <c r="B831" s="4" t="s">
        <v>2310</v>
      </c>
      <c r="C831" s="191" t="s">
        <v>2311</v>
      </c>
      <c r="D831" s="1" t="s">
        <v>242</v>
      </c>
      <c r="E831" s="4" t="s">
        <v>2312</v>
      </c>
      <c r="F831" s="1" t="s">
        <v>19</v>
      </c>
      <c r="G831" s="71" t="s">
        <v>1976</v>
      </c>
      <c r="H831" s="2">
        <v>100000</v>
      </c>
      <c r="I831" s="2">
        <v>70000</v>
      </c>
      <c r="J831" s="192">
        <f>Tabla210[[#This Row],[TOTAL FACTURA]]*0.4</f>
        <v>40000</v>
      </c>
      <c r="L831" s="11"/>
      <c r="M831" s="11"/>
      <c r="O831" s="15">
        <f>Tabla210[[#This Row],[MONTO DE COMPRA]]-Tabla210[[#This Row],[MONTO DE LA VENTA]]</f>
        <v>0</v>
      </c>
    </row>
    <row r="832" spans="1:15" x14ac:dyDescent="0.25">
      <c r="A832" s="56">
        <v>44748</v>
      </c>
      <c r="B832" s="4" t="s">
        <v>2313</v>
      </c>
      <c r="C832" s="191" t="s">
        <v>2314</v>
      </c>
      <c r="D832" s="1" t="s">
        <v>2315</v>
      </c>
      <c r="E832" s="4" t="s">
        <v>2125</v>
      </c>
      <c r="F832" s="1" t="s">
        <v>30</v>
      </c>
      <c r="G832" s="71" t="s">
        <v>20</v>
      </c>
      <c r="H832" s="2">
        <v>40000</v>
      </c>
      <c r="I832" s="2">
        <v>24000</v>
      </c>
      <c r="J832" s="192">
        <f>Tabla210[[#This Row],[TOTAL FACTURA]]*0.4</f>
        <v>16000</v>
      </c>
      <c r="L832" s="11"/>
      <c r="M832" s="11"/>
      <c r="O832" s="15">
        <f>Tabla210[[#This Row],[MONTO DE COMPRA]]-Tabla210[[#This Row],[MONTO DE LA VENTA]]</f>
        <v>0</v>
      </c>
    </row>
    <row r="833" spans="1:15" x14ac:dyDescent="0.25">
      <c r="A833" s="56">
        <v>44748</v>
      </c>
      <c r="C833" s="191" t="s">
        <v>2316</v>
      </c>
      <c r="D833" s="1" t="s">
        <v>2318</v>
      </c>
      <c r="E833" s="4" t="s">
        <v>2317</v>
      </c>
      <c r="F833" s="1" t="s">
        <v>408</v>
      </c>
      <c r="G833" s="71" t="s">
        <v>2345</v>
      </c>
      <c r="H833" s="2">
        <v>150000</v>
      </c>
      <c r="I833" s="2">
        <v>105000</v>
      </c>
      <c r="J833" s="192">
        <f>Tabla210[[#This Row],[TOTAL FACTURA]]*0.4</f>
        <v>60000</v>
      </c>
      <c r="L833" s="11"/>
      <c r="M833" s="11"/>
      <c r="O833" s="15">
        <f>Tabla210[[#This Row],[MONTO DE COMPRA]]-Tabla210[[#This Row],[MONTO DE LA VENTA]]</f>
        <v>0</v>
      </c>
    </row>
    <row r="834" spans="1:15" x14ac:dyDescent="0.25">
      <c r="A834" s="56">
        <v>44748</v>
      </c>
      <c r="B834" s="4" t="s">
        <v>2319</v>
      </c>
      <c r="C834" s="191" t="s">
        <v>2294</v>
      </c>
      <c r="D834" s="1" t="s">
        <v>122</v>
      </c>
      <c r="E834" s="4" t="s">
        <v>2320</v>
      </c>
      <c r="F834" s="1" t="s">
        <v>19</v>
      </c>
      <c r="G834" s="71" t="s">
        <v>2321</v>
      </c>
      <c r="H834" s="2">
        <v>250000</v>
      </c>
      <c r="I834" s="2">
        <v>175000</v>
      </c>
      <c r="J834" s="192">
        <f>Tabla210[[#This Row],[TOTAL FACTURA]]*0.4</f>
        <v>100000</v>
      </c>
      <c r="L834" s="11"/>
      <c r="M834" s="11"/>
      <c r="O834" s="15">
        <f>Tabla210[[#This Row],[MONTO DE COMPRA]]-Tabla210[[#This Row],[MONTO DE LA VENTA]]</f>
        <v>0</v>
      </c>
    </row>
    <row r="835" spans="1:15" x14ac:dyDescent="0.25">
      <c r="A835" s="56">
        <v>44749</v>
      </c>
      <c r="C835" s="191" t="s">
        <v>2322</v>
      </c>
      <c r="D835" s="1" t="s">
        <v>22</v>
      </c>
      <c r="E835" s="4" t="s">
        <v>2323</v>
      </c>
      <c r="F835" s="1" t="s">
        <v>19</v>
      </c>
      <c r="G835" s="71" t="s">
        <v>2324</v>
      </c>
      <c r="H835" s="2">
        <v>30000</v>
      </c>
      <c r="I835" s="2">
        <v>21000</v>
      </c>
      <c r="J835" s="192">
        <f>Tabla210[[#This Row],[TOTAL FACTURA]]*0.4</f>
        <v>12000</v>
      </c>
      <c r="L835" s="11"/>
      <c r="M835" s="11"/>
      <c r="O835" s="15">
        <f>Tabla210[[#This Row],[MONTO DE COMPRA]]-Tabla210[[#This Row],[MONTO DE LA VENTA]]</f>
        <v>0</v>
      </c>
    </row>
    <row r="836" spans="1:15" x14ac:dyDescent="0.25">
      <c r="A836" s="56">
        <v>44749</v>
      </c>
      <c r="C836" s="191" t="s">
        <v>2325</v>
      </c>
      <c r="D836" s="1" t="s">
        <v>122</v>
      </c>
      <c r="E836" s="4" t="s">
        <v>228</v>
      </c>
      <c r="F836" s="1" t="s">
        <v>408</v>
      </c>
      <c r="G836" s="71" t="s">
        <v>2326</v>
      </c>
      <c r="H836" s="2">
        <v>60000</v>
      </c>
      <c r="I836" s="2">
        <v>42000</v>
      </c>
      <c r="J836" s="192">
        <f>Tabla210[[#This Row],[TOTAL FACTURA]]*0.4</f>
        <v>24000</v>
      </c>
      <c r="L836" s="11"/>
      <c r="M836" s="11"/>
      <c r="O836" s="15">
        <f>Tabla210[[#This Row],[MONTO DE COMPRA]]-Tabla210[[#This Row],[MONTO DE LA VENTA]]</f>
        <v>0</v>
      </c>
    </row>
    <row r="837" spans="1:15" x14ac:dyDescent="0.25">
      <c r="A837" s="56">
        <v>44749</v>
      </c>
      <c r="C837" s="191"/>
      <c r="D837" s="1" t="s">
        <v>54</v>
      </c>
      <c r="E837" s="4" t="s">
        <v>2327</v>
      </c>
      <c r="F837" s="1" t="s">
        <v>19</v>
      </c>
      <c r="G837" s="71" t="s">
        <v>1515</v>
      </c>
      <c r="H837" s="2">
        <v>30000</v>
      </c>
      <c r="I837" s="2">
        <v>21000</v>
      </c>
      <c r="J837" s="192">
        <f>Tabla210[[#This Row],[TOTAL FACTURA]]*0.4</f>
        <v>12000</v>
      </c>
      <c r="L837" s="11"/>
      <c r="M837" s="11"/>
      <c r="O837" s="15">
        <f>Tabla210[[#This Row],[MONTO DE COMPRA]]-Tabla210[[#This Row],[MONTO DE LA VENTA]]</f>
        <v>0</v>
      </c>
    </row>
    <row r="838" spans="1:15" x14ac:dyDescent="0.25">
      <c r="A838" s="56">
        <v>44749</v>
      </c>
      <c r="C838" s="191" t="s">
        <v>2328</v>
      </c>
      <c r="D838" s="1" t="s">
        <v>1044</v>
      </c>
      <c r="E838" s="4" t="s">
        <v>2329</v>
      </c>
      <c r="F838" s="1" t="s">
        <v>1039</v>
      </c>
      <c r="G838" s="71" t="s">
        <v>2330</v>
      </c>
      <c r="H838" s="2">
        <v>40000</v>
      </c>
      <c r="I838" s="2">
        <v>24000</v>
      </c>
      <c r="J838" s="192">
        <f>Tabla210[[#This Row],[TOTAL FACTURA]]*0.4</f>
        <v>16000</v>
      </c>
      <c r="L838" s="11"/>
      <c r="M838" s="11"/>
      <c r="O838" s="15">
        <f>Tabla210[[#This Row],[MONTO DE COMPRA]]-Tabla210[[#This Row],[MONTO DE LA VENTA]]</f>
        <v>0</v>
      </c>
    </row>
    <row r="839" spans="1:15" x14ac:dyDescent="0.25">
      <c r="A839" s="56">
        <v>44749</v>
      </c>
      <c r="C839" s="191" t="s">
        <v>2331</v>
      </c>
      <c r="D839" s="1" t="s">
        <v>576</v>
      </c>
      <c r="E839" s="4" t="s">
        <v>577</v>
      </c>
      <c r="F839" s="1" t="s">
        <v>19</v>
      </c>
      <c r="G839" s="71" t="s">
        <v>2332</v>
      </c>
      <c r="H839" s="2">
        <v>30000</v>
      </c>
      <c r="I839" s="2">
        <v>21000</v>
      </c>
      <c r="J839" s="192">
        <f>Tabla210[[#This Row],[TOTAL FACTURA]]*0.4</f>
        <v>12000</v>
      </c>
      <c r="L839" s="11"/>
      <c r="M839" s="11"/>
      <c r="O839" s="15">
        <f>Tabla210[[#This Row],[MONTO DE COMPRA]]-Tabla210[[#This Row],[MONTO DE LA VENTA]]</f>
        <v>0</v>
      </c>
    </row>
    <row r="840" spans="1:15" x14ac:dyDescent="0.25">
      <c r="A840" s="56">
        <v>44749</v>
      </c>
      <c r="B840" s="4" t="s">
        <v>2333</v>
      </c>
      <c r="C840" s="191" t="s">
        <v>2334</v>
      </c>
      <c r="D840" s="1" t="s">
        <v>1414</v>
      </c>
      <c r="E840" s="4" t="s">
        <v>2335</v>
      </c>
      <c r="F840" s="1" t="s">
        <v>10</v>
      </c>
      <c r="G840" s="71" t="s">
        <v>956</v>
      </c>
      <c r="H840" s="2">
        <v>1000000</v>
      </c>
      <c r="I840" s="2">
        <v>700000</v>
      </c>
      <c r="J840" s="192">
        <f>Tabla210[[#This Row],[TOTAL FACTURA]]*0.4</f>
        <v>400000</v>
      </c>
      <c r="L840" s="11"/>
      <c r="M840" s="11"/>
      <c r="N840" s="2" t="s">
        <v>25</v>
      </c>
      <c r="O840" s="15">
        <f>Tabla210[[#This Row],[MONTO DE COMPRA]]-Tabla210[[#This Row],[MONTO DE LA VENTA]]</f>
        <v>0</v>
      </c>
    </row>
    <row r="841" spans="1:15" x14ac:dyDescent="0.25">
      <c r="A841" s="56">
        <v>44750</v>
      </c>
      <c r="C841" s="191" t="s">
        <v>2336</v>
      </c>
      <c r="D841" s="1" t="s">
        <v>566</v>
      </c>
      <c r="E841" s="4" t="s">
        <v>2337</v>
      </c>
      <c r="F841" s="1" t="s">
        <v>19</v>
      </c>
      <c r="G841" s="71" t="s">
        <v>2338</v>
      </c>
      <c r="H841" s="2">
        <v>80000</v>
      </c>
      <c r="I841" s="2">
        <v>56000</v>
      </c>
      <c r="J841" s="192">
        <f>Tabla210[[#This Row],[TOTAL FACTURA]]*0.4</f>
        <v>32000</v>
      </c>
      <c r="L841" s="11"/>
      <c r="M841" s="11"/>
      <c r="O841" s="15">
        <f>Tabla210[[#This Row],[MONTO DE COMPRA]]-Tabla210[[#This Row],[MONTO DE LA VENTA]]</f>
        <v>0</v>
      </c>
    </row>
    <row r="842" spans="1:15" x14ac:dyDescent="0.25">
      <c r="A842" s="56">
        <v>44750</v>
      </c>
      <c r="C842" s="191"/>
      <c r="D842" s="1" t="s">
        <v>76</v>
      </c>
      <c r="E842" s="4" t="s">
        <v>2339</v>
      </c>
      <c r="F842" s="1" t="s">
        <v>408</v>
      </c>
      <c r="G842" s="71" t="s">
        <v>2340</v>
      </c>
      <c r="H842" s="2">
        <v>14000</v>
      </c>
      <c r="I842" s="2">
        <v>9800</v>
      </c>
      <c r="J842" s="192">
        <f>Tabla210[[#This Row],[TOTAL FACTURA]]*0.4</f>
        <v>5600</v>
      </c>
      <c r="L842" s="11"/>
      <c r="M842" s="11"/>
      <c r="O842" s="15">
        <f>Tabla210[[#This Row],[MONTO DE COMPRA]]-Tabla210[[#This Row],[MONTO DE LA VENTA]]</f>
        <v>0</v>
      </c>
    </row>
    <row r="843" spans="1:15" x14ac:dyDescent="0.25">
      <c r="A843" s="56">
        <v>44750</v>
      </c>
      <c r="C843" s="191" t="s">
        <v>2287</v>
      </c>
      <c r="D843" s="1" t="s">
        <v>54</v>
      </c>
      <c r="E843" s="4" t="s">
        <v>2288</v>
      </c>
      <c r="F843" s="1" t="s">
        <v>10</v>
      </c>
      <c r="G843" s="71" t="s">
        <v>1151</v>
      </c>
      <c r="H843" s="2">
        <v>700000</v>
      </c>
      <c r="I843" s="2">
        <v>200000</v>
      </c>
      <c r="J843" s="192">
        <f>Tabla210[[#This Row],[TOTAL FACTURA]]*0.4</f>
        <v>280000</v>
      </c>
      <c r="L843" s="11"/>
      <c r="M843" s="11"/>
      <c r="N843" s="2" t="s">
        <v>25</v>
      </c>
      <c r="O843" s="15">
        <f>Tabla210[[#This Row],[MONTO DE COMPRA]]-Tabla210[[#This Row],[MONTO DE LA VENTA]]</f>
        <v>0</v>
      </c>
    </row>
    <row r="844" spans="1:15" x14ac:dyDescent="0.25">
      <c r="A844" s="56">
        <v>44744</v>
      </c>
      <c r="C844" s="191"/>
      <c r="D844" s="1" t="s">
        <v>2285</v>
      </c>
      <c r="E844" s="4"/>
      <c r="F844" s="1" t="s">
        <v>10</v>
      </c>
      <c r="G844" s="71" t="s">
        <v>437</v>
      </c>
      <c r="H844" s="2">
        <v>20000</v>
      </c>
      <c r="I844" s="2">
        <v>14000</v>
      </c>
      <c r="J844" s="192">
        <f>Tabla210[[#This Row],[TOTAL FACTURA]]*0.4</f>
        <v>8000</v>
      </c>
      <c r="L844" s="11"/>
      <c r="M844" s="11"/>
      <c r="N844" s="2" t="s">
        <v>25</v>
      </c>
      <c r="O844" s="15">
        <f>Tabla210[[#This Row],[MONTO DE COMPRA]]-Tabla210[[#This Row],[MONTO DE LA VENTA]]</f>
        <v>0</v>
      </c>
    </row>
    <row r="845" spans="1:15" x14ac:dyDescent="0.25">
      <c r="A845" s="56">
        <v>44744</v>
      </c>
      <c r="C845" s="191"/>
      <c r="E845" s="4"/>
      <c r="F845" s="1" t="s">
        <v>1039</v>
      </c>
      <c r="G845" s="71" t="s">
        <v>1448</v>
      </c>
      <c r="H845" s="2">
        <v>30000</v>
      </c>
      <c r="I845" s="2">
        <v>18000</v>
      </c>
      <c r="J845" s="192">
        <f>Tabla210[[#This Row],[TOTAL FACTURA]]*0.4</f>
        <v>12000</v>
      </c>
      <c r="L845" s="11"/>
      <c r="M845" s="11"/>
      <c r="O845" s="15">
        <f>Tabla210[[#This Row],[MONTO DE COMPRA]]-Tabla210[[#This Row],[MONTO DE LA VENTA]]</f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B8A08D-FAAC-421D-B956-C506083F8898}">
          <x14:formula1>
            <xm:f>AREA!$A$2:$A$12</xm:f>
          </x14:formula1>
          <xm:sqref>F97:F217 F3:F95 E417:E1048576</xm:sqref>
        </x14:dataValidation>
        <x14:dataValidation type="list" allowBlank="1" showInputMessage="1" showErrorMessage="1" xr:uid="{F328FAA1-AE4B-444E-BC54-15C416EED805}">
          <x14:formula1>
            <xm:f>DETALLES!$A$1:$A$2</xm:f>
          </x14:formula1>
          <xm:sqref>N1:N220 M417:M1048576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5" tint="-0.249977111117893"/>
  </sheetPr>
  <dimension ref="A1:O199"/>
  <sheetViews>
    <sheetView topLeftCell="A148" workbookViewId="0">
      <selection activeCell="J193" sqref="J193"/>
    </sheetView>
  </sheetViews>
  <sheetFormatPr baseColWidth="10" defaultRowHeight="15" x14ac:dyDescent="0.25"/>
  <cols>
    <col min="1" max="1" width="16.28515625" style="9" customWidth="1"/>
    <col min="2" max="2" width="22.5703125" style="4" customWidth="1"/>
    <col min="3" max="3" width="27.7109375" style="1" customWidth="1"/>
    <col min="4" max="4" width="20" style="1" customWidth="1"/>
    <col min="5" max="6" width="24" style="1" customWidth="1"/>
    <col min="7" max="7" width="77.28515625" style="2" customWidth="1"/>
    <col min="8" max="9" width="25.85546875" style="2" customWidth="1"/>
    <col min="10" max="10" width="23.5703125" style="1" customWidth="1"/>
    <col min="11" max="11" width="58.85546875" style="1" customWidth="1"/>
    <col min="12" max="12" width="23.7109375" style="1" customWidth="1"/>
    <col min="13" max="13" width="22.5703125" style="1" customWidth="1"/>
    <col min="14" max="14" width="25.140625" style="2" customWidth="1"/>
    <col min="15" max="15" width="36.5703125" style="1" customWidth="1"/>
    <col min="16" max="16384" width="11.42578125" style="1"/>
  </cols>
  <sheetData>
    <row r="1" spans="1:15" x14ac:dyDescent="0.25">
      <c r="A1" s="9" t="s">
        <v>0</v>
      </c>
      <c r="B1" s="4" t="s">
        <v>1</v>
      </c>
      <c r="C1" s="4" t="s">
        <v>597</v>
      </c>
      <c r="D1" s="1" t="s">
        <v>2</v>
      </c>
      <c r="E1" s="1" t="s">
        <v>3</v>
      </c>
      <c r="F1" s="1" t="s">
        <v>15</v>
      </c>
      <c r="G1" s="1" t="s">
        <v>4</v>
      </c>
      <c r="H1" s="2" t="s">
        <v>5</v>
      </c>
      <c r="I1" s="2" t="s">
        <v>6</v>
      </c>
      <c r="J1" s="2" t="s">
        <v>130</v>
      </c>
      <c r="K1" s="1" t="s">
        <v>7</v>
      </c>
      <c r="L1" s="1" t="s">
        <v>8</v>
      </c>
      <c r="M1" s="1" t="s">
        <v>38</v>
      </c>
      <c r="N1" s="1" t="s">
        <v>24</v>
      </c>
      <c r="O1" s="2" t="s">
        <v>131</v>
      </c>
    </row>
    <row r="2" spans="1:15" x14ac:dyDescent="0.25">
      <c r="A2" s="9">
        <v>44561</v>
      </c>
      <c r="B2" s="4">
        <v>363</v>
      </c>
      <c r="C2" s="4"/>
      <c r="D2" s="1" t="s">
        <v>28</v>
      </c>
      <c r="E2" s="4"/>
      <c r="F2" s="1" t="s">
        <v>16</v>
      </c>
      <c r="G2" s="1" t="s">
        <v>35</v>
      </c>
      <c r="H2" s="2">
        <v>30000</v>
      </c>
      <c r="I2" s="2">
        <f>Tabla2[[#This Row],[TOTAL FACTURA]]*0.6</f>
        <v>18000</v>
      </c>
      <c r="J2" s="2">
        <f>Tabla2[[#This Row],[TOTAL FACTURA]]*0.4</f>
        <v>12000</v>
      </c>
      <c r="L2" s="2"/>
      <c r="M2" s="2"/>
      <c r="N2" s="1" t="s">
        <v>25</v>
      </c>
      <c r="O2" s="15">
        <f>Tabla2[[#This Row],[MONTO DE LA VENTA]]-Tabla2[[#This Row],[MONTO DE COMPRA]]</f>
        <v>0</v>
      </c>
    </row>
    <row r="3" spans="1:15" x14ac:dyDescent="0.25">
      <c r="A3" s="9">
        <v>44561</v>
      </c>
      <c r="B3" s="4">
        <v>362</v>
      </c>
      <c r="C3" s="4"/>
      <c r="D3" s="1" t="s">
        <v>29</v>
      </c>
      <c r="E3" s="4" t="s">
        <v>36</v>
      </c>
      <c r="F3" s="1" t="s">
        <v>19</v>
      </c>
      <c r="G3" s="1" t="s">
        <v>37</v>
      </c>
      <c r="H3" s="2">
        <v>80000</v>
      </c>
      <c r="I3" s="2">
        <f>Tabla2[[#This Row],[TOTAL FACTURA]]*0.6</f>
        <v>48000</v>
      </c>
      <c r="J3" s="2">
        <f>Tabla2[[#This Row],[TOTAL FACTURA]]*0.4</f>
        <v>32000</v>
      </c>
      <c r="K3" s="2"/>
      <c r="L3" s="2"/>
      <c r="M3" s="2"/>
      <c r="N3" s="1" t="s">
        <v>25</v>
      </c>
      <c r="O3" s="15">
        <f>Tabla2[[#This Row],[MONTO DE LA VENTA]]-Tabla2[[#This Row],[MONTO DE COMPRA]]</f>
        <v>0</v>
      </c>
    </row>
    <row r="4" spans="1:15" x14ac:dyDescent="0.25">
      <c r="A4" s="9">
        <v>44561</v>
      </c>
      <c r="C4" s="4"/>
      <c r="D4" s="1" t="s">
        <v>22</v>
      </c>
      <c r="E4" s="4" t="s">
        <v>39</v>
      </c>
      <c r="F4" s="1" t="s">
        <v>19</v>
      </c>
      <c r="G4" s="1" t="s">
        <v>40</v>
      </c>
      <c r="H4" s="2">
        <v>30000</v>
      </c>
      <c r="I4" s="2">
        <f>Tabla2[[#This Row],[TOTAL FACTURA]]*0.6</f>
        <v>18000</v>
      </c>
      <c r="J4" s="2">
        <f>Tabla2[[#This Row],[TOTAL FACTURA]]*0.4</f>
        <v>12000</v>
      </c>
      <c r="K4" s="2"/>
      <c r="L4" s="2"/>
      <c r="M4" s="2"/>
      <c r="N4" s="1" t="s">
        <v>25</v>
      </c>
      <c r="O4" s="15">
        <f>Tabla2[[#This Row],[MONTO DE LA VENTA]]-Tabla2[[#This Row],[MONTO DE COMPRA]]</f>
        <v>0</v>
      </c>
    </row>
    <row r="5" spans="1:15" x14ac:dyDescent="0.25">
      <c r="A5" s="9">
        <v>44561</v>
      </c>
      <c r="C5" s="4"/>
      <c r="D5" s="1" t="s">
        <v>23</v>
      </c>
      <c r="E5" s="4" t="s">
        <v>41</v>
      </c>
      <c r="F5" s="1" t="s">
        <v>19</v>
      </c>
      <c r="G5" s="1" t="s">
        <v>42</v>
      </c>
      <c r="H5" s="2">
        <v>30000</v>
      </c>
      <c r="I5" s="2">
        <f>Tabla2[[#This Row],[TOTAL FACTURA]]*0.6</f>
        <v>18000</v>
      </c>
      <c r="J5" s="2">
        <f>Tabla2[[#This Row],[TOTAL FACTURA]]*0.4</f>
        <v>12000</v>
      </c>
      <c r="L5" s="2"/>
      <c r="M5" s="2"/>
      <c r="N5" s="1" t="s">
        <v>25</v>
      </c>
      <c r="O5" s="15">
        <f>Tabla2[[#This Row],[MONTO DE LA VENTA]]-Tabla2[[#This Row],[MONTO DE COMPRA]]</f>
        <v>0</v>
      </c>
    </row>
    <row r="6" spans="1:15" x14ac:dyDescent="0.25">
      <c r="A6" s="9">
        <v>44564</v>
      </c>
      <c r="B6" s="4">
        <v>369</v>
      </c>
      <c r="C6" s="4"/>
      <c r="D6" s="1" t="s">
        <v>96</v>
      </c>
      <c r="E6" s="4" t="s">
        <v>97</v>
      </c>
      <c r="F6" s="1" t="s">
        <v>16</v>
      </c>
      <c r="G6" s="1" t="s">
        <v>98</v>
      </c>
      <c r="H6" s="2">
        <v>50000</v>
      </c>
      <c r="I6" s="2">
        <f>Tabla2[[#This Row],[TOTAL FACTURA]]*0.6</f>
        <v>30000</v>
      </c>
      <c r="J6" s="2">
        <f>Tabla2[[#This Row],[TOTAL FACTURA]]*0.4</f>
        <v>20000</v>
      </c>
      <c r="L6" s="2"/>
      <c r="M6" s="2"/>
      <c r="N6" s="1" t="s">
        <v>25</v>
      </c>
      <c r="O6" s="15">
        <f>Tabla2[[#This Row],[MONTO DE LA VENTA]]-Tabla2[[#This Row],[MONTO DE COMPRA]]</f>
        <v>0</v>
      </c>
    </row>
    <row r="7" spans="1:15" x14ac:dyDescent="0.25">
      <c r="A7" s="9">
        <v>44564</v>
      </c>
      <c r="C7" s="4"/>
      <c r="D7" s="1" t="s">
        <v>43</v>
      </c>
      <c r="E7" s="4" t="s">
        <v>44</v>
      </c>
      <c r="F7" s="1" t="s">
        <v>19</v>
      </c>
      <c r="G7" s="1" t="s">
        <v>45</v>
      </c>
      <c r="H7" s="2">
        <v>25000</v>
      </c>
      <c r="I7" s="2">
        <f>Tabla2[[#This Row],[TOTAL FACTURA]]*0.6</f>
        <v>15000</v>
      </c>
      <c r="J7" s="2">
        <f>Tabla2[[#This Row],[TOTAL FACTURA]]*0.4</f>
        <v>10000</v>
      </c>
      <c r="K7" s="2"/>
      <c r="L7" s="2"/>
      <c r="M7" s="2"/>
      <c r="N7" s="1" t="s">
        <v>25</v>
      </c>
      <c r="O7" s="15">
        <f>Tabla2[[#This Row],[MONTO DE LA VENTA]]-Tabla2[[#This Row],[MONTO DE COMPRA]]</f>
        <v>0</v>
      </c>
    </row>
    <row r="8" spans="1:15" x14ac:dyDescent="0.25">
      <c r="A8" s="9">
        <v>44564</v>
      </c>
      <c r="C8" s="4"/>
      <c r="D8" s="1" t="s">
        <v>46</v>
      </c>
      <c r="E8" s="4" t="s">
        <v>47</v>
      </c>
      <c r="F8" s="1" t="s">
        <v>19</v>
      </c>
      <c r="G8" s="1" t="s">
        <v>21</v>
      </c>
      <c r="H8" s="15">
        <v>10000</v>
      </c>
      <c r="I8" s="15">
        <f>Tabla2[[#This Row],[TOTAL FACTURA]]*0.6</f>
        <v>6000</v>
      </c>
      <c r="J8" s="15">
        <f>Tabla2[[#This Row],[TOTAL FACTURA]]*0.4</f>
        <v>4000</v>
      </c>
      <c r="L8" s="15"/>
      <c r="M8" s="15"/>
      <c r="N8" s="1" t="s">
        <v>25</v>
      </c>
      <c r="O8" s="15">
        <f>Tabla2[[#This Row],[MONTO DE LA VENTA]]-Tabla2[[#This Row],[MONTO DE COMPRA]]</f>
        <v>0</v>
      </c>
    </row>
    <row r="9" spans="1:15" x14ac:dyDescent="0.25">
      <c r="A9" s="9">
        <v>44564</v>
      </c>
      <c r="C9" s="4"/>
      <c r="D9" s="1" t="s">
        <v>48</v>
      </c>
      <c r="E9" s="4" t="s">
        <v>49</v>
      </c>
      <c r="F9" s="1" t="s">
        <v>19</v>
      </c>
      <c r="G9" s="1" t="s">
        <v>50</v>
      </c>
      <c r="H9" s="2">
        <v>60000</v>
      </c>
      <c r="I9" s="2">
        <f>Tabla2[[#This Row],[TOTAL FACTURA]]*0.6</f>
        <v>36000</v>
      </c>
      <c r="J9" s="2">
        <f>Tabla2[[#This Row],[TOTAL FACTURA]]*0.4</f>
        <v>24000</v>
      </c>
      <c r="K9" s="1" t="s">
        <v>51</v>
      </c>
      <c r="L9" s="2">
        <v>110000</v>
      </c>
      <c r="M9" s="2">
        <v>156000</v>
      </c>
      <c r="N9" s="1" t="s">
        <v>25</v>
      </c>
      <c r="O9" s="15">
        <f>Tabla2[[#This Row],[MONTO DE LA VENTA]]-Tabla2[[#This Row],[MONTO DE COMPRA]]</f>
        <v>46000</v>
      </c>
    </row>
    <row r="10" spans="1:15" x14ac:dyDescent="0.25">
      <c r="A10" s="9">
        <v>44564</v>
      </c>
      <c r="C10" s="4"/>
      <c r="D10" s="1" t="s">
        <v>52</v>
      </c>
      <c r="E10" s="4" t="s">
        <v>53</v>
      </c>
      <c r="F10" s="1" t="s">
        <v>34</v>
      </c>
      <c r="G10" s="1" t="s">
        <v>21</v>
      </c>
      <c r="H10" s="2">
        <v>10000</v>
      </c>
      <c r="I10" s="2">
        <f>Tabla2[[#This Row],[TOTAL FACTURA]]*0.6</f>
        <v>6000</v>
      </c>
      <c r="J10" s="2">
        <f>Tabla2[[#This Row],[TOTAL FACTURA]]*0.4</f>
        <v>4000</v>
      </c>
      <c r="K10" s="2"/>
      <c r="L10" s="2"/>
      <c r="M10" s="2"/>
      <c r="N10" s="1" t="s">
        <v>25</v>
      </c>
      <c r="O10" s="15">
        <f>Tabla2[[#This Row],[MONTO DE LA VENTA]]-Tabla2[[#This Row],[MONTO DE COMPRA]]</f>
        <v>0</v>
      </c>
    </row>
    <row r="11" spans="1:15" x14ac:dyDescent="0.25">
      <c r="A11" s="9">
        <v>44564</v>
      </c>
      <c r="B11" s="4">
        <v>366</v>
      </c>
      <c r="C11" s="4"/>
      <c r="D11" s="1" t="s">
        <v>54</v>
      </c>
      <c r="E11" s="4" t="s">
        <v>55</v>
      </c>
      <c r="F11" s="1" t="s">
        <v>19</v>
      </c>
      <c r="G11" s="1" t="s">
        <v>56</v>
      </c>
      <c r="H11" s="2">
        <v>30000</v>
      </c>
      <c r="I11" s="2">
        <f>Tabla2[[#This Row],[TOTAL FACTURA]]*0.6</f>
        <v>18000</v>
      </c>
      <c r="J11" s="2">
        <f>Tabla2[[#This Row],[TOTAL FACTURA]]*0.4</f>
        <v>12000</v>
      </c>
      <c r="K11" s="2" t="s">
        <v>57</v>
      </c>
      <c r="L11" s="2"/>
      <c r="M11" s="2">
        <v>10000</v>
      </c>
      <c r="N11" s="1" t="s">
        <v>25</v>
      </c>
      <c r="O11" s="15">
        <f>Tabla2[[#This Row],[MONTO DE LA VENTA]]-Tabla2[[#This Row],[MONTO DE COMPRA]]</f>
        <v>10000</v>
      </c>
    </row>
    <row r="12" spans="1:15" x14ac:dyDescent="0.25">
      <c r="A12" s="9">
        <v>44564</v>
      </c>
      <c r="B12" s="4" t="s">
        <v>58</v>
      </c>
      <c r="C12" s="4"/>
      <c r="D12" s="1" t="s">
        <v>59</v>
      </c>
      <c r="E12" s="4" t="s">
        <v>60</v>
      </c>
      <c r="F12" s="1" t="s">
        <v>19</v>
      </c>
      <c r="G12" s="1" t="s">
        <v>61</v>
      </c>
      <c r="H12" s="15">
        <v>30000</v>
      </c>
      <c r="I12" s="15">
        <f>Tabla2[[#This Row],[TOTAL FACTURA]]*0.6</f>
        <v>18000</v>
      </c>
      <c r="J12" s="15">
        <f>Tabla2[[#This Row],[TOTAL FACTURA]]*0.4</f>
        <v>12000</v>
      </c>
      <c r="K12" s="15" t="s">
        <v>62</v>
      </c>
      <c r="L12" s="15">
        <v>30000</v>
      </c>
      <c r="M12" s="15">
        <v>30000</v>
      </c>
      <c r="N12" s="1" t="s">
        <v>25</v>
      </c>
      <c r="O12" s="15">
        <f>Tabla2[[#This Row],[MONTO DE LA VENTA]]-Tabla2[[#This Row],[MONTO DE COMPRA]]</f>
        <v>0</v>
      </c>
    </row>
    <row r="13" spans="1:15" ht="18" customHeight="1" x14ac:dyDescent="0.25">
      <c r="A13" s="9">
        <v>44564</v>
      </c>
      <c r="C13" s="4"/>
      <c r="D13" s="1" t="s">
        <v>64</v>
      </c>
      <c r="E13" s="4" t="s">
        <v>63</v>
      </c>
      <c r="F13" s="1" t="s">
        <v>19</v>
      </c>
      <c r="G13" s="1" t="s">
        <v>21</v>
      </c>
      <c r="H13" s="2">
        <v>10000</v>
      </c>
      <c r="I13" s="2">
        <f>Tabla2[[#This Row],[TOTAL FACTURA]]*0.6</f>
        <v>6000</v>
      </c>
      <c r="J13" s="2">
        <f>Tabla2[[#This Row],[TOTAL FACTURA]]*0.4</f>
        <v>4000</v>
      </c>
      <c r="L13" s="2"/>
      <c r="M13" s="2"/>
      <c r="N13" s="1" t="s">
        <v>25</v>
      </c>
      <c r="O13" s="15">
        <f>Tabla2[[#This Row],[MONTO DE LA VENTA]]-Tabla2[[#This Row],[MONTO DE COMPRA]]</f>
        <v>0</v>
      </c>
    </row>
    <row r="14" spans="1:15" s="16" customFormat="1" x14ac:dyDescent="0.25">
      <c r="A14" s="34">
        <v>44564</v>
      </c>
      <c r="B14" s="21">
        <v>367</v>
      </c>
      <c r="C14" s="21"/>
      <c r="D14" s="16" t="s">
        <v>65</v>
      </c>
      <c r="E14" s="21" t="s">
        <v>66</v>
      </c>
      <c r="F14" s="16" t="s">
        <v>19</v>
      </c>
      <c r="G14" s="16" t="s">
        <v>67</v>
      </c>
      <c r="H14" s="20">
        <v>80000</v>
      </c>
      <c r="I14" s="20">
        <f>Tabla2[[#This Row],[TOTAL FACTURA]]*0.6</f>
        <v>48000</v>
      </c>
      <c r="J14" s="20">
        <f>Tabla2[[#This Row],[TOTAL FACTURA]]*0.4</f>
        <v>32000</v>
      </c>
      <c r="K14" s="20" t="s">
        <v>68</v>
      </c>
      <c r="L14" s="20"/>
      <c r="M14" s="20">
        <f>110000+640000</f>
        <v>750000</v>
      </c>
      <c r="N14" s="1" t="s">
        <v>25</v>
      </c>
      <c r="O14" s="15">
        <f>Tabla2[[#This Row],[MONTO DE LA VENTA]]-Tabla2[[#This Row],[MONTO DE COMPRA]]</f>
        <v>750000</v>
      </c>
    </row>
    <row r="15" spans="1:15" s="16" customFormat="1" ht="15" customHeight="1" x14ac:dyDescent="0.25">
      <c r="A15" s="34">
        <v>44564</v>
      </c>
      <c r="B15" s="21"/>
      <c r="C15" s="21"/>
      <c r="D15" s="16" t="s">
        <v>69</v>
      </c>
      <c r="E15" s="21" t="s">
        <v>70</v>
      </c>
      <c r="F15" s="16" t="s">
        <v>19</v>
      </c>
      <c r="G15" s="16" t="s">
        <v>20</v>
      </c>
      <c r="H15" s="20">
        <v>30000</v>
      </c>
      <c r="I15" s="20">
        <f>Tabla2[[#This Row],[TOTAL FACTURA]]*0.6</f>
        <v>18000</v>
      </c>
      <c r="J15" s="20">
        <f>Tabla2[[#This Row],[TOTAL FACTURA]]*0.4</f>
        <v>12000</v>
      </c>
      <c r="K15" s="20" t="s">
        <v>71</v>
      </c>
      <c r="L15" s="20">
        <v>93000</v>
      </c>
      <c r="M15" s="20">
        <v>151000</v>
      </c>
      <c r="N15" s="1" t="s">
        <v>25</v>
      </c>
      <c r="O15" s="15">
        <f>Tabla2[[#This Row],[MONTO DE LA VENTA]]-Tabla2[[#This Row],[MONTO DE COMPRA]]</f>
        <v>58000</v>
      </c>
    </row>
    <row r="16" spans="1:15" s="16" customFormat="1" ht="15" customHeight="1" x14ac:dyDescent="0.25">
      <c r="A16" s="34">
        <v>44565</v>
      </c>
      <c r="B16" s="21"/>
      <c r="C16" s="21"/>
      <c r="D16" s="16" t="s">
        <v>69</v>
      </c>
      <c r="E16" s="21" t="s">
        <v>70</v>
      </c>
      <c r="F16" s="16" t="s">
        <v>19</v>
      </c>
      <c r="G16" s="16" t="s">
        <v>193</v>
      </c>
      <c r="H16" s="20">
        <v>20000</v>
      </c>
      <c r="I16" s="20">
        <f>Tabla2[[#This Row],[TOTAL FACTURA]]*0.6</f>
        <v>12000</v>
      </c>
      <c r="J16" s="20">
        <f>Tabla2[[#This Row],[TOTAL FACTURA]]*0.4</f>
        <v>8000</v>
      </c>
      <c r="K16" s="20" t="s">
        <v>71</v>
      </c>
      <c r="L16" s="20">
        <v>93000</v>
      </c>
      <c r="M16" s="20">
        <v>151000</v>
      </c>
      <c r="N16" s="1" t="s">
        <v>25</v>
      </c>
      <c r="O16" s="15">
        <f>Tabla2[[#This Row],[MONTO DE LA VENTA]]-Tabla2[[#This Row],[MONTO DE COMPRA]]</f>
        <v>58000</v>
      </c>
    </row>
    <row r="17" spans="1:15" ht="15" customHeight="1" x14ac:dyDescent="0.25">
      <c r="A17" s="9">
        <v>44564</v>
      </c>
      <c r="B17" s="4" t="s">
        <v>72</v>
      </c>
      <c r="C17" s="4"/>
      <c r="D17" s="1" t="s">
        <v>22</v>
      </c>
      <c r="E17" s="4" t="s">
        <v>73</v>
      </c>
      <c r="F17" s="1" t="s">
        <v>16</v>
      </c>
      <c r="G17" s="1" t="s">
        <v>74</v>
      </c>
      <c r="H17" s="2">
        <v>50000</v>
      </c>
      <c r="I17" s="2">
        <f>Tabla2[[#This Row],[TOTAL FACTURA]]*0.6</f>
        <v>30000</v>
      </c>
      <c r="J17" s="2">
        <f>Tabla2[[#This Row],[TOTAL FACTURA]]*0.4</f>
        <v>20000</v>
      </c>
      <c r="K17" s="2"/>
      <c r="L17" s="2"/>
      <c r="M17" s="2"/>
      <c r="N17" s="1" t="s">
        <v>25</v>
      </c>
      <c r="O17" s="15">
        <f>Tabla2[[#This Row],[MONTO DE LA VENTA]]-Tabla2[[#This Row],[MONTO DE COMPRA]]</f>
        <v>0</v>
      </c>
    </row>
    <row r="18" spans="1:15" ht="15" customHeight="1" x14ac:dyDescent="0.25">
      <c r="A18" s="9">
        <v>44565</v>
      </c>
      <c r="B18" s="4" t="s">
        <v>75</v>
      </c>
      <c r="C18" s="4"/>
      <c r="D18" s="1" t="s">
        <v>76</v>
      </c>
      <c r="E18" s="4" t="s">
        <v>77</v>
      </c>
      <c r="F18" s="1" t="s">
        <v>34</v>
      </c>
      <c r="G18" s="1" t="s">
        <v>78</v>
      </c>
      <c r="H18" s="2">
        <v>80000</v>
      </c>
      <c r="I18" s="2">
        <f>Tabla2[[#This Row],[TOTAL FACTURA]]*0.6</f>
        <v>48000</v>
      </c>
      <c r="J18" s="2">
        <f>Tabla2[[#This Row],[TOTAL FACTURA]]*0.4</f>
        <v>32000</v>
      </c>
      <c r="K18" s="2" t="s">
        <v>57</v>
      </c>
      <c r="L18" s="2"/>
      <c r="M18" s="2">
        <v>20000</v>
      </c>
      <c r="N18" s="1" t="s">
        <v>25</v>
      </c>
      <c r="O18" s="15">
        <f>Tabla2[[#This Row],[MONTO DE LA VENTA]]-Tabla2[[#This Row],[MONTO DE COMPRA]]</f>
        <v>20000</v>
      </c>
    </row>
    <row r="19" spans="1:15" ht="15" customHeight="1" x14ac:dyDescent="0.25">
      <c r="A19" s="9">
        <v>44565</v>
      </c>
      <c r="B19" s="4" t="s">
        <v>79</v>
      </c>
      <c r="C19" s="4"/>
      <c r="D19" s="1" t="s">
        <v>54</v>
      </c>
      <c r="E19" s="4" t="s">
        <v>80</v>
      </c>
      <c r="F19" s="1" t="s">
        <v>16</v>
      </c>
      <c r="G19" s="1" t="s">
        <v>81</v>
      </c>
      <c r="H19" s="2">
        <v>40000</v>
      </c>
      <c r="I19" s="2">
        <f>Tabla2[[#This Row],[TOTAL FACTURA]]*0.6</f>
        <v>24000</v>
      </c>
      <c r="J19" s="2">
        <f>Tabla2[[#This Row],[TOTAL FACTURA]]*0.4</f>
        <v>16000</v>
      </c>
      <c r="K19" s="2" t="s">
        <v>82</v>
      </c>
      <c r="L19" s="2"/>
      <c r="M19" s="2">
        <v>1000</v>
      </c>
      <c r="N19" s="1" t="s">
        <v>25</v>
      </c>
      <c r="O19" s="15">
        <f>Tabla2[[#This Row],[MONTO DE LA VENTA]]-Tabla2[[#This Row],[MONTO DE COMPRA]]</f>
        <v>1000</v>
      </c>
    </row>
    <row r="20" spans="1:15" s="16" customFormat="1" ht="15" customHeight="1" x14ac:dyDescent="0.25">
      <c r="A20" s="34">
        <v>44565</v>
      </c>
      <c r="B20" s="21" t="s">
        <v>83</v>
      </c>
      <c r="C20" s="21"/>
      <c r="D20" s="16" t="s">
        <v>84</v>
      </c>
      <c r="E20" s="21" t="s">
        <v>85</v>
      </c>
      <c r="F20" s="16" t="s">
        <v>19</v>
      </c>
      <c r="G20" s="16" t="s">
        <v>86</v>
      </c>
      <c r="H20" s="20">
        <v>50000</v>
      </c>
      <c r="I20" s="20">
        <f>Tabla2[[#This Row],[TOTAL FACTURA]]*0.6</f>
        <v>30000</v>
      </c>
      <c r="J20" s="20">
        <f>Tabla2[[#This Row],[TOTAL FACTURA]]*0.4</f>
        <v>20000</v>
      </c>
      <c r="K20" s="20" t="s">
        <v>87</v>
      </c>
      <c r="L20" s="20"/>
      <c r="M20" s="20">
        <f>160000+18000+2000</f>
        <v>180000</v>
      </c>
      <c r="N20" s="1" t="s">
        <v>25</v>
      </c>
      <c r="O20" s="15">
        <f>Tabla2[[#This Row],[MONTO DE LA VENTA]]-Tabla2[[#This Row],[MONTO DE COMPRA]]</f>
        <v>180000</v>
      </c>
    </row>
    <row r="21" spans="1:15" ht="33.75" customHeight="1" x14ac:dyDescent="0.25">
      <c r="A21" s="9">
        <v>44565</v>
      </c>
      <c r="B21" s="4">
        <v>371</v>
      </c>
      <c r="C21" s="4"/>
      <c r="D21" s="1" t="s">
        <v>88</v>
      </c>
      <c r="E21" s="4" t="s">
        <v>89</v>
      </c>
      <c r="F21" s="1" t="s">
        <v>10</v>
      </c>
      <c r="G21" s="1" t="s">
        <v>90</v>
      </c>
      <c r="H21" s="2">
        <v>600000</v>
      </c>
      <c r="I21" s="2">
        <f>Tabla2[[#This Row],[TOTAL FACTURA]]*0.6</f>
        <v>360000</v>
      </c>
      <c r="J21" s="2">
        <f>Tabla2[[#This Row],[TOTAL FACTURA]]*0.4</f>
        <v>240000</v>
      </c>
      <c r="K21" s="22" t="s">
        <v>91</v>
      </c>
      <c r="L21" s="2"/>
      <c r="M21" s="2">
        <v>1890000</v>
      </c>
      <c r="N21" s="1" t="s">
        <v>25</v>
      </c>
      <c r="O21" s="15">
        <f>Tabla2[[#This Row],[MONTO DE LA VENTA]]-Tabla2[[#This Row],[MONTO DE COMPRA]]</f>
        <v>1890000</v>
      </c>
    </row>
    <row r="22" spans="1:15" ht="15" customHeight="1" x14ac:dyDescent="0.25">
      <c r="A22" s="9">
        <v>44565</v>
      </c>
      <c r="B22" s="4" t="s">
        <v>92</v>
      </c>
      <c r="C22" s="4"/>
      <c r="D22" s="1" t="s">
        <v>59</v>
      </c>
      <c r="E22" s="4" t="s">
        <v>93</v>
      </c>
      <c r="F22" s="1" t="s">
        <v>34</v>
      </c>
      <c r="G22" s="1" t="s">
        <v>94</v>
      </c>
      <c r="H22" s="2">
        <v>800000</v>
      </c>
      <c r="I22" s="2">
        <f>Tabla2[[#This Row],[TOTAL FACTURA]]*0.6</f>
        <v>480000</v>
      </c>
      <c r="J22" s="2">
        <f>Tabla2[[#This Row],[TOTAL FACTURA]]*0.4</f>
        <v>320000</v>
      </c>
      <c r="K22" s="2" t="s">
        <v>95</v>
      </c>
      <c r="L22" s="2"/>
      <c r="M22" s="2">
        <v>276000</v>
      </c>
      <c r="N22" s="1" t="s">
        <v>25</v>
      </c>
      <c r="O22" s="15">
        <f>Tabla2[[#This Row],[MONTO DE LA VENTA]]-Tabla2[[#This Row],[MONTO DE COMPRA]]</f>
        <v>276000</v>
      </c>
    </row>
    <row r="23" spans="1:15" ht="15" customHeight="1" x14ac:dyDescent="0.25">
      <c r="A23" s="9">
        <v>44566</v>
      </c>
      <c r="C23" s="4"/>
      <c r="D23" s="1" t="s">
        <v>99</v>
      </c>
      <c r="E23" s="4" t="s">
        <v>100</v>
      </c>
      <c r="F23" s="1" t="s">
        <v>30</v>
      </c>
      <c r="G23" s="1" t="s">
        <v>101</v>
      </c>
      <c r="H23" s="2">
        <v>200000</v>
      </c>
      <c r="I23" s="2">
        <f>Tabla2[[#This Row],[TOTAL FACTURA]]*0.6</f>
        <v>120000</v>
      </c>
      <c r="J23" s="2">
        <f>Tabla2[[#This Row],[TOTAL FACTURA]]*0.4</f>
        <v>80000</v>
      </c>
      <c r="K23" s="2"/>
      <c r="L23" s="2"/>
      <c r="M23" s="2"/>
      <c r="N23" s="1" t="s">
        <v>25</v>
      </c>
      <c r="O23" s="15">
        <f>Tabla2[[#This Row],[MONTO DE LA VENTA]]-Tabla2[[#This Row],[MONTO DE COMPRA]]</f>
        <v>0</v>
      </c>
    </row>
    <row r="24" spans="1:15" ht="15" customHeight="1" x14ac:dyDescent="0.25">
      <c r="A24" s="9">
        <v>44566</v>
      </c>
      <c r="B24" s="4" t="s">
        <v>106</v>
      </c>
      <c r="C24" s="4"/>
      <c r="D24" s="1" t="s">
        <v>102</v>
      </c>
      <c r="E24" s="4" t="s">
        <v>103</v>
      </c>
      <c r="F24" s="1" t="s">
        <v>30</v>
      </c>
      <c r="G24" s="1" t="s">
        <v>104</v>
      </c>
      <c r="H24" s="2">
        <v>50000</v>
      </c>
      <c r="I24" s="2">
        <f>Tabla2[[#This Row],[TOTAL FACTURA]]*0.6</f>
        <v>30000</v>
      </c>
      <c r="J24" s="2">
        <f>Tabla2[[#This Row],[TOTAL FACTURA]]*0.4</f>
        <v>20000</v>
      </c>
      <c r="K24" s="1" t="s">
        <v>105</v>
      </c>
      <c r="L24" s="2">
        <v>50420</v>
      </c>
      <c r="M24" s="2">
        <v>63554</v>
      </c>
      <c r="N24" s="1" t="s">
        <v>25</v>
      </c>
      <c r="O24" s="15">
        <f>Tabla2[[#This Row],[MONTO DE LA VENTA]]-Tabla2[[#This Row],[MONTO DE COMPRA]]</f>
        <v>13134</v>
      </c>
    </row>
    <row r="25" spans="1:15" ht="15" customHeight="1" x14ac:dyDescent="0.25">
      <c r="A25" s="9">
        <v>44566</v>
      </c>
      <c r="C25" s="4"/>
      <c r="D25" s="1" t="s">
        <v>107</v>
      </c>
      <c r="E25" s="4" t="s">
        <v>109</v>
      </c>
      <c r="F25" s="1" t="s">
        <v>16</v>
      </c>
      <c r="G25" s="1" t="s">
        <v>110</v>
      </c>
      <c r="H25" s="2">
        <v>70000</v>
      </c>
      <c r="I25" s="2">
        <f>Tabla2[[#This Row],[TOTAL FACTURA]]*0.6</f>
        <v>42000</v>
      </c>
      <c r="J25" s="2">
        <f>Tabla2[[#This Row],[TOTAL FACTURA]]*0.4</f>
        <v>28000</v>
      </c>
      <c r="K25" s="1" t="s">
        <v>108</v>
      </c>
      <c r="L25" s="2">
        <f>280000/1.19</f>
        <v>235294.11764705883</v>
      </c>
      <c r="M25" s="2">
        <f>420000/1.19</f>
        <v>352941.17647058825</v>
      </c>
      <c r="N25" s="1" t="s">
        <v>25</v>
      </c>
      <c r="O25" s="15">
        <f>Tabla2[[#This Row],[MONTO DE LA VENTA]]-Tabla2[[#This Row],[MONTO DE COMPRA]]</f>
        <v>117647.05882352943</v>
      </c>
    </row>
    <row r="26" spans="1:15" s="16" customFormat="1" ht="15" customHeight="1" x14ac:dyDescent="0.25">
      <c r="A26" s="34">
        <v>44566</v>
      </c>
      <c r="B26" s="21" t="s">
        <v>111</v>
      </c>
      <c r="C26" s="21"/>
      <c r="D26" s="16" t="s">
        <v>112</v>
      </c>
      <c r="E26" s="21" t="s">
        <v>113</v>
      </c>
      <c r="F26" s="16" t="s">
        <v>19</v>
      </c>
      <c r="G26" s="16" t="s">
        <v>114</v>
      </c>
      <c r="H26" s="20">
        <v>80000</v>
      </c>
      <c r="I26" s="20">
        <f>Tabla2[[#This Row],[TOTAL FACTURA]]*0.6</f>
        <v>48000</v>
      </c>
      <c r="J26" s="20">
        <f>Tabla2[[#This Row],[TOTAL FACTURA]]*0.4</f>
        <v>32000</v>
      </c>
      <c r="K26" s="20" t="s">
        <v>115</v>
      </c>
      <c r="L26" s="20"/>
      <c r="M26" s="20">
        <f>220000/1.19</f>
        <v>184873.94957983194</v>
      </c>
      <c r="N26" s="1" t="s">
        <v>25</v>
      </c>
      <c r="O26" s="15">
        <f>Tabla2[[#This Row],[MONTO DE LA VENTA]]-Tabla2[[#This Row],[MONTO DE COMPRA]]</f>
        <v>184873.94957983194</v>
      </c>
    </row>
    <row r="27" spans="1:15" s="16" customFormat="1" ht="15" customHeight="1" x14ac:dyDescent="0.25">
      <c r="A27" s="34">
        <v>44566</v>
      </c>
      <c r="B27" s="21" t="s">
        <v>116</v>
      </c>
      <c r="C27" s="21"/>
      <c r="D27" s="16" t="s">
        <v>48</v>
      </c>
      <c r="E27" s="21" t="s">
        <v>117</v>
      </c>
      <c r="F27" s="16" t="s">
        <v>19</v>
      </c>
      <c r="G27" s="16" t="s">
        <v>21</v>
      </c>
      <c r="H27" s="20">
        <v>10000</v>
      </c>
      <c r="I27" s="20">
        <f>Tabla2[[#This Row],[TOTAL FACTURA]]*0.6</f>
        <v>6000</v>
      </c>
      <c r="J27" s="20">
        <f>Tabla2[[#This Row],[TOTAL FACTURA]]*0.4</f>
        <v>4000</v>
      </c>
      <c r="K27" s="20"/>
      <c r="L27" s="20"/>
      <c r="M27" s="20"/>
      <c r="N27" s="1" t="s">
        <v>25</v>
      </c>
      <c r="O27" s="15">
        <f>Tabla2[[#This Row],[MONTO DE LA VENTA]]-Tabla2[[#This Row],[MONTO DE COMPRA]]</f>
        <v>0</v>
      </c>
    </row>
    <row r="28" spans="1:15" ht="15" customHeight="1" x14ac:dyDescent="0.25">
      <c r="A28" s="9">
        <v>44566</v>
      </c>
      <c r="C28" s="4"/>
      <c r="D28" s="1" t="s">
        <v>96</v>
      </c>
      <c r="E28" s="4" t="s">
        <v>118</v>
      </c>
      <c r="F28" s="1" t="s">
        <v>10</v>
      </c>
      <c r="G28" s="1" t="s">
        <v>119</v>
      </c>
      <c r="H28" s="2">
        <v>30000</v>
      </c>
      <c r="I28" s="2">
        <f>Tabla2[[#This Row],[TOTAL FACTURA]]*0.6</f>
        <v>18000</v>
      </c>
      <c r="J28" s="2">
        <f>Tabla2[[#This Row],[TOTAL FACTURA]]*0.4</f>
        <v>12000</v>
      </c>
      <c r="K28" s="2" t="s">
        <v>120</v>
      </c>
      <c r="L28" s="2">
        <f>60000/1.19</f>
        <v>50420.168067226892</v>
      </c>
      <c r="M28" s="2">
        <f>120000/1.19</f>
        <v>100840.33613445378</v>
      </c>
      <c r="N28" s="1" t="s">
        <v>25</v>
      </c>
      <c r="O28" s="15">
        <f>Tabla2[[#This Row],[MONTO DE LA VENTA]]-Tabla2[[#This Row],[MONTO DE COMPRA]]</f>
        <v>50420.168067226892</v>
      </c>
    </row>
    <row r="29" spans="1:15" ht="15" customHeight="1" x14ac:dyDescent="0.25">
      <c r="A29" s="9">
        <v>44566</v>
      </c>
      <c r="B29" s="4" t="s">
        <v>121</v>
      </c>
      <c r="C29" s="4"/>
      <c r="D29" s="1" t="s">
        <v>122</v>
      </c>
      <c r="E29" s="4" t="s">
        <v>123</v>
      </c>
      <c r="F29" s="1" t="s">
        <v>18</v>
      </c>
      <c r="G29" s="1" t="s">
        <v>124</v>
      </c>
      <c r="H29" s="2">
        <v>30000</v>
      </c>
      <c r="I29" s="2">
        <v>30000</v>
      </c>
      <c r="J29" s="2">
        <f>Tabla2[[#This Row],[TOTAL FACTURA]]*0.4</f>
        <v>12000</v>
      </c>
      <c r="K29" s="2"/>
      <c r="L29" s="2"/>
      <c r="M29" s="2"/>
      <c r="N29" s="1" t="s">
        <v>25</v>
      </c>
      <c r="O29" s="15">
        <f>Tabla2[[#This Row],[MONTO DE LA VENTA]]-Tabla2[[#This Row],[MONTO DE COMPRA]]</f>
        <v>0</v>
      </c>
    </row>
    <row r="30" spans="1:15" ht="15" customHeight="1" x14ac:dyDescent="0.25">
      <c r="A30" s="9">
        <v>44566</v>
      </c>
      <c r="C30" s="4"/>
      <c r="D30" s="1" t="s">
        <v>126</v>
      </c>
      <c r="E30" s="4" t="s">
        <v>127</v>
      </c>
      <c r="F30" s="1" t="s">
        <v>16</v>
      </c>
      <c r="G30" s="1" t="s">
        <v>128</v>
      </c>
      <c r="H30" s="2">
        <v>15000</v>
      </c>
      <c r="I30" s="2">
        <f>Tabla2[[#This Row],[TOTAL FACTURA]]*0.6</f>
        <v>9000</v>
      </c>
      <c r="J30" s="2">
        <f>Tabla2[[#This Row],[TOTAL FACTURA]]*0.4</f>
        <v>6000</v>
      </c>
      <c r="K30" s="2"/>
      <c r="L30" s="2"/>
      <c r="M30" s="2"/>
      <c r="N30" s="1" t="s">
        <v>25</v>
      </c>
      <c r="O30" s="15">
        <f>Tabla2[[#This Row],[MONTO DE LA VENTA]]-Tabla2[[#This Row],[MONTO DE COMPRA]]</f>
        <v>0</v>
      </c>
    </row>
    <row r="31" spans="1:15" ht="15" customHeight="1" x14ac:dyDescent="0.25">
      <c r="A31" s="9">
        <v>44567</v>
      </c>
      <c r="B31" s="4" t="s">
        <v>134</v>
      </c>
      <c r="C31" s="4"/>
      <c r="D31" s="1" t="s">
        <v>136</v>
      </c>
      <c r="E31" s="4" t="s">
        <v>135</v>
      </c>
      <c r="F31" s="1" t="s">
        <v>30</v>
      </c>
      <c r="G31" s="1" t="s">
        <v>137</v>
      </c>
      <c r="H31" s="2">
        <v>70000</v>
      </c>
      <c r="I31" s="2">
        <f>Tabla2[[#This Row],[TOTAL FACTURA]]*0.6</f>
        <v>42000</v>
      </c>
      <c r="J31" s="2">
        <f>Tabla2[[#This Row],[TOTAL FACTURA]]*0.4</f>
        <v>28000</v>
      </c>
      <c r="K31" s="2"/>
      <c r="L31" s="2"/>
      <c r="M31" s="2"/>
      <c r="N31" s="1" t="s">
        <v>25</v>
      </c>
      <c r="O31" s="15">
        <f>Tabla2[[#This Row],[MONTO DE LA VENTA]]-Tabla2[[#This Row],[MONTO DE COMPRA]]</f>
        <v>0</v>
      </c>
    </row>
    <row r="32" spans="1:15" ht="15" customHeight="1" x14ac:dyDescent="0.25">
      <c r="A32" s="9">
        <v>44567</v>
      </c>
      <c r="B32" s="4" t="s">
        <v>134</v>
      </c>
      <c r="C32" s="4"/>
      <c r="D32" s="1" t="s">
        <v>136</v>
      </c>
      <c r="E32" s="4" t="s">
        <v>135</v>
      </c>
      <c r="F32" s="1" t="s">
        <v>34</v>
      </c>
      <c r="G32" s="1" t="s">
        <v>138</v>
      </c>
      <c r="H32" s="2">
        <v>50000</v>
      </c>
      <c r="I32" s="2">
        <f>Tabla2[[#This Row],[TOTAL FACTURA]]*0.6</f>
        <v>30000</v>
      </c>
      <c r="J32" s="2">
        <f>Tabla2[[#This Row],[TOTAL FACTURA]]*0.4</f>
        <v>20000</v>
      </c>
      <c r="K32" s="2"/>
      <c r="L32" s="2"/>
      <c r="M32" s="2"/>
      <c r="N32" s="1" t="s">
        <v>25</v>
      </c>
      <c r="O32" s="15">
        <f>Tabla2[[#This Row],[MONTO DE LA VENTA]]-Tabla2[[#This Row],[MONTO DE COMPRA]]</f>
        <v>0</v>
      </c>
    </row>
    <row r="33" spans="1:15" s="16" customFormat="1" ht="15" customHeight="1" x14ac:dyDescent="0.25">
      <c r="A33" s="34">
        <v>44567</v>
      </c>
      <c r="B33" s="21"/>
      <c r="C33" s="21"/>
      <c r="D33" s="16" t="s">
        <v>22</v>
      </c>
      <c r="E33" s="21" t="s">
        <v>139</v>
      </c>
      <c r="F33" s="16" t="s">
        <v>19</v>
      </c>
      <c r="G33" s="16" t="s">
        <v>140</v>
      </c>
      <c r="H33" s="20">
        <v>50000</v>
      </c>
      <c r="I33" s="20">
        <f>Tabla2[[#This Row],[TOTAL FACTURA]]*0.6</f>
        <v>30000</v>
      </c>
      <c r="J33" s="20">
        <f>Tabla2[[#This Row],[TOTAL FACTURA]]*0.4</f>
        <v>20000</v>
      </c>
      <c r="K33" s="20"/>
      <c r="L33" s="20"/>
      <c r="M33" s="20"/>
      <c r="N33" s="1" t="s">
        <v>25</v>
      </c>
      <c r="O33" s="15">
        <f>Tabla2[[#This Row],[MONTO DE LA VENTA]]-Tabla2[[#This Row],[MONTO DE COMPRA]]</f>
        <v>0</v>
      </c>
    </row>
    <row r="34" spans="1:15" ht="15" customHeight="1" x14ac:dyDescent="0.25">
      <c r="A34" s="9">
        <v>44567</v>
      </c>
      <c r="B34" s="4" t="s">
        <v>141</v>
      </c>
      <c r="C34" s="4"/>
      <c r="D34" s="1" t="s">
        <v>142</v>
      </c>
      <c r="E34" s="4" t="s">
        <v>143</v>
      </c>
      <c r="F34" s="1" t="s">
        <v>16</v>
      </c>
      <c r="G34" s="1" t="s">
        <v>144</v>
      </c>
      <c r="H34" s="2">
        <v>80000</v>
      </c>
      <c r="I34" s="2">
        <f>Tabla2[[#This Row],[TOTAL FACTURA]]*0.6</f>
        <v>48000</v>
      </c>
      <c r="J34" s="2">
        <f>Tabla2[[#This Row],[TOTAL FACTURA]]*0.4</f>
        <v>32000</v>
      </c>
      <c r="K34" s="2"/>
      <c r="L34" s="2"/>
      <c r="M34" s="2"/>
      <c r="N34" s="1" t="s">
        <v>25</v>
      </c>
      <c r="O34" s="15">
        <f>Tabla2[[#This Row],[MONTO DE LA VENTA]]-Tabla2[[#This Row],[MONTO DE COMPRA]]</f>
        <v>0</v>
      </c>
    </row>
    <row r="35" spans="1:15" s="16" customFormat="1" ht="15" customHeight="1" x14ac:dyDescent="0.25">
      <c r="A35" s="34">
        <v>44567</v>
      </c>
      <c r="B35" s="21"/>
      <c r="C35" s="21"/>
      <c r="D35" s="16" t="s">
        <v>46</v>
      </c>
      <c r="E35" s="21" t="s">
        <v>145</v>
      </c>
      <c r="F35" s="16" t="s">
        <v>19</v>
      </c>
      <c r="G35" s="35" t="s">
        <v>21</v>
      </c>
      <c r="H35" s="20">
        <v>10000</v>
      </c>
      <c r="I35" s="20">
        <f>Tabla2[[#This Row],[TOTAL FACTURA]]*0.6</f>
        <v>6000</v>
      </c>
      <c r="J35" s="20">
        <f>Tabla2[[#This Row],[TOTAL FACTURA]]*0.4</f>
        <v>4000</v>
      </c>
      <c r="K35" s="20"/>
      <c r="L35" s="20"/>
      <c r="M35" s="20"/>
      <c r="N35" s="1" t="s">
        <v>25</v>
      </c>
      <c r="O35" s="15">
        <f>Tabla2[[#This Row],[MONTO DE LA VENTA]]-Tabla2[[#This Row],[MONTO DE COMPRA]]</f>
        <v>0</v>
      </c>
    </row>
    <row r="36" spans="1:15" ht="15" customHeight="1" x14ac:dyDescent="0.25">
      <c r="A36" s="9">
        <v>44567</v>
      </c>
      <c r="B36" s="4" t="s">
        <v>146</v>
      </c>
      <c r="C36" s="4"/>
      <c r="D36" s="1" t="s">
        <v>84</v>
      </c>
      <c r="E36" s="4" t="s">
        <v>85</v>
      </c>
      <c r="F36" s="1" t="s">
        <v>18</v>
      </c>
      <c r="G36" s="1" t="s">
        <v>147</v>
      </c>
      <c r="H36" s="2">
        <v>80000</v>
      </c>
      <c r="I36" s="2">
        <f>Tabla2[[#This Row],[TOTAL FACTURA]]*0.6</f>
        <v>48000</v>
      </c>
      <c r="J36" s="2">
        <f>Tabla2[[#This Row],[TOTAL FACTURA]]*0.4</f>
        <v>32000</v>
      </c>
      <c r="K36" s="2"/>
      <c r="L36" s="2"/>
      <c r="M36" s="2"/>
      <c r="N36" s="1" t="s">
        <v>25</v>
      </c>
      <c r="O36" s="15">
        <f>Tabla2[[#This Row],[MONTO DE LA VENTA]]-Tabla2[[#This Row],[MONTO DE COMPRA]]</f>
        <v>0</v>
      </c>
    </row>
    <row r="37" spans="1:15" s="16" customFormat="1" ht="15.75" customHeight="1" x14ac:dyDescent="0.25">
      <c r="A37" s="34">
        <v>44567</v>
      </c>
      <c r="B37" s="21"/>
      <c r="C37" s="21"/>
      <c r="D37" s="16" t="s">
        <v>54</v>
      </c>
      <c r="E37" s="21" t="s">
        <v>148</v>
      </c>
      <c r="F37" s="16" t="s">
        <v>19</v>
      </c>
      <c r="G37" s="16" t="s">
        <v>149</v>
      </c>
      <c r="H37" s="20">
        <v>80000</v>
      </c>
      <c r="I37" s="20">
        <f>Tabla2[[#This Row],[TOTAL FACTURA]]*0.6</f>
        <v>48000</v>
      </c>
      <c r="J37" s="20">
        <f>Tabla2[[#This Row],[TOTAL FACTURA]]*0.4</f>
        <v>32000</v>
      </c>
      <c r="K37" s="20"/>
      <c r="L37" s="20"/>
      <c r="M37" s="20"/>
      <c r="N37" s="1" t="s">
        <v>25</v>
      </c>
      <c r="O37" s="15">
        <f>Tabla2[[#This Row],[MONTO DE LA VENTA]]-Tabla2[[#This Row],[MONTO DE COMPRA]]</f>
        <v>0</v>
      </c>
    </row>
    <row r="38" spans="1:15" ht="15" customHeight="1" x14ac:dyDescent="0.25">
      <c r="A38" s="9">
        <v>44567</v>
      </c>
      <c r="B38" s="4" t="s">
        <v>150</v>
      </c>
      <c r="C38" s="4"/>
      <c r="D38" s="1" t="s">
        <v>151</v>
      </c>
      <c r="E38" s="4" t="s">
        <v>152</v>
      </c>
      <c r="F38" s="1" t="s">
        <v>34</v>
      </c>
      <c r="G38" s="1" t="s">
        <v>21</v>
      </c>
      <c r="H38" s="2">
        <v>10000</v>
      </c>
      <c r="I38" s="2">
        <f>Tabla2[[#This Row],[TOTAL FACTURA]]*0.6</f>
        <v>6000</v>
      </c>
      <c r="J38" s="2">
        <f>Tabla2[[#This Row],[TOTAL FACTURA]]*0.4</f>
        <v>4000</v>
      </c>
      <c r="K38" s="2"/>
      <c r="L38" s="2"/>
      <c r="M38" s="2"/>
      <c r="N38" s="1" t="s">
        <v>25</v>
      </c>
      <c r="O38" s="15">
        <f>Tabla2[[#This Row],[MONTO DE LA VENTA]]-Tabla2[[#This Row],[MONTO DE COMPRA]]</f>
        <v>0</v>
      </c>
    </row>
    <row r="39" spans="1:15" ht="15" customHeight="1" x14ac:dyDescent="0.25">
      <c r="A39" s="9">
        <v>44567</v>
      </c>
      <c r="B39" s="4" t="s">
        <v>150</v>
      </c>
      <c r="C39" s="4"/>
      <c r="D39" s="1" t="s">
        <v>151</v>
      </c>
      <c r="E39" s="4" t="s">
        <v>152</v>
      </c>
      <c r="F39" s="1" t="s">
        <v>30</v>
      </c>
      <c r="G39" s="1" t="s">
        <v>153</v>
      </c>
      <c r="H39" s="2">
        <v>90000</v>
      </c>
      <c r="I39" s="2">
        <f>Tabla2[[#This Row],[TOTAL FACTURA]]*0.6</f>
        <v>54000</v>
      </c>
      <c r="J39" s="2">
        <f>Tabla2[[#This Row],[TOTAL FACTURA]]*0.4</f>
        <v>36000</v>
      </c>
      <c r="K39" s="2"/>
      <c r="L39" s="2"/>
      <c r="M39" s="2"/>
      <c r="N39" s="1" t="s">
        <v>25</v>
      </c>
      <c r="O39" s="15">
        <f>Tabla2[[#This Row],[MONTO DE LA VENTA]]-Tabla2[[#This Row],[MONTO DE COMPRA]]</f>
        <v>0</v>
      </c>
    </row>
    <row r="40" spans="1:15" ht="15" customHeight="1" x14ac:dyDescent="0.25">
      <c r="A40" s="9">
        <v>44567</v>
      </c>
      <c r="B40" s="4" t="s">
        <v>150</v>
      </c>
      <c r="C40" s="4"/>
      <c r="D40" s="1" t="s">
        <v>151</v>
      </c>
      <c r="E40" s="4" t="s">
        <v>152</v>
      </c>
      <c r="F40" s="1" t="s">
        <v>16</v>
      </c>
      <c r="G40" s="10" t="s">
        <v>154</v>
      </c>
      <c r="H40" s="2">
        <v>50000</v>
      </c>
      <c r="I40" s="2">
        <f>Tabla2[[#This Row],[TOTAL FACTURA]]*0.6</f>
        <v>30000</v>
      </c>
      <c r="J40" s="2">
        <f>Tabla2[[#This Row],[TOTAL FACTURA]]*0.4</f>
        <v>20000</v>
      </c>
      <c r="L40" s="2"/>
      <c r="M40" s="2"/>
      <c r="N40" s="1" t="s">
        <v>25</v>
      </c>
      <c r="O40" s="15">
        <f>Tabla2[[#This Row],[MONTO DE LA VENTA]]-Tabla2[[#This Row],[MONTO DE COMPRA]]</f>
        <v>0</v>
      </c>
    </row>
    <row r="41" spans="1:15" ht="15" customHeight="1" x14ac:dyDescent="0.25">
      <c r="A41" s="9">
        <v>44567</v>
      </c>
      <c r="B41" s="4" t="s">
        <v>150</v>
      </c>
      <c r="C41" s="4"/>
      <c r="D41" s="1" t="s">
        <v>151</v>
      </c>
      <c r="E41" s="4" t="s">
        <v>152</v>
      </c>
      <c r="F41" s="1" t="s">
        <v>16</v>
      </c>
      <c r="G41" s="10" t="s">
        <v>155</v>
      </c>
      <c r="H41" s="2">
        <v>30000</v>
      </c>
      <c r="I41" s="2">
        <f>Tabla2[[#This Row],[TOTAL FACTURA]]*0.6</f>
        <v>18000</v>
      </c>
      <c r="J41" s="2">
        <f>Tabla2[[#This Row],[TOTAL FACTURA]]*0.4</f>
        <v>12000</v>
      </c>
      <c r="K41" s="1" t="s">
        <v>156</v>
      </c>
      <c r="L41" s="2"/>
      <c r="M41" s="2">
        <v>13680</v>
      </c>
      <c r="N41" s="1" t="s">
        <v>25</v>
      </c>
      <c r="O41" s="15">
        <f>Tabla2[[#This Row],[MONTO DE LA VENTA]]-Tabla2[[#This Row],[MONTO DE COMPRA]]</f>
        <v>13680</v>
      </c>
    </row>
    <row r="42" spans="1:15" ht="15" customHeight="1" x14ac:dyDescent="0.25">
      <c r="A42" s="9">
        <v>44567</v>
      </c>
      <c r="B42" s="4" t="s">
        <v>150</v>
      </c>
      <c r="C42" s="4"/>
      <c r="D42" s="1" t="s">
        <v>151</v>
      </c>
      <c r="E42" s="4" t="s">
        <v>152</v>
      </c>
      <c r="F42" s="1" t="s">
        <v>18</v>
      </c>
      <c r="G42" s="10" t="s">
        <v>157</v>
      </c>
      <c r="H42" s="2">
        <v>30000</v>
      </c>
      <c r="I42" s="2">
        <f>Tabla2[[#This Row],[TOTAL FACTURA]]*0.6</f>
        <v>18000</v>
      </c>
      <c r="J42" s="2">
        <f>Tabla2[[#This Row],[TOTAL FACTURA]]*0.4</f>
        <v>12000</v>
      </c>
      <c r="K42" s="1" t="s">
        <v>158</v>
      </c>
      <c r="L42" s="2"/>
      <c r="M42" s="2">
        <v>10080</v>
      </c>
      <c r="N42" s="1" t="s">
        <v>25</v>
      </c>
      <c r="O42" s="15">
        <f>Tabla2[[#This Row],[MONTO DE LA VENTA]]-Tabla2[[#This Row],[MONTO DE COMPRA]]</f>
        <v>10080</v>
      </c>
    </row>
    <row r="43" spans="1:15" ht="15" customHeight="1" x14ac:dyDescent="0.25">
      <c r="A43" s="9">
        <v>44567</v>
      </c>
      <c r="B43" s="4" t="s">
        <v>150</v>
      </c>
      <c r="C43" s="4"/>
      <c r="D43" s="1" t="s">
        <v>151</v>
      </c>
      <c r="E43" s="4" t="s">
        <v>152</v>
      </c>
      <c r="F43" s="1" t="s">
        <v>18</v>
      </c>
      <c r="G43" s="1" t="s">
        <v>159</v>
      </c>
      <c r="H43" s="2">
        <v>50000</v>
      </c>
      <c r="I43" s="2">
        <f>Tabla2[[#This Row],[TOTAL FACTURA]]*0.6</f>
        <v>30000</v>
      </c>
      <c r="J43" s="2">
        <f>Tabla2[[#This Row],[TOTAL FACTURA]]*0.4</f>
        <v>20000</v>
      </c>
      <c r="L43" s="2"/>
      <c r="M43" s="2"/>
      <c r="N43" s="1" t="s">
        <v>25</v>
      </c>
      <c r="O43" s="15">
        <f>Tabla2[[#This Row],[MONTO DE LA VENTA]]-Tabla2[[#This Row],[MONTO DE COMPRA]]</f>
        <v>0</v>
      </c>
    </row>
    <row r="44" spans="1:15" ht="15" customHeight="1" x14ac:dyDescent="0.25">
      <c r="A44" s="9">
        <v>44567</v>
      </c>
      <c r="B44" s="4" t="s">
        <v>160</v>
      </c>
      <c r="C44" s="4"/>
      <c r="D44" s="1" t="s">
        <v>161</v>
      </c>
      <c r="E44" s="4" t="s">
        <v>162</v>
      </c>
      <c r="F44" s="1" t="s">
        <v>16</v>
      </c>
      <c r="G44" s="10" t="s">
        <v>155</v>
      </c>
      <c r="H44" s="2">
        <v>30000</v>
      </c>
      <c r="I44" s="2">
        <f>Tabla2[[#This Row],[TOTAL FACTURA]]*0.6</f>
        <v>18000</v>
      </c>
      <c r="J44" s="2">
        <f>Tabla2[[#This Row],[TOTAL FACTURA]]*0.4</f>
        <v>12000</v>
      </c>
      <c r="K44" s="2"/>
      <c r="L44" s="2"/>
      <c r="M44" s="2"/>
      <c r="N44" s="1" t="s">
        <v>25</v>
      </c>
      <c r="O44" s="15">
        <f>Tabla2[[#This Row],[MONTO DE LA VENTA]]-Tabla2[[#This Row],[MONTO DE COMPRA]]</f>
        <v>0</v>
      </c>
    </row>
    <row r="45" spans="1:15" ht="15" customHeight="1" x14ac:dyDescent="0.25">
      <c r="A45" s="9">
        <v>44567</v>
      </c>
      <c r="B45" s="4" t="s">
        <v>160</v>
      </c>
      <c r="C45" s="4"/>
      <c r="D45" s="1" t="s">
        <v>161</v>
      </c>
      <c r="E45" s="4" t="s">
        <v>162</v>
      </c>
      <c r="F45" s="1" t="s">
        <v>16</v>
      </c>
      <c r="G45" s="1" t="s">
        <v>163</v>
      </c>
      <c r="H45" s="2">
        <v>80000</v>
      </c>
      <c r="I45" s="2">
        <f>Tabla2[[#This Row],[TOTAL FACTURA]]*0.6</f>
        <v>48000</v>
      </c>
      <c r="J45" s="2">
        <f>Tabla2[[#This Row],[TOTAL FACTURA]]*0.4</f>
        <v>32000</v>
      </c>
      <c r="K45" s="2" t="s">
        <v>165</v>
      </c>
      <c r="L45" s="2"/>
      <c r="M45" s="2">
        <f>15000+12000+3600</f>
        <v>30600</v>
      </c>
      <c r="N45" s="1" t="s">
        <v>25</v>
      </c>
      <c r="O45" s="15">
        <f>Tabla2[[#This Row],[MONTO DE LA VENTA]]-Tabla2[[#This Row],[MONTO DE COMPRA]]</f>
        <v>30600</v>
      </c>
    </row>
    <row r="46" spans="1:15" ht="15" customHeight="1" x14ac:dyDescent="0.25">
      <c r="A46" s="9">
        <v>44567</v>
      </c>
      <c r="B46" s="4" t="s">
        <v>160</v>
      </c>
      <c r="C46" s="4"/>
      <c r="D46" s="1" t="s">
        <v>161</v>
      </c>
      <c r="E46" s="4" t="s">
        <v>162</v>
      </c>
      <c r="F46" s="1" t="s">
        <v>18</v>
      </c>
      <c r="G46" s="1" t="s">
        <v>157</v>
      </c>
      <c r="H46" s="2">
        <v>30000</v>
      </c>
      <c r="I46" s="2">
        <f>Tabla2[[#This Row],[TOTAL FACTURA]]*0.6</f>
        <v>18000</v>
      </c>
      <c r="J46" s="2">
        <f>Tabla2[[#This Row],[TOTAL FACTURA]]*0.4</f>
        <v>12000</v>
      </c>
      <c r="K46" s="2" t="s">
        <v>158</v>
      </c>
      <c r="L46" s="2"/>
      <c r="M46" s="2">
        <v>8400</v>
      </c>
      <c r="N46" s="1" t="s">
        <v>25</v>
      </c>
      <c r="O46" s="15">
        <f>Tabla2[[#This Row],[MONTO DE LA VENTA]]-Tabla2[[#This Row],[MONTO DE COMPRA]]</f>
        <v>8400</v>
      </c>
    </row>
    <row r="47" spans="1:15" ht="15" customHeight="1" x14ac:dyDescent="0.25">
      <c r="A47" s="9">
        <v>44567</v>
      </c>
      <c r="B47" s="4" t="s">
        <v>160</v>
      </c>
      <c r="C47" s="4"/>
      <c r="D47" s="1" t="s">
        <v>161</v>
      </c>
      <c r="E47" s="4" t="s">
        <v>162</v>
      </c>
      <c r="F47" s="1" t="s">
        <v>18</v>
      </c>
      <c r="G47" s="1" t="s">
        <v>164</v>
      </c>
      <c r="H47" s="2">
        <v>30000</v>
      </c>
      <c r="I47" s="2">
        <f>Tabla2[[#This Row],[TOTAL FACTURA]]*0.6</f>
        <v>18000</v>
      </c>
      <c r="J47" s="2">
        <f>Tabla2[[#This Row],[TOTAL FACTURA]]*0.4</f>
        <v>12000</v>
      </c>
      <c r="K47" s="2"/>
      <c r="L47" s="2"/>
      <c r="M47" s="2"/>
      <c r="N47" s="1" t="s">
        <v>25</v>
      </c>
      <c r="O47" s="15">
        <f>Tabla2[[#This Row],[MONTO DE LA VENTA]]-Tabla2[[#This Row],[MONTO DE COMPRA]]</f>
        <v>0</v>
      </c>
    </row>
    <row r="48" spans="1:15" ht="15" customHeight="1" x14ac:dyDescent="0.25">
      <c r="A48" s="9">
        <v>44567</v>
      </c>
      <c r="B48" s="4" t="s">
        <v>166</v>
      </c>
      <c r="C48" s="4"/>
      <c r="D48" s="1" t="s">
        <v>59</v>
      </c>
      <c r="E48" s="4" t="s">
        <v>93</v>
      </c>
      <c r="F48" s="1" t="s">
        <v>30</v>
      </c>
      <c r="G48" s="1" t="s">
        <v>167</v>
      </c>
      <c r="H48" s="2">
        <v>180000</v>
      </c>
      <c r="I48" s="2">
        <f>Tabla2[[#This Row],[TOTAL FACTURA]]*0.6</f>
        <v>108000</v>
      </c>
      <c r="J48" s="2">
        <f>Tabla2[[#This Row],[TOTAL FACTURA]]*0.4</f>
        <v>72000</v>
      </c>
      <c r="K48" s="2"/>
      <c r="L48" s="2"/>
      <c r="M48" s="2"/>
      <c r="N48" s="1" t="s">
        <v>25</v>
      </c>
      <c r="O48" s="15">
        <f>Tabla2[[#This Row],[MONTO DE LA VENTA]]-Tabla2[[#This Row],[MONTO DE COMPRA]]</f>
        <v>0</v>
      </c>
    </row>
    <row r="49" spans="1:15" ht="15" customHeight="1" x14ac:dyDescent="0.25">
      <c r="A49" s="9">
        <v>44568</v>
      </c>
      <c r="C49" s="4"/>
      <c r="D49" s="1" t="s">
        <v>168</v>
      </c>
      <c r="E49" s="4" t="s">
        <v>169</v>
      </c>
      <c r="F49" s="1" t="s">
        <v>10</v>
      </c>
      <c r="G49" s="1" t="s">
        <v>170</v>
      </c>
      <c r="H49" s="2">
        <v>30000</v>
      </c>
      <c r="I49" s="2">
        <f>Tabla2[[#This Row],[TOTAL FACTURA]]*0.6</f>
        <v>18000</v>
      </c>
      <c r="J49" s="2">
        <f>Tabla2[[#This Row],[TOTAL FACTURA]]*0.4</f>
        <v>12000</v>
      </c>
      <c r="K49" s="2" t="s">
        <v>171</v>
      </c>
      <c r="L49" s="2">
        <f>35000/1.19</f>
        <v>29411.764705882353</v>
      </c>
      <c r="M49" s="2">
        <f>60000/1.19</f>
        <v>50420.168067226892</v>
      </c>
      <c r="N49" s="1" t="s">
        <v>25</v>
      </c>
      <c r="O49" s="15">
        <f>Tabla2[[#This Row],[MONTO DE LA VENTA]]-Tabla2[[#This Row],[MONTO DE COMPRA]]</f>
        <v>21008.403361344539</v>
      </c>
    </row>
    <row r="50" spans="1:15" ht="15" customHeight="1" x14ac:dyDescent="0.25">
      <c r="A50" s="9">
        <v>44568</v>
      </c>
      <c r="B50" s="4" t="s">
        <v>172</v>
      </c>
      <c r="C50" s="4"/>
      <c r="D50" s="1" t="s">
        <v>96</v>
      </c>
      <c r="E50" s="4" t="s">
        <v>173</v>
      </c>
      <c r="F50" s="1" t="s">
        <v>19</v>
      </c>
      <c r="G50" s="10" t="s">
        <v>174</v>
      </c>
      <c r="H50" s="2">
        <v>80000</v>
      </c>
      <c r="I50" s="2">
        <f>Tabla2[[#This Row],[TOTAL FACTURA]]*0.6</f>
        <v>48000</v>
      </c>
      <c r="J50" s="2">
        <f>Tabla2[[#This Row],[TOTAL FACTURA]]*0.4</f>
        <v>32000</v>
      </c>
      <c r="K50" s="1" t="s">
        <v>175</v>
      </c>
      <c r="L50" s="2">
        <f>92436.76+30000+74000</f>
        <v>196436.76</v>
      </c>
      <c r="M50" s="2">
        <f>92436+30000+163025</f>
        <v>285461</v>
      </c>
      <c r="N50" s="1" t="s">
        <v>25</v>
      </c>
      <c r="O50" s="15">
        <f>Tabla2[[#This Row],[MONTO DE LA VENTA]]-Tabla2[[#This Row],[MONTO DE COMPRA]]</f>
        <v>89024.239999999991</v>
      </c>
    </row>
    <row r="51" spans="1:15" ht="15" customHeight="1" x14ac:dyDescent="0.25">
      <c r="A51" s="9">
        <v>44568</v>
      </c>
      <c r="B51" s="4" t="s">
        <v>176</v>
      </c>
      <c r="C51" s="4"/>
      <c r="D51" s="1" t="s">
        <v>194</v>
      </c>
      <c r="E51" s="4" t="s">
        <v>177</v>
      </c>
      <c r="F51" s="1" t="s">
        <v>19</v>
      </c>
      <c r="G51" s="10" t="s">
        <v>94</v>
      </c>
      <c r="H51" s="2">
        <v>30000</v>
      </c>
      <c r="I51" s="2">
        <f>Tabla2[[#This Row],[TOTAL FACTURA]]*0.6</f>
        <v>18000</v>
      </c>
      <c r="J51" s="2">
        <f>Tabla2[[#This Row],[TOTAL FACTURA]]*0.4</f>
        <v>12000</v>
      </c>
      <c r="K51" s="1" t="s">
        <v>178</v>
      </c>
      <c r="L51" s="2">
        <f>27731+78150</f>
        <v>105881</v>
      </c>
      <c r="M51" s="2">
        <v>151260</v>
      </c>
      <c r="N51" s="1" t="s">
        <v>25</v>
      </c>
      <c r="O51" s="15">
        <f>Tabla2[[#This Row],[MONTO DE LA VENTA]]-Tabla2[[#This Row],[MONTO DE COMPRA]]</f>
        <v>45379</v>
      </c>
    </row>
    <row r="52" spans="1:15" ht="15" customHeight="1" x14ac:dyDescent="0.25">
      <c r="A52" s="9">
        <v>44568</v>
      </c>
      <c r="C52" s="4"/>
      <c r="D52" s="1" t="s">
        <v>122</v>
      </c>
      <c r="E52" s="4" t="s">
        <v>195</v>
      </c>
      <c r="F52" s="1" t="s">
        <v>30</v>
      </c>
      <c r="G52" s="10" t="s">
        <v>196</v>
      </c>
      <c r="H52" s="2">
        <v>300000</v>
      </c>
      <c r="I52" s="2">
        <f>Tabla2[[#This Row],[TOTAL FACTURA]]*0.6</f>
        <v>180000</v>
      </c>
      <c r="J52" s="2">
        <f>Tabla2[[#This Row],[TOTAL FACTURA]]*0.4</f>
        <v>120000</v>
      </c>
      <c r="L52" s="2"/>
      <c r="M52" s="2"/>
      <c r="N52" s="1" t="s">
        <v>25</v>
      </c>
      <c r="O52" s="15">
        <f>Tabla2[[#This Row],[MONTO DE LA VENTA]]-Tabla2[[#This Row],[MONTO DE COMPRA]]</f>
        <v>0</v>
      </c>
    </row>
    <row r="53" spans="1:15" ht="15" customHeight="1" x14ac:dyDescent="0.25">
      <c r="A53" s="9">
        <v>44568</v>
      </c>
      <c r="C53" s="4"/>
      <c r="D53" s="1" t="s">
        <v>201</v>
      </c>
      <c r="E53" s="4"/>
      <c r="F53" s="1" t="s">
        <v>10</v>
      </c>
      <c r="G53" s="1" t="s">
        <v>12</v>
      </c>
      <c r="H53" s="2">
        <v>1600000</v>
      </c>
      <c r="I53" s="2">
        <f>Tabla2[[#This Row],[TOTAL FACTURA]]*0.6</f>
        <v>960000</v>
      </c>
      <c r="J53" s="2">
        <f>Tabla2[[#This Row],[TOTAL FACTURA]]*0.4</f>
        <v>640000</v>
      </c>
      <c r="L53" s="2"/>
      <c r="M53" s="2"/>
      <c r="N53" s="1" t="s">
        <v>25</v>
      </c>
      <c r="O53" s="15">
        <f>Tabla2[[#This Row],[MONTO DE LA VENTA]]-Tabla2[[#This Row],[MONTO DE COMPRA]]</f>
        <v>0</v>
      </c>
    </row>
    <row r="54" spans="1:15" ht="15" customHeight="1" x14ac:dyDescent="0.25">
      <c r="A54" s="9">
        <v>44569</v>
      </c>
      <c r="B54" s="4" t="s">
        <v>198</v>
      </c>
      <c r="C54" s="4"/>
      <c r="D54" s="1" t="s">
        <v>200</v>
      </c>
      <c r="E54" s="4" t="s">
        <v>199</v>
      </c>
      <c r="F54" s="1" t="s">
        <v>16</v>
      </c>
      <c r="G54" s="1" t="s">
        <v>197</v>
      </c>
      <c r="H54" s="2">
        <v>40000</v>
      </c>
      <c r="I54" s="2">
        <f>Tabla2[[#This Row],[TOTAL FACTURA]]*0.6</f>
        <v>24000</v>
      </c>
      <c r="J54" s="2">
        <f>Tabla2[[#This Row],[TOTAL FACTURA]]*0.4</f>
        <v>16000</v>
      </c>
      <c r="L54" s="2"/>
      <c r="M54" s="2"/>
      <c r="N54" s="1" t="s">
        <v>25</v>
      </c>
      <c r="O54" s="15">
        <f>Tabla2[[#This Row],[MONTO DE LA VENTA]]-Tabla2[[#This Row],[MONTO DE COMPRA]]</f>
        <v>0</v>
      </c>
    </row>
    <row r="55" spans="1:15" ht="15" customHeight="1" x14ac:dyDescent="0.25">
      <c r="A55" s="9">
        <v>44569</v>
      </c>
      <c r="B55" s="4" t="s">
        <v>283</v>
      </c>
      <c r="C55" s="4"/>
      <c r="D55" s="1" t="s">
        <v>28</v>
      </c>
      <c r="E55" s="4" t="s">
        <v>284</v>
      </c>
      <c r="F55" s="1" t="s">
        <v>19</v>
      </c>
      <c r="G55" s="1" t="s">
        <v>20</v>
      </c>
      <c r="H55" s="15">
        <v>60000</v>
      </c>
      <c r="I55" s="15">
        <f>Tabla2[[#This Row],[TOTAL FACTURA]]*0.6</f>
        <v>36000</v>
      </c>
      <c r="J55" s="39">
        <f>Tabla2[[#This Row],[TOTAL FACTURA]]*0.4</f>
        <v>24000</v>
      </c>
      <c r="L55" s="15"/>
      <c r="M55" s="15">
        <v>150000</v>
      </c>
      <c r="N55" s="1" t="s">
        <v>25</v>
      </c>
      <c r="O55" s="15">
        <f>Tabla2[[#This Row],[MONTO DE LA VENTA]]-Tabla2[[#This Row],[MONTO DE COMPRA]]</f>
        <v>150000</v>
      </c>
    </row>
    <row r="56" spans="1:15" ht="15" customHeight="1" x14ac:dyDescent="0.25">
      <c r="A56" s="9">
        <v>44569</v>
      </c>
      <c r="B56" s="4" t="s">
        <v>203</v>
      </c>
      <c r="C56" s="4"/>
      <c r="D56" s="1" t="s">
        <v>204</v>
      </c>
      <c r="E56" s="4" t="s">
        <v>205</v>
      </c>
      <c r="F56" s="1" t="s">
        <v>30</v>
      </c>
      <c r="G56" s="1" t="s">
        <v>206</v>
      </c>
      <c r="H56" s="2">
        <v>50000</v>
      </c>
      <c r="I56" s="2">
        <f>Tabla2[[#This Row],[TOTAL FACTURA]]*0.6</f>
        <v>30000</v>
      </c>
      <c r="J56" s="2">
        <f>Tabla2[[#This Row],[TOTAL FACTURA]]*0.4</f>
        <v>20000</v>
      </c>
      <c r="K56" s="2"/>
      <c r="L56" s="2"/>
      <c r="M56" s="2"/>
      <c r="N56" s="1" t="s">
        <v>25</v>
      </c>
      <c r="O56" s="15">
        <f>Tabla2[[#This Row],[MONTO DE LA VENTA]]-Tabla2[[#This Row],[MONTO DE COMPRA]]</f>
        <v>0</v>
      </c>
    </row>
    <row r="57" spans="1:15" x14ac:dyDescent="0.25">
      <c r="A57" s="9">
        <v>44569</v>
      </c>
      <c r="B57" s="4" t="s">
        <v>207</v>
      </c>
      <c r="C57" s="4"/>
      <c r="D57" s="1" t="s">
        <v>208</v>
      </c>
      <c r="E57" s="4" t="s">
        <v>209</v>
      </c>
      <c r="F57" s="1" t="s">
        <v>19</v>
      </c>
      <c r="G57" s="10" t="s">
        <v>206</v>
      </c>
      <c r="H57" s="15">
        <v>80000</v>
      </c>
      <c r="I57" s="15">
        <f>Tabla2[[#This Row],[TOTAL FACTURA]]*0.6</f>
        <v>48000</v>
      </c>
      <c r="J57" s="15">
        <f>Tabla2[[#This Row],[TOTAL FACTURA]]*0.4</f>
        <v>32000</v>
      </c>
      <c r="K57" s="1" t="s">
        <v>210</v>
      </c>
      <c r="L57" s="15"/>
      <c r="M57" s="15">
        <v>60000</v>
      </c>
      <c r="N57" s="1" t="s">
        <v>25</v>
      </c>
      <c r="O57" s="15">
        <f>Tabla2[[#This Row],[MONTO DE LA VENTA]]-Tabla2[[#This Row],[MONTO DE COMPRA]]</f>
        <v>60000</v>
      </c>
    </row>
    <row r="58" spans="1:15" x14ac:dyDescent="0.25">
      <c r="A58" s="9">
        <v>44569</v>
      </c>
      <c r="C58" s="4"/>
      <c r="D58" s="1" t="s">
        <v>23</v>
      </c>
      <c r="E58" s="4" t="s">
        <v>99</v>
      </c>
      <c r="F58" s="1" t="s">
        <v>19</v>
      </c>
      <c r="G58" s="1" t="s">
        <v>211</v>
      </c>
      <c r="H58" s="15">
        <v>50000</v>
      </c>
      <c r="I58" s="15">
        <f>Tabla2[[#This Row],[TOTAL FACTURA]]*0.6</f>
        <v>30000</v>
      </c>
      <c r="J58" s="15">
        <f>Tabla2[[#This Row],[TOTAL FACTURA]]*0.4</f>
        <v>20000</v>
      </c>
      <c r="K58" s="1" t="s">
        <v>217</v>
      </c>
      <c r="L58" s="15">
        <v>112000</v>
      </c>
      <c r="M58" s="15"/>
      <c r="N58" s="1" t="s">
        <v>25</v>
      </c>
      <c r="O58" s="15">
        <v>112000</v>
      </c>
    </row>
    <row r="59" spans="1:15" ht="15.75" customHeight="1" x14ac:dyDescent="0.25">
      <c r="A59" s="9">
        <v>44569</v>
      </c>
      <c r="C59" s="4"/>
      <c r="D59" s="1" t="s">
        <v>23</v>
      </c>
      <c r="E59" s="4" t="s">
        <v>99</v>
      </c>
      <c r="F59" s="1" t="s">
        <v>16</v>
      </c>
      <c r="G59" s="1" t="s">
        <v>212</v>
      </c>
      <c r="H59" s="2">
        <v>100000</v>
      </c>
      <c r="I59" s="2">
        <f>Tabla2[[#This Row],[TOTAL FACTURA]]*0.6</f>
        <v>60000</v>
      </c>
      <c r="J59" s="2">
        <f>Tabla2[[#This Row],[TOTAL FACTURA]]*0.4</f>
        <v>40000</v>
      </c>
      <c r="K59" s="1" t="s">
        <v>108</v>
      </c>
      <c r="L59" s="2"/>
      <c r="M59" s="2">
        <v>380000</v>
      </c>
      <c r="N59" s="1" t="s">
        <v>25</v>
      </c>
      <c r="O59" s="15">
        <f>Tabla2[[#This Row],[MONTO DE LA VENTA]]-Tabla2[[#This Row],[MONTO DE COMPRA]]</f>
        <v>380000</v>
      </c>
    </row>
    <row r="60" spans="1:15" ht="14.25" customHeight="1" x14ac:dyDescent="0.25">
      <c r="A60" s="9">
        <v>44569</v>
      </c>
      <c r="B60" s="4" t="s">
        <v>213</v>
      </c>
      <c r="C60" s="4"/>
      <c r="E60" s="4"/>
      <c r="F60" s="1" t="s">
        <v>16</v>
      </c>
      <c r="G60" s="1" t="s">
        <v>214</v>
      </c>
      <c r="H60" s="2">
        <v>80000</v>
      </c>
      <c r="I60" s="2">
        <f>Tabla2[[#This Row],[TOTAL FACTURA]]*0.6</f>
        <v>48000</v>
      </c>
      <c r="J60" s="2">
        <f>Tabla2[[#This Row],[TOTAL FACTURA]]*0.4</f>
        <v>32000</v>
      </c>
      <c r="K60" s="2"/>
      <c r="L60" s="2"/>
      <c r="M60" s="2"/>
      <c r="N60" s="1" t="s">
        <v>25</v>
      </c>
      <c r="O60" s="15">
        <f>Tabla2[[#This Row],[MONTO DE LA VENTA]]-Tabla2[[#This Row],[MONTO DE COMPRA]]</f>
        <v>0</v>
      </c>
    </row>
    <row r="61" spans="1:15" x14ac:dyDescent="0.25">
      <c r="A61" s="9">
        <v>44569</v>
      </c>
      <c r="C61" s="4"/>
      <c r="D61" s="1" t="s">
        <v>54</v>
      </c>
      <c r="E61" s="4" t="s">
        <v>148</v>
      </c>
      <c r="F61" s="1" t="s">
        <v>16</v>
      </c>
      <c r="G61" s="1" t="s">
        <v>98</v>
      </c>
      <c r="H61" s="2">
        <v>80000</v>
      </c>
      <c r="I61" s="2">
        <f>Tabla2[[#This Row],[TOTAL FACTURA]]*0.6</f>
        <v>48000</v>
      </c>
      <c r="J61" s="2">
        <f>Tabla2[[#This Row],[TOTAL FACTURA]]*0.4</f>
        <v>32000</v>
      </c>
      <c r="K61" s="2" t="s">
        <v>216</v>
      </c>
      <c r="L61" s="2"/>
      <c r="M61" s="2">
        <f>4000+22000+2000+6000</f>
        <v>34000</v>
      </c>
      <c r="N61" s="1" t="s">
        <v>25</v>
      </c>
      <c r="O61" s="15">
        <f>Tabla2[[#This Row],[MONTO DE LA VENTA]]-Tabla2[[#This Row],[MONTO DE COMPRA]]</f>
        <v>34000</v>
      </c>
    </row>
    <row r="62" spans="1:15" x14ac:dyDescent="0.25">
      <c r="A62" s="9">
        <v>44569</v>
      </c>
      <c r="C62" s="4"/>
      <c r="D62" s="1" t="s">
        <v>54</v>
      </c>
      <c r="E62" s="4" t="s">
        <v>215</v>
      </c>
      <c r="F62" s="1" t="s">
        <v>16</v>
      </c>
      <c r="G62" s="1" t="s">
        <v>197</v>
      </c>
      <c r="H62" s="2">
        <v>50000</v>
      </c>
      <c r="I62" s="2">
        <f>Tabla2[[#This Row],[TOTAL FACTURA]]*0.6</f>
        <v>30000</v>
      </c>
      <c r="J62" s="2">
        <f>Tabla2[[#This Row],[TOTAL FACTURA]]*0.4</f>
        <v>20000</v>
      </c>
      <c r="K62" s="2"/>
      <c r="L62" s="2"/>
      <c r="M62" s="2"/>
      <c r="N62" s="1" t="s">
        <v>25</v>
      </c>
      <c r="O62" s="15">
        <f>Tabla2[[#This Row],[MONTO DE LA VENTA]]-Tabla2[[#This Row],[MONTO DE COMPRA]]</f>
        <v>0</v>
      </c>
    </row>
    <row r="63" spans="1:15" x14ac:dyDescent="0.25">
      <c r="A63" s="9">
        <v>44569</v>
      </c>
      <c r="C63" s="4"/>
      <c r="D63" s="1" t="s">
        <v>287</v>
      </c>
      <c r="E63" s="4"/>
      <c r="F63" s="1" t="s">
        <v>19</v>
      </c>
      <c r="G63" s="1" t="s">
        <v>288</v>
      </c>
      <c r="H63" s="2">
        <v>20000</v>
      </c>
      <c r="I63" s="2">
        <f>Tabla2[[#This Row],[TOTAL FACTURA]]*0.6</f>
        <v>12000</v>
      </c>
      <c r="J63" s="38">
        <f>Tabla2[[#This Row],[TOTAL FACTURA]]*0.4</f>
        <v>8000</v>
      </c>
      <c r="K63" s="2"/>
      <c r="L63" s="2"/>
      <c r="M63" s="2"/>
      <c r="N63" s="1" t="s">
        <v>25</v>
      </c>
      <c r="O63" s="15">
        <f>Tabla2[[#This Row],[MONTO DE LA VENTA]]-Tabla2[[#This Row],[MONTO DE COMPRA]]</f>
        <v>0</v>
      </c>
    </row>
    <row r="64" spans="1:15" ht="15" customHeight="1" x14ac:dyDescent="0.25">
      <c r="A64" s="9">
        <v>44569</v>
      </c>
      <c r="B64" s="4" t="s">
        <v>129</v>
      </c>
      <c r="C64" s="4"/>
      <c r="D64" s="1" t="s">
        <v>202</v>
      </c>
      <c r="E64" s="4" t="s">
        <v>125</v>
      </c>
      <c r="F64" s="1" t="s">
        <v>16</v>
      </c>
      <c r="G64" s="1" t="s">
        <v>98</v>
      </c>
      <c r="H64" s="15">
        <v>100000</v>
      </c>
      <c r="I64" s="15">
        <v>100000</v>
      </c>
      <c r="J64" s="15">
        <f>Tabla2[[#This Row],[TOTAL FACTURA]]*0.4</f>
        <v>40000</v>
      </c>
      <c r="L64" s="15"/>
      <c r="M64" s="15"/>
      <c r="N64" s="1" t="s">
        <v>25</v>
      </c>
      <c r="O64" s="15">
        <f>Tabla2[[#This Row],[MONTO DE LA VENTA]]-Tabla2[[#This Row],[MONTO DE COMPRA]]</f>
        <v>0</v>
      </c>
    </row>
    <row r="65" spans="1:15" x14ac:dyDescent="0.25">
      <c r="A65" s="9">
        <v>44572</v>
      </c>
      <c r="B65" s="4">
        <v>32</v>
      </c>
      <c r="C65" s="4"/>
      <c r="D65" s="1" t="s">
        <v>218</v>
      </c>
      <c r="E65" s="4" t="s">
        <v>219</v>
      </c>
      <c r="F65" s="1" t="s">
        <v>10</v>
      </c>
      <c r="G65" s="1" t="s">
        <v>220</v>
      </c>
      <c r="H65" s="2">
        <v>150000</v>
      </c>
      <c r="I65" s="2">
        <f>Tabla2[[#This Row],[TOTAL FACTURA]]*0.6</f>
        <v>90000</v>
      </c>
      <c r="J65" s="2">
        <f>Tabla2[[#This Row],[TOTAL FACTURA]]*0.4</f>
        <v>60000</v>
      </c>
      <c r="K65" s="2" t="s">
        <v>221</v>
      </c>
      <c r="L65" s="2">
        <v>434000</v>
      </c>
      <c r="M65" s="2">
        <v>541500</v>
      </c>
      <c r="N65" s="1" t="s">
        <v>25</v>
      </c>
      <c r="O65" s="15">
        <f>Tabla2[[#This Row],[MONTO DE LA VENTA]]-Tabla2[[#This Row],[MONTO DE COMPRA]]</f>
        <v>107500</v>
      </c>
    </row>
    <row r="66" spans="1:15" x14ac:dyDescent="0.25">
      <c r="A66" s="9">
        <v>44572</v>
      </c>
      <c r="C66" s="4"/>
      <c r="D66" s="1" t="s">
        <v>222</v>
      </c>
      <c r="E66" s="4" t="s">
        <v>223</v>
      </c>
      <c r="F66" s="1" t="s">
        <v>19</v>
      </c>
      <c r="G66" s="1" t="s">
        <v>21</v>
      </c>
      <c r="H66" s="15">
        <v>10000</v>
      </c>
      <c r="I66" s="15">
        <f>Tabla2[[#This Row],[TOTAL FACTURA]]*0.6</f>
        <v>6000</v>
      </c>
      <c r="J66" s="15">
        <f>Tabla2[[#This Row],[TOTAL FACTURA]]*0.4</f>
        <v>4000</v>
      </c>
      <c r="L66" s="15"/>
      <c r="M66" s="15"/>
      <c r="N66" s="1" t="s">
        <v>25</v>
      </c>
      <c r="O66" s="15">
        <f>Tabla2[[#This Row],[MONTO DE LA VENTA]]-Tabla2[[#This Row],[MONTO DE COMPRA]]</f>
        <v>0</v>
      </c>
    </row>
    <row r="67" spans="1:15" x14ac:dyDescent="0.25">
      <c r="A67" s="9">
        <v>44572</v>
      </c>
      <c r="B67" s="4">
        <v>33</v>
      </c>
      <c r="C67" s="4"/>
      <c r="D67" s="1" t="s">
        <v>224</v>
      </c>
      <c r="E67" s="4" t="s">
        <v>225</v>
      </c>
      <c r="F67" s="1" t="s">
        <v>30</v>
      </c>
      <c r="G67" s="1" t="s">
        <v>226</v>
      </c>
      <c r="H67" s="2">
        <v>200000</v>
      </c>
      <c r="I67" s="2">
        <f>Tabla2[[#This Row],[TOTAL FACTURA]]*0.6</f>
        <v>120000</v>
      </c>
      <c r="J67" s="2">
        <f>Tabla2[[#This Row],[TOTAL FACTURA]]*0.4</f>
        <v>80000</v>
      </c>
      <c r="K67" s="1" t="s">
        <v>226</v>
      </c>
      <c r="L67" s="2"/>
      <c r="M67" s="2">
        <v>392352.79</v>
      </c>
      <c r="N67" s="1" t="s">
        <v>25</v>
      </c>
      <c r="O67" s="15">
        <f>Tabla2[[#This Row],[MONTO DE LA VENTA]]-Tabla2[[#This Row],[MONTO DE COMPRA]]</f>
        <v>392352.79</v>
      </c>
    </row>
    <row r="68" spans="1:15" x14ac:dyDescent="0.25">
      <c r="A68" s="9">
        <v>44572</v>
      </c>
      <c r="C68" s="4"/>
      <c r="D68" s="1" t="s">
        <v>227</v>
      </c>
      <c r="E68" s="4" t="s">
        <v>228</v>
      </c>
      <c r="F68" s="1" t="s">
        <v>19</v>
      </c>
      <c r="G68" s="1" t="s">
        <v>229</v>
      </c>
      <c r="H68" s="15">
        <v>50000</v>
      </c>
      <c r="I68" s="15">
        <f>Tabla2[[#This Row],[TOTAL FACTURA]]*0.6</f>
        <v>30000</v>
      </c>
      <c r="J68" s="15">
        <f>Tabla2[[#This Row],[TOTAL FACTURA]]*0.4</f>
        <v>20000</v>
      </c>
      <c r="K68" s="1" t="s">
        <v>230</v>
      </c>
      <c r="L68" s="15">
        <v>30000</v>
      </c>
      <c r="M68" s="15">
        <v>30000</v>
      </c>
      <c r="N68" s="1" t="s">
        <v>25</v>
      </c>
      <c r="O68" s="15">
        <f>Tabla2[[#This Row],[MONTO DE LA VENTA]]-Tabla2[[#This Row],[MONTO DE COMPRA]]</f>
        <v>0</v>
      </c>
    </row>
    <row r="69" spans="1:15" x14ac:dyDescent="0.25">
      <c r="A69" s="9">
        <v>44572</v>
      </c>
      <c r="B69" s="4">
        <v>378</v>
      </c>
      <c r="C69" s="4"/>
      <c r="D69" s="1" t="s">
        <v>231</v>
      </c>
      <c r="E69" s="4" t="s">
        <v>232</v>
      </c>
      <c r="F69" s="1" t="s">
        <v>30</v>
      </c>
      <c r="G69" s="1" t="s">
        <v>233</v>
      </c>
      <c r="H69" s="15">
        <v>40000</v>
      </c>
      <c r="I69" s="15">
        <f>Tabla2[[#This Row],[TOTAL FACTURA]]*0.6</f>
        <v>24000</v>
      </c>
      <c r="J69" s="15">
        <f>Tabla2[[#This Row],[TOTAL FACTURA]]*0.4</f>
        <v>16000</v>
      </c>
      <c r="K69" s="1" t="s">
        <v>234</v>
      </c>
      <c r="L69" s="15"/>
      <c r="M69" s="15">
        <v>280000</v>
      </c>
      <c r="N69" s="1" t="s">
        <v>25</v>
      </c>
      <c r="O69" s="15">
        <f>Tabla2[[#This Row],[MONTO DE LA VENTA]]-Tabla2[[#This Row],[MONTO DE COMPRA]]</f>
        <v>280000</v>
      </c>
    </row>
    <row r="70" spans="1:15" x14ac:dyDescent="0.25">
      <c r="A70" s="9">
        <v>44572</v>
      </c>
      <c r="C70" s="4"/>
      <c r="D70" s="1" t="s">
        <v>235</v>
      </c>
      <c r="E70" s="4" t="s">
        <v>236</v>
      </c>
      <c r="F70" s="1" t="s">
        <v>19</v>
      </c>
      <c r="G70" s="10" t="s">
        <v>237</v>
      </c>
      <c r="H70" s="15">
        <v>50000</v>
      </c>
      <c r="I70" s="15">
        <f>Tabla2[[#This Row],[TOTAL FACTURA]]*0.6</f>
        <v>30000</v>
      </c>
      <c r="J70" s="15">
        <f>Tabla2[[#This Row],[TOTAL FACTURA]]*0.4</f>
        <v>20000</v>
      </c>
      <c r="K70" s="1" t="s">
        <v>238</v>
      </c>
      <c r="L70" s="15"/>
      <c r="M70" s="15">
        <v>45000</v>
      </c>
      <c r="N70" s="1" t="s">
        <v>25</v>
      </c>
      <c r="O70" s="15">
        <f>Tabla2[[#This Row],[MONTO DE LA VENTA]]-Tabla2[[#This Row],[MONTO DE COMPRA]]</f>
        <v>45000</v>
      </c>
    </row>
    <row r="71" spans="1:15" x14ac:dyDescent="0.25">
      <c r="A71" s="9">
        <v>44572</v>
      </c>
      <c r="C71" s="4"/>
      <c r="D71" s="1" t="s">
        <v>239</v>
      </c>
      <c r="E71" s="4" t="s">
        <v>240</v>
      </c>
      <c r="F71" s="1" t="s">
        <v>30</v>
      </c>
      <c r="G71" s="1" t="s">
        <v>21</v>
      </c>
      <c r="H71" s="2">
        <v>10000</v>
      </c>
      <c r="I71" s="2">
        <f>Tabla2[[#This Row],[TOTAL FACTURA]]*0.6</f>
        <v>6000</v>
      </c>
      <c r="J71" s="2">
        <f>Tabla2[[#This Row],[TOTAL FACTURA]]*0.4</f>
        <v>4000</v>
      </c>
      <c r="L71" s="2"/>
      <c r="M71" s="2"/>
      <c r="N71" s="1" t="s">
        <v>25</v>
      </c>
      <c r="O71" s="15">
        <f>Tabla2[[#This Row],[MONTO DE LA VENTA]]-Tabla2[[#This Row],[MONTO DE COMPRA]]</f>
        <v>0</v>
      </c>
    </row>
    <row r="72" spans="1:15" x14ac:dyDescent="0.25">
      <c r="A72" s="9">
        <v>44573</v>
      </c>
      <c r="C72" s="4"/>
      <c r="D72" s="1" t="s">
        <v>200</v>
      </c>
      <c r="E72" s="4" t="s">
        <v>199</v>
      </c>
      <c r="F72" s="1" t="s">
        <v>16</v>
      </c>
      <c r="G72" s="1" t="s">
        <v>128</v>
      </c>
      <c r="H72" s="2">
        <v>20000</v>
      </c>
      <c r="I72" s="2">
        <f>Tabla2[[#This Row],[TOTAL FACTURA]]*0.6</f>
        <v>12000</v>
      </c>
      <c r="J72" s="2">
        <f>Tabla2[[#This Row],[TOTAL FACTURA]]*0.4</f>
        <v>8000</v>
      </c>
      <c r="L72" s="2"/>
      <c r="M72" s="2"/>
      <c r="N72" s="1" t="s">
        <v>25</v>
      </c>
      <c r="O72" s="15">
        <f>Tabla2[[#This Row],[MONTO DE LA VENTA]]-Tabla2[[#This Row],[MONTO DE COMPRA]]</f>
        <v>0</v>
      </c>
    </row>
    <row r="73" spans="1:15" x14ac:dyDescent="0.25">
      <c r="A73" s="9">
        <v>44573</v>
      </c>
      <c r="B73" s="4" t="s">
        <v>241</v>
      </c>
      <c r="C73" s="4"/>
      <c r="D73" s="1" t="s">
        <v>242</v>
      </c>
      <c r="E73" s="4" t="s">
        <v>243</v>
      </c>
      <c r="F73" s="1" t="s">
        <v>30</v>
      </c>
      <c r="G73" s="1" t="s">
        <v>244</v>
      </c>
      <c r="H73" s="2">
        <v>160000</v>
      </c>
      <c r="I73" s="2">
        <f>Tabla2[[#This Row],[TOTAL FACTURA]]*0.6</f>
        <v>96000</v>
      </c>
      <c r="J73" s="2">
        <f>Tabla2[[#This Row],[TOTAL FACTURA]]*0.4</f>
        <v>64000</v>
      </c>
      <c r="K73" s="1" t="s">
        <v>245</v>
      </c>
      <c r="L73" s="2">
        <f>35000+6000</f>
        <v>41000</v>
      </c>
      <c r="M73" s="2">
        <v>58000</v>
      </c>
      <c r="N73" s="1" t="s">
        <v>25</v>
      </c>
      <c r="O73" s="15">
        <f>Tabla2[[#This Row],[MONTO DE LA VENTA]]-Tabla2[[#This Row],[MONTO DE COMPRA]]</f>
        <v>17000</v>
      </c>
    </row>
    <row r="74" spans="1:15" x14ac:dyDescent="0.25">
      <c r="A74" s="9">
        <v>44573</v>
      </c>
      <c r="B74" s="4" t="s">
        <v>246</v>
      </c>
      <c r="C74" s="4"/>
      <c r="D74" s="1" t="s">
        <v>247</v>
      </c>
      <c r="E74" s="4" t="s">
        <v>248</v>
      </c>
      <c r="F74" s="1" t="s">
        <v>10</v>
      </c>
      <c r="G74" s="1" t="s">
        <v>249</v>
      </c>
      <c r="H74" s="2">
        <v>100000</v>
      </c>
      <c r="I74" s="2">
        <f>Tabla2[[#This Row],[TOTAL FACTURA]]*0.6</f>
        <v>60000</v>
      </c>
      <c r="J74" s="2">
        <f>Tabla2[[#This Row],[TOTAL FACTURA]]*0.4</f>
        <v>40000</v>
      </c>
      <c r="K74" s="1" t="s">
        <v>252</v>
      </c>
      <c r="L74" s="2">
        <f>120000+6000+26600</f>
        <v>152600</v>
      </c>
      <c r="M74" s="2">
        <v>195000</v>
      </c>
      <c r="N74" s="1" t="s">
        <v>25</v>
      </c>
      <c r="O74" s="15">
        <f>Tabla2[[#This Row],[MONTO DE LA VENTA]]-Tabla2[[#This Row],[MONTO DE COMPRA]]</f>
        <v>42400</v>
      </c>
    </row>
    <row r="75" spans="1:15" x14ac:dyDescent="0.25">
      <c r="A75" s="9">
        <v>44573</v>
      </c>
      <c r="B75" s="4" t="s">
        <v>246</v>
      </c>
      <c r="C75" s="4"/>
      <c r="D75" s="1" t="s">
        <v>247</v>
      </c>
      <c r="E75" s="4" t="s">
        <v>248</v>
      </c>
      <c r="F75" s="1" t="s">
        <v>16</v>
      </c>
      <c r="G75" s="1" t="s">
        <v>250</v>
      </c>
      <c r="H75" s="2">
        <v>20000</v>
      </c>
      <c r="I75" s="2">
        <f>Tabla2[[#This Row],[TOTAL FACTURA]]*0.6</f>
        <v>12000</v>
      </c>
      <c r="J75" s="2">
        <f>Tabla2[[#This Row],[TOTAL FACTURA]]*0.4</f>
        <v>8000</v>
      </c>
      <c r="K75" s="1" t="s">
        <v>251</v>
      </c>
      <c r="L75" s="2"/>
      <c r="M75" s="2">
        <v>45000</v>
      </c>
      <c r="N75" s="1" t="s">
        <v>25</v>
      </c>
      <c r="O75" s="15">
        <f>Tabla2[[#This Row],[MONTO DE LA VENTA]]-Tabla2[[#This Row],[MONTO DE COMPRA]]</f>
        <v>45000</v>
      </c>
    </row>
    <row r="76" spans="1:15" x14ac:dyDescent="0.25">
      <c r="A76" s="9">
        <v>44573</v>
      </c>
      <c r="B76" s="4" t="s">
        <v>253</v>
      </c>
      <c r="C76" s="4"/>
      <c r="D76" s="1" t="s">
        <v>285</v>
      </c>
      <c r="E76" s="4" t="s">
        <v>254</v>
      </c>
      <c r="F76" s="1" t="s">
        <v>19</v>
      </c>
      <c r="G76" s="1" t="s">
        <v>255</v>
      </c>
      <c r="H76" s="15">
        <v>25000</v>
      </c>
      <c r="I76" s="15">
        <f>Tabla2[[#This Row],[TOTAL FACTURA]]*0.6</f>
        <v>15000</v>
      </c>
      <c r="J76" s="15">
        <f>Tabla2[[#This Row],[TOTAL FACTURA]]*0.4</f>
        <v>10000</v>
      </c>
      <c r="K76" s="1" t="s">
        <v>256</v>
      </c>
      <c r="L76" s="15"/>
      <c r="M76" s="15">
        <v>25000</v>
      </c>
      <c r="N76" s="1" t="s">
        <v>25</v>
      </c>
      <c r="O76" s="15">
        <f>Tabla2[[#This Row],[MONTO DE LA VENTA]]-Tabla2[[#This Row],[MONTO DE COMPRA]]</f>
        <v>25000</v>
      </c>
    </row>
    <row r="77" spans="1:15" x14ac:dyDescent="0.25">
      <c r="A77" s="9">
        <v>44573</v>
      </c>
      <c r="C77" s="4"/>
      <c r="D77" s="1" t="s">
        <v>257</v>
      </c>
      <c r="E77" s="4"/>
      <c r="F77" s="1" t="s">
        <v>18</v>
      </c>
      <c r="G77" s="1" t="s">
        <v>258</v>
      </c>
      <c r="H77" s="2">
        <f>200000-52000</f>
        <v>148000</v>
      </c>
      <c r="I77" s="2">
        <f>Tabla2[[#This Row],[TOTAL FACTURA]]*0.6</f>
        <v>88800</v>
      </c>
      <c r="J77" s="2">
        <f>Tabla2[[#This Row],[TOTAL FACTURA]]*0.4</f>
        <v>59200</v>
      </c>
      <c r="L77" s="2"/>
      <c r="M77" s="2"/>
      <c r="N77" s="1" t="s">
        <v>25</v>
      </c>
      <c r="O77" s="15">
        <f>Tabla2[[#This Row],[MONTO DE LA VENTA]]-Tabla2[[#This Row],[MONTO DE COMPRA]]</f>
        <v>0</v>
      </c>
    </row>
    <row r="78" spans="1:15" ht="14.25" customHeight="1" x14ac:dyDescent="0.25">
      <c r="A78" s="9">
        <v>44574</v>
      </c>
      <c r="C78" s="4"/>
      <c r="D78" s="1" t="s">
        <v>260</v>
      </c>
      <c r="E78" s="4" t="s">
        <v>261</v>
      </c>
      <c r="F78" s="1" t="s">
        <v>19</v>
      </c>
      <c r="G78" s="1" t="s">
        <v>262</v>
      </c>
      <c r="H78" s="15">
        <v>80000</v>
      </c>
      <c r="I78" s="15">
        <f>Tabla2[[#This Row],[TOTAL FACTURA]]*0.6</f>
        <v>48000</v>
      </c>
      <c r="J78" s="15">
        <f>Tabla2[[#This Row],[TOTAL FACTURA]]*0.4</f>
        <v>32000</v>
      </c>
      <c r="L78" s="15"/>
      <c r="M78" s="15"/>
      <c r="N78" s="1" t="s">
        <v>25</v>
      </c>
      <c r="O78" s="15">
        <f>Tabla2[[#This Row],[MONTO DE LA VENTA]]-Tabla2[[#This Row],[MONTO DE COMPRA]]</f>
        <v>0</v>
      </c>
    </row>
    <row r="79" spans="1:15" x14ac:dyDescent="0.25">
      <c r="A79" s="9">
        <v>44574</v>
      </c>
      <c r="B79" s="4" t="s">
        <v>259</v>
      </c>
      <c r="C79" s="4"/>
      <c r="D79" s="1" t="s">
        <v>48</v>
      </c>
      <c r="E79" s="4" t="s">
        <v>263</v>
      </c>
      <c r="F79" s="1" t="s">
        <v>30</v>
      </c>
      <c r="G79" s="1" t="s">
        <v>264</v>
      </c>
      <c r="H79" s="2">
        <v>170000</v>
      </c>
      <c r="I79" s="2">
        <f>Tabla2[[#This Row],[TOTAL FACTURA]]*0.6</f>
        <v>102000</v>
      </c>
      <c r="J79" s="2">
        <f>Tabla2[[#This Row],[TOTAL FACTURA]]*0.4</f>
        <v>68000</v>
      </c>
      <c r="K79" s="1" t="s">
        <v>265</v>
      </c>
      <c r="L79" s="2">
        <v>170000</v>
      </c>
      <c r="M79" s="2">
        <v>196000</v>
      </c>
      <c r="N79" s="1" t="s">
        <v>25</v>
      </c>
      <c r="O79" s="15">
        <f>Tabla2[[#This Row],[MONTO DE LA VENTA]]-Tabla2[[#This Row],[MONTO DE COMPRA]]</f>
        <v>26000</v>
      </c>
    </row>
    <row r="80" spans="1:15" x14ac:dyDescent="0.25">
      <c r="A80" s="9">
        <v>44574</v>
      </c>
      <c r="C80" s="4"/>
      <c r="D80" s="1" t="s">
        <v>59</v>
      </c>
      <c r="E80" s="4" t="s">
        <v>266</v>
      </c>
      <c r="F80" s="1" t="s">
        <v>19</v>
      </c>
      <c r="G80" s="1" t="s">
        <v>21</v>
      </c>
      <c r="H80" s="15">
        <v>10000</v>
      </c>
      <c r="I80" s="15">
        <f>Tabla2[[#This Row],[TOTAL FACTURA]]*0.6</f>
        <v>6000</v>
      </c>
      <c r="J80" s="15">
        <f>Tabla2[[#This Row],[TOTAL FACTURA]]*0.4</f>
        <v>4000</v>
      </c>
      <c r="L80" s="15"/>
      <c r="M80" s="15"/>
      <c r="N80" s="1" t="s">
        <v>25</v>
      </c>
      <c r="O80" s="15">
        <f>Tabla2[[#This Row],[MONTO DE LA VENTA]]-Tabla2[[#This Row],[MONTO DE COMPRA]]</f>
        <v>0</v>
      </c>
    </row>
    <row r="81" spans="1:15" x14ac:dyDescent="0.25">
      <c r="A81" s="9">
        <v>44575</v>
      </c>
      <c r="B81" s="4" t="s">
        <v>267</v>
      </c>
      <c r="C81" s="4"/>
      <c r="D81" s="1" t="s">
        <v>268</v>
      </c>
      <c r="E81" s="4" t="s">
        <v>269</v>
      </c>
      <c r="F81" s="1" t="s">
        <v>16</v>
      </c>
      <c r="G81" s="1" t="s">
        <v>270</v>
      </c>
      <c r="H81" s="2">
        <v>100000</v>
      </c>
      <c r="I81" s="2">
        <v>100000</v>
      </c>
      <c r="J81" s="2">
        <f>Tabla2[[#This Row],[TOTAL FACTURA]]*0.4</f>
        <v>40000</v>
      </c>
      <c r="L81" s="2"/>
      <c r="M81" s="2"/>
      <c r="N81" s="1" t="s">
        <v>25</v>
      </c>
      <c r="O81" s="15">
        <f>Tabla2[[#This Row],[MONTO DE LA VENTA]]-Tabla2[[#This Row],[MONTO DE COMPRA]]</f>
        <v>0</v>
      </c>
    </row>
    <row r="82" spans="1:15" x14ac:dyDescent="0.25">
      <c r="A82" s="9">
        <v>44575</v>
      </c>
      <c r="C82" s="4"/>
      <c r="D82" s="1" t="s">
        <v>271</v>
      </c>
      <c r="E82" s="4"/>
      <c r="F82" s="1" t="s">
        <v>19</v>
      </c>
      <c r="G82" s="1" t="s">
        <v>272</v>
      </c>
      <c r="H82" s="15">
        <v>30000</v>
      </c>
      <c r="I82" s="15">
        <f>Tabla2[[#This Row],[TOTAL FACTURA]]*0.6</f>
        <v>18000</v>
      </c>
      <c r="J82" s="15">
        <f>Tabla2[[#This Row],[TOTAL FACTURA]]*0.4</f>
        <v>12000</v>
      </c>
      <c r="L82" s="15"/>
      <c r="M82" s="15"/>
      <c r="N82" s="1" t="s">
        <v>25</v>
      </c>
      <c r="O82" s="15">
        <f>Tabla2[[#This Row],[MONTO DE LA VENTA]]-Tabla2[[#This Row],[MONTO DE COMPRA]]</f>
        <v>0</v>
      </c>
    </row>
    <row r="83" spans="1:15" x14ac:dyDescent="0.25">
      <c r="A83" s="9">
        <v>44575</v>
      </c>
      <c r="C83" s="4"/>
      <c r="D83" s="1" t="s">
        <v>59</v>
      </c>
      <c r="E83" s="4" t="s">
        <v>273</v>
      </c>
      <c r="F83" s="1" t="s">
        <v>30</v>
      </c>
      <c r="G83" s="1" t="s">
        <v>274</v>
      </c>
      <c r="H83" s="2">
        <v>40000</v>
      </c>
      <c r="I83" s="2">
        <f>Tabla2[[#This Row],[TOTAL FACTURA]]*0.6</f>
        <v>24000</v>
      </c>
      <c r="J83" s="2">
        <f>Tabla2[[#This Row],[TOTAL FACTURA]]*0.4</f>
        <v>16000</v>
      </c>
      <c r="K83" s="1" t="s">
        <v>278</v>
      </c>
      <c r="L83" s="2"/>
      <c r="M83" s="2">
        <v>80000</v>
      </c>
      <c r="N83" s="1" t="s">
        <v>25</v>
      </c>
      <c r="O83" s="15">
        <f>Tabla2[[#This Row],[MONTO DE LA VENTA]]-Tabla2[[#This Row],[MONTO DE COMPRA]]</f>
        <v>80000</v>
      </c>
    </row>
    <row r="84" spans="1:15" x14ac:dyDescent="0.25">
      <c r="A84" s="9">
        <v>44575</v>
      </c>
      <c r="B84" s="4" t="s">
        <v>275</v>
      </c>
      <c r="C84" s="4"/>
      <c r="D84" s="1" t="s">
        <v>76</v>
      </c>
      <c r="E84" s="4" t="s">
        <v>276</v>
      </c>
      <c r="F84" s="1" t="s">
        <v>19</v>
      </c>
      <c r="G84" s="1" t="s">
        <v>286</v>
      </c>
      <c r="H84" s="15">
        <v>130000</v>
      </c>
      <c r="I84" s="15">
        <f>Tabla2[[#This Row],[TOTAL FACTURA]]*0.6</f>
        <v>78000</v>
      </c>
      <c r="J84" s="15">
        <f>Tabla2[[#This Row],[TOTAL FACTURA]]*0.4</f>
        <v>52000</v>
      </c>
      <c r="K84" s="1" t="s">
        <v>277</v>
      </c>
      <c r="L84" s="15">
        <v>25000</v>
      </c>
      <c r="M84" s="15">
        <v>90000</v>
      </c>
      <c r="N84" s="1" t="s">
        <v>25</v>
      </c>
      <c r="O84" s="15">
        <f>Tabla2[[#This Row],[MONTO DE LA VENTA]]-Tabla2[[#This Row],[MONTO DE COMPRA]]</f>
        <v>65000</v>
      </c>
    </row>
    <row r="85" spans="1:15" x14ac:dyDescent="0.25">
      <c r="A85" s="9">
        <v>44576</v>
      </c>
      <c r="B85" s="4" t="s">
        <v>289</v>
      </c>
      <c r="C85" s="4"/>
      <c r="D85" s="1" t="s">
        <v>290</v>
      </c>
      <c r="E85" s="4" t="s">
        <v>291</v>
      </c>
      <c r="F85" s="1" t="s">
        <v>19</v>
      </c>
      <c r="G85" s="1" t="s">
        <v>292</v>
      </c>
      <c r="H85" s="15">
        <v>80000</v>
      </c>
      <c r="I85" s="15">
        <f>Tabla2[[#This Row],[TOTAL FACTURA]]*0.6</f>
        <v>48000</v>
      </c>
      <c r="J85" s="15">
        <f>Tabla2[[#This Row],[TOTAL FACTURA]]*0.4</f>
        <v>32000</v>
      </c>
      <c r="K85" s="1" t="s">
        <v>293</v>
      </c>
      <c r="L85" s="15">
        <v>42000</v>
      </c>
      <c r="M85" s="15">
        <v>100000</v>
      </c>
      <c r="N85" s="1" t="s">
        <v>25</v>
      </c>
      <c r="O85" s="15">
        <f>Tabla2[[#This Row],[MONTO DE LA VENTA]]-Tabla2[[#This Row],[MONTO DE COMPRA]]</f>
        <v>58000</v>
      </c>
    </row>
    <row r="86" spans="1:15" x14ac:dyDescent="0.25">
      <c r="A86" s="9">
        <v>44576</v>
      </c>
      <c r="C86" s="4"/>
      <c r="D86" s="1" t="s">
        <v>242</v>
      </c>
      <c r="E86" s="4" t="s">
        <v>294</v>
      </c>
      <c r="F86" s="1" t="s">
        <v>19</v>
      </c>
      <c r="G86" s="1" t="s">
        <v>295</v>
      </c>
      <c r="H86" s="15">
        <v>90000</v>
      </c>
      <c r="I86" s="15">
        <f>Tabla2[[#This Row],[TOTAL FACTURA]]*0.6</f>
        <v>54000</v>
      </c>
      <c r="J86" s="15">
        <f>Tabla2[[#This Row],[TOTAL FACTURA]]*0.4</f>
        <v>36000</v>
      </c>
      <c r="K86" s="1" t="s">
        <v>296</v>
      </c>
      <c r="L86" s="15">
        <f>16000+240000</f>
        <v>256000</v>
      </c>
      <c r="M86" s="15">
        <v>350000</v>
      </c>
      <c r="N86" s="1" t="s">
        <v>25</v>
      </c>
      <c r="O86" s="15">
        <f>Tabla2[[#This Row],[MONTO DE LA VENTA]]-Tabla2[[#This Row],[MONTO DE COMPRA]]</f>
        <v>94000</v>
      </c>
    </row>
    <row r="87" spans="1:15" x14ac:dyDescent="0.25">
      <c r="A87" s="9">
        <v>44576</v>
      </c>
      <c r="B87" s="4" t="s">
        <v>300</v>
      </c>
      <c r="C87" s="4"/>
      <c r="D87" s="1" t="s">
        <v>297</v>
      </c>
      <c r="E87" s="4"/>
      <c r="F87" s="1" t="s">
        <v>34</v>
      </c>
      <c r="G87" s="1" t="s">
        <v>298</v>
      </c>
      <c r="H87" s="2">
        <v>100000</v>
      </c>
      <c r="I87" s="2">
        <f>Tabla2[[#This Row],[TOTAL FACTURA]]*0.6</f>
        <v>60000</v>
      </c>
      <c r="J87" s="2">
        <f>Tabla2[[#This Row],[TOTAL FACTURA]]*0.4</f>
        <v>40000</v>
      </c>
      <c r="K87" s="1" t="s">
        <v>299</v>
      </c>
      <c r="L87" s="2">
        <v>404000</v>
      </c>
      <c r="M87" s="2">
        <v>580000</v>
      </c>
      <c r="N87" s="1" t="s">
        <v>25</v>
      </c>
      <c r="O87" s="15">
        <f>Tabla2[[#This Row],[MONTO DE LA VENTA]]-Tabla2[[#This Row],[MONTO DE COMPRA]]</f>
        <v>176000</v>
      </c>
    </row>
    <row r="88" spans="1:15" x14ac:dyDescent="0.25">
      <c r="A88" s="9">
        <v>44578</v>
      </c>
      <c r="C88" s="4"/>
      <c r="D88" s="1" t="s">
        <v>54</v>
      </c>
      <c r="E88" s="4" t="s">
        <v>301</v>
      </c>
      <c r="F88" s="1" t="s">
        <v>19</v>
      </c>
      <c r="G88" s="1" t="s">
        <v>21</v>
      </c>
      <c r="H88" s="15">
        <v>10000</v>
      </c>
      <c r="I88" s="15">
        <f>Tabla2[[#This Row],[TOTAL FACTURA]]*0.6</f>
        <v>6000</v>
      </c>
      <c r="J88" s="15">
        <f>Tabla2[[#This Row],[TOTAL FACTURA]]*0.4+2000</f>
        <v>6000</v>
      </c>
      <c r="L88" s="15"/>
      <c r="M88" s="15"/>
      <c r="N88" s="1" t="s">
        <v>25</v>
      </c>
      <c r="O88" s="15">
        <f>Tabla2[[#This Row],[MONTO DE LA VENTA]]-Tabla2[[#This Row],[MONTO DE COMPRA]]</f>
        <v>0</v>
      </c>
    </row>
    <row r="89" spans="1:15" x14ac:dyDescent="0.25">
      <c r="A89" s="9">
        <v>44578</v>
      </c>
      <c r="C89" s="4"/>
      <c r="D89" s="1" t="s">
        <v>213</v>
      </c>
      <c r="E89" s="4" t="s">
        <v>302</v>
      </c>
      <c r="F89" s="1" t="s">
        <v>19</v>
      </c>
      <c r="G89" s="1" t="s">
        <v>21</v>
      </c>
      <c r="H89" s="15">
        <v>10000</v>
      </c>
      <c r="I89" s="15">
        <f>Tabla2[[#This Row],[TOTAL FACTURA]]*0.6</f>
        <v>6000</v>
      </c>
      <c r="J89" s="15">
        <f>Tabla2[[#This Row],[TOTAL FACTURA]]*0.4+2000</f>
        <v>6000</v>
      </c>
      <c r="L89" s="15"/>
      <c r="M89" s="15"/>
      <c r="N89" s="1" t="s">
        <v>25</v>
      </c>
      <c r="O89" s="15">
        <f>Tabla2[[#This Row],[MONTO DE LA VENTA]]-Tabla2[[#This Row],[MONTO DE COMPRA]]</f>
        <v>0</v>
      </c>
    </row>
    <row r="90" spans="1:15" x14ac:dyDescent="0.25">
      <c r="A90" s="9">
        <v>44578</v>
      </c>
      <c r="C90" s="4"/>
      <c r="D90" s="1" t="s">
        <v>303</v>
      </c>
      <c r="E90" s="4" t="s">
        <v>304</v>
      </c>
      <c r="F90" s="1" t="s">
        <v>10</v>
      </c>
      <c r="G90" s="1" t="s">
        <v>305</v>
      </c>
      <c r="H90" s="2">
        <v>50000</v>
      </c>
      <c r="I90" s="2">
        <f>Tabla2[[#This Row],[TOTAL FACTURA]]*0.6</f>
        <v>30000</v>
      </c>
      <c r="J90" s="2">
        <f>Tabla2[[#This Row],[TOTAL FACTURA]]*0.4</f>
        <v>20000</v>
      </c>
      <c r="L90" s="2"/>
      <c r="M90" s="2"/>
      <c r="N90" s="1" t="s">
        <v>25</v>
      </c>
      <c r="O90" s="15">
        <f>Tabla2[[#This Row],[MONTO DE LA VENTA]]-Tabla2[[#This Row],[MONTO DE COMPRA]]</f>
        <v>0</v>
      </c>
    </row>
    <row r="91" spans="1:15" x14ac:dyDescent="0.25">
      <c r="A91" s="9">
        <v>44579</v>
      </c>
      <c r="B91" s="4" t="s">
        <v>306</v>
      </c>
      <c r="C91" s="4"/>
      <c r="D91" s="1" t="s">
        <v>65</v>
      </c>
      <c r="E91" s="4" t="s">
        <v>307</v>
      </c>
      <c r="F91" s="1" t="s">
        <v>16</v>
      </c>
      <c r="G91" s="1" t="s">
        <v>308</v>
      </c>
      <c r="H91" s="2">
        <v>20000</v>
      </c>
      <c r="I91" s="2">
        <f>Tabla2[[#This Row],[TOTAL FACTURA]]*0.6</f>
        <v>12000</v>
      </c>
      <c r="J91" s="2">
        <f>Tabla2[[#This Row],[TOTAL FACTURA]]*0.4</f>
        <v>8000</v>
      </c>
      <c r="K91" s="1" t="s">
        <v>82</v>
      </c>
      <c r="L91" s="2">
        <v>500</v>
      </c>
      <c r="M91" s="2">
        <v>1000</v>
      </c>
      <c r="N91" s="1" t="s">
        <v>25</v>
      </c>
      <c r="O91" s="15">
        <f>Tabla2[[#This Row],[MONTO DE LA VENTA]]-Tabla2[[#This Row],[MONTO DE COMPRA]]</f>
        <v>500</v>
      </c>
    </row>
    <row r="92" spans="1:15" x14ac:dyDescent="0.25">
      <c r="A92" s="9">
        <v>44579</v>
      </c>
      <c r="C92" s="4"/>
      <c r="D92" s="1" t="s">
        <v>54</v>
      </c>
      <c r="E92" s="4" t="s">
        <v>309</v>
      </c>
      <c r="F92" s="1" t="s">
        <v>19</v>
      </c>
      <c r="G92" s="1" t="s">
        <v>310</v>
      </c>
      <c r="H92" s="15">
        <v>30000</v>
      </c>
      <c r="I92" s="15">
        <f>Tabla2[[#This Row],[TOTAL FACTURA]]*0.6</f>
        <v>18000</v>
      </c>
      <c r="J92" s="15">
        <f>Tabla2[[#This Row],[TOTAL FACTURA]]*0.4</f>
        <v>12000</v>
      </c>
      <c r="L92" s="15"/>
      <c r="M92" s="15"/>
      <c r="N92" s="1" t="s">
        <v>25</v>
      </c>
      <c r="O92" s="15">
        <f>Tabla2[[#This Row],[MONTO DE LA VENTA]]-Tabla2[[#This Row],[MONTO DE COMPRA]]</f>
        <v>0</v>
      </c>
    </row>
    <row r="93" spans="1:15" x14ac:dyDescent="0.25">
      <c r="A93" s="9">
        <v>44579</v>
      </c>
      <c r="B93" s="4">
        <v>384</v>
      </c>
      <c r="C93" s="4"/>
      <c r="D93" s="1" t="s">
        <v>311</v>
      </c>
      <c r="E93" s="4" t="s">
        <v>312</v>
      </c>
      <c r="F93" s="1" t="s">
        <v>19</v>
      </c>
      <c r="G93" s="1" t="s">
        <v>313</v>
      </c>
      <c r="H93" s="15">
        <v>30000</v>
      </c>
      <c r="I93" s="15">
        <v>30000</v>
      </c>
      <c r="J93" s="15">
        <f>Tabla2[[#This Row],[TOTAL FACTURA]]*0.4</f>
        <v>12000</v>
      </c>
      <c r="L93" s="15"/>
      <c r="M93" s="15"/>
      <c r="N93" s="1" t="s">
        <v>25</v>
      </c>
      <c r="O93" s="15">
        <f>Tabla2[[#This Row],[MONTO DE LA VENTA]]-Tabla2[[#This Row],[MONTO DE COMPRA]]</f>
        <v>0</v>
      </c>
    </row>
    <row r="94" spans="1:15" x14ac:dyDescent="0.25">
      <c r="A94" s="9">
        <v>44579</v>
      </c>
      <c r="B94" s="4">
        <v>384</v>
      </c>
      <c r="C94" s="4"/>
      <c r="D94" s="1" t="s">
        <v>311</v>
      </c>
      <c r="E94" s="4" t="s">
        <v>312</v>
      </c>
      <c r="F94" s="1" t="s">
        <v>30</v>
      </c>
      <c r="G94" s="1" t="s">
        <v>314</v>
      </c>
      <c r="H94" s="2">
        <v>150000</v>
      </c>
      <c r="I94" s="2">
        <f>Tabla2[[#This Row],[TOTAL FACTURA]]*0.6</f>
        <v>90000</v>
      </c>
      <c r="J94" s="2">
        <f>Tabla2[[#This Row],[TOTAL FACTURA]]*0.4</f>
        <v>60000</v>
      </c>
      <c r="K94" s="1" t="s">
        <v>315</v>
      </c>
      <c r="L94" s="2">
        <f>64000+16000</f>
        <v>80000</v>
      </c>
      <c r="M94" s="2">
        <v>150000</v>
      </c>
      <c r="N94" s="1" t="s">
        <v>25</v>
      </c>
      <c r="O94" s="15">
        <f>Tabla2[[#This Row],[MONTO DE LA VENTA]]-Tabla2[[#This Row],[MONTO DE COMPRA]]</f>
        <v>70000</v>
      </c>
    </row>
    <row r="95" spans="1:15" x14ac:dyDescent="0.25">
      <c r="A95" s="9">
        <v>44579</v>
      </c>
      <c r="B95" s="4">
        <v>385</v>
      </c>
      <c r="C95" s="4"/>
      <c r="D95" s="1" t="s">
        <v>22</v>
      </c>
      <c r="E95" s="4" t="s">
        <v>316</v>
      </c>
      <c r="F95" s="1" t="s">
        <v>16</v>
      </c>
      <c r="G95" s="1" t="s">
        <v>317</v>
      </c>
      <c r="H95" s="2">
        <v>10000</v>
      </c>
      <c r="I95" s="2">
        <f>Tabla2[[#This Row],[TOTAL FACTURA]]*0.6</f>
        <v>6000</v>
      </c>
      <c r="J95" s="2">
        <f>Tabla2[[#This Row],[TOTAL FACTURA]]*0.4</f>
        <v>4000</v>
      </c>
      <c r="K95" s="1" t="s">
        <v>318</v>
      </c>
      <c r="L95" s="2">
        <f>3800+500+500</f>
        <v>4800</v>
      </c>
      <c r="M95" s="2">
        <v>8000</v>
      </c>
      <c r="N95" s="1" t="s">
        <v>25</v>
      </c>
      <c r="O95" s="15">
        <f>Tabla2[[#This Row],[MONTO DE LA VENTA]]-Tabla2[[#This Row],[MONTO DE COMPRA]]</f>
        <v>3200</v>
      </c>
    </row>
    <row r="96" spans="1:15" x14ac:dyDescent="0.25">
      <c r="A96" s="9">
        <v>44579</v>
      </c>
      <c r="B96" s="4" t="s">
        <v>324</v>
      </c>
      <c r="C96" s="4"/>
      <c r="D96" s="1" t="s">
        <v>151</v>
      </c>
      <c r="E96" s="4" t="s">
        <v>152</v>
      </c>
      <c r="F96" s="1" t="s">
        <v>10</v>
      </c>
      <c r="G96" s="1" t="s">
        <v>325</v>
      </c>
      <c r="H96" s="2">
        <v>600000</v>
      </c>
      <c r="I96" s="2">
        <f>Tabla2[[#This Row],[TOTAL FACTURA]]*0.6</f>
        <v>360000</v>
      </c>
      <c r="J96" s="2">
        <f>(Tabla2[[#This Row],[TOTAL FACTURA]]*0.4)+100000</f>
        <v>340000</v>
      </c>
      <c r="K96" s="1" t="s">
        <v>326</v>
      </c>
      <c r="L96" s="2">
        <v>63000</v>
      </c>
      <c r="M96" s="2">
        <v>110000</v>
      </c>
      <c r="N96" s="1" t="s">
        <v>25</v>
      </c>
      <c r="O96" s="15">
        <f>Tabla2[[#This Row],[MONTO DE LA VENTA]]-Tabla2[[#This Row],[MONTO DE COMPRA]]</f>
        <v>47000</v>
      </c>
    </row>
    <row r="97" spans="1:15" x14ac:dyDescent="0.25">
      <c r="A97" s="9">
        <v>44580</v>
      </c>
      <c r="B97" s="4" t="s">
        <v>319</v>
      </c>
      <c r="C97" s="4"/>
      <c r="D97" s="1" t="s">
        <v>168</v>
      </c>
      <c r="E97" s="4" t="s">
        <v>320</v>
      </c>
      <c r="F97" s="1" t="s">
        <v>30</v>
      </c>
      <c r="G97" s="1" t="s">
        <v>321</v>
      </c>
      <c r="H97" s="2">
        <v>100000</v>
      </c>
      <c r="I97" s="2">
        <f>Tabla2[[#This Row],[TOTAL FACTURA]]*0.6</f>
        <v>60000</v>
      </c>
      <c r="J97" s="2">
        <f>Tabla2[[#This Row],[TOTAL FACTURA]]*0.4</f>
        <v>40000</v>
      </c>
      <c r="K97" s="1" t="s">
        <v>322</v>
      </c>
      <c r="L97" s="2">
        <v>20000</v>
      </c>
      <c r="M97" s="2">
        <v>40000</v>
      </c>
      <c r="N97" s="1" t="s">
        <v>25</v>
      </c>
      <c r="O97" s="15">
        <f>Tabla2[[#This Row],[MONTO DE LA VENTA]]-Tabla2[[#This Row],[MONTO DE COMPRA]]</f>
        <v>20000</v>
      </c>
    </row>
    <row r="98" spans="1:15" x14ac:dyDescent="0.25">
      <c r="A98" s="9">
        <v>44580</v>
      </c>
      <c r="B98" s="4" t="s">
        <v>323</v>
      </c>
      <c r="C98" s="4"/>
      <c r="D98" s="1" t="s">
        <v>208</v>
      </c>
      <c r="E98" s="4" t="s">
        <v>209</v>
      </c>
      <c r="F98" s="1" t="s">
        <v>16</v>
      </c>
      <c r="G98" s="1" t="s">
        <v>270</v>
      </c>
      <c r="H98" s="2">
        <v>100000</v>
      </c>
      <c r="I98" s="2">
        <f>Tabla2[[#This Row],[TOTAL FACTURA]]*0.6</f>
        <v>60000</v>
      </c>
      <c r="J98" s="2">
        <f>Tabla2[[#This Row],[TOTAL FACTURA]]*0.4</f>
        <v>40000</v>
      </c>
      <c r="L98" s="2"/>
      <c r="M98" s="2"/>
      <c r="N98" s="1" t="s">
        <v>25</v>
      </c>
      <c r="O98" s="15">
        <f>Tabla2[[#This Row],[MONTO DE LA VENTA]]-Tabla2[[#This Row],[MONTO DE COMPRA]]</f>
        <v>0</v>
      </c>
    </row>
    <row r="99" spans="1:15" ht="14.25" customHeight="1" x14ac:dyDescent="0.25">
      <c r="A99" s="9">
        <v>44580</v>
      </c>
      <c r="B99" s="4" t="s">
        <v>327</v>
      </c>
      <c r="C99" s="4"/>
      <c r="D99" s="1" t="s">
        <v>218</v>
      </c>
      <c r="E99" s="4" t="s">
        <v>328</v>
      </c>
      <c r="F99" s="1" t="s">
        <v>19</v>
      </c>
      <c r="G99" s="1" t="s">
        <v>329</v>
      </c>
      <c r="H99" s="15">
        <v>30000</v>
      </c>
      <c r="I99" s="15">
        <f>Tabla2[[#This Row],[TOTAL FACTURA]]*0.6</f>
        <v>18000</v>
      </c>
      <c r="J99" s="15">
        <f>Tabla2[[#This Row],[TOTAL FACTURA]]*0.4</f>
        <v>12000</v>
      </c>
      <c r="K99" s="1" t="s">
        <v>330</v>
      </c>
      <c r="L99" s="15">
        <v>19000</v>
      </c>
      <c r="M99" s="15">
        <v>28000</v>
      </c>
      <c r="N99" s="1" t="s">
        <v>25</v>
      </c>
      <c r="O99" s="15">
        <f>Tabla2[[#This Row],[MONTO DE LA VENTA]]-Tabla2[[#This Row],[MONTO DE COMPRA]]</f>
        <v>9000</v>
      </c>
    </row>
    <row r="100" spans="1:15" x14ac:dyDescent="0.25">
      <c r="A100" s="9">
        <v>44580</v>
      </c>
      <c r="C100" s="4"/>
      <c r="D100" s="1" t="s">
        <v>194</v>
      </c>
      <c r="E100" s="4" t="s">
        <v>331</v>
      </c>
      <c r="F100" s="1" t="s">
        <v>19</v>
      </c>
      <c r="G100" s="1" t="s">
        <v>21</v>
      </c>
      <c r="H100" s="15">
        <v>10000</v>
      </c>
      <c r="I100" s="15">
        <f>Tabla2[[#This Row],[TOTAL FACTURA]]*0.6</f>
        <v>6000</v>
      </c>
      <c r="J100" s="15">
        <f>Tabla2[[#This Row],[TOTAL FACTURA]]*0.4</f>
        <v>4000</v>
      </c>
      <c r="L100" s="15"/>
      <c r="M100" s="15"/>
      <c r="N100" s="1" t="s">
        <v>25</v>
      </c>
      <c r="O100" s="15">
        <f>Tabla2[[#This Row],[MONTO DE LA VENTA]]-Tabla2[[#This Row],[MONTO DE COMPRA]]</f>
        <v>0</v>
      </c>
    </row>
    <row r="101" spans="1:15" x14ac:dyDescent="0.25">
      <c r="A101" s="9">
        <v>44581</v>
      </c>
      <c r="B101" s="4" t="s">
        <v>332</v>
      </c>
      <c r="C101" s="4"/>
      <c r="D101" s="1" t="s">
        <v>333</v>
      </c>
      <c r="E101" s="4" t="s">
        <v>334</v>
      </c>
      <c r="F101" s="1" t="s">
        <v>19</v>
      </c>
      <c r="G101" s="1" t="s">
        <v>335</v>
      </c>
      <c r="H101" s="15">
        <v>40000</v>
      </c>
      <c r="I101" s="15">
        <f>Tabla2[[#This Row],[TOTAL FACTURA]]*0.6</f>
        <v>24000</v>
      </c>
      <c r="J101" s="15">
        <f>Tabla2[[#This Row],[TOTAL FACTURA]]*0.4</f>
        <v>16000</v>
      </c>
      <c r="K101" s="1" t="s">
        <v>336</v>
      </c>
      <c r="L101" s="15">
        <v>38000</v>
      </c>
      <c r="M101" s="15">
        <v>55000</v>
      </c>
      <c r="N101" s="1" t="s">
        <v>25</v>
      </c>
      <c r="O101" s="15">
        <f>Tabla2[[#This Row],[MONTO DE LA VENTA]]-Tabla2[[#This Row],[MONTO DE COMPRA]]</f>
        <v>17000</v>
      </c>
    </row>
    <row r="102" spans="1:15" x14ac:dyDescent="0.25">
      <c r="A102" s="9">
        <v>44581</v>
      </c>
      <c r="C102" s="4"/>
      <c r="D102" s="1" t="s">
        <v>23</v>
      </c>
      <c r="E102" s="4" t="s">
        <v>337</v>
      </c>
      <c r="F102" s="1" t="s">
        <v>30</v>
      </c>
      <c r="G102" s="1" t="s">
        <v>338</v>
      </c>
      <c r="H102" s="15">
        <v>120000</v>
      </c>
      <c r="I102" s="15">
        <v>100000</v>
      </c>
      <c r="J102" s="15">
        <v>20000</v>
      </c>
      <c r="L102" s="15"/>
      <c r="M102" s="15"/>
      <c r="N102" s="1" t="s">
        <v>25</v>
      </c>
      <c r="O102" s="15">
        <f>Tabla2[[#This Row],[MONTO DE LA VENTA]]-Tabla2[[#This Row],[MONTO DE COMPRA]]</f>
        <v>0</v>
      </c>
    </row>
    <row r="103" spans="1:15" x14ac:dyDescent="0.25">
      <c r="A103" s="9">
        <v>44582</v>
      </c>
      <c r="C103" s="4"/>
      <c r="D103" s="1" t="s">
        <v>339</v>
      </c>
      <c r="E103" s="4" t="s">
        <v>340</v>
      </c>
      <c r="F103" s="1" t="s">
        <v>34</v>
      </c>
      <c r="G103" s="1" t="s">
        <v>341</v>
      </c>
      <c r="H103" s="2">
        <v>10000</v>
      </c>
      <c r="I103" s="2">
        <f>Tabla2[[#This Row],[TOTAL FACTURA]]*0.6</f>
        <v>6000</v>
      </c>
      <c r="J103" s="2">
        <f>Tabla2[[#This Row],[TOTAL FACTURA]]*0.4</f>
        <v>4000</v>
      </c>
      <c r="L103" s="2"/>
      <c r="M103" s="2"/>
      <c r="N103" s="1" t="s">
        <v>25</v>
      </c>
      <c r="O103" s="15">
        <f>Tabla2[[#This Row],[MONTO DE LA VENTA]]-Tabla2[[#This Row],[MONTO DE COMPRA]]</f>
        <v>0</v>
      </c>
    </row>
    <row r="104" spans="1:15" x14ac:dyDescent="0.25">
      <c r="A104" s="9">
        <v>44582</v>
      </c>
      <c r="C104" s="4"/>
      <c r="D104" s="1" t="s">
        <v>54</v>
      </c>
      <c r="E104" s="4" t="s">
        <v>342</v>
      </c>
      <c r="F104" s="1" t="s">
        <v>10</v>
      </c>
      <c r="G104" s="1" t="s">
        <v>343</v>
      </c>
      <c r="H104" s="2">
        <v>120000</v>
      </c>
      <c r="I104" s="2">
        <f>Tabla2[[#This Row],[TOTAL FACTURA]]*0.6</f>
        <v>72000</v>
      </c>
      <c r="J104" s="2">
        <f>Tabla2[[#This Row],[TOTAL FACTURA]]*0.4</f>
        <v>48000</v>
      </c>
      <c r="L104" s="2"/>
      <c r="M104" s="2"/>
      <c r="N104" s="1" t="s">
        <v>25</v>
      </c>
      <c r="O104" s="15">
        <f>Tabla2[[#This Row],[MONTO DE LA VENTA]]-Tabla2[[#This Row],[MONTO DE COMPRA]]</f>
        <v>0</v>
      </c>
    </row>
    <row r="105" spans="1:15" x14ac:dyDescent="0.25">
      <c r="A105" s="9">
        <v>44582</v>
      </c>
      <c r="B105" s="4" t="s">
        <v>344</v>
      </c>
      <c r="C105" s="4"/>
      <c r="D105" s="1" t="s">
        <v>22</v>
      </c>
      <c r="E105" s="4" t="s">
        <v>345</v>
      </c>
      <c r="F105" s="1" t="s">
        <v>19</v>
      </c>
      <c r="G105" s="1" t="s">
        <v>346</v>
      </c>
      <c r="H105" s="15">
        <v>20000</v>
      </c>
      <c r="I105" s="15">
        <f>Tabla2[[#This Row],[TOTAL FACTURA]]*0.6</f>
        <v>12000</v>
      </c>
      <c r="J105" s="15">
        <f>Tabla2[[#This Row],[TOTAL FACTURA]]*0.4</f>
        <v>8000</v>
      </c>
      <c r="K105" s="1" t="s">
        <v>347</v>
      </c>
      <c r="L105" s="15">
        <v>18000</v>
      </c>
      <c r="M105" s="15">
        <v>24000</v>
      </c>
      <c r="N105" s="1" t="s">
        <v>25</v>
      </c>
      <c r="O105" s="15">
        <f>Tabla2[[#This Row],[MONTO DE LA VENTA]]-Tabla2[[#This Row],[MONTO DE COMPRA]]</f>
        <v>6000</v>
      </c>
    </row>
    <row r="106" spans="1:15" x14ac:dyDescent="0.25">
      <c r="A106" s="9">
        <v>44582</v>
      </c>
      <c r="C106" s="4"/>
      <c r="D106" s="1" t="s">
        <v>54</v>
      </c>
      <c r="E106" s="4" t="s">
        <v>350</v>
      </c>
      <c r="F106" s="1" t="s">
        <v>16</v>
      </c>
      <c r="G106" s="1" t="s">
        <v>348</v>
      </c>
      <c r="H106" s="15">
        <v>20000</v>
      </c>
      <c r="I106" s="15">
        <f>Tabla2[[#This Row],[TOTAL FACTURA]]*0.6</f>
        <v>12000</v>
      </c>
      <c r="J106" s="15">
        <f>Tabla2[[#This Row],[TOTAL FACTURA]]*0.4</f>
        <v>8000</v>
      </c>
      <c r="K106" s="1" t="s">
        <v>349</v>
      </c>
      <c r="L106" s="15">
        <v>15000</v>
      </c>
      <c r="M106" s="15">
        <v>20000</v>
      </c>
      <c r="N106" s="1" t="s">
        <v>25</v>
      </c>
      <c r="O106" s="15">
        <f>Tabla2[[#This Row],[MONTO DE LA VENTA]]-Tabla2[[#This Row],[MONTO DE COMPRA]]</f>
        <v>5000</v>
      </c>
    </row>
    <row r="107" spans="1:15" x14ac:dyDescent="0.25">
      <c r="A107" s="9">
        <v>44582</v>
      </c>
      <c r="B107" s="4" t="s">
        <v>351</v>
      </c>
      <c r="C107" s="4"/>
      <c r="D107" s="1" t="s">
        <v>352</v>
      </c>
      <c r="E107" s="4" t="s">
        <v>353</v>
      </c>
      <c r="F107" s="1" t="s">
        <v>19</v>
      </c>
      <c r="G107" s="1" t="s">
        <v>354</v>
      </c>
      <c r="H107" s="15">
        <v>30000</v>
      </c>
      <c r="I107" s="15">
        <f>Tabla2[[#This Row],[TOTAL FACTURA]]*0.6</f>
        <v>18000</v>
      </c>
      <c r="J107" s="15">
        <f>Tabla2[[#This Row],[TOTAL FACTURA]]*0.4</f>
        <v>12000</v>
      </c>
      <c r="K107" s="1" t="s">
        <v>355</v>
      </c>
      <c r="L107" s="15">
        <v>41000</v>
      </c>
      <c r="M107" s="15">
        <v>90000</v>
      </c>
      <c r="N107" s="1" t="s">
        <v>25</v>
      </c>
      <c r="O107" s="15">
        <f>Tabla2[[#This Row],[MONTO DE LA VENTA]]-Tabla2[[#This Row],[MONTO DE COMPRA]]</f>
        <v>49000</v>
      </c>
    </row>
    <row r="108" spans="1:15" x14ac:dyDescent="0.25">
      <c r="A108" s="9">
        <v>44582</v>
      </c>
      <c r="B108" s="4" t="s">
        <v>360</v>
      </c>
      <c r="C108" s="4"/>
      <c r="D108" s="1" t="s">
        <v>356</v>
      </c>
      <c r="E108" s="4" t="s">
        <v>357</v>
      </c>
      <c r="F108" s="1" t="s">
        <v>19</v>
      </c>
      <c r="G108" s="1" t="s">
        <v>358</v>
      </c>
      <c r="H108" s="15">
        <v>80000</v>
      </c>
      <c r="I108" s="15">
        <f>Tabla2[[#This Row],[TOTAL FACTURA]]*0.6</f>
        <v>48000</v>
      </c>
      <c r="J108" s="15">
        <f>Tabla2[[#This Row],[TOTAL FACTURA]]*0.4</f>
        <v>32000</v>
      </c>
      <c r="K108" s="1" t="s">
        <v>359</v>
      </c>
      <c r="L108" s="15">
        <v>245000</v>
      </c>
      <c r="M108" s="15">
        <f>240000+130000</f>
        <v>370000</v>
      </c>
      <c r="N108" s="1" t="s">
        <v>25</v>
      </c>
      <c r="O108" s="15">
        <f>Tabla2[[#This Row],[MONTO DE LA VENTA]]-Tabla2[[#This Row],[MONTO DE COMPRA]]</f>
        <v>125000</v>
      </c>
    </row>
    <row r="109" spans="1:15" x14ac:dyDescent="0.25">
      <c r="A109" s="9">
        <v>44582</v>
      </c>
      <c r="B109" s="4" t="s">
        <v>361</v>
      </c>
      <c r="C109" s="4"/>
      <c r="D109" s="1" t="s">
        <v>240</v>
      </c>
      <c r="E109" s="4" t="s">
        <v>362</v>
      </c>
      <c r="F109" s="1" t="s">
        <v>19</v>
      </c>
      <c r="G109" s="1" t="s">
        <v>20</v>
      </c>
      <c r="H109" s="15">
        <v>70000</v>
      </c>
      <c r="I109" s="15">
        <f>Tabla2[[#This Row],[TOTAL FACTURA]]*0.6</f>
        <v>42000</v>
      </c>
      <c r="J109" s="15">
        <f>Tabla2[[#This Row],[TOTAL FACTURA]]*0.4</f>
        <v>28000</v>
      </c>
      <c r="K109" s="1" t="s">
        <v>71</v>
      </c>
      <c r="L109" s="15">
        <v>133000</v>
      </c>
      <c r="M109" s="15">
        <v>196000</v>
      </c>
      <c r="N109" s="1" t="s">
        <v>25</v>
      </c>
      <c r="O109" s="15">
        <f>Tabla2[[#This Row],[MONTO DE LA VENTA]]-Tabla2[[#This Row],[MONTO DE COMPRA]]</f>
        <v>63000</v>
      </c>
    </row>
    <row r="110" spans="1:15" x14ac:dyDescent="0.25">
      <c r="A110" s="9">
        <v>44582</v>
      </c>
      <c r="B110" s="4" t="s">
        <v>363</v>
      </c>
      <c r="C110" s="4"/>
      <c r="D110" s="1" t="s">
        <v>48</v>
      </c>
      <c r="E110" s="4" t="s">
        <v>364</v>
      </c>
      <c r="F110" s="1" t="s">
        <v>16</v>
      </c>
      <c r="G110" s="1" t="s">
        <v>365</v>
      </c>
      <c r="H110" s="2">
        <v>50000</v>
      </c>
      <c r="I110" s="2">
        <f>Tabla2[[#This Row],[TOTAL FACTURA]]*0.6</f>
        <v>30000</v>
      </c>
      <c r="J110" s="2">
        <f>Tabla2[[#This Row],[TOTAL FACTURA]]*0.4</f>
        <v>20000</v>
      </c>
      <c r="K110" s="1" t="s">
        <v>366</v>
      </c>
      <c r="L110" s="2">
        <v>19000</v>
      </c>
      <c r="M110" s="2">
        <v>25000</v>
      </c>
      <c r="N110" s="1" t="s">
        <v>25</v>
      </c>
      <c r="O110" s="15">
        <f>Tabla2[[#This Row],[MONTO DE LA VENTA]]-Tabla2[[#This Row],[MONTO DE COMPRA]]</f>
        <v>6000</v>
      </c>
    </row>
    <row r="111" spans="1:15" x14ac:dyDescent="0.25">
      <c r="A111" s="9">
        <v>44582</v>
      </c>
      <c r="C111" s="4"/>
      <c r="D111" s="1" t="s">
        <v>218</v>
      </c>
      <c r="E111" s="4" t="s">
        <v>368</v>
      </c>
      <c r="F111" s="1" t="s">
        <v>19</v>
      </c>
      <c r="G111" s="1" t="s">
        <v>369</v>
      </c>
      <c r="H111" s="15">
        <v>60000</v>
      </c>
      <c r="I111" s="15">
        <f>Tabla2[[#This Row],[TOTAL FACTURA]]*0.6</f>
        <v>36000</v>
      </c>
      <c r="J111" s="15">
        <f>Tabla2[[#This Row],[TOTAL FACTURA]]*0.4</f>
        <v>24000</v>
      </c>
      <c r="K111" s="1" t="s">
        <v>370</v>
      </c>
      <c r="L111" s="15">
        <v>55000</v>
      </c>
      <c r="M111" s="15">
        <v>35000</v>
      </c>
      <c r="N111" s="1" t="s">
        <v>25</v>
      </c>
      <c r="O111" s="15">
        <f>Tabla2[[#This Row],[MONTO DE LA VENTA]]-Tabla2[[#This Row],[MONTO DE COMPRA]]</f>
        <v>-20000</v>
      </c>
    </row>
    <row r="112" spans="1:15" x14ac:dyDescent="0.25">
      <c r="A112" s="9">
        <v>44582</v>
      </c>
      <c r="B112" s="41"/>
      <c r="C112" s="41"/>
      <c r="D112" s="1" t="s">
        <v>22</v>
      </c>
      <c r="E112" s="4"/>
      <c r="F112" s="1" t="s">
        <v>30</v>
      </c>
      <c r="G112" s="14" t="s">
        <v>371</v>
      </c>
      <c r="H112" s="2">
        <v>30000</v>
      </c>
      <c r="I112" s="2">
        <f>Tabla2[[#This Row],[TOTAL FACTURA]]*0.6</f>
        <v>18000</v>
      </c>
      <c r="J112" s="2">
        <f>Tabla2[[#This Row],[TOTAL FACTURA]]*0.4</f>
        <v>12000</v>
      </c>
      <c r="L112" s="2"/>
      <c r="M112" s="2"/>
      <c r="N112" s="1" t="s">
        <v>25</v>
      </c>
      <c r="O112" s="15">
        <f>Tabla2[[#This Row],[MONTO DE LA VENTA]]-Tabla2[[#This Row],[MONTO DE COMPRA]]</f>
        <v>0</v>
      </c>
    </row>
    <row r="113" spans="1:15" x14ac:dyDescent="0.25">
      <c r="A113" s="9">
        <v>44583</v>
      </c>
      <c r="B113" s="4" t="s">
        <v>375</v>
      </c>
      <c r="C113" s="4"/>
      <c r="D113" s="1" t="s">
        <v>96</v>
      </c>
      <c r="E113" s="4" t="s">
        <v>376</v>
      </c>
      <c r="F113" s="1" t="s">
        <v>19</v>
      </c>
      <c r="G113" s="1" t="s">
        <v>378</v>
      </c>
      <c r="H113" s="2">
        <v>60000</v>
      </c>
      <c r="I113" s="2">
        <v>50000</v>
      </c>
      <c r="J113" s="2">
        <f>Tabla2[[#This Row],[TOTAL FACTURA]]*0.4</f>
        <v>24000</v>
      </c>
      <c r="K113" s="1" t="s">
        <v>451</v>
      </c>
      <c r="L113" s="2">
        <f>126051+20000</f>
        <v>146051</v>
      </c>
      <c r="M113" s="2">
        <v>420000</v>
      </c>
      <c r="N113" s="1" t="s">
        <v>25</v>
      </c>
      <c r="O113" s="15">
        <f>Tabla2[[#This Row],[MONTO DE LA VENTA]]-Tabla2[[#This Row],[MONTO DE COMPRA]]</f>
        <v>273949</v>
      </c>
    </row>
    <row r="114" spans="1:15" x14ac:dyDescent="0.25">
      <c r="A114" s="9">
        <v>44583</v>
      </c>
      <c r="B114" s="4" t="s">
        <v>375</v>
      </c>
      <c r="C114" s="4"/>
      <c r="D114" s="1" t="s">
        <v>96</v>
      </c>
      <c r="E114" s="4" t="s">
        <v>376</v>
      </c>
      <c r="F114" s="1" t="s">
        <v>10</v>
      </c>
      <c r="G114" s="1" t="s">
        <v>377</v>
      </c>
      <c r="H114" s="2">
        <v>100000</v>
      </c>
      <c r="I114" s="2">
        <f>Tabla2[[#This Row],[TOTAL FACTURA]]*0.6</f>
        <v>60000</v>
      </c>
      <c r="J114" s="2">
        <f>Tabla2[[#This Row],[TOTAL FACTURA]]*0.4</f>
        <v>40000</v>
      </c>
      <c r="K114" s="1" t="s">
        <v>383</v>
      </c>
      <c r="L114" s="2"/>
      <c r="M114" s="2"/>
      <c r="N114" s="1" t="s">
        <v>25</v>
      </c>
      <c r="O114" s="15">
        <f>Tabla2[[#This Row],[MONTO DE LA VENTA]]-Tabla2[[#This Row],[MONTO DE COMPRA]]</f>
        <v>0</v>
      </c>
    </row>
    <row r="115" spans="1:15" ht="22.5" customHeight="1" x14ac:dyDescent="0.25">
      <c r="A115" s="9">
        <v>44583</v>
      </c>
      <c r="B115" s="4" t="s">
        <v>379</v>
      </c>
      <c r="C115" s="4"/>
      <c r="D115" s="1" t="s">
        <v>59</v>
      </c>
      <c r="E115" s="4" t="s">
        <v>380</v>
      </c>
      <c r="F115" s="1" t="s">
        <v>19</v>
      </c>
      <c r="G115" s="1" t="s">
        <v>381</v>
      </c>
      <c r="H115" s="2">
        <v>40000</v>
      </c>
      <c r="I115" s="2">
        <f>Tabla2[[#This Row],[TOTAL FACTURA]]*0.6</f>
        <v>24000</v>
      </c>
      <c r="J115" s="2">
        <f>Tabla2[[#This Row],[TOTAL FACTURA]]*0.4</f>
        <v>16000</v>
      </c>
      <c r="K115" s="1" t="s">
        <v>382</v>
      </c>
      <c r="L115" s="2"/>
      <c r="M115" s="2"/>
      <c r="N115" s="1" t="s">
        <v>25</v>
      </c>
      <c r="O115" s="15">
        <f>Tabla2[[#This Row],[MONTO DE LA VENTA]]-Tabla2[[#This Row],[MONTO DE COMPRA]]</f>
        <v>0</v>
      </c>
    </row>
    <row r="116" spans="1:15" x14ac:dyDescent="0.25">
      <c r="A116" s="9">
        <v>44585</v>
      </c>
      <c r="B116" s="4" t="s">
        <v>428</v>
      </c>
      <c r="C116" s="4"/>
      <c r="D116" s="1" t="s">
        <v>48</v>
      </c>
      <c r="E116" s="4" t="s">
        <v>364</v>
      </c>
      <c r="F116" s="1" t="s">
        <v>30</v>
      </c>
      <c r="G116" s="1" t="s">
        <v>429</v>
      </c>
      <c r="H116" s="15">
        <v>200000</v>
      </c>
      <c r="I116" s="2">
        <f>Tabla2[[#This Row],[TOTAL FACTURA]]*0.6</f>
        <v>120000</v>
      </c>
      <c r="J116" s="43">
        <f>Tabla2[[#This Row],[TOTAL FACTURA]]*0.4</f>
        <v>80000</v>
      </c>
      <c r="L116" s="15"/>
      <c r="M116" s="15"/>
      <c r="N116" s="1" t="s">
        <v>25</v>
      </c>
      <c r="O116" s="15">
        <f>Tabla2[[#This Row],[MONTO DE COMPRA]]-Tabla2[[#This Row],[MONTO DE LA VENTA]]</f>
        <v>0</v>
      </c>
    </row>
    <row r="117" spans="1:15" x14ac:dyDescent="0.25">
      <c r="A117" s="9">
        <v>44585</v>
      </c>
      <c r="C117" s="4"/>
      <c r="D117" s="1" t="s">
        <v>385</v>
      </c>
      <c r="E117" s="4" t="s">
        <v>54</v>
      </c>
      <c r="F117" s="1" t="s">
        <v>408</v>
      </c>
      <c r="G117" s="1" t="s">
        <v>138</v>
      </c>
      <c r="H117" s="15">
        <v>30000</v>
      </c>
      <c r="I117" s="2">
        <v>30000</v>
      </c>
      <c r="J117" s="43">
        <v>20000</v>
      </c>
      <c r="L117" s="15"/>
      <c r="M117" s="15"/>
      <c r="N117" s="1" t="s">
        <v>25</v>
      </c>
      <c r="O117" s="15">
        <f>Tabla2[[#This Row],[MONTO DE COMPRA]]-Tabla2[[#This Row],[MONTO DE LA VENTA]]</f>
        <v>0</v>
      </c>
    </row>
    <row r="118" spans="1:15" x14ac:dyDescent="0.25">
      <c r="A118" s="9">
        <v>44585</v>
      </c>
      <c r="C118" s="4"/>
      <c r="D118" s="1" t="s">
        <v>385</v>
      </c>
      <c r="E118" s="4" t="s">
        <v>54</v>
      </c>
      <c r="F118" s="1" t="s">
        <v>30</v>
      </c>
      <c r="G118" s="1" t="s">
        <v>483</v>
      </c>
      <c r="H118" s="2">
        <v>100000</v>
      </c>
      <c r="I118" s="2">
        <f>Tabla2[[#This Row],[TOTAL FACTURA]]*0.6</f>
        <v>60000</v>
      </c>
      <c r="J118" s="2">
        <f>Tabla2[[#This Row],[TOTAL FACTURA]]*0.4</f>
        <v>40000</v>
      </c>
      <c r="L118" s="2"/>
      <c r="M118" s="2"/>
      <c r="N118" s="1" t="s">
        <v>25</v>
      </c>
      <c r="O118" s="15">
        <f>Tabla2[[#This Row],[MONTO DE LA VENTA]]-Tabla2[[#This Row],[MONTO DE COMPRA]]</f>
        <v>0</v>
      </c>
    </row>
    <row r="119" spans="1:15" x14ac:dyDescent="0.25">
      <c r="A119" s="9">
        <v>44585</v>
      </c>
      <c r="C119" s="4"/>
      <c r="D119" s="1" t="s">
        <v>46</v>
      </c>
      <c r="E119" s="4" t="s">
        <v>386</v>
      </c>
      <c r="F119" s="1" t="s">
        <v>16</v>
      </c>
      <c r="G119" s="1" t="s">
        <v>140</v>
      </c>
      <c r="H119" s="15">
        <v>35000</v>
      </c>
      <c r="I119" s="15">
        <v>35000</v>
      </c>
      <c r="J119" s="15">
        <f>Tabla2[[#This Row],[TOTAL FACTURA]]*0.4</f>
        <v>14000</v>
      </c>
      <c r="L119" s="15"/>
      <c r="M119" s="15"/>
      <c r="N119" s="1" t="s">
        <v>25</v>
      </c>
      <c r="O119" s="15">
        <f>Tabla2[[#This Row],[MONTO DE LA VENTA]]-Tabla2[[#This Row],[MONTO DE COMPRA]]</f>
        <v>0</v>
      </c>
    </row>
    <row r="120" spans="1:15" x14ac:dyDescent="0.25">
      <c r="A120" s="9">
        <v>44585</v>
      </c>
      <c r="C120" s="4"/>
      <c r="D120" s="1" t="s">
        <v>46</v>
      </c>
      <c r="E120" s="4" t="s">
        <v>386</v>
      </c>
      <c r="F120" s="1" t="s">
        <v>19</v>
      </c>
      <c r="G120" s="1" t="s">
        <v>140</v>
      </c>
      <c r="H120" s="15">
        <v>35000</v>
      </c>
      <c r="I120" s="15">
        <v>35000</v>
      </c>
      <c r="J120" s="15">
        <f>Tabla2[[#This Row],[TOTAL FACTURA]]*0.4</f>
        <v>14000</v>
      </c>
      <c r="L120" s="15"/>
      <c r="M120" s="15"/>
      <c r="N120" s="1" t="s">
        <v>25</v>
      </c>
      <c r="O120" s="15">
        <f>Tabla2[[#This Row],[MONTO DE LA VENTA]]-Tabla2[[#This Row],[MONTO DE COMPRA]]</f>
        <v>0</v>
      </c>
    </row>
    <row r="121" spans="1:15" x14ac:dyDescent="0.25">
      <c r="A121" s="9">
        <v>44585</v>
      </c>
      <c r="C121" s="4"/>
      <c r="D121" s="1" t="s">
        <v>96</v>
      </c>
      <c r="E121" s="4" t="s">
        <v>387</v>
      </c>
      <c r="F121" s="1" t="s">
        <v>10</v>
      </c>
      <c r="G121" s="1" t="s">
        <v>388</v>
      </c>
      <c r="H121" s="2">
        <v>150000</v>
      </c>
      <c r="I121" s="2">
        <f>Tabla2[[#This Row],[TOTAL FACTURA]]*0.6</f>
        <v>90000</v>
      </c>
      <c r="J121" s="2">
        <f>Tabla2[[#This Row],[TOTAL FACTURA]]*0.4</f>
        <v>60000</v>
      </c>
      <c r="L121" s="2"/>
      <c r="M121" s="2"/>
      <c r="N121" s="1" t="s">
        <v>25</v>
      </c>
      <c r="O121" s="15">
        <f>Tabla2[[#This Row],[MONTO DE LA VENTA]]-Tabla2[[#This Row],[MONTO DE COMPRA]]</f>
        <v>0</v>
      </c>
    </row>
    <row r="122" spans="1:15" x14ac:dyDescent="0.25">
      <c r="A122" s="9">
        <v>44585</v>
      </c>
      <c r="B122" s="4" t="s">
        <v>417</v>
      </c>
      <c r="C122" s="4"/>
      <c r="D122" s="1" t="s">
        <v>389</v>
      </c>
      <c r="E122" s="4" t="s">
        <v>390</v>
      </c>
      <c r="F122" s="1" t="s">
        <v>19</v>
      </c>
      <c r="G122" s="1" t="s">
        <v>391</v>
      </c>
      <c r="H122" s="2">
        <v>150000</v>
      </c>
      <c r="I122" s="2">
        <f>Tabla2[[#This Row],[TOTAL FACTURA]]*0.6</f>
        <v>90000</v>
      </c>
      <c r="J122" s="2">
        <f>Tabla2[[#This Row],[TOTAL FACTURA]]*0.4</f>
        <v>60000</v>
      </c>
      <c r="L122" s="2"/>
      <c r="M122" s="2"/>
      <c r="N122" s="1" t="s">
        <v>25</v>
      </c>
      <c r="O122" s="15">
        <f>Tabla2[[#This Row],[MONTO DE LA VENTA]]-Tabla2[[#This Row],[MONTO DE COMPRA]]</f>
        <v>0</v>
      </c>
    </row>
    <row r="123" spans="1:15" x14ac:dyDescent="0.25">
      <c r="A123" s="9">
        <v>44585</v>
      </c>
      <c r="B123" s="4" t="s">
        <v>418</v>
      </c>
      <c r="C123" s="4"/>
      <c r="D123" s="1" t="s">
        <v>392</v>
      </c>
      <c r="E123" s="4" t="s">
        <v>393</v>
      </c>
      <c r="F123" s="1" t="s">
        <v>408</v>
      </c>
      <c r="G123" s="1" t="s">
        <v>394</v>
      </c>
      <c r="H123" s="2">
        <v>410000</v>
      </c>
      <c r="I123" s="2">
        <f>Tabla2[[#This Row],[TOTAL FACTURA]]*0.6</f>
        <v>246000</v>
      </c>
      <c r="J123" s="2">
        <f>Tabla2[[#This Row],[TOTAL FACTURA]]*0.4</f>
        <v>164000</v>
      </c>
      <c r="K123" s="1" t="s">
        <v>433</v>
      </c>
      <c r="L123" s="2">
        <v>1050000</v>
      </c>
      <c r="M123" s="2">
        <v>1380000</v>
      </c>
      <c r="N123" s="1" t="s">
        <v>25</v>
      </c>
      <c r="O123" s="15">
        <f>Tabla2[[#This Row],[MONTO DE LA VENTA]]-Tabla2[[#This Row],[MONTO DE COMPRA]]</f>
        <v>330000</v>
      </c>
    </row>
    <row r="124" spans="1:15" x14ac:dyDescent="0.25">
      <c r="A124" s="9">
        <v>44585</v>
      </c>
      <c r="B124" s="4" t="s">
        <v>419</v>
      </c>
      <c r="C124" s="4"/>
      <c r="D124" s="1" t="s">
        <v>484</v>
      </c>
      <c r="E124" s="4" t="s">
        <v>395</v>
      </c>
      <c r="F124" s="1" t="s">
        <v>19</v>
      </c>
      <c r="G124" s="1" t="s">
        <v>206</v>
      </c>
      <c r="H124" s="2">
        <v>70000</v>
      </c>
      <c r="I124" s="2">
        <f>Tabla2[[#This Row],[TOTAL FACTURA]]*0.6</f>
        <v>42000</v>
      </c>
      <c r="J124" s="2">
        <f>Tabla2[[#This Row],[TOTAL FACTURA]]*0.4</f>
        <v>28000</v>
      </c>
      <c r="L124" s="2"/>
      <c r="M124" s="2"/>
      <c r="N124" s="1" t="s">
        <v>25</v>
      </c>
      <c r="O124" s="15">
        <f>Tabla2[[#This Row],[MONTO DE LA VENTA]]-Tabla2[[#This Row],[MONTO DE COMPRA]]</f>
        <v>0</v>
      </c>
    </row>
    <row r="125" spans="1:15" x14ac:dyDescent="0.25">
      <c r="A125" s="9">
        <v>44585</v>
      </c>
      <c r="B125" s="4" t="s">
        <v>420</v>
      </c>
      <c r="C125" s="4"/>
      <c r="D125" s="1" t="s">
        <v>22</v>
      </c>
      <c r="E125" s="4" t="s">
        <v>396</v>
      </c>
      <c r="F125" s="1" t="s">
        <v>10</v>
      </c>
      <c r="G125" s="1" t="s">
        <v>397</v>
      </c>
      <c r="H125" s="15">
        <v>200000</v>
      </c>
      <c r="I125" s="2">
        <f>Tabla2[[#This Row],[TOTAL FACTURA]]*0.6</f>
        <v>120000</v>
      </c>
      <c r="J125" s="2">
        <f>Tabla2[[#This Row],[TOTAL FACTURA]]*0.4</f>
        <v>80000</v>
      </c>
      <c r="L125" s="2"/>
      <c r="M125" s="2"/>
      <c r="N125" s="1" t="s">
        <v>25</v>
      </c>
      <c r="O125" s="15">
        <f>Tabla2[[#This Row],[MONTO DE LA VENTA]]-Tabla2[[#This Row],[MONTO DE COMPRA]]</f>
        <v>0</v>
      </c>
    </row>
    <row r="126" spans="1:15" x14ac:dyDescent="0.25">
      <c r="A126" s="9">
        <v>44585</v>
      </c>
      <c r="B126" s="4" t="s">
        <v>421</v>
      </c>
      <c r="C126" s="4"/>
      <c r="D126" s="1" t="s">
        <v>398</v>
      </c>
      <c r="E126" s="4" t="s">
        <v>399</v>
      </c>
      <c r="F126" s="1" t="s">
        <v>19</v>
      </c>
      <c r="G126" s="1" t="s">
        <v>400</v>
      </c>
      <c r="H126" s="2">
        <v>50000</v>
      </c>
      <c r="I126" s="2">
        <f>Tabla2[[#This Row],[TOTAL FACTURA]]*0.6</f>
        <v>30000</v>
      </c>
      <c r="J126" s="2">
        <f>Tabla2[[#This Row],[TOTAL FACTURA]]*0.4</f>
        <v>20000</v>
      </c>
      <c r="K126" s="1" t="s">
        <v>431</v>
      </c>
      <c r="L126" s="2">
        <v>220000</v>
      </c>
      <c r="M126" s="2">
        <v>250000</v>
      </c>
      <c r="N126" s="1" t="s">
        <v>25</v>
      </c>
      <c r="O126" s="15">
        <f>Tabla2[[#This Row],[MONTO DE LA VENTA]]-Tabla2[[#This Row],[MONTO DE COMPRA]]</f>
        <v>30000</v>
      </c>
    </row>
    <row r="127" spans="1:15" x14ac:dyDescent="0.25">
      <c r="A127" s="9">
        <v>44585</v>
      </c>
      <c r="B127" s="4" t="s">
        <v>422</v>
      </c>
      <c r="C127" s="4"/>
      <c r="D127" s="1" t="s">
        <v>398</v>
      </c>
      <c r="E127" s="4" t="s">
        <v>399</v>
      </c>
      <c r="F127" s="1" t="s">
        <v>16</v>
      </c>
      <c r="G127" s="1" t="s">
        <v>401</v>
      </c>
      <c r="H127" s="2">
        <v>70000</v>
      </c>
      <c r="I127" s="2">
        <f>Tabla2[[#This Row],[TOTAL FACTURA]]*0.6</f>
        <v>42000</v>
      </c>
      <c r="J127" s="2">
        <f>Tabla2[[#This Row],[TOTAL FACTURA]]*0.4</f>
        <v>28000</v>
      </c>
      <c r="K127" s="1" t="s">
        <v>432</v>
      </c>
      <c r="L127" s="2">
        <v>140000</v>
      </c>
      <c r="M127" s="2">
        <v>150000</v>
      </c>
      <c r="N127" s="1" t="s">
        <v>25</v>
      </c>
      <c r="O127" s="15">
        <f>Tabla2[[#This Row],[MONTO DE LA VENTA]]-Tabla2[[#This Row],[MONTO DE COMPRA]]</f>
        <v>10000</v>
      </c>
    </row>
    <row r="128" spans="1:15" ht="18.75" customHeight="1" x14ac:dyDescent="0.25">
      <c r="A128" s="9">
        <v>44585</v>
      </c>
      <c r="C128" s="4"/>
      <c r="D128" s="1" t="s">
        <v>402</v>
      </c>
      <c r="E128" s="4" t="s">
        <v>403</v>
      </c>
      <c r="F128" s="1" t="s">
        <v>408</v>
      </c>
      <c r="G128" s="1" t="s">
        <v>471</v>
      </c>
      <c r="H128" s="2">
        <v>250000</v>
      </c>
      <c r="I128" s="2">
        <f>Tabla2[[#This Row],[TOTAL FACTURA]]*0.6</f>
        <v>150000</v>
      </c>
      <c r="J128" s="2">
        <f>Tabla2[[#This Row],[TOTAL FACTURA]]*0.4</f>
        <v>100000</v>
      </c>
      <c r="K128" s="1" t="s">
        <v>430</v>
      </c>
      <c r="L128" s="2">
        <v>322000</v>
      </c>
      <c r="M128" s="2">
        <v>397000</v>
      </c>
      <c r="N128" s="1" t="s">
        <v>25</v>
      </c>
      <c r="O128" s="15">
        <f>Tabla2[[#This Row],[MONTO DE LA VENTA]]-Tabla2[[#This Row],[MONTO DE COMPRA]]</f>
        <v>75000</v>
      </c>
    </row>
    <row r="129" spans="1:15" x14ac:dyDescent="0.25">
      <c r="A129" s="9">
        <v>44585</v>
      </c>
      <c r="C129" s="4"/>
      <c r="D129" s="1" t="s">
        <v>240</v>
      </c>
      <c r="E129" s="4" t="s">
        <v>404</v>
      </c>
      <c r="F129" s="1" t="s">
        <v>19</v>
      </c>
      <c r="G129" s="1" t="s">
        <v>21</v>
      </c>
      <c r="H129" s="2">
        <v>10000</v>
      </c>
      <c r="I129" s="2">
        <f>Tabla2[[#This Row],[TOTAL FACTURA]]*0.6</f>
        <v>6000</v>
      </c>
      <c r="J129" s="2">
        <f>Tabla2[[#This Row],[TOTAL FACTURA]]*0.4</f>
        <v>4000</v>
      </c>
      <c r="L129" s="2"/>
      <c r="M129" s="2"/>
      <c r="N129" s="1" t="s">
        <v>25</v>
      </c>
      <c r="O129" s="15">
        <f>Tabla2[[#This Row],[MONTO DE LA VENTA]]-Tabla2[[#This Row],[MONTO DE COMPRA]]</f>
        <v>0</v>
      </c>
    </row>
    <row r="130" spans="1:15" x14ac:dyDescent="0.25">
      <c r="A130" s="9">
        <v>44585</v>
      </c>
      <c r="C130" s="4"/>
      <c r="D130" s="1" t="s">
        <v>405</v>
      </c>
      <c r="E130" s="4" t="s">
        <v>406</v>
      </c>
      <c r="F130" s="1" t="s">
        <v>19</v>
      </c>
      <c r="G130" s="1" t="s">
        <v>407</v>
      </c>
      <c r="H130" s="2">
        <v>40000</v>
      </c>
      <c r="I130" s="2">
        <f>Tabla2[[#This Row],[TOTAL FACTURA]]*0.6</f>
        <v>24000</v>
      </c>
      <c r="J130" s="2">
        <f>Tabla2[[#This Row],[TOTAL FACTURA]]*0.4</f>
        <v>16000</v>
      </c>
      <c r="L130" s="2"/>
      <c r="M130" s="2"/>
      <c r="N130" s="1" t="s">
        <v>25</v>
      </c>
      <c r="O130" s="15">
        <f>Tabla2[[#This Row],[MONTO DE LA VENTA]]-Tabla2[[#This Row],[MONTO DE COMPRA]]</f>
        <v>0</v>
      </c>
    </row>
    <row r="131" spans="1:15" x14ac:dyDescent="0.25">
      <c r="A131" s="9">
        <v>44586</v>
      </c>
      <c r="C131" s="4"/>
      <c r="D131" s="1" t="s">
        <v>410</v>
      </c>
      <c r="E131" s="4" t="s">
        <v>409</v>
      </c>
      <c r="F131" s="1" t="s">
        <v>408</v>
      </c>
      <c r="G131" s="1" t="s">
        <v>411</v>
      </c>
      <c r="H131" s="15">
        <v>10000</v>
      </c>
      <c r="I131" s="15">
        <f>Tabla2[[#This Row],[TOTAL FACTURA]]*0.6</f>
        <v>6000</v>
      </c>
      <c r="J131" s="15">
        <f>Tabla2[[#This Row],[TOTAL FACTURA]]*0.4</f>
        <v>4000</v>
      </c>
      <c r="L131" s="15"/>
      <c r="M131" s="15"/>
      <c r="N131" s="1" t="s">
        <v>25</v>
      </c>
      <c r="O131" s="15">
        <f>Tabla2[[#This Row],[MONTO DE LA VENTA]]-Tabla2[[#This Row],[MONTO DE COMPRA]]</f>
        <v>0</v>
      </c>
    </row>
    <row r="132" spans="1:15" x14ac:dyDescent="0.25">
      <c r="A132" s="9">
        <v>44586</v>
      </c>
      <c r="B132" s="4" t="s">
        <v>416</v>
      </c>
      <c r="C132" s="4"/>
      <c r="D132" s="1" t="s">
        <v>412</v>
      </c>
      <c r="E132" s="4" t="s">
        <v>413</v>
      </c>
      <c r="F132" s="1" t="s">
        <v>408</v>
      </c>
      <c r="G132" s="1" t="s">
        <v>414</v>
      </c>
      <c r="H132" s="2">
        <v>100000</v>
      </c>
      <c r="I132" s="2">
        <f>Tabla2[[#This Row],[TOTAL FACTURA]]*0.6</f>
        <v>60000</v>
      </c>
      <c r="J132" s="2">
        <f>Tabla2[[#This Row],[TOTAL FACTURA]]*0.4</f>
        <v>40000</v>
      </c>
      <c r="K132" s="1" t="s">
        <v>415</v>
      </c>
      <c r="L132" s="2">
        <f>265000+1200+15000</f>
        <v>281200</v>
      </c>
      <c r="M132" s="2">
        <f>380000+25000+5000</f>
        <v>410000</v>
      </c>
      <c r="N132" s="1" t="s">
        <v>25</v>
      </c>
      <c r="O132" s="15">
        <f>Tabla2[[#This Row],[MONTO DE LA VENTA]]-Tabla2[[#This Row],[MONTO DE COMPRA]]</f>
        <v>128800</v>
      </c>
    </row>
    <row r="133" spans="1:15" x14ac:dyDescent="0.25">
      <c r="A133" s="9">
        <v>44586</v>
      </c>
      <c r="C133" s="4"/>
      <c r="D133" s="1" t="s">
        <v>54</v>
      </c>
      <c r="E133" s="4" t="s">
        <v>424</v>
      </c>
      <c r="F133" s="1" t="s">
        <v>19</v>
      </c>
      <c r="G133" s="1" t="s">
        <v>423</v>
      </c>
      <c r="H133" s="2">
        <v>100000</v>
      </c>
      <c r="I133" s="2">
        <f>Tabla2[[#This Row],[TOTAL FACTURA]]*0.6</f>
        <v>60000</v>
      </c>
      <c r="J133" s="2">
        <f>Tabla2[[#This Row],[TOTAL FACTURA]]*0.4</f>
        <v>40000</v>
      </c>
      <c r="L133" s="2"/>
      <c r="M133" s="2"/>
      <c r="N133" s="1" t="s">
        <v>25</v>
      </c>
      <c r="O133" s="15">
        <f>Tabla2[[#This Row],[MONTO DE LA VENTA]]-Tabla2[[#This Row],[MONTO DE COMPRA]]</f>
        <v>0</v>
      </c>
    </row>
    <row r="134" spans="1:15" x14ac:dyDescent="0.25">
      <c r="A134" s="9">
        <v>44586</v>
      </c>
      <c r="C134" s="4"/>
      <c r="D134" s="1" t="s">
        <v>213</v>
      </c>
      <c r="E134" s="4">
        <v>72</v>
      </c>
      <c r="F134" s="1" t="s">
        <v>30</v>
      </c>
      <c r="G134" s="1" t="s">
        <v>101</v>
      </c>
      <c r="H134" s="2">
        <v>450000</v>
      </c>
      <c r="I134" s="2">
        <v>270000</v>
      </c>
      <c r="J134" s="45">
        <f>Tabla2[[#This Row],[TOTAL FACTURA]]*0.4</f>
        <v>180000</v>
      </c>
      <c r="L134" s="2"/>
      <c r="M134" s="2"/>
      <c r="N134" s="1" t="s">
        <v>25</v>
      </c>
      <c r="O134" s="15">
        <f>Tabla2[[#This Row],[MONTO DE COMPRA]]-Tabla2[[#This Row],[MONTO DE LA VENTA]]</f>
        <v>0</v>
      </c>
    </row>
    <row r="135" spans="1:15" x14ac:dyDescent="0.25">
      <c r="A135" s="9">
        <v>44586</v>
      </c>
      <c r="B135" s="4" t="s">
        <v>427</v>
      </c>
      <c r="C135" s="4"/>
      <c r="D135" s="1" t="s">
        <v>425</v>
      </c>
      <c r="E135" s="4" t="s">
        <v>426</v>
      </c>
      <c r="F135" s="1" t="s">
        <v>19</v>
      </c>
      <c r="G135" s="1" t="s">
        <v>140</v>
      </c>
      <c r="H135" s="2">
        <v>50000</v>
      </c>
      <c r="I135" s="2">
        <f>Tabla2[[#This Row],[TOTAL FACTURA]]*0.6</f>
        <v>30000</v>
      </c>
      <c r="J135" s="2">
        <f>Tabla2[[#This Row],[TOTAL FACTURA]]*0.4</f>
        <v>20000</v>
      </c>
      <c r="L135" s="2"/>
      <c r="M135" s="2"/>
      <c r="N135" s="1" t="s">
        <v>25</v>
      </c>
      <c r="O135" s="15">
        <f>Tabla2[[#This Row],[MONTO DE LA VENTA]]-Tabla2[[#This Row],[MONTO DE COMPRA]]</f>
        <v>0</v>
      </c>
    </row>
    <row r="136" spans="1:15" x14ac:dyDescent="0.25">
      <c r="A136" s="9">
        <v>44587</v>
      </c>
      <c r="C136" s="4"/>
      <c r="E136" s="4"/>
      <c r="F136" s="1" t="s">
        <v>16</v>
      </c>
      <c r="G136" s="1" t="s">
        <v>434</v>
      </c>
      <c r="H136" s="2">
        <v>20000</v>
      </c>
      <c r="I136" s="2">
        <f>Tabla2[[#This Row],[TOTAL FACTURA]]*0.6</f>
        <v>12000</v>
      </c>
      <c r="J136" s="2">
        <f>Tabla2[[#This Row],[TOTAL FACTURA]]*0.4</f>
        <v>8000</v>
      </c>
      <c r="L136" s="2"/>
      <c r="M136" s="2"/>
      <c r="N136" s="1" t="s">
        <v>25</v>
      </c>
      <c r="O136" s="15">
        <f>Tabla2[[#This Row],[MONTO DE LA VENTA]]-Tabla2[[#This Row],[MONTO DE COMPRA]]</f>
        <v>0</v>
      </c>
    </row>
    <row r="137" spans="1:15" x14ac:dyDescent="0.25">
      <c r="A137" s="9">
        <v>44587</v>
      </c>
      <c r="C137" s="4"/>
      <c r="D137" s="1" t="s">
        <v>435</v>
      </c>
      <c r="E137" s="4" t="s">
        <v>436</v>
      </c>
      <c r="F137" s="1" t="s">
        <v>10</v>
      </c>
      <c r="G137" s="1" t="s">
        <v>437</v>
      </c>
      <c r="H137" s="2">
        <v>20000</v>
      </c>
      <c r="I137" s="2">
        <f>Tabla2[[#This Row],[TOTAL FACTURA]]*0.6</f>
        <v>12000</v>
      </c>
      <c r="J137" s="2">
        <f>Tabla2[[#This Row],[TOTAL FACTURA]]*0.4</f>
        <v>8000</v>
      </c>
      <c r="L137" s="2"/>
      <c r="M137" s="2"/>
      <c r="N137" s="1" t="s">
        <v>25</v>
      </c>
      <c r="O137" s="15">
        <f>Tabla2[[#This Row],[MONTO DE LA VENTA]]-Tabla2[[#This Row],[MONTO DE COMPRA]]</f>
        <v>0</v>
      </c>
    </row>
    <row r="138" spans="1:15" x14ac:dyDescent="0.25">
      <c r="A138" s="9">
        <v>44587</v>
      </c>
      <c r="C138" s="4"/>
      <c r="D138" s="1" t="s">
        <v>96</v>
      </c>
      <c r="E138" s="4" t="s">
        <v>438</v>
      </c>
      <c r="F138" s="1" t="s">
        <v>19</v>
      </c>
      <c r="G138" s="1" t="s">
        <v>206</v>
      </c>
      <c r="H138" s="2">
        <v>50000</v>
      </c>
      <c r="I138" s="2">
        <f>Tabla2[[#This Row],[TOTAL FACTURA]]*0.6</f>
        <v>30000</v>
      </c>
      <c r="J138" s="2">
        <f>Tabla2[[#This Row],[TOTAL FACTURA]]*0.4</f>
        <v>20000</v>
      </c>
      <c r="L138" s="2"/>
      <c r="M138" s="2"/>
      <c r="N138" s="1" t="s">
        <v>25</v>
      </c>
      <c r="O138" s="15">
        <f>Tabla2[[#This Row],[MONTO DE LA VENTA]]-Tabla2[[#This Row],[MONTO DE COMPRA]]</f>
        <v>0</v>
      </c>
    </row>
    <row r="139" spans="1:15" ht="14.25" customHeight="1" x14ac:dyDescent="0.25">
      <c r="A139" s="9">
        <v>44587</v>
      </c>
      <c r="C139" s="4"/>
      <c r="D139" s="1" t="s">
        <v>439</v>
      </c>
      <c r="E139" s="4" t="s">
        <v>440</v>
      </c>
      <c r="F139" s="1" t="s">
        <v>408</v>
      </c>
      <c r="G139" s="1" t="s">
        <v>441</v>
      </c>
      <c r="H139" s="15">
        <v>150000</v>
      </c>
      <c r="I139" s="15">
        <v>80000</v>
      </c>
      <c r="J139" s="15">
        <f>Tabla2[[#This Row],[TOTAL FACTURA]]*0.4</f>
        <v>60000</v>
      </c>
      <c r="K139" s="1" t="s">
        <v>448</v>
      </c>
      <c r="L139" s="15">
        <v>58000</v>
      </c>
      <c r="M139" s="15">
        <f>52000+23000</f>
        <v>75000</v>
      </c>
      <c r="N139" s="1" t="s">
        <v>25</v>
      </c>
      <c r="O139" s="15">
        <f>Tabla2[[#This Row],[MONTO DE LA VENTA]]-Tabla2[[#This Row],[MONTO DE COMPRA]]</f>
        <v>17000</v>
      </c>
    </row>
    <row r="140" spans="1:15" x14ac:dyDescent="0.25">
      <c r="A140" s="9">
        <v>44587</v>
      </c>
      <c r="C140" s="4"/>
      <c r="D140" s="1" t="s">
        <v>23</v>
      </c>
      <c r="E140" s="4" t="s">
        <v>442</v>
      </c>
      <c r="F140" s="1" t="s">
        <v>10</v>
      </c>
      <c r="G140" s="1" t="s">
        <v>443</v>
      </c>
      <c r="H140" s="2">
        <v>300000</v>
      </c>
      <c r="I140" s="2">
        <f>Tabla2[[#This Row],[TOTAL FACTURA]]*0.6</f>
        <v>180000</v>
      </c>
      <c r="J140" s="2">
        <f>Tabla2[[#This Row],[TOTAL FACTURA]]*0.4</f>
        <v>120000</v>
      </c>
      <c r="K140" s="1" t="s">
        <v>447</v>
      </c>
      <c r="L140" s="2"/>
      <c r="M140" s="2"/>
      <c r="N140" s="1" t="s">
        <v>25</v>
      </c>
      <c r="O140" s="15">
        <f>Tabla2[[#This Row],[MONTO DE LA VENTA]]-Tabla2[[#This Row],[MONTO DE COMPRA]]</f>
        <v>0</v>
      </c>
    </row>
    <row r="141" spans="1:15" x14ac:dyDescent="0.25">
      <c r="A141" s="9">
        <v>44587</v>
      </c>
      <c r="C141" s="4"/>
      <c r="D141" s="1" t="s">
        <v>48</v>
      </c>
      <c r="E141" s="4" t="s">
        <v>444</v>
      </c>
      <c r="F141" s="1" t="s">
        <v>30</v>
      </c>
      <c r="G141" s="1" t="s">
        <v>446</v>
      </c>
      <c r="H141" s="2">
        <v>120000</v>
      </c>
      <c r="I141" s="2">
        <f>Tabla2[[#This Row],[TOTAL FACTURA]]*0.6</f>
        <v>72000</v>
      </c>
      <c r="J141" s="2">
        <f>Tabla2[[#This Row],[TOTAL FACTURA]]*0.4</f>
        <v>48000</v>
      </c>
      <c r="K141" s="1" t="s">
        <v>445</v>
      </c>
      <c r="L141" s="2">
        <f>310000+40000</f>
        <v>350000</v>
      </c>
      <c r="M141" s="2">
        <v>520000</v>
      </c>
      <c r="N141" s="1" t="s">
        <v>25</v>
      </c>
      <c r="O141" s="15">
        <f>Tabla2[[#This Row],[MONTO DE LA VENTA]]-Tabla2[[#This Row],[MONTO DE COMPRA]]</f>
        <v>170000</v>
      </c>
    </row>
    <row r="142" spans="1:15" x14ac:dyDescent="0.25">
      <c r="A142" s="9">
        <v>44587</v>
      </c>
      <c r="C142" s="4"/>
      <c r="D142" s="1" t="s">
        <v>450</v>
      </c>
      <c r="E142" s="4" t="s">
        <v>449</v>
      </c>
      <c r="F142" s="1" t="s">
        <v>34</v>
      </c>
      <c r="G142" s="1" t="s">
        <v>341</v>
      </c>
      <c r="H142" s="15">
        <v>10000</v>
      </c>
      <c r="I142" s="15">
        <f>Tabla2[[#This Row],[TOTAL FACTURA]]*0.6</f>
        <v>6000</v>
      </c>
      <c r="J142" s="15">
        <f>Tabla2[[#This Row],[TOTAL FACTURA]]*0.4</f>
        <v>4000</v>
      </c>
      <c r="L142" s="15"/>
      <c r="M142" s="15"/>
      <c r="N142" s="1" t="s">
        <v>25</v>
      </c>
      <c r="O142" s="15">
        <f>Tabla2[[#This Row],[MONTO DE LA VENTA]]-Tabla2[[#This Row],[MONTO DE COMPRA]]</f>
        <v>0</v>
      </c>
    </row>
    <row r="143" spans="1:15" x14ac:dyDescent="0.25">
      <c r="A143" s="9">
        <v>44586</v>
      </c>
      <c r="C143" s="4"/>
      <c r="D143" s="1" t="s">
        <v>452</v>
      </c>
      <c r="E143" s="4" t="s">
        <v>453</v>
      </c>
      <c r="F143" s="1" t="s">
        <v>34</v>
      </c>
      <c r="G143" s="1" t="s">
        <v>454</v>
      </c>
      <c r="H143" s="2">
        <v>150000</v>
      </c>
      <c r="I143" s="2">
        <f>Tabla2[[#This Row],[TOTAL FACTURA]]*0.6</f>
        <v>90000</v>
      </c>
      <c r="J143" s="2">
        <f>Tabla2[[#This Row],[TOTAL FACTURA]]*0.4</f>
        <v>60000</v>
      </c>
      <c r="L143" s="2"/>
      <c r="M143" s="2"/>
      <c r="N143" s="1" t="s">
        <v>25</v>
      </c>
      <c r="O143" s="15">
        <f>Tabla2[[#This Row],[MONTO DE LA VENTA]]-Tabla2[[#This Row],[MONTO DE COMPRA]]</f>
        <v>0</v>
      </c>
    </row>
    <row r="144" spans="1:15" x14ac:dyDescent="0.25">
      <c r="A144" s="9">
        <v>44588</v>
      </c>
      <c r="B144" s="4" t="s">
        <v>455</v>
      </c>
      <c r="C144" s="4"/>
      <c r="D144" s="1" t="s">
        <v>242</v>
      </c>
      <c r="E144" s="4" t="s">
        <v>456</v>
      </c>
      <c r="F144" s="1" t="s">
        <v>408</v>
      </c>
      <c r="G144" s="1" t="s">
        <v>457</v>
      </c>
      <c r="H144" s="2">
        <v>40000</v>
      </c>
      <c r="I144" s="2">
        <f>Tabla2[[#This Row],[TOTAL FACTURA]]*0.6</f>
        <v>24000</v>
      </c>
      <c r="J144" s="2">
        <f>Tabla2[[#This Row],[TOTAL FACTURA]]*0.4</f>
        <v>16000</v>
      </c>
      <c r="K144" s="1" t="s">
        <v>458</v>
      </c>
      <c r="L144" s="2">
        <f>60000+34000</f>
        <v>94000</v>
      </c>
      <c r="M144" s="2">
        <v>120000</v>
      </c>
      <c r="N144" s="1" t="s">
        <v>25</v>
      </c>
      <c r="O144" s="15">
        <f>Tabla2[[#This Row],[MONTO DE LA VENTA]]-Tabla2[[#This Row],[MONTO DE COMPRA]]</f>
        <v>26000</v>
      </c>
    </row>
    <row r="145" spans="1:15" x14ac:dyDescent="0.25">
      <c r="A145" s="9">
        <v>44588</v>
      </c>
      <c r="B145" s="4" t="s">
        <v>459</v>
      </c>
      <c r="C145" s="4"/>
      <c r="D145" s="1" t="s">
        <v>460</v>
      </c>
      <c r="E145" s="4" t="s">
        <v>461</v>
      </c>
      <c r="F145" s="1" t="s">
        <v>19</v>
      </c>
      <c r="G145" s="1" t="s">
        <v>211</v>
      </c>
      <c r="H145" s="2">
        <v>30000</v>
      </c>
      <c r="I145" s="2">
        <f>Tabla2[[#This Row],[TOTAL FACTURA]]*0.6</f>
        <v>18000</v>
      </c>
      <c r="J145" s="2">
        <f>Tabla2[[#This Row],[TOTAL FACTURA]]*0.4</f>
        <v>12000</v>
      </c>
      <c r="K145" s="1" t="s">
        <v>217</v>
      </c>
      <c r="L145" s="2">
        <v>120000</v>
      </c>
      <c r="M145" s="2">
        <v>180000</v>
      </c>
      <c r="N145" s="1" t="s">
        <v>25</v>
      </c>
      <c r="O145" s="15">
        <f>Tabla2[[#This Row],[MONTO DE LA VENTA]]-Tabla2[[#This Row],[MONTO DE COMPRA]]</f>
        <v>60000</v>
      </c>
    </row>
    <row r="146" spans="1:15" x14ac:dyDescent="0.25">
      <c r="A146" s="9">
        <v>44588</v>
      </c>
      <c r="C146" s="4"/>
      <c r="D146" s="1" t="s">
        <v>462</v>
      </c>
      <c r="E146" s="4" t="s">
        <v>463</v>
      </c>
      <c r="F146" s="1" t="s">
        <v>408</v>
      </c>
      <c r="G146" s="1" t="s">
        <v>464</v>
      </c>
      <c r="H146" s="15">
        <v>80000</v>
      </c>
      <c r="I146" s="15">
        <f>Tabla2[[#This Row],[TOTAL FACTURA]]*0.6</f>
        <v>48000</v>
      </c>
      <c r="J146" s="15">
        <f>Tabla2[[#This Row],[TOTAL FACTURA]]*0.4</f>
        <v>32000</v>
      </c>
      <c r="L146" s="15"/>
      <c r="M146" s="15"/>
      <c r="N146" s="1" t="s">
        <v>25</v>
      </c>
      <c r="O146" s="15">
        <f>Tabla2[[#This Row],[MONTO DE LA VENTA]]-Tabla2[[#This Row],[MONTO DE COMPRA]]</f>
        <v>0</v>
      </c>
    </row>
    <row r="147" spans="1:15" x14ac:dyDescent="0.25">
      <c r="A147" s="9">
        <v>44588</v>
      </c>
      <c r="B147" s="4" t="s">
        <v>465</v>
      </c>
      <c r="C147" s="4"/>
      <c r="D147" s="1" t="s">
        <v>466</v>
      </c>
      <c r="E147" s="4" t="s">
        <v>467</v>
      </c>
      <c r="F147" s="1" t="s">
        <v>408</v>
      </c>
      <c r="G147" s="1" t="s">
        <v>468</v>
      </c>
      <c r="H147" s="2">
        <v>160000</v>
      </c>
      <c r="I147" s="2">
        <f>Tabla2[[#This Row],[TOTAL FACTURA]]*0.6</f>
        <v>96000</v>
      </c>
      <c r="J147" s="2">
        <f>Tabla2[[#This Row],[TOTAL FACTURA]]*0.4</f>
        <v>64000</v>
      </c>
      <c r="K147" s="1" t="s">
        <v>469</v>
      </c>
      <c r="L147" s="2">
        <f>240000+35000</f>
        <v>275000</v>
      </c>
      <c r="M147" s="2">
        <v>350000</v>
      </c>
      <c r="N147" s="1" t="s">
        <v>25</v>
      </c>
      <c r="O147" s="15">
        <f>Tabla2[[#This Row],[MONTO DE LA VENTA]]-Tabla2[[#This Row],[MONTO DE COMPRA]]</f>
        <v>75000</v>
      </c>
    </row>
    <row r="148" spans="1:15" x14ac:dyDescent="0.25">
      <c r="A148" s="9">
        <v>44588</v>
      </c>
      <c r="C148" s="4"/>
      <c r="D148" s="1" t="s">
        <v>84</v>
      </c>
      <c r="E148" s="4" t="s">
        <v>470</v>
      </c>
      <c r="F148" s="1" t="s">
        <v>34</v>
      </c>
      <c r="G148" s="1" t="s">
        <v>21</v>
      </c>
      <c r="H148" s="2">
        <v>10000</v>
      </c>
      <c r="I148" s="2">
        <f>Tabla2[[#This Row],[TOTAL FACTURA]]*0.6</f>
        <v>6000</v>
      </c>
      <c r="J148" s="2">
        <f>Tabla2[[#This Row],[TOTAL FACTURA]]*0.4</f>
        <v>4000</v>
      </c>
      <c r="L148" s="2"/>
      <c r="M148" s="2"/>
      <c r="N148" s="1" t="s">
        <v>25</v>
      </c>
      <c r="O148" s="15">
        <f>Tabla2[[#This Row],[MONTO DE LA VENTA]]-Tabla2[[#This Row],[MONTO DE COMPRA]]</f>
        <v>0</v>
      </c>
    </row>
    <row r="149" spans="1:15" x14ac:dyDescent="0.25">
      <c r="A149" s="9">
        <v>44589</v>
      </c>
      <c r="B149" s="4" t="s">
        <v>472</v>
      </c>
      <c r="C149" s="4"/>
      <c r="D149" s="1" t="s">
        <v>473</v>
      </c>
      <c r="E149" s="4" t="s">
        <v>474</v>
      </c>
      <c r="F149" s="1" t="s">
        <v>10</v>
      </c>
      <c r="G149" s="1" t="s">
        <v>475</v>
      </c>
      <c r="H149" s="2">
        <v>180000</v>
      </c>
      <c r="I149" s="2">
        <f>Tabla2[[#This Row],[TOTAL FACTURA]]*0.6</f>
        <v>108000</v>
      </c>
      <c r="J149" s="2">
        <f>Tabla2[[#This Row],[TOTAL FACTURA]]*0.4</f>
        <v>72000</v>
      </c>
      <c r="K149" s="1" t="s">
        <v>476</v>
      </c>
      <c r="L149" s="2">
        <v>445000</v>
      </c>
      <c r="M149" s="2">
        <v>565000</v>
      </c>
      <c r="N149" s="1" t="s">
        <v>25</v>
      </c>
      <c r="O149" s="15">
        <f>Tabla2[[#This Row],[MONTO DE LA VENTA]]-Tabla2[[#This Row],[MONTO DE COMPRA]]</f>
        <v>120000</v>
      </c>
    </row>
    <row r="150" spans="1:15" x14ac:dyDescent="0.25">
      <c r="A150" s="9">
        <v>44589</v>
      </c>
      <c r="B150" s="4" t="s">
        <v>477</v>
      </c>
      <c r="C150" s="4"/>
      <c r="D150" s="1" t="s">
        <v>402</v>
      </c>
      <c r="E150" s="4" t="s">
        <v>478</v>
      </c>
      <c r="F150" s="1" t="s">
        <v>19</v>
      </c>
      <c r="G150" s="1" t="s">
        <v>479</v>
      </c>
      <c r="H150" s="2">
        <v>30000</v>
      </c>
      <c r="I150" s="2">
        <f>Tabla2[[#This Row],[TOTAL FACTURA]]*0.6</f>
        <v>18000</v>
      </c>
      <c r="J150" s="2">
        <f>Tabla2[[#This Row],[TOTAL FACTURA]]*0.4</f>
        <v>12000</v>
      </c>
      <c r="K150" s="1" t="s">
        <v>480</v>
      </c>
      <c r="L150" s="2">
        <v>28000</v>
      </c>
      <c r="M150" s="2">
        <v>45000</v>
      </c>
      <c r="N150" s="1" t="s">
        <v>25</v>
      </c>
      <c r="O150" s="15">
        <f>Tabla2[[#This Row],[MONTO DE LA VENTA]]-Tabla2[[#This Row],[MONTO DE COMPRA]]</f>
        <v>17000</v>
      </c>
    </row>
    <row r="151" spans="1:15" x14ac:dyDescent="0.25">
      <c r="A151" s="9">
        <v>44590</v>
      </c>
      <c r="C151" s="4"/>
      <c r="D151" s="1" t="s">
        <v>485</v>
      </c>
      <c r="E151" s="4" t="s">
        <v>486</v>
      </c>
      <c r="F151" s="1" t="s">
        <v>19</v>
      </c>
      <c r="G151" s="1" t="s">
        <v>21</v>
      </c>
      <c r="H151" s="2">
        <v>10000</v>
      </c>
      <c r="I151" s="2">
        <f>Tabla2[[#This Row],[TOTAL FACTURA]]*0.6</f>
        <v>6000</v>
      </c>
      <c r="J151" s="2">
        <f>Tabla2[[#This Row],[TOTAL FACTURA]]*0.4</f>
        <v>4000</v>
      </c>
      <c r="L151" s="2"/>
      <c r="M151" s="2"/>
      <c r="N151" s="1" t="s">
        <v>25</v>
      </c>
      <c r="O151" s="15">
        <f>Tabla2[[#This Row],[MONTO DE LA VENTA]]-Tabla2[[#This Row],[MONTO DE COMPRA]]</f>
        <v>0</v>
      </c>
    </row>
    <row r="152" spans="1:15" x14ac:dyDescent="0.25">
      <c r="A152" s="9">
        <v>44590</v>
      </c>
      <c r="C152" s="4"/>
      <c r="D152" s="1" t="s">
        <v>487</v>
      </c>
      <c r="E152" s="4"/>
      <c r="F152" s="1" t="s">
        <v>408</v>
      </c>
      <c r="G152" s="1" t="s">
        <v>21</v>
      </c>
      <c r="H152" s="2">
        <v>10000</v>
      </c>
      <c r="I152" s="2">
        <f>Tabla2[[#This Row],[TOTAL FACTURA]]*0.6</f>
        <v>6000</v>
      </c>
      <c r="J152" s="2">
        <f>Tabla2[[#This Row],[TOTAL FACTURA]]*0.4</f>
        <v>4000</v>
      </c>
      <c r="L152" s="2"/>
      <c r="M152" s="2"/>
      <c r="N152" s="1" t="s">
        <v>25</v>
      </c>
      <c r="O152" s="15">
        <f>Tabla2[[#This Row],[MONTO DE LA VENTA]]-Tabla2[[#This Row],[MONTO DE COMPRA]]</f>
        <v>0</v>
      </c>
    </row>
    <row r="153" spans="1:15" x14ac:dyDescent="0.25">
      <c r="A153" s="9">
        <v>44590</v>
      </c>
      <c r="B153" s="4" t="s">
        <v>488</v>
      </c>
      <c r="C153" s="4"/>
      <c r="D153" s="1" t="s">
        <v>385</v>
      </c>
      <c r="E153" s="4" t="s">
        <v>489</v>
      </c>
      <c r="F153" s="1" t="s">
        <v>10</v>
      </c>
      <c r="G153" s="1" t="s">
        <v>174</v>
      </c>
      <c r="H153" s="2">
        <v>130000</v>
      </c>
      <c r="I153" s="2">
        <f>Tabla2[[#This Row],[TOTAL FACTURA]]*0.6</f>
        <v>78000</v>
      </c>
      <c r="J153" s="2">
        <f>Tabla2[[#This Row],[TOTAL FACTURA]]*0.4</f>
        <v>52000</v>
      </c>
      <c r="K153" s="1" t="s">
        <v>491</v>
      </c>
      <c r="L153" s="2">
        <v>215600</v>
      </c>
      <c r="M153" s="2">
        <v>310000</v>
      </c>
      <c r="N153" s="1" t="s">
        <v>25</v>
      </c>
      <c r="O153" s="15">
        <f>Tabla2[[#This Row],[MONTO DE LA VENTA]]-Tabla2[[#This Row],[MONTO DE COMPRA]]</f>
        <v>94400</v>
      </c>
    </row>
    <row r="154" spans="1:15" x14ac:dyDescent="0.25">
      <c r="A154" s="9">
        <v>44590</v>
      </c>
      <c r="B154" s="4" t="s">
        <v>488</v>
      </c>
      <c r="C154" s="4"/>
      <c r="D154" s="1" t="s">
        <v>385</v>
      </c>
      <c r="E154" s="4" t="s">
        <v>489</v>
      </c>
      <c r="F154" s="1" t="s">
        <v>408</v>
      </c>
      <c r="G154" s="1" t="s">
        <v>490</v>
      </c>
      <c r="H154" s="15">
        <v>40000</v>
      </c>
      <c r="I154" s="2">
        <f>Tabla2[[#This Row],[TOTAL FACTURA]]*0.6</f>
        <v>24000</v>
      </c>
      <c r="J154" s="2">
        <f>Tabla2[[#This Row],[TOTAL FACTURA]]*0.4</f>
        <v>16000</v>
      </c>
      <c r="L154" s="2"/>
      <c r="M154" s="2"/>
      <c r="N154" s="1" t="s">
        <v>25</v>
      </c>
      <c r="O154" s="15">
        <f>Tabla2[[#This Row],[MONTO DE LA VENTA]]-Tabla2[[#This Row],[MONTO DE COMPRA]]</f>
        <v>0</v>
      </c>
    </row>
    <row r="155" spans="1:15" x14ac:dyDescent="0.25">
      <c r="A155" s="9">
        <v>44590</v>
      </c>
      <c r="B155" s="4" t="s">
        <v>492</v>
      </c>
      <c r="C155" s="4"/>
      <c r="D155" s="1" t="s">
        <v>493</v>
      </c>
      <c r="E155" s="4" t="s">
        <v>494</v>
      </c>
      <c r="F155" s="1" t="s">
        <v>19</v>
      </c>
      <c r="G155" s="1" t="s">
        <v>495</v>
      </c>
      <c r="H155" s="2">
        <v>90000</v>
      </c>
      <c r="I155" s="2">
        <f>Tabla2[[#This Row],[TOTAL FACTURA]]*0.6</f>
        <v>54000</v>
      </c>
      <c r="J155" s="2">
        <f>Tabla2[[#This Row],[TOTAL FACTURA]]*0.4</f>
        <v>36000</v>
      </c>
      <c r="K155" s="1" t="s">
        <v>496</v>
      </c>
      <c r="L155" s="2">
        <f>545000+13025+30000+13025</f>
        <v>601050</v>
      </c>
      <c r="M155" s="2">
        <v>872000</v>
      </c>
      <c r="N155" s="1" t="s">
        <v>25</v>
      </c>
      <c r="O155" s="15">
        <f>Tabla2[[#This Row],[MONTO DE LA VENTA]]-Tabla2[[#This Row],[MONTO DE COMPRA]]</f>
        <v>270950</v>
      </c>
    </row>
    <row r="156" spans="1:15" x14ac:dyDescent="0.25">
      <c r="A156" s="9">
        <v>44592</v>
      </c>
      <c r="C156" s="4"/>
      <c r="D156" s="1" t="s">
        <v>142</v>
      </c>
      <c r="E156" s="4" t="s">
        <v>497</v>
      </c>
      <c r="F156" s="1" t="s">
        <v>16</v>
      </c>
      <c r="G156" s="1" t="s">
        <v>498</v>
      </c>
      <c r="H156" s="2">
        <v>50000</v>
      </c>
      <c r="I156" s="2">
        <f>Tabla2[[#This Row],[TOTAL FACTURA]]*0.6</f>
        <v>30000</v>
      </c>
      <c r="J156" s="2">
        <f>Tabla2[[#This Row],[TOTAL FACTURA]]*0.4</f>
        <v>20000</v>
      </c>
      <c r="L156" s="2"/>
      <c r="M156" s="2"/>
      <c r="N156" s="1" t="s">
        <v>25</v>
      </c>
      <c r="O156" s="15">
        <f>Tabla2[[#This Row],[MONTO DE LA VENTA]]-Tabla2[[#This Row],[MONTO DE COMPRA]]</f>
        <v>0</v>
      </c>
    </row>
    <row r="157" spans="1:15" x14ac:dyDescent="0.25">
      <c r="A157" s="9">
        <v>44592</v>
      </c>
      <c r="B157" s="4" t="s">
        <v>499</v>
      </c>
      <c r="C157" s="4"/>
      <c r="D157" s="1" t="s">
        <v>500</v>
      </c>
      <c r="E157" s="4" t="s">
        <v>501</v>
      </c>
      <c r="F157" s="1" t="s">
        <v>408</v>
      </c>
      <c r="G157" s="1" t="s">
        <v>502</v>
      </c>
      <c r="H157" s="15">
        <v>40000</v>
      </c>
      <c r="I157" s="2">
        <f>Tabla2[[#This Row],[TOTAL FACTURA]]*0.6</f>
        <v>24000</v>
      </c>
      <c r="J157" s="2">
        <f>Tabla2[[#This Row],[TOTAL FACTURA]]*0.4</f>
        <v>16000</v>
      </c>
      <c r="K157" s="1" t="s">
        <v>503</v>
      </c>
      <c r="L157" s="2">
        <v>4500</v>
      </c>
      <c r="M157" s="2"/>
      <c r="N157" s="1" t="s">
        <v>25</v>
      </c>
      <c r="O157" s="15">
        <f>Tabla2[[#This Row],[MONTO DE LA VENTA]]-Tabla2[[#This Row],[MONTO DE COMPRA]]</f>
        <v>-4500</v>
      </c>
    </row>
    <row r="158" spans="1:15" x14ac:dyDescent="0.25">
      <c r="A158" s="9">
        <v>44592</v>
      </c>
      <c r="B158" s="4" t="s">
        <v>508</v>
      </c>
      <c r="C158" s="4"/>
      <c r="D158" s="1" t="s">
        <v>505</v>
      </c>
      <c r="E158" s="4" t="s">
        <v>504</v>
      </c>
      <c r="F158" s="1" t="s">
        <v>408</v>
      </c>
      <c r="G158" s="1" t="s">
        <v>506</v>
      </c>
      <c r="H158" s="15">
        <v>80000</v>
      </c>
      <c r="I158" s="2">
        <f>Tabla2[[#This Row],[TOTAL FACTURA]]*0.6</f>
        <v>48000</v>
      </c>
      <c r="J158" s="2">
        <f>Tabla2[[#This Row],[TOTAL FACTURA]]*0.4</f>
        <v>32000</v>
      </c>
      <c r="K158" s="1" t="s">
        <v>507</v>
      </c>
      <c r="L158" s="2">
        <f>30757+227000</f>
        <v>257757</v>
      </c>
      <c r="M158" s="2">
        <f>182000+134000+55000</f>
        <v>371000</v>
      </c>
      <c r="N158" s="1" t="s">
        <v>25</v>
      </c>
      <c r="O158" s="15">
        <f>Tabla2[[#This Row],[MONTO DE LA VENTA]]-Tabla2[[#This Row],[MONTO DE COMPRA]]</f>
        <v>113243</v>
      </c>
    </row>
    <row r="159" spans="1:15" x14ac:dyDescent="0.25">
      <c r="A159" s="9">
        <v>44592</v>
      </c>
      <c r="B159" s="4" t="s">
        <v>509</v>
      </c>
      <c r="C159" s="4"/>
      <c r="D159" s="1" t="s">
        <v>96</v>
      </c>
      <c r="E159" s="4" t="s">
        <v>510</v>
      </c>
      <c r="F159" s="1" t="s">
        <v>10</v>
      </c>
      <c r="G159" s="1" t="s">
        <v>511</v>
      </c>
      <c r="H159" s="2">
        <v>380000</v>
      </c>
      <c r="I159" s="2">
        <f>Tabla2[[#This Row],[TOTAL FACTURA]]*0.6</f>
        <v>228000</v>
      </c>
      <c r="J159" s="2">
        <f>Tabla2[[#This Row],[TOTAL FACTURA]]*0.4</f>
        <v>152000</v>
      </c>
      <c r="L159" s="2"/>
      <c r="M159" s="2"/>
      <c r="N159" s="1" t="s">
        <v>25</v>
      </c>
      <c r="O159" s="15">
        <f>Tabla2[[#This Row],[MONTO DE LA VENTA]]-Tabla2[[#This Row],[MONTO DE COMPRA]]</f>
        <v>0</v>
      </c>
    </row>
    <row r="160" spans="1:15" x14ac:dyDescent="0.25">
      <c r="A160" s="9">
        <v>44592</v>
      </c>
      <c r="B160" s="4" t="s">
        <v>512</v>
      </c>
      <c r="C160" s="4"/>
      <c r="D160" s="1" t="s">
        <v>513</v>
      </c>
      <c r="E160" s="4" t="s">
        <v>514</v>
      </c>
      <c r="F160" s="1" t="s">
        <v>34</v>
      </c>
      <c r="G160" s="1" t="s">
        <v>515</v>
      </c>
      <c r="H160" s="2">
        <v>60000</v>
      </c>
      <c r="I160" s="2">
        <f>Tabla2[[#This Row],[TOTAL FACTURA]]*0.6</f>
        <v>36000</v>
      </c>
      <c r="J160" s="2">
        <f>Tabla2[[#This Row],[TOTAL FACTURA]]*0.4</f>
        <v>24000</v>
      </c>
      <c r="K160" s="1" t="s">
        <v>516</v>
      </c>
      <c r="L160" s="2">
        <v>360000</v>
      </c>
      <c r="M160" s="2">
        <v>490000</v>
      </c>
      <c r="N160" s="1" t="s">
        <v>25</v>
      </c>
      <c r="O160" s="15">
        <f>Tabla2[[#This Row],[MONTO DE LA VENTA]]-Tabla2[[#This Row],[MONTO DE COMPRA]]</f>
        <v>130000</v>
      </c>
    </row>
    <row r="161" spans="1:15" x14ac:dyDescent="0.25">
      <c r="A161" s="9">
        <v>44593</v>
      </c>
      <c r="B161" s="4" t="s">
        <v>517</v>
      </c>
      <c r="C161" s="4"/>
      <c r="D161" s="1" t="s">
        <v>410</v>
      </c>
      <c r="E161" s="4" t="s">
        <v>518</v>
      </c>
      <c r="F161" s="1" t="s">
        <v>408</v>
      </c>
      <c r="G161" s="1" t="s">
        <v>519</v>
      </c>
      <c r="H161" s="15">
        <v>35000</v>
      </c>
      <c r="I161" s="2">
        <f>Tabla2[[#This Row],[TOTAL FACTURA]]*0.6</f>
        <v>21000</v>
      </c>
      <c r="J161" s="2">
        <f>Tabla2[[#This Row],[TOTAL FACTURA]]*0.4</f>
        <v>14000</v>
      </c>
      <c r="K161" s="1" t="s">
        <v>520</v>
      </c>
      <c r="L161" s="2">
        <f>55000+500+5000</f>
        <v>60500</v>
      </c>
      <c r="M161" s="2">
        <f>76000+5000</f>
        <v>81000</v>
      </c>
      <c r="N161" s="1" t="s">
        <v>25</v>
      </c>
      <c r="O161" s="15">
        <f>Tabla2[[#This Row],[MONTO DE LA VENTA]]-Tabla2[[#This Row],[MONTO DE COMPRA]]</f>
        <v>20500</v>
      </c>
    </row>
    <row r="162" spans="1:15" x14ac:dyDescent="0.25">
      <c r="A162" s="9">
        <v>44593</v>
      </c>
      <c r="C162" s="4"/>
      <c r="D162" s="1" t="s">
        <v>352</v>
      </c>
      <c r="E162" s="4" t="s">
        <v>353</v>
      </c>
      <c r="F162" s="1" t="s">
        <v>19</v>
      </c>
      <c r="G162" s="1" t="s">
        <v>523</v>
      </c>
      <c r="H162" s="2">
        <v>30000</v>
      </c>
      <c r="I162" s="2">
        <f>Tabla2[[#This Row],[TOTAL FACTURA]]*0.6</f>
        <v>18000</v>
      </c>
      <c r="J162" s="2">
        <f>Tabla2[[#This Row],[TOTAL FACTURA]]*0.4</f>
        <v>12000</v>
      </c>
      <c r="K162" s="1" t="s">
        <v>524</v>
      </c>
      <c r="L162" s="2">
        <f>65000+20000</f>
        <v>85000</v>
      </c>
      <c r="M162" s="2">
        <v>180000</v>
      </c>
      <c r="N162" s="1" t="s">
        <v>25</v>
      </c>
      <c r="O162" s="15">
        <f>Tabla2[[#This Row],[MONTO DE LA VENTA]]-Tabla2[[#This Row],[MONTO DE COMPRA]]</f>
        <v>95000</v>
      </c>
    </row>
    <row r="163" spans="1:15" ht="20.25" customHeight="1" x14ac:dyDescent="0.25">
      <c r="A163" s="9">
        <v>44593</v>
      </c>
      <c r="C163" s="4"/>
      <c r="D163" s="1" t="s">
        <v>521</v>
      </c>
      <c r="E163" s="4" t="s">
        <v>522</v>
      </c>
      <c r="F163" s="1" t="s">
        <v>19</v>
      </c>
      <c r="G163" s="10" t="s">
        <v>525</v>
      </c>
      <c r="H163" s="15">
        <v>160000</v>
      </c>
      <c r="I163" s="15">
        <f>Tabla2[[#This Row],[TOTAL FACTURA]]*0.6</f>
        <v>96000</v>
      </c>
      <c r="J163" s="15">
        <f>Tabla2[[#This Row],[TOTAL FACTURA]]*0.4</f>
        <v>64000</v>
      </c>
      <c r="K163" s="10" t="s">
        <v>526</v>
      </c>
      <c r="L163" s="15">
        <f>13025+10000</f>
        <v>23025</v>
      </c>
      <c r="M163" s="15">
        <f>593000</f>
        <v>593000</v>
      </c>
      <c r="N163" s="1" t="s">
        <v>25</v>
      </c>
      <c r="O163" s="15">
        <f>Tabla2[[#This Row],[MONTO DE LA VENTA]]-Tabla2[[#This Row],[MONTO DE COMPRA]]</f>
        <v>569975</v>
      </c>
    </row>
    <row r="164" spans="1:15" x14ac:dyDescent="0.25">
      <c r="A164" s="9">
        <v>44594</v>
      </c>
      <c r="C164" s="4"/>
      <c r="D164" s="1" t="s">
        <v>43</v>
      </c>
      <c r="E164" s="4"/>
      <c r="F164" s="1" t="s">
        <v>18</v>
      </c>
      <c r="G164" s="1" t="s">
        <v>527</v>
      </c>
      <c r="H164" s="15">
        <v>120000</v>
      </c>
      <c r="I164" s="2">
        <f>Tabla2[[#This Row],[TOTAL FACTURA]]*0.6</f>
        <v>72000</v>
      </c>
      <c r="J164" s="2">
        <f>Tabla2[[#This Row],[TOTAL FACTURA]]*0.4</f>
        <v>48000</v>
      </c>
      <c r="L164" s="2"/>
      <c r="M164" s="2"/>
      <c r="N164" s="1" t="s">
        <v>25</v>
      </c>
      <c r="O164" s="15">
        <f>Tabla2[[#This Row],[MONTO DE LA VENTA]]-Tabla2[[#This Row],[MONTO DE COMPRA]]</f>
        <v>0</v>
      </c>
    </row>
    <row r="165" spans="1:15" x14ac:dyDescent="0.25">
      <c r="A165" s="9">
        <v>44594</v>
      </c>
      <c r="C165" s="4"/>
      <c r="D165" s="1" t="s">
        <v>84</v>
      </c>
      <c r="E165" s="4" t="s">
        <v>571</v>
      </c>
      <c r="F165" s="1" t="s">
        <v>408</v>
      </c>
      <c r="G165" s="1" t="s">
        <v>434</v>
      </c>
      <c r="H165" s="15">
        <v>45000</v>
      </c>
      <c r="I165" s="2">
        <v>45000</v>
      </c>
      <c r="J165" s="52">
        <f>Tabla2[[#This Row],[TOTAL FACTURA]]*0.4</f>
        <v>18000</v>
      </c>
      <c r="L165" s="2"/>
      <c r="M165" s="2"/>
      <c r="N165" s="1" t="s">
        <v>25</v>
      </c>
      <c r="O165" s="15">
        <f>Tabla2[[#This Row],[MONTO DE COMPRA]]-Tabla2[[#This Row],[MONTO DE LA VENTA]]</f>
        <v>0</v>
      </c>
    </row>
    <row r="166" spans="1:15" x14ac:dyDescent="0.25">
      <c r="A166" s="9">
        <v>44594</v>
      </c>
      <c r="C166" s="4"/>
      <c r="D166" s="1" t="s">
        <v>84</v>
      </c>
      <c r="E166" s="4" t="s">
        <v>571</v>
      </c>
      <c r="F166" s="1" t="s">
        <v>19</v>
      </c>
      <c r="G166" s="1" t="s">
        <v>434</v>
      </c>
      <c r="H166" s="15">
        <v>45000</v>
      </c>
      <c r="I166" s="2">
        <v>45000</v>
      </c>
      <c r="J166" s="52">
        <f>Tabla2[[#This Row],[TOTAL FACTURA]]*0.4</f>
        <v>18000</v>
      </c>
      <c r="L166" s="2"/>
      <c r="M166" s="2"/>
      <c r="N166" s="1" t="s">
        <v>25</v>
      </c>
      <c r="O166" s="15">
        <f>Tabla2[[#This Row],[MONTO DE COMPRA]]-Tabla2[[#This Row],[MONTO DE LA VENTA]]</f>
        <v>0</v>
      </c>
    </row>
    <row r="167" spans="1:15" x14ac:dyDescent="0.25">
      <c r="A167" s="9">
        <v>44594</v>
      </c>
      <c r="B167" s="4" t="s">
        <v>528</v>
      </c>
      <c r="C167" s="4"/>
      <c r="D167" s="1" t="s">
        <v>529</v>
      </c>
      <c r="E167" s="4" t="s">
        <v>530</v>
      </c>
      <c r="F167" s="1" t="s">
        <v>16</v>
      </c>
      <c r="G167" s="1" t="s">
        <v>531</v>
      </c>
      <c r="H167" s="15">
        <v>80000</v>
      </c>
      <c r="I167" s="2">
        <f>Tabla2[[#This Row],[TOTAL FACTURA]]*0.6</f>
        <v>48000</v>
      </c>
      <c r="J167" s="2">
        <f>Tabla2[[#This Row],[TOTAL FACTURA]]*0.4</f>
        <v>32000</v>
      </c>
      <c r="L167" s="2"/>
      <c r="M167" s="2"/>
      <c r="N167" s="1" t="s">
        <v>25</v>
      </c>
      <c r="O167" s="15">
        <f>Tabla2[[#This Row],[MONTO DE LA VENTA]]-Tabla2[[#This Row],[MONTO DE COMPRA]]</f>
        <v>0</v>
      </c>
    </row>
    <row r="168" spans="1:15" x14ac:dyDescent="0.25">
      <c r="A168" s="9">
        <v>44594</v>
      </c>
      <c r="B168" s="4" t="s">
        <v>532</v>
      </c>
      <c r="C168" s="4"/>
      <c r="D168" s="1" t="s">
        <v>356</v>
      </c>
      <c r="E168" s="4" t="s">
        <v>357</v>
      </c>
      <c r="F168" s="1" t="s">
        <v>10</v>
      </c>
      <c r="G168" s="1" t="s">
        <v>533</v>
      </c>
      <c r="H168" s="15">
        <v>220000</v>
      </c>
      <c r="I168" s="2">
        <f>Tabla2[[#This Row],[TOTAL FACTURA]]*0.6</f>
        <v>132000</v>
      </c>
      <c r="J168" s="2">
        <f>Tabla2[[#This Row],[TOTAL FACTURA]]*0.4</f>
        <v>88000</v>
      </c>
      <c r="K168" s="1" t="s">
        <v>534</v>
      </c>
      <c r="L168" s="2">
        <f>38000+9000</f>
        <v>47000</v>
      </c>
      <c r="M168" s="2">
        <v>67000</v>
      </c>
      <c r="N168" s="1" t="s">
        <v>25</v>
      </c>
      <c r="O168" s="15">
        <f>Tabla2[[#This Row],[MONTO DE LA VENTA]]-Tabla2[[#This Row],[MONTO DE COMPRA]]</f>
        <v>20000</v>
      </c>
    </row>
    <row r="169" spans="1:15" x14ac:dyDescent="0.25">
      <c r="A169" s="9">
        <v>44594</v>
      </c>
      <c r="B169" s="4" t="s">
        <v>535</v>
      </c>
      <c r="C169" s="4"/>
      <c r="D169" s="1" t="s">
        <v>466</v>
      </c>
      <c r="E169" s="4" t="s">
        <v>536</v>
      </c>
      <c r="F169" s="1" t="s">
        <v>408</v>
      </c>
      <c r="G169" s="1" t="s">
        <v>537</v>
      </c>
      <c r="H169" s="15">
        <v>50000</v>
      </c>
      <c r="I169" s="2">
        <f>Tabla2[[#This Row],[TOTAL FACTURA]]*0.6</f>
        <v>30000</v>
      </c>
      <c r="J169" s="2">
        <f>Tabla2[[#This Row],[TOTAL FACTURA]]*0.4</f>
        <v>20000</v>
      </c>
      <c r="K169" s="1" t="s">
        <v>538</v>
      </c>
      <c r="L169" s="2">
        <f>27000+9000+2500</f>
        <v>38500</v>
      </c>
      <c r="M169" s="2">
        <f>90000+20000</f>
        <v>110000</v>
      </c>
      <c r="N169" s="1" t="s">
        <v>25</v>
      </c>
      <c r="O169" s="15">
        <f>Tabla2[[#This Row],[MONTO DE LA VENTA]]-Tabla2[[#This Row],[MONTO DE COMPRA]]</f>
        <v>71500</v>
      </c>
    </row>
    <row r="170" spans="1:15" x14ac:dyDescent="0.25">
      <c r="A170" s="9">
        <v>44594</v>
      </c>
      <c r="B170" s="4" t="s">
        <v>539</v>
      </c>
      <c r="C170" s="4"/>
      <c r="D170" s="1" t="s">
        <v>540</v>
      </c>
      <c r="E170" s="4" t="s">
        <v>541</v>
      </c>
      <c r="F170" s="1" t="s">
        <v>19</v>
      </c>
      <c r="G170" s="1" t="s">
        <v>542</v>
      </c>
      <c r="H170" s="15">
        <v>100000</v>
      </c>
      <c r="I170" s="2">
        <f>Tabla2[[#This Row],[TOTAL FACTURA]]*0.6</f>
        <v>60000</v>
      </c>
      <c r="J170" s="2">
        <f>Tabla2[[#This Row],[TOTAL FACTURA]]*0.4</f>
        <v>40000</v>
      </c>
      <c r="K170" s="1" t="s">
        <v>543</v>
      </c>
      <c r="L170" s="2">
        <f>25000</f>
        <v>25000</v>
      </c>
      <c r="M170" s="2">
        <v>40000</v>
      </c>
      <c r="N170" s="1" t="s">
        <v>25</v>
      </c>
      <c r="O170" s="15">
        <f>Tabla2[[#This Row],[MONTO DE LA VENTA]]-Tabla2[[#This Row],[MONTO DE COMPRA]]</f>
        <v>15000</v>
      </c>
    </row>
    <row r="171" spans="1:15" x14ac:dyDescent="0.25">
      <c r="A171" s="9">
        <v>44594</v>
      </c>
      <c r="C171" s="4"/>
      <c r="E171" s="4" t="s">
        <v>574</v>
      </c>
      <c r="F171" s="1" t="s">
        <v>16</v>
      </c>
      <c r="G171" s="1" t="s">
        <v>250</v>
      </c>
      <c r="H171" s="15">
        <v>10000</v>
      </c>
      <c r="I171" s="2">
        <f>Tabla2[[#This Row],[TOTAL FACTURA]]*0.6</f>
        <v>6000</v>
      </c>
      <c r="J171" s="52">
        <f>Tabla2[[#This Row],[TOTAL FACTURA]]*0.4</f>
        <v>4000</v>
      </c>
      <c r="L171" s="2"/>
      <c r="M171" s="2"/>
      <c r="N171" s="1" t="s">
        <v>25</v>
      </c>
      <c r="O171" s="15">
        <f>Tabla2[[#This Row],[MONTO DE COMPRA]]-Tabla2[[#This Row],[MONTO DE LA VENTA]]</f>
        <v>0</v>
      </c>
    </row>
    <row r="172" spans="1:15" x14ac:dyDescent="0.25">
      <c r="A172" s="9">
        <v>44595</v>
      </c>
      <c r="C172" s="4"/>
      <c r="E172" s="4"/>
      <c r="F172" s="1" t="s">
        <v>408</v>
      </c>
      <c r="G172" s="1" t="s">
        <v>570</v>
      </c>
      <c r="H172" s="15">
        <v>30000</v>
      </c>
      <c r="I172" s="2">
        <f>Tabla2[[#This Row],[TOTAL FACTURA]]*0.6</f>
        <v>18000</v>
      </c>
      <c r="J172" s="52">
        <f>Tabla2[[#This Row],[TOTAL FACTURA]]*0.4</f>
        <v>12000</v>
      </c>
      <c r="L172" s="2"/>
      <c r="M172" s="2"/>
      <c r="N172" s="1" t="s">
        <v>25</v>
      </c>
      <c r="O172" s="15">
        <f>Tabla2[[#This Row],[MONTO DE COMPRA]]-Tabla2[[#This Row],[MONTO DE LA VENTA]]</f>
        <v>0</v>
      </c>
    </row>
    <row r="173" spans="1:15" x14ac:dyDescent="0.25">
      <c r="A173" s="9">
        <v>44595</v>
      </c>
      <c r="C173" s="4"/>
      <c r="E173" s="4"/>
      <c r="F173" s="1" t="s">
        <v>408</v>
      </c>
      <c r="G173" s="1" t="s">
        <v>572</v>
      </c>
      <c r="H173" s="15">
        <v>20000</v>
      </c>
      <c r="I173" s="2">
        <f>Tabla2[[#This Row],[TOTAL FACTURA]]*0.6</f>
        <v>12000</v>
      </c>
      <c r="J173" s="52">
        <f>Tabla2[[#This Row],[TOTAL FACTURA]]*0.4</f>
        <v>8000</v>
      </c>
      <c r="L173" s="2"/>
      <c r="M173" s="2"/>
      <c r="N173" s="1" t="s">
        <v>25</v>
      </c>
      <c r="O173" s="15">
        <f>Tabla2[[#This Row],[MONTO DE COMPRA]]-Tabla2[[#This Row],[MONTO DE LA VENTA]]</f>
        <v>0</v>
      </c>
    </row>
    <row r="174" spans="1:15" x14ac:dyDescent="0.25">
      <c r="A174" s="9">
        <v>44595</v>
      </c>
      <c r="C174" s="4"/>
      <c r="D174" s="1" t="s">
        <v>107</v>
      </c>
      <c r="E174" s="4" t="s">
        <v>573</v>
      </c>
      <c r="F174" s="1" t="s">
        <v>408</v>
      </c>
      <c r="G174" s="1" t="s">
        <v>437</v>
      </c>
      <c r="H174" s="15">
        <v>35000</v>
      </c>
      <c r="I174" s="2">
        <f>Tabla2[[#This Row],[TOTAL FACTURA]]*0.6</f>
        <v>21000</v>
      </c>
      <c r="J174" s="52">
        <f>Tabla2[[#This Row],[TOTAL FACTURA]]*0.4</f>
        <v>14000</v>
      </c>
      <c r="L174" s="2"/>
      <c r="M174" s="2"/>
      <c r="N174" s="1" t="s">
        <v>25</v>
      </c>
      <c r="O174" s="15">
        <f>Tabla2[[#This Row],[MONTO DE COMPRA]]-Tabla2[[#This Row],[MONTO DE LA VENTA]]</f>
        <v>0</v>
      </c>
    </row>
    <row r="175" spans="1:15" x14ac:dyDescent="0.25">
      <c r="A175" s="9">
        <v>44595</v>
      </c>
      <c r="B175" s="4" t="s">
        <v>544</v>
      </c>
      <c r="C175" s="4"/>
      <c r="D175" s="1" t="s">
        <v>545</v>
      </c>
      <c r="E175" s="4" t="s">
        <v>546</v>
      </c>
      <c r="F175" s="1" t="s">
        <v>16</v>
      </c>
      <c r="G175" s="1" t="s">
        <v>329</v>
      </c>
      <c r="H175" s="15">
        <v>50000</v>
      </c>
      <c r="I175" s="2">
        <f>Tabla2[[#This Row],[TOTAL FACTURA]]*0.6</f>
        <v>30000</v>
      </c>
      <c r="J175" s="2">
        <f>Tabla2[[#This Row],[TOTAL FACTURA]]*0.4</f>
        <v>20000</v>
      </c>
      <c r="L175" s="2"/>
      <c r="M175" s="2"/>
      <c r="N175" s="1" t="s">
        <v>25</v>
      </c>
      <c r="O175" s="15">
        <f>Tabla2[[#This Row],[MONTO DE LA VENTA]]-Tabla2[[#This Row],[MONTO DE COMPRA]]</f>
        <v>0</v>
      </c>
    </row>
    <row r="176" spans="1:15" ht="30" x14ac:dyDescent="0.25">
      <c r="A176" s="9">
        <v>44595</v>
      </c>
      <c r="B176" s="4" t="s">
        <v>547</v>
      </c>
      <c r="C176" s="4"/>
      <c r="D176" s="1" t="s">
        <v>548</v>
      </c>
      <c r="E176" s="4" t="s">
        <v>549</v>
      </c>
      <c r="F176" s="1" t="s">
        <v>19</v>
      </c>
      <c r="G176" s="10" t="s">
        <v>550</v>
      </c>
      <c r="H176" s="15">
        <v>50000</v>
      </c>
      <c r="I176" s="2">
        <f>Tabla2[[#This Row],[TOTAL FACTURA]]*0.6</f>
        <v>30000</v>
      </c>
      <c r="J176" s="2">
        <f>Tabla2[[#This Row],[TOTAL FACTURA]]*0.4</f>
        <v>20000</v>
      </c>
      <c r="K176" s="1" t="s">
        <v>551</v>
      </c>
      <c r="L176" s="2"/>
      <c r="M176" s="2">
        <v>5000</v>
      </c>
      <c r="N176" s="1" t="s">
        <v>25</v>
      </c>
      <c r="O176" s="15">
        <f>Tabla2[[#This Row],[MONTO DE LA VENTA]]-Tabla2[[#This Row],[MONTO DE COMPRA]]</f>
        <v>5000</v>
      </c>
    </row>
    <row r="177" spans="1:15" x14ac:dyDescent="0.25">
      <c r="A177" s="9">
        <v>44595</v>
      </c>
      <c r="C177" s="4"/>
      <c r="E177" s="4"/>
      <c r="F177" s="1" t="s">
        <v>16</v>
      </c>
      <c r="G177" s="1" t="s">
        <v>250</v>
      </c>
      <c r="H177" s="15">
        <v>10000</v>
      </c>
      <c r="I177" s="2">
        <f>Tabla2[[#This Row],[TOTAL FACTURA]]*0.6</f>
        <v>6000</v>
      </c>
      <c r="J177" s="52">
        <f>Tabla2[[#This Row],[TOTAL FACTURA]]*0.4</f>
        <v>4000</v>
      </c>
      <c r="L177" s="2"/>
      <c r="M177" s="2"/>
      <c r="N177" s="1" t="s">
        <v>25</v>
      </c>
      <c r="O177" s="15">
        <f>Tabla2[[#This Row],[MONTO DE COMPRA]]-Tabla2[[#This Row],[MONTO DE LA VENTA]]</f>
        <v>0</v>
      </c>
    </row>
    <row r="178" spans="1:15" x14ac:dyDescent="0.25">
      <c r="A178" s="9">
        <v>44595</v>
      </c>
      <c r="C178" s="4"/>
      <c r="D178" s="1" t="s">
        <v>540</v>
      </c>
      <c r="E178" s="4"/>
      <c r="F178" s="1" t="s">
        <v>19</v>
      </c>
      <c r="G178" s="1" t="s">
        <v>552</v>
      </c>
      <c r="H178" s="15">
        <v>20000</v>
      </c>
      <c r="I178" s="15">
        <v>20000</v>
      </c>
      <c r="J178" s="15">
        <f>Tabla2[[#This Row],[TOTAL FACTURA]]*0.4</f>
        <v>8000</v>
      </c>
      <c r="L178" s="15"/>
      <c r="M178" s="15"/>
      <c r="N178" s="1" t="s">
        <v>25</v>
      </c>
      <c r="O178" s="15">
        <f>Tabla2[[#This Row],[MONTO DE LA VENTA]]-Tabla2[[#This Row],[MONTO DE COMPRA]]</f>
        <v>0</v>
      </c>
    </row>
    <row r="179" spans="1:15" x14ac:dyDescent="0.25">
      <c r="A179" s="9">
        <v>44596</v>
      </c>
      <c r="C179" s="4"/>
      <c r="E179" s="4"/>
      <c r="F179" s="1" t="s">
        <v>30</v>
      </c>
      <c r="G179" s="1" t="s">
        <v>553</v>
      </c>
      <c r="H179" s="15">
        <v>15000</v>
      </c>
      <c r="I179" s="2">
        <f>Tabla2[[#This Row],[TOTAL FACTURA]]*0.6</f>
        <v>9000</v>
      </c>
      <c r="J179" s="2">
        <f>Tabla2[[#This Row],[TOTAL FACTURA]]*0.4</f>
        <v>6000</v>
      </c>
      <c r="L179" s="2"/>
      <c r="M179" s="2"/>
      <c r="N179" s="1" t="s">
        <v>25</v>
      </c>
      <c r="O179" s="15">
        <f>Tabla2[[#This Row],[MONTO DE LA VENTA]]-Tabla2[[#This Row],[MONTO DE COMPRA]]</f>
        <v>0</v>
      </c>
    </row>
    <row r="180" spans="1:15" x14ac:dyDescent="0.25">
      <c r="A180" s="9">
        <v>44596</v>
      </c>
      <c r="B180" s="4" t="s">
        <v>592</v>
      </c>
      <c r="C180" s="4"/>
      <c r="D180" s="1" t="s">
        <v>43</v>
      </c>
      <c r="E180" s="4" t="s">
        <v>554</v>
      </c>
      <c r="F180" s="1" t="s">
        <v>30</v>
      </c>
      <c r="G180" s="1" t="s">
        <v>555</v>
      </c>
      <c r="H180" s="15">
        <v>750000</v>
      </c>
      <c r="I180" s="2">
        <f>Tabla2[[#This Row],[TOTAL FACTURA]]*0.6</f>
        <v>450000</v>
      </c>
      <c r="J180" s="2">
        <f>Tabla2[[#This Row],[TOTAL FACTURA]]*0.4</f>
        <v>300000</v>
      </c>
      <c r="K180" s="1" t="s">
        <v>591</v>
      </c>
      <c r="L180" s="2">
        <f>112000+65000+5000+3000+4000</f>
        <v>189000</v>
      </c>
      <c r="M180" s="2">
        <v>262000</v>
      </c>
      <c r="N180" s="1" t="s">
        <v>25</v>
      </c>
      <c r="O180" s="15">
        <f>Tabla2[[#This Row],[MONTO DE LA VENTA]]-Tabla2[[#This Row],[MONTO DE COMPRA]]</f>
        <v>73000</v>
      </c>
    </row>
    <row r="181" spans="1:15" x14ac:dyDescent="0.25">
      <c r="A181" s="9">
        <v>44596</v>
      </c>
      <c r="C181" s="4"/>
      <c r="D181" s="1" t="s">
        <v>202</v>
      </c>
      <c r="E181" s="4" t="s">
        <v>125</v>
      </c>
      <c r="F181" s="1" t="s">
        <v>30</v>
      </c>
      <c r="G181" s="1" t="s">
        <v>556</v>
      </c>
      <c r="H181" s="15">
        <v>90000</v>
      </c>
      <c r="I181" s="2">
        <f>Tabla2[[#This Row],[TOTAL FACTURA]]*0.6</f>
        <v>54000</v>
      </c>
      <c r="J181" s="2">
        <f>Tabla2[[#This Row],[TOTAL FACTURA]]*0.4</f>
        <v>36000</v>
      </c>
      <c r="L181" s="2"/>
      <c r="M181" s="2"/>
      <c r="N181" s="1" t="s">
        <v>25</v>
      </c>
      <c r="O181" s="15">
        <f>Tabla2[[#This Row],[MONTO DE LA VENTA]]-Tabla2[[#This Row],[MONTO DE COMPRA]]</f>
        <v>0</v>
      </c>
    </row>
    <row r="182" spans="1:15" x14ac:dyDescent="0.25">
      <c r="A182" s="9">
        <v>44596</v>
      </c>
      <c r="C182" s="4"/>
      <c r="D182" s="1" t="s">
        <v>559</v>
      </c>
      <c r="E182" s="4" t="s">
        <v>558</v>
      </c>
      <c r="F182" s="1" t="s">
        <v>408</v>
      </c>
      <c r="G182" s="1" t="s">
        <v>557</v>
      </c>
      <c r="H182" s="15">
        <v>250000</v>
      </c>
      <c r="I182" s="2">
        <f>Tabla2[[#This Row],[TOTAL FACTURA]]*0.6</f>
        <v>150000</v>
      </c>
      <c r="J182" s="2">
        <f>Tabla2[[#This Row],[TOTAL FACTURA]]*0.4</f>
        <v>100000</v>
      </c>
      <c r="L182" s="2"/>
      <c r="M182" s="2"/>
      <c r="N182" s="1" t="s">
        <v>25</v>
      </c>
      <c r="O182" s="15">
        <f>Tabla2[[#This Row],[MONTO DE LA VENTA]]-Tabla2[[#This Row],[MONTO DE COMPRA]]</f>
        <v>0</v>
      </c>
    </row>
    <row r="183" spans="1:15" x14ac:dyDescent="0.25">
      <c r="A183" s="9">
        <v>44596</v>
      </c>
      <c r="C183" s="4"/>
      <c r="D183" s="1" t="s">
        <v>559</v>
      </c>
      <c r="E183" s="4" t="s">
        <v>558</v>
      </c>
      <c r="F183" s="1" t="s">
        <v>19</v>
      </c>
      <c r="G183" s="1" t="s">
        <v>560</v>
      </c>
      <c r="H183" s="15">
        <v>50000</v>
      </c>
      <c r="I183" s="2">
        <f>Tabla2[[#This Row],[TOTAL FACTURA]]*0.6</f>
        <v>30000</v>
      </c>
      <c r="J183" s="2">
        <f>Tabla2[[#This Row],[TOTAL FACTURA]]*0.4</f>
        <v>20000</v>
      </c>
      <c r="L183" s="2"/>
      <c r="M183" s="2"/>
      <c r="N183" s="1" t="s">
        <v>25</v>
      </c>
      <c r="O183" s="15">
        <f>Tabla2[[#This Row],[MONTO DE LA VENTA]]-Tabla2[[#This Row],[MONTO DE COMPRA]]</f>
        <v>0</v>
      </c>
    </row>
    <row r="184" spans="1:15" x14ac:dyDescent="0.25">
      <c r="A184" s="9">
        <v>44596</v>
      </c>
      <c r="C184" s="4"/>
      <c r="D184" s="1" t="s">
        <v>218</v>
      </c>
      <c r="E184" s="4" t="s">
        <v>561</v>
      </c>
      <c r="F184" s="1" t="s">
        <v>30</v>
      </c>
      <c r="G184" s="1" t="s">
        <v>562</v>
      </c>
      <c r="H184" s="15">
        <v>20000</v>
      </c>
      <c r="I184" s="2">
        <f>Tabla2[[#This Row],[TOTAL FACTURA]]*0.6</f>
        <v>12000</v>
      </c>
      <c r="J184" s="2">
        <f>Tabla2[[#This Row],[TOTAL FACTURA]]*0.4</f>
        <v>8000</v>
      </c>
      <c r="K184" s="1" t="s">
        <v>593</v>
      </c>
      <c r="L184" s="2">
        <v>100000</v>
      </c>
      <c r="M184" s="2">
        <v>110000</v>
      </c>
      <c r="N184" s="1" t="s">
        <v>25</v>
      </c>
      <c r="O184" s="15">
        <f>Tabla2[[#This Row],[MONTO DE LA VENTA]]-Tabla2[[#This Row],[MONTO DE COMPRA]]</f>
        <v>10000</v>
      </c>
    </row>
    <row r="185" spans="1:15" x14ac:dyDescent="0.25">
      <c r="A185" s="9">
        <v>44596</v>
      </c>
      <c r="C185" s="4"/>
      <c r="D185" s="1" t="s">
        <v>563</v>
      </c>
      <c r="E185" s="4" t="s">
        <v>564</v>
      </c>
      <c r="F185" s="1" t="s">
        <v>30</v>
      </c>
      <c r="G185" s="1" t="s">
        <v>565</v>
      </c>
      <c r="H185" s="15">
        <v>30000</v>
      </c>
      <c r="I185" s="2">
        <f>Tabla2[[#This Row],[TOTAL FACTURA]]*0.6</f>
        <v>18000</v>
      </c>
      <c r="J185" s="2">
        <f>Tabla2[[#This Row],[TOTAL FACTURA]]*0.4</f>
        <v>12000</v>
      </c>
      <c r="K185" s="1" t="s">
        <v>230</v>
      </c>
      <c r="L185" s="2">
        <v>16000</v>
      </c>
      <c r="M185" s="2">
        <f>38000</f>
        <v>38000</v>
      </c>
      <c r="N185" s="1" t="s">
        <v>25</v>
      </c>
      <c r="O185" s="15">
        <f>Tabla2[[#This Row],[MONTO DE LA VENTA]]-Tabla2[[#This Row],[MONTO DE COMPRA]]</f>
        <v>22000</v>
      </c>
    </row>
    <row r="186" spans="1:15" s="16" customFormat="1" x14ac:dyDescent="0.25">
      <c r="A186" s="9">
        <v>44596</v>
      </c>
      <c r="B186" s="21"/>
      <c r="C186" s="21"/>
      <c r="D186" s="16" t="s">
        <v>566</v>
      </c>
      <c r="E186" s="21" t="s">
        <v>567</v>
      </c>
      <c r="F186" s="16" t="s">
        <v>10</v>
      </c>
      <c r="G186" s="16" t="s">
        <v>568</v>
      </c>
      <c r="H186" s="17">
        <v>350000</v>
      </c>
      <c r="I186" s="2">
        <f>Tabla2[[#This Row],[TOTAL FACTURA]]*0.6</f>
        <v>210000</v>
      </c>
      <c r="J186" s="2">
        <f>Tabla2[[#This Row],[TOTAL FACTURA]]*0.4</f>
        <v>140000</v>
      </c>
      <c r="L186" s="2"/>
      <c r="M186" s="2"/>
      <c r="N186" s="18"/>
      <c r="O186" s="15">
        <f>Tabla2[[#This Row],[MONTO DE LA VENTA]]-Tabla2[[#This Row],[MONTO DE COMPRA]]</f>
        <v>0</v>
      </c>
    </row>
    <row r="187" spans="1:15" x14ac:dyDescent="0.25">
      <c r="A187" s="9">
        <v>44596</v>
      </c>
      <c r="C187" s="4"/>
      <c r="D187" s="1" t="s">
        <v>161</v>
      </c>
      <c r="E187" s="4" t="s">
        <v>162</v>
      </c>
      <c r="F187" s="1" t="s">
        <v>10</v>
      </c>
      <c r="G187" s="1" t="s">
        <v>569</v>
      </c>
      <c r="H187" s="2">
        <v>650000</v>
      </c>
      <c r="I187" s="2">
        <f>Tabla2[[#This Row],[TOTAL FACTURA]]*0.6</f>
        <v>390000</v>
      </c>
      <c r="J187" s="2">
        <f>Tabla2[[#This Row],[TOTAL FACTURA]]*0.4</f>
        <v>260000</v>
      </c>
      <c r="L187" s="2"/>
      <c r="M187" s="2"/>
      <c r="N187" s="11"/>
      <c r="O187" s="15">
        <f>Tabla2[[#This Row],[MONTO DE LA VENTA]]-Tabla2[[#This Row],[MONTO DE COMPRA]]</f>
        <v>0</v>
      </c>
    </row>
    <row r="188" spans="1:15" x14ac:dyDescent="0.25">
      <c r="G188" s="15"/>
      <c r="H188" s="15"/>
      <c r="I188" s="15"/>
      <c r="N188" s="15"/>
    </row>
    <row r="189" spans="1:15" x14ac:dyDescent="0.25">
      <c r="G189" s="15"/>
      <c r="H189" s="15"/>
      <c r="I189" s="15"/>
      <c r="J189" s="11"/>
      <c r="N189" s="15"/>
    </row>
    <row r="190" spans="1:15" x14ac:dyDescent="0.25">
      <c r="G190" s="15"/>
      <c r="H190" s="15"/>
      <c r="I190" s="15"/>
      <c r="N190" s="15"/>
    </row>
    <row r="191" spans="1:15" x14ac:dyDescent="0.25">
      <c r="F191" s="11"/>
      <c r="J191" s="11"/>
    </row>
    <row r="195" spans="10:10" x14ac:dyDescent="0.25">
      <c r="J195" s="11"/>
    </row>
    <row r="199" spans="10:10" x14ac:dyDescent="0.25">
      <c r="J199" s="1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DETALLES!$A$1:$A$2</xm:f>
          </x14:formula1>
          <xm:sqref>M188:M1048576 N1:N187</xm:sqref>
        </x14:dataValidation>
        <x14:dataValidation type="list" allowBlank="1" showInputMessage="1" showErrorMessage="1" xr:uid="{00000000-0002-0000-0000-000000000000}">
          <x14:formula1>
            <xm:f>AREA!$A$2:$A$12</xm:f>
          </x14:formula1>
          <xm:sqref>E188:E1048576 F97:F187 F3:F95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O264"/>
  <sheetViews>
    <sheetView topLeftCell="A180" workbookViewId="0">
      <selection activeCell="Q203" sqref="Q203"/>
    </sheetView>
  </sheetViews>
  <sheetFormatPr baseColWidth="10" defaultRowHeight="15" x14ac:dyDescent="0.25"/>
  <cols>
    <col min="1" max="1" width="15.5703125" style="9" customWidth="1"/>
    <col min="2" max="2" width="22.5703125" style="4" customWidth="1"/>
    <col min="3" max="3" width="27.7109375" style="1" customWidth="1"/>
    <col min="4" max="4" width="27.5703125" style="1" customWidth="1"/>
    <col min="5" max="5" width="24" style="1" customWidth="1"/>
    <col min="6" max="6" width="24.28515625" style="1" customWidth="1"/>
    <col min="7" max="7" width="77.28515625" style="2" customWidth="1"/>
    <col min="8" max="9" width="25.85546875" style="2" customWidth="1"/>
    <col min="10" max="10" width="23.5703125" style="1" customWidth="1"/>
    <col min="11" max="11" width="58.85546875" style="1" customWidth="1"/>
    <col min="12" max="12" width="23.7109375" style="1" customWidth="1"/>
    <col min="13" max="13" width="22.5703125" style="1" customWidth="1"/>
    <col min="14" max="14" width="25.140625" style="2" customWidth="1"/>
    <col min="15" max="15" width="36.5703125" style="1" customWidth="1"/>
    <col min="16" max="16384" width="11.42578125" style="1"/>
  </cols>
  <sheetData>
    <row r="1" spans="1:15" ht="16.5" customHeight="1" x14ac:dyDescent="0.25">
      <c r="A1" s="9" t="s">
        <v>0</v>
      </c>
      <c r="B1" s="4" t="s">
        <v>1</v>
      </c>
      <c r="C1" s="4" t="s">
        <v>597</v>
      </c>
      <c r="D1" s="1" t="s">
        <v>2</v>
      </c>
      <c r="E1" s="1" t="s">
        <v>3</v>
      </c>
      <c r="F1" s="1" t="s">
        <v>15</v>
      </c>
      <c r="G1" s="1" t="s">
        <v>4</v>
      </c>
      <c r="H1" s="15" t="s">
        <v>5</v>
      </c>
      <c r="I1" s="2" t="s">
        <v>6</v>
      </c>
      <c r="J1" s="2" t="s">
        <v>130</v>
      </c>
      <c r="K1" s="1" t="s">
        <v>7</v>
      </c>
      <c r="L1" s="1" t="s">
        <v>8</v>
      </c>
      <c r="M1" s="1" t="s">
        <v>38</v>
      </c>
      <c r="N1" s="1" t="s">
        <v>24</v>
      </c>
      <c r="O1" s="2" t="s">
        <v>131</v>
      </c>
    </row>
    <row r="2" spans="1:15" x14ac:dyDescent="0.25">
      <c r="A2" s="9">
        <v>44593</v>
      </c>
      <c r="B2" s="4" t="s">
        <v>517</v>
      </c>
      <c r="C2" s="4"/>
      <c r="D2" s="1" t="s">
        <v>410</v>
      </c>
      <c r="E2" s="4" t="s">
        <v>518</v>
      </c>
      <c r="F2" s="1" t="s">
        <v>408</v>
      </c>
      <c r="G2" s="1" t="s">
        <v>519</v>
      </c>
      <c r="H2" s="15">
        <v>35000</v>
      </c>
      <c r="I2" s="2">
        <f>Tabla24[[#This Row],[TOTAL FACTURA]]*0.6</f>
        <v>21000</v>
      </c>
      <c r="J2" s="2">
        <f>Tabla24[[#This Row],[TOTAL FACTURA]]*0.4</f>
        <v>14000</v>
      </c>
      <c r="K2" s="1" t="s">
        <v>520</v>
      </c>
      <c r="L2" s="2">
        <f>55000+500+5000</f>
        <v>60500</v>
      </c>
      <c r="M2" s="2">
        <f>76000+5000</f>
        <v>81000</v>
      </c>
      <c r="N2" s="11" t="s">
        <v>25</v>
      </c>
      <c r="O2" s="15">
        <f>Tabla24[[#This Row],[MONTO DE LA VENTA]]-Tabla24[[#This Row],[MONTO DE COMPRA]]</f>
        <v>20500</v>
      </c>
    </row>
    <row r="3" spans="1:15" x14ac:dyDescent="0.25">
      <c r="A3" s="9">
        <v>44593</v>
      </c>
      <c r="C3" s="4"/>
      <c r="D3" s="1" t="s">
        <v>352</v>
      </c>
      <c r="E3" s="4" t="s">
        <v>353</v>
      </c>
      <c r="F3" s="1" t="s">
        <v>19</v>
      </c>
      <c r="G3" s="1" t="s">
        <v>523</v>
      </c>
      <c r="H3" s="15">
        <v>30000</v>
      </c>
      <c r="I3" s="2">
        <f>Tabla24[[#This Row],[TOTAL FACTURA]]*0.6</f>
        <v>18000</v>
      </c>
      <c r="J3" s="2">
        <f>Tabla24[[#This Row],[TOTAL FACTURA]]*0.4</f>
        <v>12000</v>
      </c>
      <c r="K3" s="1" t="s">
        <v>524</v>
      </c>
      <c r="L3" s="2">
        <f>65000+20000</f>
        <v>85000</v>
      </c>
      <c r="M3" s="2">
        <v>180000</v>
      </c>
      <c r="N3" s="11" t="s">
        <v>25</v>
      </c>
      <c r="O3" s="15">
        <f>Tabla24[[#This Row],[MONTO DE LA VENTA]]-Tabla24[[#This Row],[MONTO DE COMPRA]]</f>
        <v>95000</v>
      </c>
    </row>
    <row r="4" spans="1:15" ht="20.25" customHeight="1" x14ac:dyDescent="0.25">
      <c r="A4" s="9">
        <v>44593</v>
      </c>
      <c r="C4" s="4"/>
      <c r="D4" s="1" t="s">
        <v>521</v>
      </c>
      <c r="E4" s="4" t="s">
        <v>522</v>
      </c>
      <c r="F4" s="1" t="s">
        <v>19</v>
      </c>
      <c r="G4" s="10" t="s">
        <v>525</v>
      </c>
      <c r="H4" s="15">
        <v>160000</v>
      </c>
      <c r="I4" s="15">
        <f>Tabla24[[#This Row],[TOTAL FACTURA]]*0.6</f>
        <v>96000</v>
      </c>
      <c r="J4" s="15">
        <f>Tabla24[[#This Row],[TOTAL FACTURA]]*0.4</f>
        <v>64000</v>
      </c>
      <c r="K4" s="10" t="s">
        <v>526</v>
      </c>
      <c r="L4" s="15">
        <f>13025+10000</f>
        <v>23025</v>
      </c>
      <c r="M4" s="15">
        <f>593000</f>
        <v>593000</v>
      </c>
      <c r="N4" s="11" t="s">
        <v>25</v>
      </c>
      <c r="O4" s="15">
        <f>Tabla24[[#This Row],[MONTO DE LA VENTA]]-Tabla24[[#This Row],[MONTO DE COMPRA]]</f>
        <v>569975</v>
      </c>
    </row>
    <row r="5" spans="1:15" x14ac:dyDescent="0.25">
      <c r="A5" s="9">
        <v>44594</v>
      </c>
      <c r="C5" s="4"/>
      <c r="D5" s="1" t="s">
        <v>43</v>
      </c>
      <c r="E5" s="4"/>
      <c r="F5" s="1" t="s">
        <v>18</v>
      </c>
      <c r="G5" s="1" t="s">
        <v>527</v>
      </c>
      <c r="H5" s="15">
        <v>120000</v>
      </c>
      <c r="I5" s="2">
        <f>Tabla24[[#This Row],[TOTAL FACTURA]]*0.6</f>
        <v>72000</v>
      </c>
      <c r="J5" s="2">
        <f>Tabla24[[#This Row],[TOTAL FACTURA]]*0.4</f>
        <v>48000</v>
      </c>
      <c r="L5" s="2"/>
      <c r="M5" s="2"/>
      <c r="N5" s="11" t="s">
        <v>25</v>
      </c>
      <c r="O5" s="15">
        <f>Tabla24[[#This Row],[MONTO DE LA VENTA]]-Tabla24[[#This Row],[MONTO DE COMPRA]]</f>
        <v>0</v>
      </c>
    </row>
    <row r="6" spans="1:15" x14ac:dyDescent="0.25">
      <c r="A6" s="9">
        <v>44594</v>
      </c>
      <c r="C6" s="4"/>
      <c r="D6" s="1" t="s">
        <v>84</v>
      </c>
      <c r="E6" s="4" t="s">
        <v>571</v>
      </c>
      <c r="F6" s="1" t="s">
        <v>408</v>
      </c>
      <c r="G6" s="1" t="s">
        <v>434</v>
      </c>
      <c r="H6" s="15">
        <v>45000</v>
      </c>
      <c r="I6" s="2">
        <v>45000</v>
      </c>
      <c r="J6" s="52">
        <f>Tabla24[[#This Row],[TOTAL FACTURA]]*0.4</f>
        <v>18000</v>
      </c>
      <c r="L6" s="2"/>
      <c r="M6" s="2"/>
      <c r="N6" s="11" t="s">
        <v>25</v>
      </c>
      <c r="O6" s="15">
        <f>Tabla24[[#This Row],[MONTO DE LA VENTA]]-Tabla24[[#This Row],[MONTO DE COMPRA]]</f>
        <v>0</v>
      </c>
    </row>
    <row r="7" spans="1:15" x14ac:dyDescent="0.25">
      <c r="A7" s="9">
        <v>44594</v>
      </c>
      <c r="C7" s="4"/>
      <c r="D7" s="1" t="s">
        <v>84</v>
      </c>
      <c r="E7" s="4" t="s">
        <v>571</v>
      </c>
      <c r="F7" s="1" t="s">
        <v>19</v>
      </c>
      <c r="G7" s="1" t="s">
        <v>434</v>
      </c>
      <c r="H7" s="15">
        <v>45000</v>
      </c>
      <c r="I7" s="2">
        <v>45000</v>
      </c>
      <c r="J7" s="52">
        <f>Tabla24[[#This Row],[TOTAL FACTURA]]*0.4</f>
        <v>18000</v>
      </c>
      <c r="L7" s="2"/>
      <c r="M7" s="2"/>
      <c r="N7" s="11" t="s">
        <v>25</v>
      </c>
      <c r="O7" s="15">
        <f>Tabla24[[#This Row],[MONTO DE LA VENTA]]-Tabla24[[#This Row],[MONTO DE COMPRA]]</f>
        <v>0</v>
      </c>
    </row>
    <row r="8" spans="1:15" x14ac:dyDescent="0.25">
      <c r="A8" s="9">
        <v>44594</v>
      </c>
      <c r="B8" s="4" t="s">
        <v>528</v>
      </c>
      <c r="C8" s="4"/>
      <c r="D8" s="1" t="s">
        <v>529</v>
      </c>
      <c r="E8" s="4" t="s">
        <v>530</v>
      </c>
      <c r="F8" s="1" t="s">
        <v>16</v>
      </c>
      <c r="G8" s="1" t="s">
        <v>531</v>
      </c>
      <c r="H8" s="15">
        <v>80000</v>
      </c>
      <c r="I8" s="2">
        <f>Tabla24[[#This Row],[TOTAL FACTURA]]*0.6</f>
        <v>48000</v>
      </c>
      <c r="J8" s="2">
        <f>Tabla24[[#This Row],[TOTAL FACTURA]]*0.4</f>
        <v>32000</v>
      </c>
      <c r="L8" s="2"/>
      <c r="M8" s="2"/>
      <c r="N8" s="11" t="s">
        <v>25</v>
      </c>
      <c r="O8" s="15">
        <f>Tabla24[[#This Row],[MONTO DE LA VENTA]]-Tabla24[[#This Row],[MONTO DE COMPRA]]</f>
        <v>0</v>
      </c>
    </row>
    <row r="9" spans="1:15" x14ac:dyDescent="0.25">
      <c r="A9" s="9">
        <v>44594</v>
      </c>
      <c r="B9" s="4" t="s">
        <v>532</v>
      </c>
      <c r="C9" s="4"/>
      <c r="D9" s="1" t="s">
        <v>356</v>
      </c>
      <c r="E9" s="4" t="s">
        <v>357</v>
      </c>
      <c r="F9" s="1" t="s">
        <v>10</v>
      </c>
      <c r="G9" s="1" t="s">
        <v>533</v>
      </c>
      <c r="H9" s="15">
        <v>220000</v>
      </c>
      <c r="I9" s="2">
        <f>Tabla24[[#This Row],[TOTAL FACTURA]]*0.6</f>
        <v>132000</v>
      </c>
      <c r="J9" s="2">
        <f>Tabla24[[#This Row],[TOTAL FACTURA]]*0.4</f>
        <v>88000</v>
      </c>
      <c r="K9" s="1" t="s">
        <v>534</v>
      </c>
      <c r="L9" s="2">
        <f>38000+9000</f>
        <v>47000</v>
      </c>
      <c r="M9" s="2">
        <v>67000</v>
      </c>
      <c r="N9" s="11" t="s">
        <v>25</v>
      </c>
      <c r="O9" s="15">
        <f>Tabla24[[#This Row],[MONTO DE LA VENTA]]-Tabla24[[#This Row],[MONTO DE COMPRA]]</f>
        <v>20000</v>
      </c>
    </row>
    <row r="10" spans="1:15" x14ac:dyDescent="0.25">
      <c r="A10" s="9">
        <v>44594</v>
      </c>
      <c r="B10" s="4" t="s">
        <v>535</v>
      </c>
      <c r="C10" s="4"/>
      <c r="D10" s="1" t="s">
        <v>466</v>
      </c>
      <c r="E10" s="4" t="s">
        <v>536</v>
      </c>
      <c r="F10" s="1" t="s">
        <v>408</v>
      </c>
      <c r="G10" s="1" t="s">
        <v>537</v>
      </c>
      <c r="H10" s="15">
        <v>50000</v>
      </c>
      <c r="I10" s="2">
        <f>Tabla24[[#This Row],[TOTAL FACTURA]]*0.6</f>
        <v>30000</v>
      </c>
      <c r="J10" s="2">
        <f>Tabla24[[#This Row],[TOTAL FACTURA]]*0.4</f>
        <v>20000</v>
      </c>
      <c r="K10" s="1" t="s">
        <v>538</v>
      </c>
      <c r="L10" s="2">
        <f>27000+9000+2500</f>
        <v>38500</v>
      </c>
      <c r="M10" s="2">
        <f>90000+20000</f>
        <v>110000</v>
      </c>
      <c r="N10" s="11" t="s">
        <v>25</v>
      </c>
      <c r="O10" s="15">
        <f>Tabla24[[#This Row],[MONTO DE LA VENTA]]-Tabla24[[#This Row],[MONTO DE COMPRA]]</f>
        <v>71500</v>
      </c>
    </row>
    <row r="11" spans="1:15" x14ac:dyDescent="0.25">
      <c r="A11" s="9">
        <v>44594</v>
      </c>
      <c r="B11" s="4" t="s">
        <v>539</v>
      </c>
      <c r="C11" s="4"/>
      <c r="D11" s="1" t="s">
        <v>540</v>
      </c>
      <c r="E11" s="4" t="s">
        <v>541</v>
      </c>
      <c r="F11" s="1" t="s">
        <v>19</v>
      </c>
      <c r="G11" s="1" t="s">
        <v>542</v>
      </c>
      <c r="H11" s="15">
        <v>100000</v>
      </c>
      <c r="I11" s="2">
        <f>Tabla24[[#This Row],[TOTAL FACTURA]]*0.6</f>
        <v>60000</v>
      </c>
      <c r="J11" s="2">
        <f>Tabla24[[#This Row],[TOTAL FACTURA]]*0.4</f>
        <v>40000</v>
      </c>
      <c r="K11" s="1" t="s">
        <v>543</v>
      </c>
      <c r="L11" s="2">
        <f>25000</f>
        <v>25000</v>
      </c>
      <c r="M11" s="2">
        <v>40000</v>
      </c>
      <c r="N11" s="11" t="s">
        <v>25</v>
      </c>
      <c r="O11" s="15">
        <f>Tabla24[[#This Row],[MONTO DE LA VENTA]]-Tabla24[[#This Row],[MONTO DE COMPRA]]</f>
        <v>15000</v>
      </c>
    </row>
    <row r="12" spans="1:15" x14ac:dyDescent="0.25">
      <c r="A12" s="9">
        <v>44594</v>
      </c>
      <c r="C12" s="4"/>
      <c r="E12" s="4" t="s">
        <v>574</v>
      </c>
      <c r="F12" s="1" t="s">
        <v>16</v>
      </c>
      <c r="G12" s="1" t="s">
        <v>250</v>
      </c>
      <c r="H12" s="15">
        <v>10000</v>
      </c>
      <c r="I12" s="2">
        <f>Tabla24[[#This Row],[TOTAL FACTURA]]*0.6</f>
        <v>6000</v>
      </c>
      <c r="J12" s="52">
        <f>Tabla24[[#This Row],[TOTAL FACTURA]]*0.4</f>
        <v>4000</v>
      </c>
      <c r="L12" s="2"/>
      <c r="M12" s="2"/>
      <c r="N12" s="11" t="s">
        <v>25</v>
      </c>
      <c r="O12" s="15">
        <f>Tabla24[[#This Row],[MONTO DE LA VENTA]]-Tabla24[[#This Row],[MONTO DE COMPRA]]</f>
        <v>0</v>
      </c>
    </row>
    <row r="13" spans="1:15" x14ac:dyDescent="0.25">
      <c r="A13" s="9">
        <v>44595</v>
      </c>
      <c r="C13" s="4"/>
      <c r="E13" s="4"/>
      <c r="F13" s="1" t="s">
        <v>408</v>
      </c>
      <c r="G13" s="1" t="s">
        <v>570</v>
      </c>
      <c r="H13" s="15">
        <v>30000</v>
      </c>
      <c r="I13" s="2">
        <f>Tabla24[[#This Row],[TOTAL FACTURA]]*0.6</f>
        <v>18000</v>
      </c>
      <c r="J13" s="52">
        <f>Tabla24[[#This Row],[TOTAL FACTURA]]*0.4</f>
        <v>12000</v>
      </c>
      <c r="L13" s="2"/>
      <c r="M13" s="2"/>
      <c r="N13" s="11" t="s">
        <v>25</v>
      </c>
      <c r="O13" s="15">
        <f>Tabla24[[#This Row],[MONTO DE LA VENTA]]-Tabla24[[#This Row],[MONTO DE COMPRA]]</f>
        <v>0</v>
      </c>
    </row>
    <row r="14" spans="1:15" x14ac:dyDescent="0.25">
      <c r="A14" s="9">
        <v>44595</v>
      </c>
      <c r="C14" s="4"/>
      <c r="E14" s="4"/>
      <c r="F14" s="1" t="s">
        <v>408</v>
      </c>
      <c r="G14" s="1" t="s">
        <v>572</v>
      </c>
      <c r="H14" s="15">
        <v>20000</v>
      </c>
      <c r="I14" s="2">
        <f>Tabla24[[#This Row],[TOTAL FACTURA]]*0.6</f>
        <v>12000</v>
      </c>
      <c r="J14" s="52">
        <f>Tabla24[[#This Row],[TOTAL FACTURA]]*0.4</f>
        <v>8000</v>
      </c>
      <c r="L14" s="2"/>
      <c r="M14" s="2"/>
      <c r="N14" s="11" t="s">
        <v>25</v>
      </c>
      <c r="O14" s="15">
        <f>Tabla24[[#This Row],[MONTO DE LA VENTA]]-Tabla24[[#This Row],[MONTO DE COMPRA]]</f>
        <v>0</v>
      </c>
    </row>
    <row r="15" spans="1:15" x14ac:dyDescent="0.25">
      <c r="A15" s="9">
        <v>44595</v>
      </c>
      <c r="C15" s="4"/>
      <c r="D15" s="1" t="s">
        <v>107</v>
      </c>
      <c r="E15" s="4" t="s">
        <v>573</v>
      </c>
      <c r="F15" s="1" t="s">
        <v>408</v>
      </c>
      <c r="G15" s="1" t="s">
        <v>437</v>
      </c>
      <c r="H15" s="15">
        <v>35000</v>
      </c>
      <c r="I15" s="2">
        <f>Tabla24[[#This Row],[TOTAL FACTURA]]*0.6</f>
        <v>21000</v>
      </c>
      <c r="J15" s="52">
        <f>Tabla24[[#This Row],[TOTAL FACTURA]]*0.4</f>
        <v>14000</v>
      </c>
      <c r="L15" s="2"/>
      <c r="M15" s="2"/>
      <c r="N15" s="11" t="s">
        <v>25</v>
      </c>
      <c r="O15" s="15">
        <f>Tabla24[[#This Row],[MONTO DE LA VENTA]]-Tabla24[[#This Row],[MONTO DE COMPRA]]</f>
        <v>0</v>
      </c>
    </row>
    <row r="16" spans="1:15" x14ac:dyDescent="0.25">
      <c r="A16" s="9">
        <v>44595</v>
      </c>
      <c r="B16" s="4" t="s">
        <v>544</v>
      </c>
      <c r="C16" s="4"/>
      <c r="D16" s="1" t="s">
        <v>545</v>
      </c>
      <c r="E16" s="4" t="s">
        <v>546</v>
      </c>
      <c r="F16" s="1" t="s">
        <v>16</v>
      </c>
      <c r="G16" s="1" t="s">
        <v>329</v>
      </c>
      <c r="H16" s="15">
        <v>50000</v>
      </c>
      <c r="I16" s="2">
        <f>Tabla24[[#This Row],[TOTAL FACTURA]]*0.6</f>
        <v>30000</v>
      </c>
      <c r="J16" s="2">
        <f>Tabla24[[#This Row],[TOTAL FACTURA]]*0.4</f>
        <v>20000</v>
      </c>
      <c r="L16" s="2"/>
      <c r="M16" s="2"/>
      <c r="N16" s="11" t="s">
        <v>25</v>
      </c>
      <c r="O16" s="15">
        <f>Tabla24[[#This Row],[MONTO DE LA VENTA]]-Tabla24[[#This Row],[MONTO DE COMPRA]]</f>
        <v>0</v>
      </c>
    </row>
    <row r="17" spans="1:15" ht="30" x14ac:dyDescent="0.25">
      <c r="A17" s="9">
        <v>44595</v>
      </c>
      <c r="B17" s="4" t="s">
        <v>547</v>
      </c>
      <c r="C17" s="4"/>
      <c r="D17" s="1" t="s">
        <v>548</v>
      </c>
      <c r="E17" s="4" t="s">
        <v>549</v>
      </c>
      <c r="F17" s="1" t="s">
        <v>19</v>
      </c>
      <c r="G17" s="10" t="s">
        <v>550</v>
      </c>
      <c r="H17" s="15">
        <v>50000</v>
      </c>
      <c r="I17" s="2">
        <f>Tabla24[[#This Row],[TOTAL FACTURA]]*0.6</f>
        <v>30000</v>
      </c>
      <c r="J17" s="2">
        <f>Tabla24[[#This Row],[TOTAL FACTURA]]*0.4</f>
        <v>20000</v>
      </c>
      <c r="K17" s="1" t="s">
        <v>551</v>
      </c>
      <c r="L17" s="2"/>
      <c r="M17" s="2">
        <v>5000</v>
      </c>
      <c r="N17" s="11" t="s">
        <v>25</v>
      </c>
      <c r="O17" s="15">
        <f>Tabla24[[#This Row],[MONTO DE LA VENTA]]-Tabla24[[#This Row],[MONTO DE COMPRA]]</f>
        <v>5000</v>
      </c>
    </row>
    <row r="18" spans="1:15" x14ac:dyDescent="0.25">
      <c r="A18" s="9">
        <v>44595</v>
      </c>
      <c r="C18" s="4"/>
      <c r="E18" s="4"/>
      <c r="F18" s="1" t="s">
        <v>16</v>
      </c>
      <c r="G18" s="1" t="s">
        <v>250</v>
      </c>
      <c r="H18" s="15">
        <v>10000</v>
      </c>
      <c r="I18" s="2">
        <f>Tabla24[[#This Row],[TOTAL FACTURA]]*0.6</f>
        <v>6000</v>
      </c>
      <c r="J18" s="52">
        <f>Tabla24[[#This Row],[TOTAL FACTURA]]*0.4</f>
        <v>4000</v>
      </c>
      <c r="L18" s="2"/>
      <c r="M18" s="2"/>
      <c r="N18" s="11" t="s">
        <v>25</v>
      </c>
      <c r="O18" s="15">
        <f>Tabla24[[#This Row],[MONTO DE LA VENTA]]-Tabla24[[#This Row],[MONTO DE COMPRA]]</f>
        <v>0</v>
      </c>
    </row>
    <row r="19" spans="1:15" x14ac:dyDescent="0.25">
      <c r="A19" s="9">
        <v>44595</v>
      </c>
      <c r="C19" s="4"/>
      <c r="D19" s="1" t="s">
        <v>540</v>
      </c>
      <c r="E19" s="4">
        <v>640000</v>
      </c>
      <c r="F19" s="1" t="s">
        <v>19</v>
      </c>
      <c r="G19" s="1" t="s">
        <v>552</v>
      </c>
      <c r="H19" s="15">
        <v>20000</v>
      </c>
      <c r="I19" s="15">
        <v>20000</v>
      </c>
      <c r="J19" s="15">
        <f>Tabla24[[#This Row],[TOTAL FACTURA]]*0.4</f>
        <v>8000</v>
      </c>
      <c r="L19" s="15"/>
      <c r="M19" s="15"/>
      <c r="N19" s="11" t="s">
        <v>25</v>
      </c>
      <c r="O19" s="15">
        <f>Tabla24[[#This Row],[MONTO DE LA VENTA]]-Tabla24[[#This Row],[MONTO DE COMPRA]]</f>
        <v>0</v>
      </c>
    </row>
    <row r="20" spans="1:15" x14ac:dyDescent="0.25">
      <c r="A20" s="9">
        <v>44596</v>
      </c>
      <c r="C20" s="4"/>
      <c r="E20" s="4"/>
      <c r="F20" s="1" t="s">
        <v>30</v>
      </c>
      <c r="G20" s="1" t="s">
        <v>553</v>
      </c>
      <c r="H20" s="15">
        <v>15000</v>
      </c>
      <c r="I20" s="2">
        <f>Tabla24[[#This Row],[TOTAL FACTURA]]*0.6</f>
        <v>9000</v>
      </c>
      <c r="J20" s="2">
        <f>Tabla24[[#This Row],[TOTAL FACTURA]]*0.4</f>
        <v>6000</v>
      </c>
      <c r="L20" s="2"/>
      <c r="M20" s="2"/>
      <c r="N20" s="11" t="s">
        <v>25</v>
      </c>
      <c r="O20" s="15">
        <f>Tabla24[[#This Row],[MONTO DE LA VENTA]]-Tabla24[[#This Row],[MONTO DE COMPRA]]</f>
        <v>0</v>
      </c>
    </row>
    <row r="21" spans="1:15" x14ac:dyDescent="0.25">
      <c r="A21" s="9">
        <v>44596</v>
      </c>
      <c r="B21" s="4" t="s">
        <v>592</v>
      </c>
      <c r="C21" s="4"/>
      <c r="D21" s="1" t="s">
        <v>43</v>
      </c>
      <c r="E21" s="4" t="s">
        <v>554</v>
      </c>
      <c r="F21" s="1" t="s">
        <v>30</v>
      </c>
      <c r="G21" s="1" t="s">
        <v>555</v>
      </c>
      <c r="H21" s="15">
        <v>750000</v>
      </c>
      <c r="I21" s="2">
        <f>Tabla24[[#This Row],[TOTAL FACTURA]]*0.6</f>
        <v>450000</v>
      </c>
      <c r="J21" s="2">
        <f>Tabla24[[#This Row],[TOTAL FACTURA]]*0.4</f>
        <v>300000</v>
      </c>
      <c r="K21" s="1" t="s">
        <v>591</v>
      </c>
      <c r="L21" s="2">
        <f>112000+65000+5000+3000+4000</f>
        <v>189000</v>
      </c>
      <c r="M21" s="2">
        <v>262000</v>
      </c>
      <c r="N21" s="11" t="s">
        <v>25</v>
      </c>
      <c r="O21" s="15">
        <f>Tabla24[[#This Row],[MONTO DE LA VENTA]]-Tabla24[[#This Row],[MONTO DE COMPRA]]</f>
        <v>73000</v>
      </c>
    </row>
    <row r="22" spans="1:15" x14ac:dyDescent="0.25">
      <c r="A22" s="9">
        <v>44596</v>
      </c>
      <c r="C22" s="4"/>
      <c r="D22" s="1" t="s">
        <v>202</v>
      </c>
      <c r="E22" s="4" t="s">
        <v>125</v>
      </c>
      <c r="F22" s="1" t="s">
        <v>30</v>
      </c>
      <c r="G22" s="1" t="s">
        <v>556</v>
      </c>
      <c r="H22" s="15">
        <v>90000</v>
      </c>
      <c r="I22" s="2">
        <f>Tabla24[[#This Row],[TOTAL FACTURA]]*0.6</f>
        <v>54000</v>
      </c>
      <c r="J22" s="2">
        <f>Tabla24[[#This Row],[TOTAL FACTURA]]*0.4</f>
        <v>36000</v>
      </c>
      <c r="L22" s="2"/>
      <c r="M22" s="2"/>
      <c r="N22" s="11" t="s">
        <v>25</v>
      </c>
      <c r="O22" s="15">
        <f>Tabla24[[#This Row],[MONTO DE LA VENTA]]-Tabla24[[#This Row],[MONTO DE COMPRA]]</f>
        <v>0</v>
      </c>
    </row>
    <row r="23" spans="1:15" x14ac:dyDescent="0.25">
      <c r="A23" s="9">
        <v>44596</v>
      </c>
      <c r="C23" s="4"/>
      <c r="D23" s="1" t="s">
        <v>559</v>
      </c>
      <c r="E23" s="4" t="s">
        <v>558</v>
      </c>
      <c r="F23" s="1" t="s">
        <v>408</v>
      </c>
      <c r="G23" s="1" t="s">
        <v>557</v>
      </c>
      <c r="H23" s="15">
        <v>250000</v>
      </c>
      <c r="I23" s="2">
        <f>Tabla24[[#This Row],[TOTAL FACTURA]]*0.6</f>
        <v>150000</v>
      </c>
      <c r="J23" s="2">
        <f>Tabla24[[#This Row],[TOTAL FACTURA]]*0.4</f>
        <v>100000</v>
      </c>
      <c r="L23" s="2"/>
      <c r="M23" s="2"/>
      <c r="N23" s="11" t="s">
        <v>25</v>
      </c>
      <c r="O23" s="15">
        <f>Tabla24[[#This Row],[MONTO DE LA VENTA]]-Tabla24[[#This Row],[MONTO DE COMPRA]]</f>
        <v>0</v>
      </c>
    </row>
    <row r="24" spans="1:15" x14ac:dyDescent="0.25">
      <c r="A24" s="9">
        <v>44596</v>
      </c>
      <c r="C24" s="4"/>
      <c r="D24" s="1" t="s">
        <v>559</v>
      </c>
      <c r="E24" s="4" t="s">
        <v>558</v>
      </c>
      <c r="F24" s="1" t="s">
        <v>19</v>
      </c>
      <c r="G24" s="1" t="s">
        <v>560</v>
      </c>
      <c r="H24" s="15">
        <v>50000</v>
      </c>
      <c r="I24" s="2">
        <f>Tabla24[[#This Row],[TOTAL FACTURA]]*0.6</f>
        <v>30000</v>
      </c>
      <c r="J24" s="2">
        <f>Tabla24[[#This Row],[TOTAL FACTURA]]*0.4</f>
        <v>20000</v>
      </c>
      <c r="L24" s="2"/>
      <c r="M24" s="2"/>
      <c r="N24" s="11" t="s">
        <v>25</v>
      </c>
      <c r="O24" s="15">
        <f>Tabla24[[#This Row],[MONTO DE LA VENTA]]-Tabla24[[#This Row],[MONTO DE COMPRA]]</f>
        <v>0</v>
      </c>
    </row>
    <row r="25" spans="1:15" x14ac:dyDescent="0.25">
      <c r="A25" s="9">
        <v>44596</v>
      </c>
      <c r="C25" s="4"/>
      <c r="D25" s="1" t="s">
        <v>218</v>
      </c>
      <c r="E25" s="4" t="s">
        <v>561</v>
      </c>
      <c r="F25" s="1" t="s">
        <v>30</v>
      </c>
      <c r="G25" s="1" t="s">
        <v>562</v>
      </c>
      <c r="H25" s="15">
        <v>20000</v>
      </c>
      <c r="I25" s="2">
        <f>Tabla24[[#This Row],[TOTAL FACTURA]]*0.6</f>
        <v>12000</v>
      </c>
      <c r="J25" s="2">
        <f>Tabla24[[#This Row],[TOTAL FACTURA]]*0.4</f>
        <v>8000</v>
      </c>
      <c r="K25" s="1" t="s">
        <v>593</v>
      </c>
      <c r="L25" s="2">
        <v>100000</v>
      </c>
      <c r="M25" s="2">
        <v>110000</v>
      </c>
      <c r="N25" s="11" t="s">
        <v>25</v>
      </c>
      <c r="O25" s="15">
        <f>Tabla24[[#This Row],[MONTO DE LA VENTA]]-Tabla24[[#This Row],[MONTO DE COMPRA]]</f>
        <v>10000</v>
      </c>
    </row>
    <row r="26" spans="1:15" x14ac:dyDescent="0.25">
      <c r="A26" s="9">
        <v>44596</v>
      </c>
      <c r="C26" s="4"/>
      <c r="D26" s="1" t="s">
        <v>563</v>
      </c>
      <c r="E26" s="4" t="s">
        <v>564</v>
      </c>
      <c r="F26" s="1" t="s">
        <v>30</v>
      </c>
      <c r="G26" s="1" t="s">
        <v>565</v>
      </c>
      <c r="H26" s="15">
        <v>30000</v>
      </c>
      <c r="I26" s="2">
        <f>Tabla24[[#This Row],[TOTAL FACTURA]]*0.6</f>
        <v>18000</v>
      </c>
      <c r="J26" s="2">
        <f>Tabla24[[#This Row],[TOTAL FACTURA]]*0.4</f>
        <v>12000</v>
      </c>
      <c r="K26" s="1" t="s">
        <v>230</v>
      </c>
      <c r="L26" s="2">
        <v>16000</v>
      </c>
      <c r="M26" s="2">
        <f>38000</f>
        <v>38000</v>
      </c>
      <c r="N26" s="11" t="s">
        <v>25</v>
      </c>
      <c r="O26" s="15">
        <f>Tabla24[[#This Row],[MONTO DE LA VENTA]]-Tabla24[[#This Row],[MONTO DE COMPRA]]</f>
        <v>22000</v>
      </c>
    </row>
    <row r="27" spans="1:15" s="16" customFormat="1" x14ac:dyDescent="0.25">
      <c r="A27" s="9">
        <v>44596</v>
      </c>
      <c r="B27" s="21"/>
      <c r="C27" s="21"/>
      <c r="D27" s="16" t="s">
        <v>566</v>
      </c>
      <c r="E27" s="21" t="s">
        <v>567</v>
      </c>
      <c r="F27" s="16" t="s">
        <v>10</v>
      </c>
      <c r="G27" s="16" t="s">
        <v>568</v>
      </c>
      <c r="H27" s="20">
        <v>350000</v>
      </c>
      <c r="I27" s="2">
        <f>Tabla24[[#This Row],[TOTAL FACTURA]]*0.6</f>
        <v>210000</v>
      </c>
      <c r="J27" s="2">
        <f>Tabla24[[#This Row],[TOTAL FACTURA]]*0.4</f>
        <v>140000</v>
      </c>
      <c r="L27" s="2"/>
      <c r="M27" s="2"/>
      <c r="N27" s="11" t="s">
        <v>25</v>
      </c>
      <c r="O27" s="15">
        <f>Tabla24[[#This Row],[MONTO DE LA VENTA]]-Tabla24[[#This Row],[MONTO DE COMPRA]]</f>
        <v>0</v>
      </c>
    </row>
    <row r="28" spans="1:15" x14ac:dyDescent="0.25">
      <c r="A28" s="9">
        <v>44596</v>
      </c>
      <c r="C28" s="4"/>
      <c r="D28" s="1" t="s">
        <v>161</v>
      </c>
      <c r="E28" s="4" t="s">
        <v>162</v>
      </c>
      <c r="F28" s="1" t="s">
        <v>10</v>
      </c>
      <c r="G28" s="1" t="s">
        <v>569</v>
      </c>
      <c r="H28" s="15">
        <v>650000</v>
      </c>
      <c r="I28" s="2">
        <f>Tabla24[[#This Row],[TOTAL FACTURA]]*0.6</f>
        <v>390000</v>
      </c>
      <c r="J28" s="2">
        <f>Tabla24[[#This Row],[TOTAL FACTURA]]*0.4</f>
        <v>260000</v>
      </c>
      <c r="L28" s="2"/>
      <c r="M28" s="2"/>
      <c r="N28" s="11" t="s">
        <v>25</v>
      </c>
      <c r="O28" s="15">
        <f>Tabla24[[#This Row],[MONTO DE LA VENTA]]-Tabla24[[#This Row],[MONTO DE COMPRA]]</f>
        <v>0</v>
      </c>
    </row>
    <row r="29" spans="1:15" x14ac:dyDescent="0.25">
      <c r="A29" s="9">
        <v>44597</v>
      </c>
      <c r="B29" s="4" t="s">
        <v>575</v>
      </c>
      <c r="C29" s="4"/>
      <c r="D29" s="1" t="s">
        <v>576</v>
      </c>
      <c r="E29" s="4" t="s">
        <v>577</v>
      </c>
      <c r="F29" s="1" t="s">
        <v>34</v>
      </c>
      <c r="G29" s="1" t="s">
        <v>211</v>
      </c>
      <c r="H29" s="15">
        <v>40000</v>
      </c>
      <c r="I29" s="2">
        <f>Tabla24[[#This Row],[TOTAL FACTURA]]*0.6</f>
        <v>24000</v>
      </c>
      <c r="J29" s="2">
        <f>Tabla24[[#This Row],[TOTAL FACTURA]]*0.4</f>
        <v>16000</v>
      </c>
      <c r="K29" s="1" t="s">
        <v>578</v>
      </c>
      <c r="L29" s="2">
        <v>109000</v>
      </c>
      <c r="M29" s="2">
        <v>160000</v>
      </c>
      <c r="N29" s="11" t="s">
        <v>25</v>
      </c>
      <c r="O29" s="15">
        <f>Tabla24[[#This Row],[MONTO DE LA VENTA]]-Tabla24[[#This Row],[MONTO DE COMPRA]]</f>
        <v>51000</v>
      </c>
    </row>
    <row r="30" spans="1:15" x14ac:dyDescent="0.25">
      <c r="A30" s="9">
        <v>44597</v>
      </c>
      <c r="B30" s="4" t="s">
        <v>579</v>
      </c>
      <c r="C30" s="4"/>
      <c r="D30" s="1" t="s">
        <v>580</v>
      </c>
      <c r="E30" s="4" t="s">
        <v>581</v>
      </c>
      <c r="F30" s="1" t="s">
        <v>10</v>
      </c>
      <c r="G30" s="1" t="s">
        <v>560</v>
      </c>
      <c r="H30" s="15">
        <v>30000</v>
      </c>
      <c r="I30" s="2">
        <f>Tabla24[[#This Row],[TOTAL FACTURA]]*0.6</f>
        <v>18000</v>
      </c>
      <c r="J30" s="2">
        <f>Tabla24[[#This Row],[TOTAL FACTURA]]*0.4</f>
        <v>12000</v>
      </c>
      <c r="K30" s="1" t="s">
        <v>582</v>
      </c>
      <c r="L30" s="2">
        <v>90000</v>
      </c>
      <c r="M30" s="2">
        <v>130000</v>
      </c>
      <c r="N30" s="11" t="s">
        <v>25</v>
      </c>
      <c r="O30" s="15">
        <f>Tabla24[[#This Row],[MONTO DE LA VENTA]]-Tabla24[[#This Row],[MONTO DE COMPRA]]</f>
        <v>40000</v>
      </c>
    </row>
    <row r="31" spans="1:15" x14ac:dyDescent="0.25">
      <c r="A31" s="9">
        <v>44597</v>
      </c>
      <c r="B31" s="4" t="s">
        <v>583</v>
      </c>
      <c r="C31" s="4"/>
      <c r="D31" s="1" t="s">
        <v>584</v>
      </c>
      <c r="E31" s="4" t="s">
        <v>585</v>
      </c>
      <c r="F31" s="1" t="s">
        <v>30</v>
      </c>
      <c r="G31" s="1" t="s">
        <v>586</v>
      </c>
      <c r="H31" s="15">
        <v>300000</v>
      </c>
      <c r="I31" s="2">
        <f>Tabla24[[#This Row],[TOTAL FACTURA]]*0.6</f>
        <v>180000</v>
      </c>
      <c r="J31" s="2">
        <f>Tabla24[[#This Row],[TOTAL FACTURA]]*0.4</f>
        <v>120000</v>
      </c>
      <c r="K31" s="1" t="s">
        <v>433</v>
      </c>
      <c r="L31" s="2">
        <v>1400000</v>
      </c>
      <c r="M31" s="2">
        <v>1600000</v>
      </c>
      <c r="N31" s="11" t="s">
        <v>25</v>
      </c>
      <c r="O31" s="15">
        <f>Tabla24[[#This Row],[MONTO DE LA VENTA]]-Tabla24[[#This Row],[MONTO DE COMPRA]]</f>
        <v>200000</v>
      </c>
    </row>
    <row r="32" spans="1:15" x14ac:dyDescent="0.25">
      <c r="A32" s="9">
        <v>44597</v>
      </c>
      <c r="B32" s="4" t="s">
        <v>587</v>
      </c>
      <c r="C32" s="4"/>
      <c r="D32" s="1" t="s">
        <v>548</v>
      </c>
      <c r="E32" s="4" t="s">
        <v>588</v>
      </c>
      <c r="F32" s="1" t="s">
        <v>19</v>
      </c>
      <c r="G32" s="1" t="s">
        <v>589</v>
      </c>
      <c r="H32" s="15">
        <v>80000</v>
      </c>
      <c r="I32" s="2">
        <f>Tabla24[[#This Row],[TOTAL FACTURA]]*0.6</f>
        <v>48000</v>
      </c>
      <c r="J32" s="2">
        <f>Tabla24[[#This Row],[TOTAL FACTURA]]*0.4</f>
        <v>32000</v>
      </c>
      <c r="K32" s="1" t="s">
        <v>590</v>
      </c>
      <c r="L32" s="2">
        <f>35000+120000</f>
        <v>155000</v>
      </c>
      <c r="M32" s="2">
        <v>230000</v>
      </c>
      <c r="N32" s="11" t="s">
        <v>25</v>
      </c>
      <c r="O32" s="15">
        <f>Tabla24[[#This Row],[MONTO DE LA VENTA]]-Tabla24[[#This Row],[MONTO DE COMPRA]]</f>
        <v>75000</v>
      </c>
    </row>
    <row r="33" spans="1:15" x14ac:dyDescent="0.25">
      <c r="A33" s="9">
        <v>44599</v>
      </c>
      <c r="B33" s="4" t="s">
        <v>596</v>
      </c>
      <c r="C33" s="4" t="s">
        <v>612</v>
      </c>
      <c r="D33" s="1" t="s">
        <v>88</v>
      </c>
      <c r="E33" s="4" t="s">
        <v>594</v>
      </c>
      <c r="F33" s="1" t="s">
        <v>603</v>
      </c>
      <c r="G33" s="1" t="s">
        <v>595</v>
      </c>
      <c r="H33" s="15">
        <v>80000</v>
      </c>
      <c r="I33" s="2">
        <f>Tabla24[[#This Row],[TOTAL FACTURA]]*0.6</f>
        <v>48000</v>
      </c>
      <c r="J33" s="2">
        <f>Tabla24[[#This Row],[TOTAL FACTURA]]*0.4</f>
        <v>32000</v>
      </c>
      <c r="L33" s="2"/>
      <c r="M33" s="2"/>
      <c r="N33" s="11" t="s">
        <v>25</v>
      </c>
      <c r="O33" s="15">
        <f>Tabla24[[#This Row],[MONTO DE LA VENTA]]-Tabla24[[#This Row],[MONTO DE COMPRA]]</f>
        <v>0</v>
      </c>
    </row>
    <row r="34" spans="1:15" x14ac:dyDescent="0.25">
      <c r="A34" s="9">
        <v>44599</v>
      </c>
      <c r="B34" s="4">
        <v>93</v>
      </c>
      <c r="C34" s="4" t="s">
        <v>598</v>
      </c>
      <c r="D34" s="1" t="s">
        <v>151</v>
      </c>
      <c r="E34" s="4" t="s">
        <v>152</v>
      </c>
      <c r="F34" s="1" t="s">
        <v>18</v>
      </c>
      <c r="G34" s="1" t="s">
        <v>599</v>
      </c>
      <c r="H34" s="15">
        <v>100000</v>
      </c>
      <c r="I34" s="2">
        <f>Tabla24[[#This Row],[TOTAL FACTURA]]*0.6</f>
        <v>60000</v>
      </c>
      <c r="J34" s="2">
        <f>Tabla24[[#This Row],[TOTAL FACTURA]]*0.4</f>
        <v>40000</v>
      </c>
      <c r="K34" s="1" t="s">
        <v>600</v>
      </c>
      <c r="L34" s="2"/>
      <c r="M34" s="2"/>
      <c r="N34" s="11" t="s">
        <v>25</v>
      </c>
      <c r="O34" s="15">
        <f>Tabla24[[#This Row],[MONTO DE LA VENTA]]-Tabla24[[#This Row],[MONTO DE COMPRA]]</f>
        <v>0</v>
      </c>
    </row>
    <row r="35" spans="1:15" x14ac:dyDescent="0.25">
      <c r="A35" s="9">
        <v>44599</v>
      </c>
      <c r="C35" s="4" t="s">
        <v>601</v>
      </c>
      <c r="D35" s="1" t="s">
        <v>200</v>
      </c>
      <c r="E35" s="4" t="s">
        <v>602</v>
      </c>
      <c r="F35" s="1" t="s">
        <v>603</v>
      </c>
      <c r="G35" s="1" t="s">
        <v>604</v>
      </c>
      <c r="H35" s="15">
        <v>30000</v>
      </c>
      <c r="I35" s="2">
        <f>Tabla24[[#This Row],[TOTAL FACTURA]]*0.6</f>
        <v>18000</v>
      </c>
      <c r="J35" s="2">
        <f>Tabla24[[#This Row],[TOTAL FACTURA]]*0.4</f>
        <v>12000</v>
      </c>
      <c r="L35" s="2"/>
      <c r="M35" s="2"/>
      <c r="N35" s="11" t="s">
        <v>25</v>
      </c>
      <c r="O35" s="15">
        <f>Tabla24[[#This Row],[MONTO DE LA VENTA]]-Tabla24[[#This Row],[MONTO DE COMPRA]]</f>
        <v>0</v>
      </c>
    </row>
    <row r="36" spans="1:15" x14ac:dyDescent="0.25">
      <c r="A36" s="9">
        <v>44599</v>
      </c>
      <c r="C36" s="4" t="s">
        <v>605</v>
      </c>
      <c r="D36" s="1" t="s">
        <v>529</v>
      </c>
      <c r="E36" s="4" t="s">
        <v>606</v>
      </c>
      <c r="F36" s="1" t="s">
        <v>19</v>
      </c>
      <c r="G36" s="1" t="s">
        <v>607</v>
      </c>
      <c r="H36" s="15">
        <v>40000</v>
      </c>
      <c r="I36" s="2">
        <f>Tabla24[[#This Row],[TOTAL FACTURA]]*0.6</f>
        <v>24000</v>
      </c>
      <c r="J36" s="2">
        <f>Tabla24[[#This Row],[TOTAL FACTURA]]*0.4</f>
        <v>16000</v>
      </c>
      <c r="K36" s="1" t="s">
        <v>608</v>
      </c>
      <c r="L36" s="2">
        <f>25000+2500+13000+5000</f>
        <v>45500</v>
      </c>
      <c r="M36" s="2">
        <v>20000</v>
      </c>
      <c r="N36" s="11" t="s">
        <v>25</v>
      </c>
      <c r="O36" s="15">
        <f>Tabla24[[#This Row],[MONTO DE LA VENTA]]-Tabla24[[#This Row],[MONTO DE COMPRA]]</f>
        <v>-25500</v>
      </c>
    </row>
    <row r="37" spans="1:15" x14ac:dyDescent="0.25">
      <c r="A37" s="9">
        <v>44599</v>
      </c>
      <c r="B37" s="4" t="s">
        <v>613</v>
      </c>
      <c r="C37" s="4" t="s">
        <v>609</v>
      </c>
      <c r="D37" s="1" t="s">
        <v>107</v>
      </c>
      <c r="E37" s="4" t="s">
        <v>573</v>
      </c>
      <c r="F37" s="1" t="s">
        <v>19</v>
      </c>
      <c r="G37" s="1" t="s">
        <v>610</v>
      </c>
      <c r="H37" s="15">
        <v>40000</v>
      </c>
      <c r="I37" s="2">
        <f>Tabla24[[#This Row],[TOTAL FACTURA]]*0.6</f>
        <v>24000</v>
      </c>
      <c r="J37" s="2">
        <f>Tabla24[[#This Row],[TOTAL FACTURA]]*0.4</f>
        <v>16000</v>
      </c>
      <c r="K37" s="1" t="s">
        <v>611</v>
      </c>
      <c r="L37" s="2">
        <f>5000+10000</f>
        <v>15000</v>
      </c>
      <c r="M37" s="2">
        <v>22000</v>
      </c>
      <c r="N37" s="11" t="s">
        <v>25</v>
      </c>
      <c r="O37" s="15">
        <f>Tabla24[[#This Row],[MONTO DE LA VENTA]]-Tabla24[[#This Row],[MONTO DE COMPRA]]</f>
        <v>7000</v>
      </c>
    </row>
    <row r="38" spans="1:15" x14ac:dyDescent="0.25">
      <c r="A38" s="9">
        <v>44599</v>
      </c>
      <c r="B38" s="4" t="s">
        <v>613</v>
      </c>
      <c r="C38" s="4" t="s">
        <v>609</v>
      </c>
      <c r="D38" s="1" t="s">
        <v>107</v>
      </c>
      <c r="E38" s="4" t="s">
        <v>573</v>
      </c>
      <c r="F38" s="1" t="s">
        <v>603</v>
      </c>
      <c r="G38" s="1" t="s">
        <v>308</v>
      </c>
      <c r="H38" s="15">
        <v>10000</v>
      </c>
      <c r="I38" s="2">
        <f>Tabla24[[#This Row],[TOTAL FACTURA]]*0.6</f>
        <v>6000</v>
      </c>
      <c r="J38" s="2">
        <f>Tabla24[[#This Row],[TOTAL FACTURA]]*0.4</f>
        <v>4000</v>
      </c>
      <c r="K38" s="1" t="s">
        <v>82</v>
      </c>
      <c r="L38" s="2">
        <v>1000</v>
      </c>
      <c r="M38" s="2">
        <v>2000</v>
      </c>
      <c r="N38" s="11" t="s">
        <v>25</v>
      </c>
      <c r="O38" s="15">
        <f>Tabla24[[#This Row],[MONTO DE LA VENTA]]-Tabla24[[#This Row],[MONTO DE COMPRA]]</f>
        <v>1000</v>
      </c>
    </row>
    <row r="39" spans="1:15" x14ac:dyDescent="0.25">
      <c r="A39" s="9">
        <v>44600</v>
      </c>
      <c r="B39" s="4" t="s">
        <v>614</v>
      </c>
      <c r="C39" s="4" t="s">
        <v>615</v>
      </c>
      <c r="D39" s="1" t="s">
        <v>385</v>
      </c>
      <c r="E39" s="4" t="s">
        <v>616</v>
      </c>
      <c r="F39" s="1" t="s">
        <v>30</v>
      </c>
      <c r="G39" s="1" t="s">
        <v>174</v>
      </c>
      <c r="H39" s="15">
        <v>60000</v>
      </c>
      <c r="I39" s="2">
        <f>Tabla24[[#This Row],[TOTAL FACTURA]]*0.6</f>
        <v>36000</v>
      </c>
      <c r="J39" s="2">
        <f>Tabla24[[#This Row],[TOTAL FACTURA]]*0.4</f>
        <v>24000</v>
      </c>
      <c r="L39" s="2"/>
      <c r="M39" s="2"/>
      <c r="N39" s="11" t="s">
        <v>25</v>
      </c>
      <c r="O39" s="15">
        <f>Tabla24[[#This Row],[MONTO DE LA VENTA]]-Tabla24[[#This Row],[MONTO DE COMPRA]]</f>
        <v>0</v>
      </c>
    </row>
    <row r="40" spans="1:15" x14ac:dyDescent="0.25">
      <c r="A40" s="9">
        <v>44600</v>
      </c>
      <c r="B40" s="4" t="s">
        <v>617</v>
      </c>
      <c r="C40" s="4" t="s">
        <v>618</v>
      </c>
      <c r="D40" s="1" t="s">
        <v>96</v>
      </c>
      <c r="E40" s="4" t="s">
        <v>619</v>
      </c>
      <c r="F40" s="1" t="s">
        <v>408</v>
      </c>
      <c r="G40" s="1" t="s">
        <v>620</v>
      </c>
      <c r="H40" s="15">
        <v>60000</v>
      </c>
      <c r="I40" s="2">
        <f>Tabla24[[#This Row],[TOTAL FACTURA]]*0.6</f>
        <v>36000</v>
      </c>
      <c r="J40" s="2">
        <f>Tabla24[[#This Row],[TOTAL FACTURA]]*0.4</f>
        <v>24000</v>
      </c>
      <c r="K40" s="1" t="s">
        <v>621</v>
      </c>
      <c r="L40" s="2">
        <f>125000+18000</f>
        <v>143000</v>
      </c>
      <c r="M40" s="2">
        <f>200000+28000</f>
        <v>228000</v>
      </c>
      <c r="N40" s="11" t="s">
        <v>25</v>
      </c>
      <c r="O40" s="15">
        <f>Tabla24[[#This Row],[MONTO DE LA VENTA]]-Tabla24[[#This Row],[MONTO DE COMPRA]]</f>
        <v>85000</v>
      </c>
    </row>
    <row r="41" spans="1:15" x14ac:dyDescent="0.25">
      <c r="A41" s="9">
        <v>44600</v>
      </c>
      <c r="B41" s="4" t="s">
        <v>622</v>
      </c>
      <c r="C41" s="4" t="s">
        <v>623</v>
      </c>
      <c r="D41" s="1" t="s">
        <v>624</v>
      </c>
      <c r="E41" s="4" t="s">
        <v>628</v>
      </c>
      <c r="F41" s="1" t="s">
        <v>30</v>
      </c>
      <c r="G41" s="1" t="s">
        <v>629</v>
      </c>
      <c r="H41" s="15">
        <v>30000</v>
      </c>
      <c r="I41" s="2">
        <f>Tabla24[[#This Row],[TOTAL FACTURA]]*0.6</f>
        <v>18000</v>
      </c>
      <c r="J41" s="2">
        <f>Tabla24[[#This Row],[TOTAL FACTURA]]*0.4</f>
        <v>12000</v>
      </c>
      <c r="L41" s="2"/>
      <c r="M41" s="2"/>
      <c r="N41" s="11" t="s">
        <v>25</v>
      </c>
      <c r="O41" s="15">
        <f>Tabla24[[#This Row],[MONTO DE LA VENTA]]-Tabla24[[#This Row],[MONTO DE COMPRA]]</f>
        <v>0</v>
      </c>
    </row>
    <row r="42" spans="1:15" x14ac:dyDescent="0.25">
      <c r="A42" s="9">
        <v>44600</v>
      </c>
      <c r="B42" s="4" t="s">
        <v>625</v>
      </c>
      <c r="C42" s="4" t="s">
        <v>626</v>
      </c>
      <c r="D42" s="1" t="s">
        <v>627</v>
      </c>
      <c r="E42" s="4" t="s">
        <v>630</v>
      </c>
      <c r="F42" s="1" t="s">
        <v>408</v>
      </c>
      <c r="G42" s="1" t="s">
        <v>631</v>
      </c>
      <c r="H42" s="15">
        <v>600000</v>
      </c>
      <c r="I42" s="15">
        <f>Tabla24[[#This Row],[TOTAL FACTURA]]*0.6</f>
        <v>360000</v>
      </c>
      <c r="J42" s="15">
        <f>Tabla24[[#This Row],[TOTAL FACTURA]]*0.4</f>
        <v>240000</v>
      </c>
      <c r="K42" s="15" t="s">
        <v>632</v>
      </c>
      <c r="L42" s="15">
        <v>117000</v>
      </c>
      <c r="M42" s="15">
        <f>120000+70000</f>
        <v>190000</v>
      </c>
      <c r="N42" s="11" t="s">
        <v>25</v>
      </c>
      <c r="O42" s="15">
        <f>Tabla24[[#This Row],[MONTO DE LA VENTA]]-Tabla24[[#This Row],[MONTO DE COMPRA]]</f>
        <v>73000</v>
      </c>
    </row>
    <row r="43" spans="1:15" x14ac:dyDescent="0.25">
      <c r="A43" s="9">
        <v>44600</v>
      </c>
      <c r="C43" s="4"/>
      <c r="D43" s="1" t="s">
        <v>634</v>
      </c>
      <c r="E43" s="4" t="s">
        <v>633</v>
      </c>
      <c r="F43" s="1" t="s">
        <v>19</v>
      </c>
      <c r="G43" s="1" t="s">
        <v>21</v>
      </c>
      <c r="H43" s="15">
        <v>10000</v>
      </c>
      <c r="I43" s="2">
        <f>Tabla24[[#This Row],[TOTAL FACTURA]]*0.6</f>
        <v>6000</v>
      </c>
      <c r="J43" s="2">
        <f>Tabla24[[#This Row],[TOTAL FACTURA]]*0.4</f>
        <v>4000</v>
      </c>
      <c r="L43" s="2"/>
      <c r="M43" s="2"/>
      <c r="N43" s="11" t="s">
        <v>25</v>
      </c>
      <c r="O43" s="15">
        <f>Tabla24[[#This Row],[MONTO DE LA VENTA]]-Tabla24[[#This Row],[MONTO DE COMPRA]]</f>
        <v>0</v>
      </c>
    </row>
    <row r="44" spans="1:15" x14ac:dyDescent="0.25">
      <c r="A44" s="9">
        <v>44601</v>
      </c>
      <c r="B44" s="4" t="s">
        <v>635</v>
      </c>
      <c r="C44" s="4" t="s">
        <v>636</v>
      </c>
      <c r="D44" s="1" t="s">
        <v>637</v>
      </c>
      <c r="E44" s="4" t="s">
        <v>638</v>
      </c>
      <c r="F44" s="1" t="s">
        <v>30</v>
      </c>
      <c r="G44" s="1" t="s">
        <v>639</v>
      </c>
      <c r="H44" s="15">
        <v>400000</v>
      </c>
      <c r="I44" s="2">
        <f>Tabla24[[#This Row],[TOTAL FACTURA]]*0.6</f>
        <v>240000</v>
      </c>
      <c r="J44" s="2">
        <f>Tabla24[[#This Row],[TOTAL FACTURA]]*0.4</f>
        <v>160000</v>
      </c>
      <c r="K44" s="1" t="s">
        <v>640</v>
      </c>
      <c r="L44" s="2"/>
      <c r="M44" s="2"/>
      <c r="N44" s="11" t="s">
        <v>25</v>
      </c>
      <c r="O44" s="15">
        <f>Tabla24[[#This Row],[MONTO DE LA VENTA]]-Tabla24[[#This Row],[MONTO DE COMPRA]]</f>
        <v>0</v>
      </c>
    </row>
    <row r="45" spans="1:15" x14ac:dyDescent="0.25">
      <c r="A45" s="9">
        <v>44601</v>
      </c>
      <c r="B45" s="4" t="s">
        <v>641</v>
      </c>
      <c r="C45" s="4" t="s">
        <v>642</v>
      </c>
      <c r="D45" s="1" t="s">
        <v>112</v>
      </c>
      <c r="E45" s="4" t="s">
        <v>643</v>
      </c>
      <c r="F45" s="1" t="s">
        <v>408</v>
      </c>
      <c r="G45" s="1" t="s">
        <v>644</v>
      </c>
      <c r="H45" s="15">
        <v>100000</v>
      </c>
      <c r="I45" s="2">
        <f>Tabla24[[#This Row],[TOTAL FACTURA]]*0.6+30000</f>
        <v>90000</v>
      </c>
      <c r="J45" s="2">
        <f>Tabla24[[#This Row],[TOTAL FACTURA]]*0.4</f>
        <v>40000</v>
      </c>
      <c r="L45" s="2"/>
      <c r="M45" s="2"/>
      <c r="N45" s="11" t="s">
        <v>25</v>
      </c>
      <c r="O45" s="15">
        <f>Tabla24[[#This Row],[MONTO DE LA VENTA]]-Tabla24[[#This Row],[MONTO DE COMPRA]]</f>
        <v>0</v>
      </c>
    </row>
    <row r="46" spans="1:15" x14ac:dyDescent="0.25">
      <c r="A46" s="9">
        <v>44602</v>
      </c>
      <c r="B46" s="4" t="s">
        <v>645</v>
      </c>
      <c r="C46" s="4" t="s">
        <v>646</v>
      </c>
      <c r="D46" s="1" t="s">
        <v>647</v>
      </c>
      <c r="E46" s="4" t="s">
        <v>648</v>
      </c>
      <c r="F46" s="1" t="s">
        <v>408</v>
      </c>
      <c r="G46" s="1" t="s">
        <v>649</v>
      </c>
      <c r="H46" s="15">
        <v>340000</v>
      </c>
      <c r="I46" s="15">
        <f>Tabla24[[#This Row],[TOTAL FACTURA]]*0.6</f>
        <v>204000</v>
      </c>
      <c r="J46" s="15">
        <f>Tabla24[[#This Row],[TOTAL FACTURA]]*0.4</f>
        <v>136000</v>
      </c>
      <c r="K46" s="1" t="s">
        <v>671</v>
      </c>
      <c r="L46" s="15"/>
      <c r="M46" s="15"/>
      <c r="N46" s="11" t="s">
        <v>25</v>
      </c>
      <c r="O46" s="15">
        <f>Tabla24[[#This Row],[MONTO DE LA VENTA]]-Tabla24[[#This Row],[MONTO DE COMPRA]]</f>
        <v>0</v>
      </c>
    </row>
    <row r="47" spans="1:15" x14ac:dyDescent="0.25">
      <c r="A47" s="9">
        <v>44602</v>
      </c>
      <c r="C47" s="54"/>
      <c r="D47" s="1" t="s">
        <v>103</v>
      </c>
      <c r="E47" s="4"/>
      <c r="F47" s="1" t="s">
        <v>30</v>
      </c>
      <c r="G47" s="1" t="s">
        <v>673</v>
      </c>
      <c r="H47" s="15">
        <v>20000</v>
      </c>
      <c r="I47" s="15">
        <f>Tabla24[[#This Row],[TOTAL FACTURA]]*0.6</f>
        <v>12000</v>
      </c>
      <c r="J47" s="55">
        <f>Tabla24[[#This Row],[TOTAL FACTURA]]*0.4</f>
        <v>8000</v>
      </c>
      <c r="L47" s="15"/>
      <c r="M47" s="15"/>
      <c r="N47" s="11" t="s">
        <v>25</v>
      </c>
      <c r="O47" s="15">
        <f>Tabla24[[#This Row],[MONTO DE LA VENTA]]-Tabla24[[#This Row],[MONTO DE COMPRA]]</f>
        <v>0</v>
      </c>
    </row>
    <row r="48" spans="1:15" x14ac:dyDescent="0.25">
      <c r="A48" s="9">
        <v>44602</v>
      </c>
      <c r="C48" s="4" t="s">
        <v>650</v>
      </c>
      <c r="D48" s="1" t="s">
        <v>59</v>
      </c>
      <c r="E48" s="4" t="s">
        <v>273</v>
      </c>
      <c r="F48" s="1" t="s">
        <v>19</v>
      </c>
      <c r="G48" s="1" t="s">
        <v>21</v>
      </c>
      <c r="H48" s="15">
        <v>10000</v>
      </c>
      <c r="I48" s="2">
        <f>Tabla24[[#This Row],[TOTAL FACTURA]]*0.6</f>
        <v>6000</v>
      </c>
      <c r="J48" s="2">
        <f>Tabla24[[#This Row],[TOTAL FACTURA]]*0.4</f>
        <v>4000</v>
      </c>
      <c r="L48" s="2"/>
      <c r="M48" s="2"/>
      <c r="N48" s="11" t="s">
        <v>25</v>
      </c>
      <c r="O48" s="15">
        <f>Tabla24[[#This Row],[MONTO DE LA VENTA]]-Tabla24[[#This Row],[MONTO DE COMPRA]]</f>
        <v>0</v>
      </c>
    </row>
    <row r="49" spans="1:15" x14ac:dyDescent="0.25">
      <c r="A49" s="9">
        <v>44603</v>
      </c>
      <c r="B49" s="4" t="s">
        <v>651</v>
      </c>
      <c r="C49" s="4" t="s">
        <v>652</v>
      </c>
      <c r="D49" s="1" t="s">
        <v>240</v>
      </c>
      <c r="E49" s="4" t="s">
        <v>653</v>
      </c>
      <c r="F49" s="1" t="s">
        <v>408</v>
      </c>
      <c r="G49" s="1" t="s">
        <v>654</v>
      </c>
      <c r="H49" s="15">
        <v>40000</v>
      </c>
      <c r="I49" s="2">
        <v>40000</v>
      </c>
      <c r="J49" s="2" t="s">
        <v>655</v>
      </c>
      <c r="L49" s="2"/>
      <c r="M49" s="2"/>
      <c r="N49" s="11" t="s">
        <v>25</v>
      </c>
      <c r="O49" s="15">
        <f>Tabla24[[#This Row],[MONTO DE LA VENTA]]-Tabla24[[#This Row],[MONTO DE COMPRA]]</f>
        <v>0</v>
      </c>
    </row>
    <row r="50" spans="1:15" x14ac:dyDescent="0.25">
      <c r="A50" s="9">
        <v>44603</v>
      </c>
      <c r="B50" s="4" t="s">
        <v>656</v>
      </c>
      <c r="C50" s="4" t="s">
        <v>657</v>
      </c>
      <c r="D50" s="1" t="s">
        <v>412</v>
      </c>
      <c r="E50" s="4" t="s">
        <v>658</v>
      </c>
      <c r="F50" s="1" t="s">
        <v>19</v>
      </c>
      <c r="G50" s="1" t="s">
        <v>659</v>
      </c>
      <c r="H50" s="15">
        <v>100000</v>
      </c>
      <c r="I50" s="2">
        <f>Tabla24[[#This Row],[TOTAL FACTURA]]*0.6</f>
        <v>60000</v>
      </c>
      <c r="J50" s="2">
        <f>Tabla24[[#This Row],[TOTAL FACTURA]]*0.4</f>
        <v>40000</v>
      </c>
      <c r="K50" s="1" t="s">
        <v>660</v>
      </c>
      <c r="L50" s="2">
        <f>148000+12000</f>
        <v>160000</v>
      </c>
      <c r="M50" s="2">
        <v>232000</v>
      </c>
      <c r="N50" s="11" t="s">
        <v>25</v>
      </c>
      <c r="O50" s="15">
        <f>Tabla24[[#This Row],[MONTO DE LA VENTA]]-Tabla24[[#This Row],[MONTO DE COMPRA]]</f>
        <v>72000</v>
      </c>
    </row>
    <row r="51" spans="1:15" x14ac:dyDescent="0.25">
      <c r="A51" s="9">
        <v>44603</v>
      </c>
      <c r="B51" s="4" t="s">
        <v>661</v>
      </c>
      <c r="C51" s="4" t="s">
        <v>662</v>
      </c>
      <c r="D51" s="1" t="s">
        <v>54</v>
      </c>
      <c r="E51" s="4" t="s">
        <v>663</v>
      </c>
      <c r="F51" s="1" t="s">
        <v>603</v>
      </c>
      <c r="G51" s="1" t="s">
        <v>664</v>
      </c>
      <c r="H51" s="15">
        <v>50000</v>
      </c>
      <c r="I51" s="2">
        <f>Tabla24[[#This Row],[TOTAL FACTURA]]*0.6</f>
        <v>30000</v>
      </c>
      <c r="J51" s="2">
        <f>Tabla24[[#This Row],[TOTAL FACTURA]]*0.4</f>
        <v>20000</v>
      </c>
      <c r="L51" s="2"/>
      <c r="M51" s="2"/>
      <c r="N51" s="11" t="s">
        <v>25</v>
      </c>
      <c r="O51" s="15">
        <f>Tabla24[[#This Row],[MONTO DE LA VENTA]]-Tabla24[[#This Row],[MONTO DE COMPRA]]</f>
        <v>0</v>
      </c>
    </row>
    <row r="52" spans="1:15" x14ac:dyDescent="0.25">
      <c r="A52" s="9">
        <v>44603</v>
      </c>
      <c r="C52" s="4"/>
      <c r="D52" s="1" t="s">
        <v>665</v>
      </c>
      <c r="E52" s="4" t="s">
        <v>666</v>
      </c>
      <c r="F52" s="1" t="s">
        <v>19</v>
      </c>
      <c r="G52" s="1" t="s">
        <v>667</v>
      </c>
      <c r="H52" s="15">
        <v>80000</v>
      </c>
      <c r="I52" s="2">
        <f>Tabla24[[#This Row],[TOTAL FACTURA]]*0.6</f>
        <v>48000</v>
      </c>
      <c r="J52" s="2">
        <f>Tabla24[[#This Row],[TOTAL FACTURA]]*0.4</f>
        <v>32000</v>
      </c>
      <c r="L52" s="2"/>
      <c r="M52" s="2"/>
      <c r="N52" s="11" t="s">
        <v>25</v>
      </c>
      <c r="O52" s="15">
        <f>Tabla24[[#This Row],[MONTO DE LA VENTA]]-Tabla24[[#This Row],[MONTO DE COMPRA]]</f>
        <v>0</v>
      </c>
    </row>
    <row r="53" spans="1:15" x14ac:dyDescent="0.25">
      <c r="A53" s="9">
        <v>44603</v>
      </c>
      <c r="C53" s="4"/>
      <c r="D53" s="1" t="s">
        <v>665</v>
      </c>
      <c r="E53" s="4" t="s">
        <v>666</v>
      </c>
      <c r="F53" s="1" t="s">
        <v>10</v>
      </c>
      <c r="G53" s="1" t="s">
        <v>668</v>
      </c>
      <c r="H53" s="15">
        <v>190000</v>
      </c>
      <c r="I53" s="2">
        <f>Tabla24[[#This Row],[TOTAL FACTURA]]*0.6</f>
        <v>114000</v>
      </c>
      <c r="J53" s="2">
        <f>Tabla24[[#This Row],[TOTAL FACTURA]]*0.4</f>
        <v>76000</v>
      </c>
      <c r="L53" s="2"/>
      <c r="M53" s="2"/>
      <c r="N53" s="11" t="s">
        <v>25</v>
      </c>
      <c r="O53" s="15">
        <f>Tabla24[[#This Row],[MONTO DE LA VENTA]]-Tabla24[[#This Row],[MONTO DE COMPRA]]</f>
        <v>0</v>
      </c>
    </row>
    <row r="54" spans="1:15" x14ac:dyDescent="0.25">
      <c r="A54" s="9">
        <v>44603</v>
      </c>
      <c r="C54" s="4"/>
      <c r="E54" s="1" t="s">
        <v>669</v>
      </c>
      <c r="F54" s="1" t="s">
        <v>18</v>
      </c>
      <c r="G54" s="1" t="s">
        <v>670</v>
      </c>
      <c r="H54" s="15">
        <v>206000</v>
      </c>
      <c r="I54" s="2">
        <f>Tabla24[[#This Row],[TOTAL FACTURA]]*0.6</f>
        <v>123600</v>
      </c>
      <c r="J54" s="2">
        <f>Tabla24[[#This Row],[TOTAL FACTURA]]*0.4</f>
        <v>82400</v>
      </c>
      <c r="L54" s="2"/>
      <c r="M54" s="2"/>
      <c r="N54" s="11" t="s">
        <v>25</v>
      </c>
      <c r="O54" s="15">
        <f>Tabla24[[#This Row],[MONTO DE LA VENTA]]-Tabla24[[#This Row],[MONTO DE COMPRA]]</f>
        <v>0</v>
      </c>
    </row>
    <row r="55" spans="1:15" x14ac:dyDescent="0.25">
      <c r="A55" s="9">
        <v>44604</v>
      </c>
      <c r="C55" s="4"/>
      <c r="D55" s="1" t="s">
        <v>574</v>
      </c>
      <c r="E55" s="4" t="s">
        <v>674</v>
      </c>
      <c r="F55" s="1" t="s">
        <v>10</v>
      </c>
      <c r="G55" s="1" t="s">
        <v>675</v>
      </c>
      <c r="H55" s="15">
        <v>50000</v>
      </c>
      <c r="I55" s="15">
        <f>Tabla24[[#This Row],[TOTAL FACTURA]]*0.6</f>
        <v>30000</v>
      </c>
      <c r="J55" s="15">
        <f>Tabla24[[#This Row],[TOTAL FACTURA]]*0.4</f>
        <v>20000</v>
      </c>
      <c r="K55" s="1" t="s">
        <v>676</v>
      </c>
      <c r="L55" s="15">
        <v>30000</v>
      </c>
      <c r="M55" s="15">
        <v>40000</v>
      </c>
      <c r="N55" s="11" t="s">
        <v>25</v>
      </c>
      <c r="O55" s="15">
        <f>Tabla24[[#This Row],[MONTO DE LA VENTA]]-Tabla24[[#This Row],[MONTO DE COMPRA]]</f>
        <v>10000</v>
      </c>
    </row>
    <row r="56" spans="1:15" x14ac:dyDescent="0.25">
      <c r="A56" s="9">
        <v>44604</v>
      </c>
      <c r="C56" s="4"/>
      <c r="D56" s="1" t="s">
        <v>677</v>
      </c>
      <c r="E56" s="4" t="s">
        <v>678</v>
      </c>
      <c r="F56" s="1" t="s">
        <v>408</v>
      </c>
      <c r="G56" s="1" t="s">
        <v>679</v>
      </c>
      <c r="H56" s="15">
        <v>70000</v>
      </c>
      <c r="I56" s="15">
        <f>Tabla24[[#This Row],[TOTAL FACTURA]]*0.6</f>
        <v>42000</v>
      </c>
      <c r="J56" s="15">
        <f>Tabla24[[#This Row],[TOTAL FACTURA]]*0.4</f>
        <v>28000</v>
      </c>
      <c r="K56" s="1" t="s">
        <v>680</v>
      </c>
      <c r="L56" s="15">
        <v>198000</v>
      </c>
      <c r="M56" s="15">
        <v>270000</v>
      </c>
      <c r="N56" s="11" t="s">
        <v>25</v>
      </c>
      <c r="O56" s="15">
        <f>Tabla24[[#This Row],[MONTO DE LA VENTA]]-Tabla24[[#This Row],[MONTO DE COMPRA]]</f>
        <v>72000</v>
      </c>
    </row>
    <row r="57" spans="1:15" x14ac:dyDescent="0.25">
      <c r="A57" s="9">
        <v>44604</v>
      </c>
      <c r="B57" s="4" t="s">
        <v>681</v>
      </c>
      <c r="C57" s="4" t="s">
        <v>682</v>
      </c>
      <c r="D57" s="1" t="s">
        <v>683</v>
      </c>
      <c r="E57" s="4" t="s">
        <v>684</v>
      </c>
      <c r="F57" s="1" t="s">
        <v>408</v>
      </c>
      <c r="G57" s="1" t="s">
        <v>685</v>
      </c>
      <c r="H57" s="15">
        <v>50000</v>
      </c>
      <c r="I57" s="15">
        <f>Tabla24[[#This Row],[TOTAL FACTURA]]*0.6</f>
        <v>30000</v>
      </c>
      <c r="J57" s="15">
        <f>Tabla24[[#This Row],[TOTAL FACTURA]]*0.4</f>
        <v>20000</v>
      </c>
      <c r="K57" s="1" t="s">
        <v>686</v>
      </c>
      <c r="L57" s="15">
        <v>140000</v>
      </c>
      <c r="M57" s="15">
        <v>170000</v>
      </c>
      <c r="N57" s="11" t="s">
        <v>25</v>
      </c>
      <c r="O57" s="15">
        <f>Tabla24[[#This Row],[MONTO DE LA VENTA]]-Tabla24[[#This Row],[MONTO DE COMPRA]]</f>
        <v>30000</v>
      </c>
    </row>
    <row r="58" spans="1:15" x14ac:dyDescent="0.25">
      <c r="A58" s="9">
        <v>44604</v>
      </c>
      <c r="B58" s="4" t="s">
        <v>681</v>
      </c>
      <c r="C58" s="4" t="s">
        <v>682</v>
      </c>
      <c r="D58" s="1" t="s">
        <v>683</v>
      </c>
      <c r="E58" s="4" t="s">
        <v>684</v>
      </c>
      <c r="F58" s="1" t="s">
        <v>603</v>
      </c>
      <c r="G58" s="1" t="s">
        <v>687</v>
      </c>
      <c r="H58" s="15">
        <v>15000</v>
      </c>
      <c r="I58" s="2">
        <f>Tabla24[[#This Row],[TOTAL FACTURA]]*0.6</f>
        <v>9000</v>
      </c>
      <c r="J58" s="2">
        <f>Tabla24[[#This Row],[TOTAL FACTURA]]*0.4</f>
        <v>6000</v>
      </c>
      <c r="L58" s="2"/>
      <c r="M58" s="2"/>
      <c r="N58" s="11" t="s">
        <v>25</v>
      </c>
      <c r="O58" s="15">
        <f>Tabla24[[#This Row],[MONTO DE LA VENTA]]-Tabla24[[#This Row],[MONTO DE COMPRA]]</f>
        <v>0</v>
      </c>
    </row>
    <row r="59" spans="1:15" x14ac:dyDescent="0.25">
      <c r="A59" s="56">
        <v>44604</v>
      </c>
      <c r="C59" s="57"/>
      <c r="E59" s="4"/>
      <c r="F59" s="1" t="s">
        <v>603</v>
      </c>
      <c r="G59" s="1" t="s">
        <v>434</v>
      </c>
      <c r="H59" s="15">
        <v>50000</v>
      </c>
      <c r="I59" s="2">
        <v>50000</v>
      </c>
      <c r="J59" s="58">
        <f>Tabla24[[#This Row],[TOTAL FACTURA]]*0.4</f>
        <v>20000</v>
      </c>
      <c r="L59" s="2"/>
      <c r="M59" s="2"/>
      <c r="N59" s="11" t="s">
        <v>25</v>
      </c>
      <c r="O59" s="15">
        <f>Tabla24[[#This Row],[MONTO DE LA VENTA]]-Tabla24[[#This Row],[MONTO DE COMPRA]]</f>
        <v>0</v>
      </c>
    </row>
    <row r="60" spans="1:15" x14ac:dyDescent="0.25">
      <c r="A60" s="56">
        <v>44604</v>
      </c>
      <c r="C60" s="57"/>
      <c r="D60" s="1" t="s">
        <v>540</v>
      </c>
      <c r="E60" s="4"/>
      <c r="F60" s="1" t="s">
        <v>19</v>
      </c>
      <c r="G60" s="1" t="s">
        <v>779</v>
      </c>
      <c r="H60" s="15">
        <v>20000</v>
      </c>
      <c r="I60" s="15">
        <v>20000</v>
      </c>
      <c r="J60" s="59">
        <f>Tabla24[[#This Row],[TOTAL FACTURA]]*0.4</f>
        <v>8000</v>
      </c>
      <c r="L60" s="15"/>
      <c r="M60" s="15"/>
      <c r="N60" s="11" t="s">
        <v>25</v>
      </c>
      <c r="O60" s="15">
        <f>Tabla24[[#This Row],[MONTO DE LA VENTA]]-Tabla24[[#This Row],[MONTO DE COMPRA]]</f>
        <v>0</v>
      </c>
    </row>
    <row r="61" spans="1:15" x14ac:dyDescent="0.25">
      <c r="A61" s="9">
        <v>44604</v>
      </c>
      <c r="B61" s="4" t="s">
        <v>681</v>
      </c>
      <c r="C61" s="4" t="s">
        <v>682</v>
      </c>
      <c r="D61" s="1" t="s">
        <v>683</v>
      </c>
      <c r="E61" s="4" t="s">
        <v>684</v>
      </c>
      <c r="F61" s="1" t="s">
        <v>19</v>
      </c>
      <c r="G61" s="1" t="s">
        <v>778</v>
      </c>
      <c r="H61" s="15">
        <v>20000</v>
      </c>
      <c r="I61" s="15">
        <v>20000</v>
      </c>
      <c r="J61" s="59">
        <f>Tabla24[[#This Row],[TOTAL FACTURA]]*0.4</f>
        <v>8000</v>
      </c>
      <c r="L61" s="15"/>
      <c r="M61" s="15"/>
      <c r="N61" s="11" t="s">
        <v>25</v>
      </c>
      <c r="O61" s="15">
        <f>Tabla24[[#This Row],[MONTO DE LA VENTA]]-Tabla24[[#This Row],[MONTO DE COMPRA]]</f>
        <v>0</v>
      </c>
    </row>
    <row r="62" spans="1:15" x14ac:dyDescent="0.25">
      <c r="A62" s="9">
        <v>44604</v>
      </c>
      <c r="C62" s="57"/>
      <c r="D62" s="1" t="s">
        <v>781</v>
      </c>
      <c r="E62" s="4"/>
      <c r="F62" s="1" t="s">
        <v>10</v>
      </c>
      <c r="G62" s="1" t="s">
        <v>782</v>
      </c>
      <c r="H62" s="15">
        <v>100000</v>
      </c>
      <c r="I62" s="15">
        <f>Tabla24[[#This Row],[TOTAL FACTURA]]*0.6</f>
        <v>60000</v>
      </c>
      <c r="J62" s="59">
        <f>Tabla24[[#This Row],[TOTAL FACTURA]]*0.4</f>
        <v>40000</v>
      </c>
      <c r="L62" s="15"/>
      <c r="M62" s="15"/>
      <c r="N62" s="11" t="s">
        <v>25</v>
      </c>
      <c r="O62" s="15">
        <f>Tabla24[[#This Row],[MONTO DE LA VENTA]]-Tabla24[[#This Row],[MONTO DE COMPRA]]</f>
        <v>0</v>
      </c>
    </row>
    <row r="63" spans="1:15" x14ac:dyDescent="0.25">
      <c r="A63" s="56">
        <v>44606</v>
      </c>
      <c r="C63" s="57"/>
      <c r="D63" s="1" t="s">
        <v>84</v>
      </c>
      <c r="E63" s="4"/>
      <c r="F63" s="1" t="s">
        <v>19</v>
      </c>
      <c r="G63" s="1" t="s">
        <v>21</v>
      </c>
      <c r="H63" s="15">
        <v>10000</v>
      </c>
      <c r="I63" s="15">
        <f>Tabla24[[#This Row],[TOTAL FACTURA]]*0.6</f>
        <v>6000</v>
      </c>
      <c r="J63" s="59">
        <f>Tabla24[[#This Row],[TOTAL FACTURA]]*0.4</f>
        <v>4000</v>
      </c>
      <c r="L63" s="15"/>
      <c r="M63" s="15"/>
      <c r="N63" s="11" t="s">
        <v>25</v>
      </c>
      <c r="O63" s="15">
        <f>Tabla24[[#This Row],[MONTO DE LA VENTA]]-Tabla24[[#This Row],[MONTO DE COMPRA]]</f>
        <v>0</v>
      </c>
    </row>
    <row r="64" spans="1:15" x14ac:dyDescent="0.25">
      <c r="A64" s="9">
        <v>44606</v>
      </c>
      <c r="C64" s="4"/>
      <c r="D64" s="1" t="s">
        <v>688</v>
      </c>
      <c r="E64" s="4" t="s">
        <v>689</v>
      </c>
      <c r="F64" s="1" t="s">
        <v>603</v>
      </c>
      <c r="G64" s="1" t="s">
        <v>690</v>
      </c>
      <c r="H64" s="15">
        <v>10000</v>
      </c>
      <c r="I64" s="2">
        <f>Tabla24[[#This Row],[TOTAL FACTURA]]*0.6</f>
        <v>6000</v>
      </c>
      <c r="J64" s="2">
        <f>Tabla24[[#This Row],[TOTAL FACTURA]]*0.4</f>
        <v>4000</v>
      </c>
      <c r="L64" s="2"/>
      <c r="M64" s="2"/>
      <c r="N64" s="11" t="s">
        <v>25</v>
      </c>
      <c r="O64" s="15">
        <f>Tabla24[[#This Row],[MONTO DE LA VENTA]]-Tabla24[[#This Row],[MONTO DE COMPRA]]</f>
        <v>0</v>
      </c>
    </row>
    <row r="65" spans="1:15" x14ac:dyDescent="0.25">
      <c r="A65" s="9">
        <v>44606</v>
      </c>
      <c r="C65" s="4"/>
      <c r="D65" s="1" t="s">
        <v>574</v>
      </c>
      <c r="E65" s="4" t="s">
        <v>666</v>
      </c>
      <c r="F65" s="1" t="s">
        <v>10</v>
      </c>
      <c r="G65" s="1" t="s">
        <v>691</v>
      </c>
      <c r="H65" s="15">
        <v>20000</v>
      </c>
      <c r="I65" s="15">
        <f>Tabla24[[#This Row],[TOTAL FACTURA]]*0.6</f>
        <v>12000</v>
      </c>
      <c r="J65" s="15">
        <f>Tabla24[[#This Row],[TOTAL FACTURA]]*0.4</f>
        <v>8000</v>
      </c>
      <c r="L65" s="15"/>
      <c r="M65" s="15"/>
      <c r="N65" s="11" t="s">
        <v>25</v>
      </c>
      <c r="O65" s="15">
        <f>Tabla24[[#This Row],[MONTO DE LA VENTA]]-Tabla24[[#This Row],[MONTO DE COMPRA]]</f>
        <v>0</v>
      </c>
    </row>
    <row r="66" spans="1:15" x14ac:dyDescent="0.25">
      <c r="A66" s="9">
        <v>44606</v>
      </c>
      <c r="B66" s="4" t="s">
        <v>692</v>
      </c>
      <c r="C66" s="4" t="s">
        <v>693</v>
      </c>
      <c r="D66" s="1" t="s">
        <v>694</v>
      </c>
      <c r="E66" s="4" t="s">
        <v>695</v>
      </c>
      <c r="F66" s="1" t="s">
        <v>19</v>
      </c>
      <c r="G66" s="1" t="s">
        <v>211</v>
      </c>
      <c r="H66" s="15">
        <v>30000</v>
      </c>
      <c r="I66" s="15">
        <f>Tabla24[[#This Row],[TOTAL FACTURA]]*0.6</f>
        <v>18000</v>
      </c>
      <c r="J66" s="15">
        <f>Tabla24[[#This Row],[TOTAL FACTURA]]*0.4</f>
        <v>12000</v>
      </c>
      <c r="K66" s="1" t="s">
        <v>71</v>
      </c>
      <c r="L66" s="15">
        <v>127000</v>
      </c>
      <c r="M66" s="15">
        <v>170000</v>
      </c>
      <c r="N66" s="11" t="s">
        <v>25</v>
      </c>
      <c r="O66" s="15">
        <f>Tabla24[[#This Row],[MONTO DE LA VENTA]]-Tabla24[[#This Row],[MONTO DE COMPRA]]</f>
        <v>43000</v>
      </c>
    </row>
    <row r="67" spans="1:15" x14ac:dyDescent="0.25">
      <c r="A67" s="9">
        <v>44606</v>
      </c>
      <c r="B67" s="4" t="s">
        <v>696</v>
      </c>
      <c r="C67" s="4" t="s">
        <v>697</v>
      </c>
      <c r="D67" s="1" t="s">
        <v>698</v>
      </c>
      <c r="E67" s="4" t="s">
        <v>699</v>
      </c>
      <c r="F67" s="1" t="s">
        <v>603</v>
      </c>
      <c r="G67" s="1" t="s">
        <v>700</v>
      </c>
      <c r="H67" s="15">
        <v>30000</v>
      </c>
      <c r="I67" s="2">
        <f>Tabla24[[#This Row],[TOTAL FACTURA]]*0.6</f>
        <v>18000</v>
      </c>
      <c r="J67" s="2">
        <f>Tabla24[[#This Row],[TOTAL FACTURA]]*0.4</f>
        <v>12000</v>
      </c>
      <c r="L67" s="2"/>
      <c r="M67" s="2"/>
      <c r="N67" s="11" t="s">
        <v>25</v>
      </c>
      <c r="O67" s="15">
        <f>Tabla24[[#This Row],[MONTO DE LA VENTA]]-Tabla24[[#This Row],[MONTO DE COMPRA]]</f>
        <v>0</v>
      </c>
    </row>
    <row r="68" spans="1:15" x14ac:dyDescent="0.25">
      <c r="A68" s="9">
        <v>44606</v>
      </c>
      <c r="B68" s="4" t="s">
        <v>696</v>
      </c>
      <c r="C68" s="4" t="s">
        <v>697</v>
      </c>
      <c r="D68" s="1" t="s">
        <v>698</v>
      </c>
      <c r="E68" s="4" t="s">
        <v>699</v>
      </c>
      <c r="F68" s="1" t="s">
        <v>18</v>
      </c>
      <c r="G68" s="1" t="s">
        <v>701</v>
      </c>
      <c r="H68" s="15">
        <v>25000</v>
      </c>
      <c r="I68" s="2">
        <v>20000</v>
      </c>
      <c r="J68" s="2">
        <f>Tabla24[[#This Row],[TOTAL FACTURA]]*0.4</f>
        <v>10000</v>
      </c>
      <c r="L68" s="2"/>
      <c r="M68" s="2"/>
      <c r="N68" s="11" t="s">
        <v>25</v>
      </c>
      <c r="O68" s="15">
        <f>Tabla24[[#This Row],[MONTO DE LA VENTA]]-Tabla24[[#This Row],[MONTO DE COMPRA]]</f>
        <v>0</v>
      </c>
    </row>
    <row r="69" spans="1:15" x14ac:dyDescent="0.25">
      <c r="A69" s="9">
        <v>44606</v>
      </c>
      <c r="B69" s="4" t="s">
        <v>696</v>
      </c>
      <c r="C69" s="4" t="s">
        <v>697</v>
      </c>
      <c r="D69" s="1" t="s">
        <v>698</v>
      </c>
      <c r="E69" s="4" t="s">
        <v>699</v>
      </c>
      <c r="F69" s="1" t="s">
        <v>19</v>
      </c>
      <c r="G69" s="1" t="s">
        <v>329</v>
      </c>
      <c r="H69" s="15">
        <v>40000</v>
      </c>
      <c r="I69" s="15">
        <f>Tabla24[[#This Row],[TOTAL FACTURA]]*0.6</f>
        <v>24000</v>
      </c>
      <c r="J69" s="15">
        <f>Tabla24[[#This Row],[TOTAL FACTURA]]*0.4</f>
        <v>16000</v>
      </c>
      <c r="K69" s="1" t="s">
        <v>702</v>
      </c>
      <c r="L69" s="15">
        <f>26000+36000</f>
        <v>62000</v>
      </c>
      <c r="M69" s="15">
        <f>90000+30000</f>
        <v>120000</v>
      </c>
      <c r="N69" s="11" t="s">
        <v>25</v>
      </c>
      <c r="O69" s="15">
        <f>Tabla24[[#This Row],[MONTO DE LA VENTA]]-Tabla24[[#This Row],[MONTO DE COMPRA]]</f>
        <v>58000</v>
      </c>
    </row>
    <row r="70" spans="1:15" x14ac:dyDescent="0.25">
      <c r="A70" s="9">
        <v>44606</v>
      </c>
      <c r="B70" s="21"/>
      <c r="C70" s="21" t="s">
        <v>703</v>
      </c>
      <c r="D70" s="16" t="s">
        <v>704</v>
      </c>
      <c r="E70" s="21" t="s">
        <v>705</v>
      </c>
      <c r="F70" s="16" t="s">
        <v>603</v>
      </c>
      <c r="G70" s="16" t="s">
        <v>706</v>
      </c>
      <c r="H70" s="20">
        <v>30000</v>
      </c>
      <c r="I70" s="2">
        <f>Tabla24[[#This Row],[TOTAL FACTURA]]*0.6</f>
        <v>18000</v>
      </c>
      <c r="J70" s="2">
        <f>Tabla24[[#This Row],[TOTAL FACTURA]]*0.4</f>
        <v>12000</v>
      </c>
      <c r="K70" s="16"/>
      <c r="L70" s="2"/>
      <c r="M70" s="2"/>
      <c r="N70" s="11" t="s">
        <v>25</v>
      </c>
      <c r="O70" s="15">
        <f>Tabla24[[#This Row],[MONTO DE LA VENTA]]-Tabla24[[#This Row],[MONTO DE COMPRA]]</f>
        <v>0</v>
      </c>
    </row>
    <row r="71" spans="1:15" s="16" customFormat="1" x14ac:dyDescent="0.25">
      <c r="A71" s="9">
        <v>44607</v>
      </c>
      <c r="B71" s="4" t="s">
        <v>707</v>
      </c>
      <c r="C71" s="4" t="s">
        <v>708</v>
      </c>
      <c r="D71" s="1" t="s">
        <v>48</v>
      </c>
      <c r="E71" s="4" t="s">
        <v>709</v>
      </c>
      <c r="F71" s="1" t="s">
        <v>19</v>
      </c>
      <c r="G71" s="1" t="s">
        <v>780</v>
      </c>
      <c r="H71" s="15">
        <v>30000</v>
      </c>
      <c r="I71" s="15">
        <f>Tabla24[[#This Row],[TOTAL FACTURA]]*0.6</f>
        <v>18000</v>
      </c>
      <c r="J71" s="15">
        <f>Tabla24[[#This Row],[TOTAL FACTURA]]*0.4</f>
        <v>12000</v>
      </c>
      <c r="K71" s="1"/>
      <c r="L71" s="15"/>
      <c r="M71" s="15"/>
      <c r="N71" s="11" t="s">
        <v>25</v>
      </c>
      <c r="O71" s="15">
        <f>Tabla24[[#This Row],[MONTO DE LA VENTA]]-Tabla24[[#This Row],[MONTO DE COMPRA]]</f>
        <v>0</v>
      </c>
    </row>
    <row r="72" spans="1:15" x14ac:dyDescent="0.25">
      <c r="A72" s="9">
        <v>44607</v>
      </c>
      <c r="B72" s="4" t="s">
        <v>710</v>
      </c>
      <c r="C72" s="4" t="s">
        <v>711</v>
      </c>
      <c r="D72" s="1" t="s">
        <v>65</v>
      </c>
      <c r="E72" s="4" t="s">
        <v>712</v>
      </c>
      <c r="F72" s="1" t="s">
        <v>30</v>
      </c>
      <c r="G72" s="1" t="s">
        <v>713</v>
      </c>
      <c r="H72" s="15">
        <v>70000</v>
      </c>
      <c r="I72" s="2">
        <f>Tabla24[[#This Row],[TOTAL FACTURA]]*0.6</f>
        <v>42000</v>
      </c>
      <c r="J72" s="2">
        <f>Tabla24[[#This Row],[TOTAL FACTURA]]*0.4</f>
        <v>28000</v>
      </c>
      <c r="K72" s="1" t="s">
        <v>714</v>
      </c>
      <c r="L72" s="2">
        <f>3000+65000</f>
        <v>68000</v>
      </c>
      <c r="M72" s="2">
        <f>95000+12000</f>
        <v>107000</v>
      </c>
      <c r="N72" s="11" t="s">
        <v>25</v>
      </c>
      <c r="O72" s="15">
        <f>Tabla24[[#This Row],[MONTO DE LA VENTA]]-Tabla24[[#This Row],[MONTO DE COMPRA]]</f>
        <v>39000</v>
      </c>
    </row>
    <row r="73" spans="1:15" x14ac:dyDescent="0.25">
      <c r="A73" s="9">
        <v>44607</v>
      </c>
      <c r="C73" s="4" t="s">
        <v>716</v>
      </c>
      <c r="D73" s="1" t="s">
        <v>717</v>
      </c>
      <c r="E73" s="4" t="s">
        <v>715</v>
      </c>
      <c r="F73" s="1" t="s">
        <v>603</v>
      </c>
      <c r="G73" s="1" t="s">
        <v>718</v>
      </c>
      <c r="H73" s="15">
        <v>30000</v>
      </c>
      <c r="I73" s="2">
        <f>Tabla24[[#This Row],[TOTAL FACTURA]]*0.6</f>
        <v>18000</v>
      </c>
      <c r="J73" s="2">
        <f>Tabla24[[#This Row],[TOTAL FACTURA]]*0.4</f>
        <v>12000</v>
      </c>
      <c r="L73" s="2"/>
      <c r="M73" s="2"/>
      <c r="N73" s="11" t="s">
        <v>25</v>
      </c>
      <c r="O73" s="15">
        <f>Tabla24[[#This Row],[MONTO DE LA VENTA]]-Tabla24[[#This Row],[MONTO DE COMPRA]]</f>
        <v>0</v>
      </c>
    </row>
    <row r="74" spans="1:15" x14ac:dyDescent="0.25">
      <c r="A74" s="9">
        <v>44607</v>
      </c>
      <c r="B74" s="4" t="s">
        <v>719</v>
      </c>
      <c r="C74" s="4" t="s">
        <v>720</v>
      </c>
      <c r="D74" s="1" t="s">
        <v>240</v>
      </c>
      <c r="E74" s="4" t="s">
        <v>633</v>
      </c>
      <c r="F74" s="1" t="s">
        <v>19</v>
      </c>
      <c r="G74" s="1" t="s">
        <v>721</v>
      </c>
      <c r="H74" s="15">
        <v>70000</v>
      </c>
      <c r="I74" s="15">
        <f>Tabla24[[#This Row],[TOTAL FACTURA]]*0.6</f>
        <v>42000</v>
      </c>
      <c r="J74" s="15">
        <f>Tabla24[[#This Row],[TOTAL FACTURA]]*0.4</f>
        <v>28000</v>
      </c>
      <c r="K74" s="1" t="s">
        <v>722</v>
      </c>
      <c r="L74" s="15"/>
      <c r="M74" s="15"/>
      <c r="N74" s="11" t="s">
        <v>25</v>
      </c>
      <c r="O74" s="15">
        <f>Tabla24[[#This Row],[MONTO DE LA VENTA]]-Tabla24[[#This Row],[MONTO DE COMPRA]]</f>
        <v>0</v>
      </c>
    </row>
    <row r="75" spans="1:15" x14ac:dyDescent="0.25">
      <c r="A75" s="9">
        <v>44607</v>
      </c>
      <c r="C75" s="4"/>
      <c r="D75" s="1" t="s">
        <v>574</v>
      </c>
      <c r="E75" s="4" t="s">
        <v>674</v>
      </c>
      <c r="F75" s="1" t="s">
        <v>10</v>
      </c>
      <c r="G75" s="1" t="s">
        <v>723</v>
      </c>
      <c r="H75" s="15">
        <v>30000</v>
      </c>
      <c r="I75" s="15">
        <f>Tabla24[[#This Row],[TOTAL FACTURA]]*0.6</f>
        <v>18000</v>
      </c>
      <c r="J75" s="15">
        <f>Tabla24[[#This Row],[TOTAL FACTURA]]*0.4</f>
        <v>12000</v>
      </c>
      <c r="L75" s="15"/>
      <c r="M75" s="15"/>
      <c r="N75" s="11" t="s">
        <v>25</v>
      </c>
      <c r="O75" s="15">
        <f>Tabla24[[#This Row],[MONTO DE LA VENTA]]-Tabla24[[#This Row],[MONTO DE COMPRA]]</f>
        <v>0</v>
      </c>
    </row>
    <row r="76" spans="1:15" x14ac:dyDescent="0.25">
      <c r="A76" s="9">
        <v>44607</v>
      </c>
      <c r="C76" s="4"/>
      <c r="D76" s="1" t="s">
        <v>574</v>
      </c>
      <c r="E76" s="4" t="s">
        <v>674</v>
      </c>
      <c r="F76" s="1" t="s">
        <v>18</v>
      </c>
      <c r="G76" s="1" t="s">
        <v>724</v>
      </c>
      <c r="H76" s="15">
        <v>150000</v>
      </c>
      <c r="I76" s="2">
        <f>Tabla24[[#This Row],[TOTAL FACTURA]]*0.6</f>
        <v>90000</v>
      </c>
      <c r="J76" s="2">
        <f>Tabla24[[#This Row],[TOTAL FACTURA]]*0.4</f>
        <v>60000</v>
      </c>
      <c r="L76" s="2"/>
      <c r="M76" s="2"/>
      <c r="N76" s="11" t="s">
        <v>25</v>
      </c>
      <c r="O76" s="15">
        <f>Tabla24[[#This Row],[MONTO DE LA VENTA]]-Tabla24[[#This Row],[MONTO DE COMPRA]]</f>
        <v>0</v>
      </c>
    </row>
    <row r="77" spans="1:15" x14ac:dyDescent="0.25">
      <c r="A77" s="9">
        <v>44607</v>
      </c>
      <c r="B77" s="4" t="s">
        <v>729</v>
      </c>
      <c r="C77" s="4" t="s">
        <v>725</v>
      </c>
      <c r="D77" s="1" t="s">
        <v>726</v>
      </c>
      <c r="E77" s="4" t="s">
        <v>727</v>
      </c>
      <c r="F77" s="1" t="s">
        <v>408</v>
      </c>
      <c r="G77" s="1" t="s">
        <v>639</v>
      </c>
      <c r="H77" s="15">
        <v>470000</v>
      </c>
      <c r="I77" s="15">
        <f>Tabla24[[#This Row],[TOTAL FACTURA]]*0.6</f>
        <v>282000</v>
      </c>
      <c r="J77" s="15">
        <f>Tabla24[[#This Row],[TOTAL FACTURA]]*0.4</f>
        <v>188000</v>
      </c>
      <c r="L77" s="15"/>
      <c r="M77" s="15"/>
      <c r="N77" s="11" t="s">
        <v>25</v>
      </c>
      <c r="O77" s="15">
        <f>Tabla24[[#This Row],[MONTO DE LA VENTA]]-Tabla24[[#This Row],[MONTO DE COMPRA]]</f>
        <v>0</v>
      </c>
    </row>
    <row r="78" spans="1:15" x14ac:dyDescent="0.25">
      <c r="A78" s="9">
        <v>44607</v>
      </c>
      <c r="B78" s="4" t="s">
        <v>729</v>
      </c>
      <c r="C78" s="4" t="s">
        <v>725</v>
      </c>
      <c r="D78" s="1" t="s">
        <v>726</v>
      </c>
      <c r="E78" s="4" t="s">
        <v>727</v>
      </c>
      <c r="F78" s="1" t="s">
        <v>18</v>
      </c>
      <c r="G78" s="1" t="s">
        <v>728</v>
      </c>
      <c r="H78" s="15">
        <v>80000</v>
      </c>
      <c r="I78" s="2">
        <f>Tabla24[[#This Row],[TOTAL FACTURA]]*0.6</f>
        <v>48000</v>
      </c>
      <c r="J78" s="2">
        <f>Tabla24[[#This Row],[TOTAL FACTURA]]*0.4</f>
        <v>32000</v>
      </c>
      <c r="L78" s="2"/>
      <c r="M78" s="2"/>
      <c r="N78" s="11" t="s">
        <v>25</v>
      </c>
      <c r="O78" s="15">
        <f>Tabla24[[#This Row],[MONTO DE LA VENTA]]-Tabla24[[#This Row],[MONTO DE COMPRA]]</f>
        <v>0</v>
      </c>
    </row>
    <row r="79" spans="1:15" x14ac:dyDescent="0.25">
      <c r="A79" s="9">
        <v>44608</v>
      </c>
      <c r="B79" s="4" t="s">
        <v>730</v>
      </c>
      <c r="C79" s="1" t="s">
        <v>731</v>
      </c>
      <c r="D79" s="1" t="s">
        <v>84</v>
      </c>
      <c r="E79" s="1" t="s">
        <v>732</v>
      </c>
      <c r="F79" s="1" t="s">
        <v>19</v>
      </c>
      <c r="G79" s="15" t="s">
        <v>288</v>
      </c>
      <c r="H79" s="15">
        <v>35000</v>
      </c>
      <c r="I79" s="15">
        <f>Tabla24[[#This Row],[TOTAL FACTURA]]*0.6</f>
        <v>21000</v>
      </c>
      <c r="J79" s="2">
        <f>Tabla24[[#This Row],[TOTAL FACTURA]]*0.4</f>
        <v>14000</v>
      </c>
      <c r="N79" s="11" t="s">
        <v>25</v>
      </c>
      <c r="O79" s="11">
        <f>Tabla24[[#This Row],[MONTO DE LA VENTA]]-Tabla24[[#This Row],[MONTO DE COMPRA]]</f>
        <v>0</v>
      </c>
    </row>
    <row r="80" spans="1:15" x14ac:dyDescent="0.25">
      <c r="A80" s="9">
        <v>44608</v>
      </c>
      <c r="B80" s="4" t="s">
        <v>733</v>
      </c>
      <c r="C80" s="4" t="s">
        <v>734</v>
      </c>
      <c r="D80" s="1" t="s">
        <v>76</v>
      </c>
      <c r="E80" s="4" t="s">
        <v>735</v>
      </c>
      <c r="F80" s="1" t="s">
        <v>30</v>
      </c>
      <c r="G80" s="1" t="s">
        <v>736</v>
      </c>
      <c r="H80" s="15">
        <v>80000</v>
      </c>
      <c r="I80" s="2">
        <f>Tabla24[[#This Row],[TOTAL FACTURA]]*0.6</f>
        <v>48000</v>
      </c>
      <c r="J80" s="2">
        <f>Tabla24[[#This Row],[TOTAL FACTURA]]*0.4</f>
        <v>32000</v>
      </c>
      <c r="K80" s="1" t="s">
        <v>737</v>
      </c>
      <c r="L80" s="2">
        <f>90000+38000</f>
        <v>128000</v>
      </c>
      <c r="M80" s="2">
        <v>200000</v>
      </c>
      <c r="N80" s="11" t="s">
        <v>25</v>
      </c>
      <c r="O80" s="15">
        <f>Tabla24[[#This Row],[MONTO DE LA VENTA]]-Tabla24[[#This Row],[MONTO DE COMPRA]]</f>
        <v>72000</v>
      </c>
    </row>
    <row r="81" spans="1:15" ht="30" x14ac:dyDescent="0.25">
      <c r="A81" s="9">
        <v>44608</v>
      </c>
      <c r="B81" s="4" t="s">
        <v>738</v>
      </c>
      <c r="C81" s="4" t="s">
        <v>739</v>
      </c>
      <c r="D81" s="1" t="s">
        <v>122</v>
      </c>
      <c r="E81" s="4" t="s">
        <v>740</v>
      </c>
      <c r="F81" s="1" t="s">
        <v>10</v>
      </c>
      <c r="G81" s="10" t="s">
        <v>741</v>
      </c>
      <c r="H81" s="15">
        <v>680000</v>
      </c>
      <c r="I81" s="15">
        <f>Tabla24[[#This Row],[TOTAL FACTURA]]*0.6</f>
        <v>408000</v>
      </c>
      <c r="J81" s="15">
        <f>Tabla24[[#This Row],[TOTAL FACTURA]]*0.4</f>
        <v>272000</v>
      </c>
      <c r="L81" s="15"/>
      <c r="M81" s="15"/>
      <c r="N81" s="11" t="s">
        <v>25</v>
      </c>
      <c r="O81" s="15">
        <f>Tabla24[[#This Row],[MONTO DE LA VENTA]]-Tabla24[[#This Row],[MONTO DE COMPRA]]</f>
        <v>0</v>
      </c>
    </row>
    <row r="82" spans="1:15" ht="16.5" customHeight="1" x14ac:dyDescent="0.25">
      <c r="A82" s="9">
        <v>44608</v>
      </c>
      <c r="B82" s="4" t="s">
        <v>742</v>
      </c>
      <c r="C82" s="4" t="s">
        <v>743</v>
      </c>
      <c r="E82" s="4" t="s">
        <v>577</v>
      </c>
      <c r="F82" s="1" t="s">
        <v>34</v>
      </c>
      <c r="G82" s="1" t="s">
        <v>744</v>
      </c>
      <c r="H82" s="15">
        <v>35000</v>
      </c>
      <c r="I82" s="2">
        <f>Tabla24[[#This Row],[TOTAL FACTURA]]*0.6</f>
        <v>21000</v>
      </c>
      <c r="J82" s="2">
        <f>Tabla24[[#This Row],[TOTAL FACTURA]]*0.4</f>
        <v>14000</v>
      </c>
      <c r="K82" s="1" t="s">
        <v>57</v>
      </c>
      <c r="L82" s="2">
        <v>14000</v>
      </c>
      <c r="M82" s="2">
        <v>25000</v>
      </c>
      <c r="N82" s="11" t="s">
        <v>25</v>
      </c>
      <c r="O82" s="15">
        <f>Tabla24[[#This Row],[MONTO DE LA VENTA]]-Tabla24[[#This Row],[MONTO DE COMPRA]]</f>
        <v>11000</v>
      </c>
    </row>
    <row r="83" spans="1:15" x14ac:dyDescent="0.25">
      <c r="A83" s="9">
        <v>44609</v>
      </c>
      <c r="B83" s="4" t="s">
        <v>745</v>
      </c>
      <c r="C83" s="4" t="s">
        <v>720</v>
      </c>
      <c r="D83" s="1" t="s">
        <v>240</v>
      </c>
      <c r="E83" s="4" t="s">
        <v>746</v>
      </c>
      <c r="F83" s="1" t="s">
        <v>30</v>
      </c>
      <c r="G83" s="1" t="s">
        <v>747</v>
      </c>
      <c r="H83" s="15">
        <v>40000</v>
      </c>
      <c r="I83" s="2">
        <f>Tabla24[[#This Row],[TOTAL FACTURA]]*0.6</f>
        <v>24000</v>
      </c>
      <c r="J83" s="2">
        <f>Tabla24[[#This Row],[TOTAL FACTURA]]*0.4</f>
        <v>16000</v>
      </c>
      <c r="L83" s="2"/>
      <c r="M83" s="2"/>
      <c r="N83" s="11" t="s">
        <v>25</v>
      </c>
      <c r="O83" s="15">
        <f>Tabla24[[#This Row],[MONTO DE LA VENTA]]-Tabla24[[#This Row],[MONTO DE COMPRA]]</f>
        <v>0</v>
      </c>
    </row>
    <row r="84" spans="1:15" x14ac:dyDescent="0.25">
      <c r="A84" s="9">
        <v>44609</v>
      </c>
      <c r="B84" s="4" t="s">
        <v>745</v>
      </c>
      <c r="C84" s="4" t="s">
        <v>720</v>
      </c>
      <c r="D84" s="1" t="s">
        <v>240</v>
      </c>
      <c r="E84" s="4" t="s">
        <v>746</v>
      </c>
      <c r="F84" s="1" t="s">
        <v>19</v>
      </c>
      <c r="G84" s="1" t="s">
        <v>747</v>
      </c>
      <c r="H84" s="15">
        <v>40000</v>
      </c>
      <c r="I84" s="2">
        <f>Tabla24[[#This Row],[TOTAL FACTURA]]*0.6</f>
        <v>24000</v>
      </c>
      <c r="J84" s="15">
        <f>Tabla24[[#This Row],[TOTAL FACTURA]]*0.4</f>
        <v>16000</v>
      </c>
      <c r="K84" s="1" t="s">
        <v>748</v>
      </c>
      <c r="L84" s="15">
        <f>250000+10000+5000</f>
        <v>265000</v>
      </c>
      <c r="M84" s="15">
        <v>387000</v>
      </c>
      <c r="N84" s="11" t="s">
        <v>25</v>
      </c>
      <c r="O84" s="15">
        <f>Tabla24[[#This Row],[MONTO DE LA VENTA]]-Tabla24[[#This Row],[MONTO DE COMPRA]]</f>
        <v>122000</v>
      </c>
    </row>
    <row r="85" spans="1:15" ht="13.5" customHeight="1" x14ac:dyDescent="0.25">
      <c r="A85" s="9">
        <v>44609</v>
      </c>
      <c r="B85" s="4" t="s">
        <v>749</v>
      </c>
      <c r="C85" s="4" t="s">
        <v>750</v>
      </c>
      <c r="D85" s="1" t="s">
        <v>22</v>
      </c>
      <c r="E85" s="4" t="s">
        <v>751</v>
      </c>
      <c r="F85" s="1" t="s">
        <v>10</v>
      </c>
      <c r="G85" s="1" t="s">
        <v>752</v>
      </c>
      <c r="H85" s="15">
        <v>70000</v>
      </c>
      <c r="I85" s="15">
        <f>Tabla24[[#This Row],[TOTAL FACTURA]]*0.6</f>
        <v>42000</v>
      </c>
      <c r="J85" s="15">
        <f>Tabla24[[#This Row],[TOTAL FACTURA]]*0.4</f>
        <v>28000</v>
      </c>
      <c r="K85" s="1" t="s">
        <v>753</v>
      </c>
      <c r="L85" s="15">
        <v>230000</v>
      </c>
      <c r="M85" s="15">
        <v>300000</v>
      </c>
      <c r="N85" s="11" t="s">
        <v>25</v>
      </c>
      <c r="O85" s="15">
        <f>Tabla24[[#This Row],[MONTO DE LA VENTA]]-Tabla24[[#This Row],[MONTO DE COMPRA]]</f>
        <v>70000</v>
      </c>
    </row>
    <row r="86" spans="1:15" x14ac:dyDescent="0.25">
      <c r="A86" s="9">
        <v>44609</v>
      </c>
      <c r="B86" s="4" t="s">
        <v>749</v>
      </c>
      <c r="C86" s="4" t="s">
        <v>750</v>
      </c>
      <c r="D86" s="1" t="s">
        <v>22</v>
      </c>
      <c r="E86" s="4" t="s">
        <v>751</v>
      </c>
      <c r="F86" s="1" t="s">
        <v>19</v>
      </c>
      <c r="G86" s="1" t="s">
        <v>754</v>
      </c>
      <c r="H86" s="15">
        <v>50000</v>
      </c>
      <c r="I86" s="15">
        <f>Tabla24[[#This Row],[TOTAL FACTURA]]*0.6</f>
        <v>30000</v>
      </c>
      <c r="J86" s="15">
        <f>Tabla24[[#This Row],[TOTAL FACTURA]]*0.4</f>
        <v>20000</v>
      </c>
      <c r="L86" s="15"/>
      <c r="M86" s="15"/>
      <c r="N86" s="11" t="s">
        <v>25</v>
      </c>
      <c r="O86" s="15">
        <f>Tabla24[[#This Row],[MONTO DE LA VENTA]]-Tabla24[[#This Row],[MONTO DE COMPRA]]</f>
        <v>0</v>
      </c>
    </row>
    <row r="87" spans="1:15" x14ac:dyDescent="0.25">
      <c r="A87" s="9">
        <v>44609</v>
      </c>
      <c r="C87" s="4"/>
      <c r="E87" s="4"/>
      <c r="F87" s="1" t="s">
        <v>603</v>
      </c>
      <c r="G87" s="1" t="s">
        <v>128</v>
      </c>
      <c r="H87" s="15">
        <v>10000</v>
      </c>
      <c r="I87" s="2">
        <f>Tabla24[[#This Row],[TOTAL FACTURA]]*0.6</f>
        <v>6000</v>
      </c>
      <c r="J87" s="2">
        <f>Tabla24[[#This Row],[TOTAL FACTURA]]*0.4</f>
        <v>4000</v>
      </c>
      <c r="L87" s="2"/>
      <c r="M87" s="2"/>
      <c r="N87" s="11" t="s">
        <v>25</v>
      </c>
      <c r="O87" s="15">
        <f>Tabla24[[#This Row],[MONTO DE LA VENTA]]-Tabla24[[#This Row],[MONTO DE COMPRA]]</f>
        <v>0</v>
      </c>
    </row>
    <row r="88" spans="1:15" x14ac:dyDescent="0.25">
      <c r="A88" s="9">
        <v>44609</v>
      </c>
      <c r="C88" s="4" t="s">
        <v>755</v>
      </c>
      <c r="D88" s="1" t="s">
        <v>54</v>
      </c>
      <c r="E88" s="4" t="s">
        <v>756</v>
      </c>
      <c r="F88" s="1" t="s">
        <v>19</v>
      </c>
      <c r="G88" s="1" t="s">
        <v>757</v>
      </c>
      <c r="H88" s="15">
        <v>30000</v>
      </c>
      <c r="I88" s="15">
        <f>Tabla24[[#This Row],[TOTAL FACTURA]]*0.6</f>
        <v>18000</v>
      </c>
      <c r="J88" s="15">
        <f>Tabla24[[#This Row],[TOTAL FACTURA]]*0.4</f>
        <v>12000</v>
      </c>
      <c r="L88" s="15"/>
      <c r="M88" s="15"/>
      <c r="N88" s="11" t="s">
        <v>25</v>
      </c>
      <c r="O88" s="15">
        <f>Tabla24[[#This Row],[MONTO DE LA VENTA]]-Tabla24[[#This Row],[MONTO DE COMPRA]]</f>
        <v>0</v>
      </c>
    </row>
    <row r="89" spans="1:15" x14ac:dyDescent="0.25">
      <c r="A89" s="9">
        <v>44609</v>
      </c>
      <c r="B89" s="4" t="s">
        <v>758</v>
      </c>
      <c r="C89" s="4" t="s">
        <v>759</v>
      </c>
      <c r="D89" s="1" t="s">
        <v>760</v>
      </c>
      <c r="E89" s="4" t="s">
        <v>761</v>
      </c>
      <c r="F89" s="1" t="s">
        <v>603</v>
      </c>
      <c r="G89" s="1" t="s">
        <v>762</v>
      </c>
      <c r="H89" s="15">
        <v>100000</v>
      </c>
      <c r="I89" s="2">
        <f>Tabla24[[#This Row],[TOTAL FACTURA]]*0.6</f>
        <v>60000</v>
      </c>
      <c r="J89" s="2">
        <f>Tabla24[[#This Row],[TOTAL FACTURA]]*0.4</f>
        <v>40000</v>
      </c>
      <c r="K89" s="1" t="s">
        <v>763</v>
      </c>
      <c r="L89" s="2">
        <v>290000</v>
      </c>
      <c r="M89" s="2">
        <v>340000</v>
      </c>
      <c r="N89" s="11" t="s">
        <v>25</v>
      </c>
      <c r="O89" s="15">
        <f>Tabla24[[#This Row],[MONTO DE LA VENTA]]-Tabla24[[#This Row],[MONTO DE COMPRA]]</f>
        <v>50000</v>
      </c>
    </row>
    <row r="90" spans="1:15" x14ac:dyDescent="0.25">
      <c r="A90" s="9">
        <v>44610</v>
      </c>
      <c r="B90" s="4" t="s">
        <v>764</v>
      </c>
      <c r="C90" s="1" t="s">
        <v>765</v>
      </c>
      <c r="D90" s="1" t="s">
        <v>766</v>
      </c>
      <c r="E90" s="4" t="s">
        <v>767</v>
      </c>
      <c r="F90" s="1" t="s">
        <v>10</v>
      </c>
      <c r="G90" s="1" t="s">
        <v>768</v>
      </c>
      <c r="H90" s="15">
        <v>150000</v>
      </c>
      <c r="I90" s="15">
        <f>Tabla24[[#This Row],[TOTAL FACTURA]]*0.6</f>
        <v>90000</v>
      </c>
      <c r="J90" s="15">
        <f>Tabla24[[#This Row],[TOTAL FACTURA]]*0.4</f>
        <v>60000</v>
      </c>
      <c r="K90" s="1" t="s">
        <v>769</v>
      </c>
      <c r="L90" s="15">
        <f>36000</f>
        <v>36000</v>
      </c>
      <c r="M90" s="15">
        <v>121000</v>
      </c>
      <c r="N90" s="11" t="s">
        <v>25</v>
      </c>
      <c r="O90" s="15">
        <f>Tabla24[[#This Row],[MONTO DE LA VENTA]]-Tabla24[[#This Row],[MONTO DE COMPRA]]</f>
        <v>85000</v>
      </c>
    </row>
    <row r="91" spans="1:15" x14ac:dyDescent="0.25">
      <c r="A91" s="9">
        <v>44610</v>
      </c>
      <c r="B91" s="4" t="s">
        <v>770</v>
      </c>
      <c r="C91" s="4" t="s">
        <v>771</v>
      </c>
      <c r="D91" s="1" t="s">
        <v>435</v>
      </c>
      <c r="E91" s="4" t="s">
        <v>772</v>
      </c>
      <c r="F91" s="1" t="s">
        <v>603</v>
      </c>
      <c r="G91" s="2" t="s">
        <v>74</v>
      </c>
      <c r="H91" s="2">
        <v>30000</v>
      </c>
      <c r="I91" s="2">
        <f>Tabla24[[#This Row],[TOTAL FACTURA]]*0.6</f>
        <v>18000</v>
      </c>
      <c r="J91" s="2">
        <f>Tabla24[[#This Row],[TOTAL FACTURA]]*0.4</f>
        <v>12000</v>
      </c>
      <c r="K91" s="1" t="s">
        <v>773</v>
      </c>
      <c r="L91" s="2">
        <v>4000</v>
      </c>
      <c r="M91" s="2">
        <v>8000</v>
      </c>
      <c r="N91" s="11" t="s">
        <v>25</v>
      </c>
      <c r="O91" s="15">
        <f>Tabla24[[#This Row],[MONTO DE LA VENTA]]-Tabla24[[#This Row],[MONTO DE COMPRA]]</f>
        <v>4000</v>
      </c>
    </row>
    <row r="92" spans="1:15" x14ac:dyDescent="0.25">
      <c r="A92" s="9">
        <v>44610</v>
      </c>
      <c r="B92" s="4" t="s">
        <v>774</v>
      </c>
      <c r="C92" s="4" t="s">
        <v>785</v>
      </c>
      <c r="D92" s="1" t="s">
        <v>28</v>
      </c>
      <c r="E92" s="4" t="s">
        <v>775</v>
      </c>
      <c r="F92" s="1" t="s">
        <v>603</v>
      </c>
      <c r="G92" s="1" t="s">
        <v>776</v>
      </c>
      <c r="H92" s="15">
        <v>30000</v>
      </c>
      <c r="I92" s="2">
        <f>Tabla24[[#This Row],[TOTAL FACTURA]]*0.6</f>
        <v>18000</v>
      </c>
      <c r="J92" s="2">
        <f>Tabla24[[#This Row],[TOTAL FACTURA]]*0.4</f>
        <v>12000</v>
      </c>
      <c r="K92" s="1" t="s">
        <v>777</v>
      </c>
      <c r="L92" s="2">
        <f>900+500</f>
        <v>1400</v>
      </c>
      <c r="M92" s="2">
        <v>2900</v>
      </c>
      <c r="N92" s="11" t="s">
        <v>25</v>
      </c>
      <c r="O92" s="15">
        <f>Tabla24[[#This Row],[MONTO DE LA VENTA]]-Tabla24[[#This Row],[MONTO DE COMPRA]]</f>
        <v>1500</v>
      </c>
    </row>
    <row r="93" spans="1:15" x14ac:dyDescent="0.25">
      <c r="A93" s="9">
        <v>44611</v>
      </c>
      <c r="B93" s="4" t="s">
        <v>787</v>
      </c>
      <c r="C93" s="4" t="s">
        <v>785</v>
      </c>
      <c r="D93" s="1" t="s">
        <v>28</v>
      </c>
      <c r="E93" s="4" t="s">
        <v>775</v>
      </c>
      <c r="F93" s="1" t="s">
        <v>10</v>
      </c>
      <c r="G93" s="1" t="s">
        <v>786</v>
      </c>
      <c r="H93" s="15">
        <v>80000</v>
      </c>
      <c r="I93" s="2">
        <f>Tabla24[[#This Row],[TOTAL FACTURA]]*0.6</f>
        <v>48000</v>
      </c>
      <c r="J93" s="2">
        <f>Tabla24[[#This Row],[TOTAL FACTURA]]*0.4</f>
        <v>32000</v>
      </c>
      <c r="K93" s="1" t="s">
        <v>516</v>
      </c>
      <c r="L93" s="2">
        <v>210000</v>
      </c>
      <c r="M93" s="2">
        <v>272000</v>
      </c>
      <c r="N93" s="1" t="s">
        <v>25</v>
      </c>
      <c r="O93" s="15">
        <f>Tabla24[[#This Row],[MONTO DE LA VENTA]]-Tabla24[[#This Row],[MONTO DE COMPRA]]</f>
        <v>62000</v>
      </c>
    </row>
    <row r="94" spans="1:15" x14ac:dyDescent="0.25">
      <c r="A94" s="9">
        <v>44611</v>
      </c>
      <c r="B94" s="4" t="s">
        <v>788</v>
      </c>
      <c r="C94" s="4" t="s">
        <v>789</v>
      </c>
      <c r="D94" s="1" t="s">
        <v>54</v>
      </c>
      <c r="E94" s="4" t="s">
        <v>790</v>
      </c>
      <c r="F94" s="1" t="s">
        <v>30</v>
      </c>
      <c r="G94" s="1" t="s">
        <v>865</v>
      </c>
      <c r="H94" s="15">
        <v>100000</v>
      </c>
      <c r="I94" s="2">
        <f>Tabla24[[#This Row],[TOTAL FACTURA]]*0.6</f>
        <v>60000</v>
      </c>
      <c r="J94" s="2">
        <f>Tabla24[[#This Row],[TOTAL FACTURA]]*0.4</f>
        <v>40000</v>
      </c>
      <c r="K94" s="1" t="s">
        <v>791</v>
      </c>
      <c r="L94" s="2">
        <f>1000+15000+5000+10000</f>
        <v>31000</v>
      </c>
      <c r="M94" s="2">
        <v>145000</v>
      </c>
      <c r="N94" s="1" t="s">
        <v>25</v>
      </c>
      <c r="O94" s="15">
        <f>Tabla24[[#This Row],[MONTO DE LA VENTA]]-Tabla24[[#This Row],[MONTO DE COMPRA]]</f>
        <v>114000</v>
      </c>
    </row>
    <row r="95" spans="1:15" x14ac:dyDescent="0.25">
      <c r="A95" s="9">
        <v>44611</v>
      </c>
      <c r="B95" s="4" t="s">
        <v>792</v>
      </c>
      <c r="C95" s="4" t="s">
        <v>793</v>
      </c>
      <c r="D95" s="1" t="s">
        <v>794</v>
      </c>
      <c r="E95" s="4" t="s">
        <v>795</v>
      </c>
      <c r="F95" s="1" t="s">
        <v>408</v>
      </c>
      <c r="G95" s="1" t="s">
        <v>796</v>
      </c>
      <c r="H95" s="15">
        <v>50000</v>
      </c>
      <c r="I95" s="15">
        <f>Tabla24[[#This Row],[TOTAL FACTURA]]*0.6</f>
        <v>30000</v>
      </c>
      <c r="J95" s="15">
        <f>Tabla24[[#This Row],[TOTAL FACTURA]]*0.4</f>
        <v>20000</v>
      </c>
      <c r="K95" s="1" t="s">
        <v>217</v>
      </c>
      <c r="L95" s="15">
        <v>50000</v>
      </c>
      <c r="M95" s="15">
        <v>90000</v>
      </c>
      <c r="N95" s="1" t="s">
        <v>25</v>
      </c>
      <c r="O95" s="15">
        <f>Tabla24[[#This Row],[MONTO DE LA VENTA]]-Tabla24[[#This Row],[MONTO DE COMPRA]]</f>
        <v>40000</v>
      </c>
    </row>
    <row r="96" spans="1:15" x14ac:dyDescent="0.25">
      <c r="A96" s="9">
        <v>44611</v>
      </c>
      <c r="B96" s="4" t="s">
        <v>792</v>
      </c>
      <c r="C96" s="4" t="s">
        <v>793</v>
      </c>
      <c r="D96" s="1" t="s">
        <v>794</v>
      </c>
      <c r="E96" s="4" t="s">
        <v>795</v>
      </c>
      <c r="F96" s="1" t="s">
        <v>10</v>
      </c>
      <c r="G96" s="1" t="s">
        <v>797</v>
      </c>
      <c r="H96" s="15">
        <v>190000</v>
      </c>
      <c r="I96" s="2">
        <f>Tabla24[[#This Row],[TOTAL FACTURA]]*0.6</f>
        <v>114000</v>
      </c>
      <c r="J96" s="2">
        <f>Tabla24[[#This Row],[TOTAL FACTURA]]*0.4</f>
        <v>76000</v>
      </c>
      <c r="K96" s="1" t="s">
        <v>799</v>
      </c>
      <c r="L96" s="2">
        <f>187000+20000</f>
        <v>207000</v>
      </c>
      <c r="M96" s="2">
        <f>255000+32000</f>
        <v>287000</v>
      </c>
      <c r="N96" s="1" t="s">
        <v>25</v>
      </c>
      <c r="O96" s="15">
        <f>Tabla24[[#This Row],[MONTO DE LA VENTA]]-Tabla24[[#This Row],[MONTO DE COMPRA]]</f>
        <v>80000</v>
      </c>
    </row>
    <row r="97" spans="1:15" x14ac:dyDescent="0.25">
      <c r="A97" s="9">
        <v>44611</v>
      </c>
      <c r="B97" s="4" t="s">
        <v>792</v>
      </c>
      <c r="C97" s="4" t="s">
        <v>793</v>
      </c>
      <c r="D97" s="1" t="s">
        <v>794</v>
      </c>
      <c r="E97" s="4" t="s">
        <v>795</v>
      </c>
      <c r="F97" s="1" t="s">
        <v>603</v>
      </c>
      <c r="G97" s="1" t="s">
        <v>98</v>
      </c>
      <c r="H97" s="15">
        <v>100000</v>
      </c>
      <c r="I97" s="2">
        <f>Tabla24[[#This Row],[TOTAL FACTURA]]*0.6</f>
        <v>60000</v>
      </c>
      <c r="J97" s="2">
        <f>Tabla24[[#This Row],[TOTAL FACTURA]]*0.4</f>
        <v>40000</v>
      </c>
      <c r="K97" s="1" t="s">
        <v>798</v>
      </c>
      <c r="L97" s="2">
        <v>60000</v>
      </c>
      <c r="M97" s="2">
        <v>84000</v>
      </c>
      <c r="N97" s="1" t="s">
        <v>25</v>
      </c>
      <c r="O97" s="15">
        <f>Tabla24[[#This Row],[MONTO DE LA VENTA]]-Tabla24[[#This Row],[MONTO DE COMPRA]]</f>
        <v>24000</v>
      </c>
    </row>
    <row r="98" spans="1:15" x14ac:dyDescent="0.25">
      <c r="A98" s="9">
        <v>44611</v>
      </c>
      <c r="B98" s="4" t="s">
        <v>800</v>
      </c>
      <c r="C98" s="4" t="s">
        <v>612</v>
      </c>
      <c r="D98" s="1" t="s">
        <v>43</v>
      </c>
      <c r="E98" s="4" t="s">
        <v>594</v>
      </c>
      <c r="F98" s="1" t="s">
        <v>19</v>
      </c>
      <c r="G98" s="1" t="s">
        <v>801</v>
      </c>
      <c r="H98" s="15">
        <v>100000</v>
      </c>
      <c r="I98" s="2">
        <f>Tabla24[[#This Row],[TOTAL FACTURA]]*0.6</f>
        <v>60000</v>
      </c>
      <c r="J98" s="2">
        <f>Tabla24[[#This Row],[TOTAL FACTURA]]*0.4</f>
        <v>40000</v>
      </c>
      <c r="K98" s="1" t="s">
        <v>802</v>
      </c>
      <c r="L98" s="2">
        <f>220000+20000</f>
        <v>240000</v>
      </c>
      <c r="M98" s="2">
        <v>332000</v>
      </c>
      <c r="N98" s="1" t="s">
        <v>25</v>
      </c>
      <c r="O98" s="15">
        <f>Tabla24[[#This Row],[MONTO DE LA VENTA]]-Tabla24[[#This Row],[MONTO DE COMPRA]]</f>
        <v>92000</v>
      </c>
    </row>
    <row r="99" spans="1:15" x14ac:dyDescent="0.25">
      <c r="A99" s="9">
        <v>44611</v>
      </c>
      <c r="B99" s="4" t="s">
        <v>803</v>
      </c>
      <c r="C99" s="4" t="s">
        <v>804</v>
      </c>
      <c r="D99" s="1" t="s">
        <v>242</v>
      </c>
      <c r="E99" s="4" t="s">
        <v>805</v>
      </c>
      <c r="F99" s="1" t="s">
        <v>30</v>
      </c>
      <c r="G99" s="1" t="s">
        <v>806</v>
      </c>
      <c r="H99" s="15">
        <v>100000</v>
      </c>
      <c r="I99" s="2">
        <f>Tabla24[[#This Row],[TOTAL FACTURA]]*0.6</f>
        <v>60000</v>
      </c>
      <c r="J99" s="2">
        <f>Tabla24[[#This Row],[TOTAL FACTURA]]*0.4</f>
        <v>40000</v>
      </c>
      <c r="K99" s="1" t="s">
        <v>807</v>
      </c>
      <c r="L99" s="2">
        <v>261000</v>
      </c>
      <c r="M99" s="2">
        <f>200000+700</f>
        <v>200700</v>
      </c>
      <c r="N99" s="1" t="s">
        <v>25</v>
      </c>
      <c r="O99" s="15">
        <f>Tabla24[[#This Row],[MONTO DE LA VENTA]]-Tabla24[[#This Row],[MONTO DE COMPRA]]</f>
        <v>-60300</v>
      </c>
    </row>
    <row r="100" spans="1:15" x14ac:dyDescent="0.25">
      <c r="A100" s="9">
        <v>44613</v>
      </c>
      <c r="C100" s="4"/>
      <c r="D100" s="1" t="s">
        <v>717</v>
      </c>
      <c r="E100" s="4"/>
      <c r="F100" s="1" t="s">
        <v>603</v>
      </c>
      <c r="G100" s="1" t="s">
        <v>718</v>
      </c>
      <c r="H100" s="15">
        <v>30000</v>
      </c>
      <c r="I100" s="2">
        <f>Tabla24[[#This Row],[TOTAL FACTURA]]*0.6</f>
        <v>18000</v>
      </c>
      <c r="J100" s="2">
        <f>Tabla24[[#This Row],[TOTAL FACTURA]]*0.4</f>
        <v>12000</v>
      </c>
      <c r="L100" s="2"/>
      <c r="M100" s="2"/>
      <c r="N100" s="1" t="s">
        <v>25</v>
      </c>
      <c r="O100" s="15">
        <f>Tabla24[[#This Row],[MONTO DE LA VENTA]]-Tabla24[[#This Row],[MONTO DE COMPRA]]</f>
        <v>0</v>
      </c>
    </row>
    <row r="101" spans="1:15" x14ac:dyDescent="0.25">
      <c r="A101" s="9">
        <v>44613</v>
      </c>
      <c r="B101" s="4" t="s">
        <v>809</v>
      </c>
      <c r="C101" s="4" t="s">
        <v>765</v>
      </c>
      <c r="D101" s="1" t="s">
        <v>810</v>
      </c>
      <c r="E101" s="4" t="s">
        <v>767</v>
      </c>
      <c r="F101" s="1" t="s">
        <v>10</v>
      </c>
      <c r="G101" s="1" t="s">
        <v>811</v>
      </c>
      <c r="H101" s="15">
        <v>80000</v>
      </c>
      <c r="I101" s="2">
        <f>Tabla24[[#This Row],[TOTAL FACTURA]]*0.6</f>
        <v>48000</v>
      </c>
      <c r="J101" s="2">
        <f>Tabla24[[#This Row],[TOTAL FACTURA]]*0.4</f>
        <v>32000</v>
      </c>
      <c r="K101" s="1" t="s">
        <v>812</v>
      </c>
      <c r="L101" s="2">
        <v>90000</v>
      </c>
      <c r="M101" s="2">
        <v>110000</v>
      </c>
      <c r="N101" s="1" t="s">
        <v>25</v>
      </c>
      <c r="O101" s="15">
        <f>Tabla24[[#This Row],[MONTO DE LA VENTA]]-Tabla24[[#This Row],[MONTO DE COMPRA]]</f>
        <v>20000</v>
      </c>
    </row>
    <row r="102" spans="1:15" x14ac:dyDescent="0.25">
      <c r="A102" s="9">
        <v>44613</v>
      </c>
      <c r="B102" s="4" t="s">
        <v>813</v>
      </c>
      <c r="C102" s="4" t="s">
        <v>814</v>
      </c>
      <c r="D102" s="1" t="s">
        <v>815</v>
      </c>
      <c r="E102" s="4" t="s">
        <v>816</v>
      </c>
      <c r="F102" s="1" t="s">
        <v>19</v>
      </c>
      <c r="G102" s="1" t="s">
        <v>817</v>
      </c>
      <c r="H102" s="15">
        <v>80000</v>
      </c>
      <c r="I102" s="2">
        <f>Tabla24[[#This Row],[TOTAL FACTURA]]*0.6</f>
        <v>48000</v>
      </c>
      <c r="J102" s="2">
        <f>Tabla24[[#This Row],[TOTAL FACTURA]]*0.4</f>
        <v>32000</v>
      </c>
      <c r="K102" s="1" t="s">
        <v>818</v>
      </c>
      <c r="L102" s="2">
        <f>100000+180000+22000</f>
        <v>302000</v>
      </c>
      <c r="M102" s="2">
        <v>568000</v>
      </c>
      <c r="N102" s="1" t="s">
        <v>25</v>
      </c>
      <c r="O102" s="15">
        <f>Tabla24[[#This Row],[MONTO DE LA VENTA]]-Tabla24[[#This Row],[MONTO DE COMPRA]]</f>
        <v>266000</v>
      </c>
    </row>
    <row r="103" spans="1:15" x14ac:dyDescent="0.25">
      <c r="A103" s="9">
        <v>44613</v>
      </c>
      <c r="B103" s="4" t="s">
        <v>819</v>
      </c>
      <c r="C103" s="4" t="s">
        <v>820</v>
      </c>
      <c r="D103" s="1" t="s">
        <v>48</v>
      </c>
      <c r="E103" s="4" t="s">
        <v>364</v>
      </c>
      <c r="F103" s="1" t="s">
        <v>603</v>
      </c>
      <c r="G103" s="1" t="s">
        <v>308</v>
      </c>
      <c r="H103" s="15">
        <v>30000</v>
      </c>
      <c r="I103" s="2">
        <f>Tabla24[[#This Row],[TOTAL FACTURA]]*0.6</f>
        <v>18000</v>
      </c>
      <c r="J103" s="2">
        <f>Tabla24[[#This Row],[TOTAL FACTURA]]*0.4</f>
        <v>12000</v>
      </c>
      <c r="L103" s="2"/>
      <c r="M103" s="2"/>
      <c r="N103" s="1" t="s">
        <v>25</v>
      </c>
      <c r="O103" s="15">
        <f>Tabla24[[#This Row],[MONTO DE LA VENTA]]-Tabla24[[#This Row],[MONTO DE COMPRA]]</f>
        <v>0</v>
      </c>
    </row>
    <row r="104" spans="1:15" x14ac:dyDescent="0.25">
      <c r="A104" s="9">
        <v>44613</v>
      </c>
      <c r="B104" s="4" t="s">
        <v>821</v>
      </c>
      <c r="C104" s="4" t="s">
        <v>598</v>
      </c>
      <c r="D104" s="1" t="s">
        <v>161</v>
      </c>
      <c r="E104" s="4" t="s">
        <v>162</v>
      </c>
      <c r="F104" s="1" t="s">
        <v>19</v>
      </c>
      <c r="G104" s="1" t="s">
        <v>21</v>
      </c>
      <c r="H104" s="15">
        <v>10000</v>
      </c>
      <c r="I104" s="2">
        <f>Tabla24[[#This Row],[TOTAL FACTURA]]*0.6</f>
        <v>6000</v>
      </c>
      <c r="J104" s="2">
        <f>Tabla24[[#This Row],[TOTAL FACTURA]]*0.4</f>
        <v>4000</v>
      </c>
      <c r="L104" s="2"/>
      <c r="M104" s="2"/>
      <c r="N104" s="1" t="s">
        <v>25</v>
      </c>
      <c r="O104" s="15">
        <f>Tabla24[[#This Row],[MONTO DE LA VENTA]]-Tabla24[[#This Row],[MONTO DE COMPRA]]</f>
        <v>0</v>
      </c>
    </row>
    <row r="105" spans="1:15" x14ac:dyDescent="0.25">
      <c r="A105" s="9">
        <v>44614</v>
      </c>
      <c r="B105" s="4" t="s">
        <v>822</v>
      </c>
      <c r="C105" s="4" t="s">
        <v>823</v>
      </c>
      <c r="D105" s="1" t="s">
        <v>48</v>
      </c>
      <c r="E105" s="4" t="s">
        <v>824</v>
      </c>
      <c r="F105" s="1" t="s">
        <v>18</v>
      </c>
      <c r="G105" s="1" t="s">
        <v>825</v>
      </c>
      <c r="H105" s="15">
        <f>200000-48000</f>
        <v>152000</v>
      </c>
      <c r="I105" s="2">
        <f>Tabla24[[#This Row],[TOTAL FACTURA]]*0.6</f>
        <v>91200</v>
      </c>
      <c r="J105" s="2">
        <f>Tabla24[[#This Row],[TOTAL FACTURA]]*0.4</f>
        <v>60800</v>
      </c>
      <c r="L105" s="2"/>
      <c r="M105" s="2"/>
      <c r="N105" s="1" t="s">
        <v>25</v>
      </c>
      <c r="O105" s="15">
        <f>Tabla24[[#This Row],[MONTO DE LA VENTA]]-Tabla24[[#This Row],[MONTO DE COMPRA]]</f>
        <v>0</v>
      </c>
    </row>
    <row r="106" spans="1:15" x14ac:dyDescent="0.25">
      <c r="A106" s="9">
        <v>44614</v>
      </c>
      <c r="B106" s="4" t="s">
        <v>826</v>
      </c>
      <c r="C106" s="4" t="s">
        <v>827</v>
      </c>
      <c r="D106" s="1" t="s">
        <v>828</v>
      </c>
      <c r="E106" s="4" t="s">
        <v>829</v>
      </c>
      <c r="F106" s="1" t="s">
        <v>408</v>
      </c>
      <c r="G106" s="1" t="s">
        <v>830</v>
      </c>
      <c r="H106" s="15">
        <v>20000</v>
      </c>
      <c r="I106" s="2">
        <f>Tabla24[[#This Row],[TOTAL FACTURA]]*0.6</f>
        <v>12000</v>
      </c>
      <c r="J106" s="2">
        <f>Tabla24[[#This Row],[TOTAL FACTURA]]*0.4</f>
        <v>8000</v>
      </c>
      <c r="K106" s="1" t="s">
        <v>831</v>
      </c>
      <c r="L106" s="2">
        <f>13025+10000</f>
        <v>23025</v>
      </c>
      <c r="M106" s="2">
        <v>37000</v>
      </c>
      <c r="N106" s="1" t="s">
        <v>25</v>
      </c>
      <c r="O106" s="15">
        <f>Tabla24[[#This Row],[MONTO DE LA VENTA]]-Tabla24[[#This Row],[MONTO DE COMPRA]]</f>
        <v>13975</v>
      </c>
    </row>
    <row r="107" spans="1:15" x14ac:dyDescent="0.25">
      <c r="A107" s="9">
        <v>44614</v>
      </c>
      <c r="B107" s="4" t="s">
        <v>832</v>
      </c>
      <c r="C107" s="4" t="s">
        <v>833</v>
      </c>
      <c r="D107" s="1" t="s">
        <v>834</v>
      </c>
      <c r="E107" s="4" t="s">
        <v>835</v>
      </c>
      <c r="F107" s="1" t="s">
        <v>408</v>
      </c>
      <c r="G107" s="1" t="s">
        <v>20</v>
      </c>
      <c r="H107" s="15">
        <v>25000</v>
      </c>
      <c r="I107" s="2">
        <f>Tabla24[[#This Row],[TOTAL FACTURA]]*0.6</f>
        <v>15000</v>
      </c>
      <c r="J107" s="2">
        <f>Tabla24[[#This Row],[TOTAL FACTURA]]*0.4</f>
        <v>10000</v>
      </c>
      <c r="L107" s="2"/>
      <c r="M107" s="2"/>
      <c r="N107" s="1" t="s">
        <v>25</v>
      </c>
      <c r="O107" s="15">
        <f>Tabla24[[#This Row],[MONTO DE LA VENTA]]-Tabla24[[#This Row],[MONTO DE COMPRA]]</f>
        <v>0</v>
      </c>
    </row>
    <row r="108" spans="1:15" x14ac:dyDescent="0.25">
      <c r="A108" s="9">
        <v>44614</v>
      </c>
      <c r="B108" s="4" t="s">
        <v>836</v>
      </c>
      <c r="C108" s="4" t="s">
        <v>837</v>
      </c>
      <c r="D108" s="1" t="s">
        <v>838</v>
      </c>
      <c r="E108" s="4" t="s">
        <v>839</v>
      </c>
      <c r="F108" s="1" t="s">
        <v>19</v>
      </c>
      <c r="G108" s="1" t="s">
        <v>21</v>
      </c>
      <c r="H108" s="15">
        <v>12000</v>
      </c>
      <c r="I108" s="2">
        <f>Tabla24[[#This Row],[TOTAL FACTURA]]*0.6</f>
        <v>7200</v>
      </c>
      <c r="J108" s="2">
        <f>Tabla24[[#This Row],[TOTAL FACTURA]]*0.4</f>
        <v>4800</v>
      </c>
      <c r="L108" s="2"/>
      <c r="M108" s="2"/>
      <c r="N108" s="1" t="s">
        <v>25</v>
      </c>
      <c r="O108" s="15">
        <f>Tabla24[[#This Row],[MONTO DE LA VENTA]]-Tabla24[[#This Row],[MONTO DE COMPRA]]</f>
        <v>0</v>
      </c>
    </row>
    <row r="109" spans="1:15" x14ac:dyDescent="0.25">
      <c r="A109" s="9">
        <v>44614</v>
      </c>
      <c r="B109" s="4" t="s">
        <v>836</v>
      </c>
      <c r="C109" s="4" t="s">
        <v>837</v>
      </c>
      <c r="D109" s="1" t="s">
        <v>838</v>
      </c>
      <c r="E109" s="4" t="s">
        <v>839</v>
      </c>
      <c r="F109" s="1" t="s">
        <v>34</v>
      </c>
      <c r="G109" s="1" t="s">
        <v>840</v>
      </c>
      <c r="H109" s="15">
        <v>28000</v>
      </c>
      <c r="I109" s="2">
        <f>Tabla24[[#This Row],[TOTAL FACTURA]]*0.6</f>
        <v>16800</v>
      </c>
      <c r="J109" s="2">
        <f>Tabla24[[#This Row],[TOTAL FACTURA]]*0.4</f>
        <v>11200</v>
      </c>
      <c r="L109" s="2"/>
      <c r="M109" s="2"/>
      <c r="N109" s="1" t="s">
        <v>25</v>
      </c>
      <c r="O109" s="15">
        <f>Tabla24[[#This Row],[MONTO DE LA VENTA]]-Tabla24[[#This Row],[MONTO DE COMPRA]]</f>
        <v>0</v>
      </c>
    </row>
    <row r="110" spans="1:15" x14ac:dyDescent="0.25">
      <c r="A110" s="9">
        <v>44614</v>
      </c>
      <c r="C110" s="4" t="s">
        <v>841</v>
      </c>
      <c r="D110" s="1" t="s">
        <v>48</v>
      </c>
      <c r="E110" s="4" t="s">
        <v>842</v>
      </c>
      <c r="F110" s="1" t="s">
        <v>19</v>
      </c>
      <c r="G110" s="1" t="s">
        <v>21</v>
      </c>
      <c r="H110" s="15">
        <v>10000</v>
      </c>
      <c r="I110" s="2">
        <f>Tabla24[[#This Row],[TOTAL FACTURA]]*0.6</f>
        <v>6000</v>
      </c>
      <c r="J110" s="2">
        <f>Tabla24[[#This Row],[TOTAL FACTURA]]*0.4</f>
        <v>4000</v>
      </c>
      <c r="L110" s="2"/>
      <c r="M110" s="2"/>
      <c r="N110" s="1" t="s">
        <v>25</v>
      </c>
      <c r="O110" s="15">
        <f>Tabla24[[#This Row],[MONTO DE LA VENTA]]-Tabla24[[#This Row],[MONTO DE COMPRA]]</f>
        <v>0</v>
      </c>
    </row>
    <row r="111" spans="1:15" x14ac:dyDescent="0.25">
      <c r="A111" s="9">
        <v>44614</v>
      </c>
      <c r="B111" s="4" t="s">
        <v>843</v>
      </c>
      <c r="C111" s="4" t="s">
        <v>789</v>
      </c>
      <c r="D111" s="1" t="s">
        <v>828</v>
      </c>
      <c r="E111" s="4" t="s">
        <v>790</v>
      </c>
      <c r="F111" s="1" t="s">
        <v>19</v>
      </c>
      <c r="G111" s="1" t="s">
        <v>844</v>
      </c>
      <c r="H111" s="15">
        <v>30000</v>
      </c>
      <c r="I111" s="2">
        <f>Tabla24[[#This Row],[TOTAL FACTURA]]*0.6</f>
        <v>18000</v>
      </c>
      <c r="J111" s="2">
        <f>Tabla24[[#This Row],[TOTAL FACTURA]]*0.4</f>
        <v>12000</v>
      </c>
      <c r="K111" s="1" t="s">
        <v>845</v>
      </c>
      <c r="L111" s="2">
        <f>230000+5000</f>
        <v>235000</v>
      </c>
      <c r="M111" s="2">
        <f>312000</f>
        <v>312000</v>
      </c>
      <c r="N111" s="1" t="s">
        <v>25</v>
      </c>
      <c r="O111" s="15">
        <f>Tabla24[[#This Row],[MONTO DE LA VENTA]]-Tabla24[[#This Row],[MONTO DE COMPRA]]</f>
        <v>77000</v>
      </c>
    </row>
    <row r="112" spans="1:15" x14ac:dyDescent="0.25">
      <c r="A112" s="9">
        <v>44614</v>
      </c>
      <c r="B112" s="4" t="s">
        <v>846</v>
      </c>
      <c r="C112" s="4" t="s">
        <v>847</v>
      </c>
      <c r="D112" s="1" t="s">
        <v>352</v>
      </c>
      <c r="E112" s="4" t="s">
        <v>353</v>
      </c>
      <c r="F112" s="1" t="s">
        <v>30</v>
      </c>
      <c r="G112" s="1" t="s">
        <v>848</v>
      </c>
      <c r="H112" s="15">
        <v>180000</v>
      </c>
      <c r="I112" s="2">
        <f>Tabla24[[#This Row],[TOTAL FACTURA]]*0.6</f>
        <v>108000</v>
      </c>
      <c r="J112" s="2">
        <f>Tabla24[[#This Row],[TOTAL FACTURA]]*0.4</f>
        <v>72000</v>
      </c>
      <c r="K112" s="1" t="s">
        <v>849</v>
      </c>
      <c r="L112" s="2">
        <f>5000+10000+100+25000+86000</f>
        <v>126100</v>
      </c>
      <c r="M112" s="2">
        <v>186300</v>
      </c>
      <c r="N112" s="1" t="s">
        <v>25</v>
      </c>
      <c r="O112" s="15">
        <f>Tabla24[[#This Row],[MONTO DE LA VENTA]]-Tabla24[[#This Row],[MONTO DE COMPRA]]</f>
        <v>60200</v>
      </c>
    </row>
    <row r="113" spans="1:15" x14ac:dyDescent="0.25">
      <c r="A113" s="56">
        <v>44615</v>
      </c>
      <c r="C113" s="4" t="s">
        <v>854</v>
      </c>
      <c r="D113" s="1" t="s">
        <v>864</v>
      </c>
      <c r="E113" s="4" t="s">
        <v>855</v>
      </c>
      <c r="F113" s="1" t="s">
        <v>408</v>
      </c>
      <c r="G113" s="1" t="s">
        <v>863</v>
      </c>
      <c r="H113" s="15">
        <v>600000</v>
      </c>
      <c r="I113" s="2">
        <f>Tabla24[[#This Row],[TOTAL FACTURA]]*0.6</f>
        <v>360000</v>
      </c>
      <c r="J113" s="62">
        <f>Tabla24[[#This Row],[TOTAL FACTURA]]*0.4</f>
        <v>240000</v>
      </c>
      <c r="L113" s="2"/>
      <c r="M113" s="2"/>
      <c r="N113" s="1" t="s">
        <v>25</v>
      </c>
      <c r="O113" s="15">
        <f>Tabla24[[#This Row],[MONTO DE LA VENTA]]-Tabla24[[#This Row],[MONTO DE COMPRA]]</f>
        <v>0</v>
      </c>
    </row>
    <row r="114" spans="1:15" x14ac:dyDescent="0.25">
      <c r="A114" s="56">
        <v>44615</v>
      </c>
      <c r="C114" s="4" t="s">
        <v>854</v>
      </c>
      <c r="D114" s="1" t="s">
        <v>200</v>
      </c>
      <c r="E114" s="4" t="s">
        <v>855</v>
      </c>
      <c r="F114" s="1" t="s">
        <v>408</v>
      </c>
      <c r="G114" s="1" t="s">
        <v>856</v>
      </c>
      <c r="H114" s="15">
        <v>60000</v>
      </c>
      <c r="I114" s="2">
        <f>Tabla24[[#This Row],[TOTAL FACTURA]]*0.6</f>
        <v>36000</v>
      </c>
      <c r="J114" s="62">
        <f>Tabla24[[#This Row],[TOTAL FACTURA]]*0.4</f>
        <v>24000</v>
      </c>
      <c r="L114" s="2"/>
      <c r="M114" s="2"/>
      <c r="N114" s="1" t="s">
        <v>25</v>
      </c>
      <c r="O114" s="15">
        <f>Tabla24[[#This Row],[MONTO DE LA VENTA]]-Tabla24[[#This Row],[MONTO DE COMPRA]]</f>
        <v>0</v>
      </c>
    </row>
    <row r="115" spans="1:15" x14ac:dyDescent="0.25">
      <c r="A115" s="56">
        <v>44615</v>
      </c>
      <c r="B115" s="4" t="s">
        <v>858</v>
      </c>
      <c r="C115" s="4" t="s">
        <v>820</v>
      </c>
      <c r="D115" s="1" t="s">
        <v>48</v>
      </c>
      <c r="E115" s="4" t="s">
        <v>857</v>
      </c>
      <c r="F115" s="1" t="s">
        <v>19</v>
      </c>
      <c r="G115" s="1" t="s">
        <v>859</v>
      </c>
      <c r="H115" s="15">
        <v>60000</v>
      </c>
      <c r="I115" s="2">
        <f>Tabla24[[#This Row],[TOTAL FACTURA]]*0.6</f>
        <v>36000</v>
      </c>
      <c r="J115" s="62">
        <f>Tabla24[[#This Row],[TOTAL FACTURA]]*0.4</f>
        <v>24000</v>
      </c>
      <c r="L115" s="2"/>
      <c r="M115" s="2"/>
      <c r="N115" s="1" t="s">
        <v>25</v>
      </c>
      <c r="O115" s="15">
        <f>Tabla24[[#This Row],[MONTO DE LA VENTA]]-Tabla24[[#This Row],[MONTO DE COMPRA]]</f>
        <v>0</v>
      </c>
    </row>
    <row r="116" spans="1:15" x14ac:dyDescent="0.25">
      <c r="A116" s="56">
        <v>44615</v>
      </c>
      <c r="B116" s="4" t="s">
        <v>858</v>
      </c>
      <c r="C116" s="4" t="s">
        <v>820</v>
      </c>
      <c r="D116" s="1" t="s">
        <v>48</v>
      </c>
      <c r="E116" s="4" t="s">
        <v>857</v>
      </c>
      <c r="F116" s="1" t="s">
        <v>18</v>
      </c>
      <c r="G116" s="1" t="s">
        <v>860</v>
      </c>
      <c r="H116" s="15">
        <v>80000</v>
      </c>
      <c r="I116" s="2">
        <f>Tabla24[[#This Row],[TOTAL FACTURA]]*0.6</f>
        <v>48000</v>
      </c>
      <c r="J116" s="62">
        <f>Tabla24[[#This Row],[TOTAL FACTURA]]*0.4</f>
        <v>32000</v>
      </c>
      <c r="L116" s="2"/>
      <c r="M116" s="2"/>
      <c r="N116" s="1" t="s">
        <v>25</v>
      </c>
      <c r="O116" s="15">
        <f>Tabla24[[#This Row],[MONTO DE LA VENTA]]-Tabla24[[#This Row],[MONTO DE COMPRA]]</f>
        <v>0</v>
      </c>
    </row>
    <row r="117" spans="1:15" x14ac:dyDescent="0.25">
      <c r="A117" s="9">
        <v>44616</v>
      </c>
      <c r="B117" s="4" t="s">
        <v>850</v>
      </c>
      <c r="C117" s="4" t="s">
        <v>851</v>
      </c>
      <c r="D117" s="1" t="s">
        <v>84</v>
      </c>
      <c r="E117" s="4" t="s">
        <v>852</v>
      </c>
      <c r="F117" s="1" t="s">
        <v>603</v>
      </c>
      <c r="G117" s="1" t="s">
        <v>853</v>
      </c>
      <c r="H117" s="15">
        <v>20000</v>
      </c>
      <c r="I117" s="2">
        <v>20000</v>
      </c>
      <c r="J117" s="2"/>
      <c r="L117" s="2"/>
      <c r="M117" s="2"/>
      <c r="N117" s="1" t="s">
        <v>25</v>
      </c>
      <c r="O117" s="15">
        <f>Tabla24[[#This Row],[MONTO DE LA VENTA]]-Tabla24[[#This Row],[MONTO DE COMPRA]]</f>
        <v>0</v>
      </c>
    </row>
    <row r="118" spans="1:15" x14ac:dyDescent="0.25">
      <c r="A118" s="9">
        <v>44616</v>
      </c>
      <c r="C118" s="4" t="s">
        <v>34</v>
      </c>
      <c r="D118" s="1" t="s">
        <v>122</v>
      </c>
      <c r="E118" s="4"/>
      <c r="F118" s="1" t="s">
        <v>19</v>
      </c>
      <c r="G118" s="1" t="s">
        <v>866</v>
      </c>
      <c r="H118" s="15">
        <v>50000</v>
      </c>
      <c r="I118" s="2">
        <v>50000</v>
      </c>
      <c r="J118" s="2">
        <f>Tabla24[[#This Row],[TOTAL FACTURA]]*0.4</f>
        <v>20000</v>
      </c>
      <c r="L118" s="2"/>
      <c r="M118" s="2"/>
      <c r="N118" s="1" t="s">
        <v>25</v>
      </c>
      <c r="O118" s="15">
        <f>Tabla24[[#This Row],[MONTO DE LA VENTA]]-Tabla24[[#This Row],[MONTO DE COMPRA]]</f>
        <v>0</v>
      </c>
    </row>
    <row r="119" spans="1:15" x14ac:dyDescent="0.25">
      <c r="A119" s="9">
        <v>44616</v>
      </c>
      <c r="C119" s="4" t="s">
        <v>34</v>
      </c>
      <c r="D119" s="1" t="s">
        <v>122</v>
      </c>
      <c r="E119" s="4"/>
      <c r="F119" s="1" t="s">
        <v>408</v>
      </c>
      <c r="G119" s="1" t="s">
        <v>867</v>
      </c>
      <c r="H119" s="15">
        <v>180000</v>
      </c>
      <c r="I119" s="2">
        <f>Tabla24[[#This Row],[TOTAL FACTURA]]*0.6</f>
        <v>108000</v>
      </c>
      <c r="J119" s="2">
        <f>Tabla24[[#This Row],[TOTAL FACTURA]]*0.4</f>
        <v>72000</v>
      </c>
      <c r="L119" s="2"/>
      <c r="M119" s="2"/>
      <c r="N119" s="1" t="s">
        <v>25</v>
      </c>
      <c r="O119" s="15">
        <f>Tabla24[[#This Row],[MONTO DE LA VENTA]]-Tabla24[[#This Row],[MONTO DE COMPRA]]</f>
        <v>0</v>
      </c>
    </row>
    <row r="120" spans="1:15" x14ac:dyDescent="0.25">
      <c r="A120" s="9">
        <v>44616</v>
      </c>
      <c r="C120" s="4"/>
      <c r="D120" s="1" t="s">
        <v>868</v>
      </c>
      <c r="E120" s="4"/>
      <c r="F120" s="1" t="s">
        <v>19</v>
      </c>
      <c r="G120" s="1" t="s">
        <v>869</v>
      </c>
      <c r="H120" s="15">
        <v>15000</v>
      </c>
      <c r="I120" s="2">
        <v>15000</v>
      </c>
      <c r="J120" s="2">
        <f>Tabla24[[#This Row],[TOTAL FACTURA]]*0.4</f>
        <v>6000</v>
      </c>
      <c r="L120" s="2"/>
      <c r="M120" s="2"/>
      <c r="N120" s="1" t="s">
        <v>25</v>
      </c>
      <c r="O120" s="15">
        <f>Tabla24[[#This Row],[MONTO DE LA VENTA]]-Tabla24[[#This Row],[MONTO DE COMPRA]]</f>
        <v>0</v>
      </c>
    </row>
    <row r="121" spans="1:15" x14ac:dyDescent="0.25">
      <c r="A121" s="9">
        <v>44618</v>
      </c>
      <c r="C121" s="4"/>
      <c r="D121" s="1" t="s">
        <v>22</v>
      </c>
      <c r="E121" s="4"/>
      <c r="F121" s="1" t="s">
        <v>10</v>
      </c>
      <c r="G121" s="1" t="s">
        <v>957</v>
      </c>
      <c r="H121" s="15">
        <v>20000</v>
      </c>
      <c r="I121" s="2">
        <f>Tabla24[[#This Row],[TOTAL FACTURA]]*0.6</f>
        <v>12000</v>
      </c>
      <c r="J121" s="2">
        <f>Tabla24[[#This Row],[TOTAL FACTURA]]*0.4</f>
        <v>8000</v>
      </c>
      <c r="L121" s="2"/>
      <c r="M121" s="2"/>
      <c r="N121" s="1" t="s">
        <v>25</v>
      </c>
      <c r="O121" s="15">
        <f>Tabla24[[#This Row],[MONTO DE LA VENTA]]-Tabla24[[#This Row],[MONTO DE COMPRA]]</f>
        <v>0</v>
      </c>
    </row>
    <row r="122" spans="1:15" x14ac:dyDescent="0.25">
      <c r="A122" s="9">
        <v>44618</v>
      </c>
      <c r="C122" s="4" t="s">
        <v>870</v>
      </c>
      <c r="D122" s="1" t="s">
        <v>871</v>
      </c>
      <c r="E122" s="4" t="s">
        <v>872</v>
      </c>
      <c r="F122" s="1" t="s">
        <v>19</v>
      </c>
      <c r="G122" s="1" t="s">
        <v>873</v>
      </c>
      <c r="H122" s="15">
        <v>30000</v>
      </c>
      <c r="I122" s="2">
        <f>Tabla24[[#This Row],[TOTAL FACTURA]]*0.6</f>
        <v>18000</v>
      </c>
      <c r="J122" s="2">
        <f>Tabla24[[#This Row],[TOTAL FACTURA]]*0.4</f>
        <v>12000</v>
      </c>
      <c r="L122" s="2"/>
      <c r="M122" s="2"/>
      <c r="N122" s="1" t="s">
        <v>25</v>
      </c>
      <c r="O122" s="15">
        <f>Tabla24[[#This Row],[MONTO DE LA VENTA]]-Tabla24[[#This Row],[MONTO DE COMPRA]]</f>
        <v>0</v>
      </c>
    </row>
    <row r="123" spans="1:15" x14ac:dyDescent="0.25">
      <c r="A123" s="9">
        <v>44618</v>
      </c>
      <c r="B123" s="4" t="s">
        <v>874</v>
      </c>
      <c r="C123" s="4" t="s">
        <v>875</v>
      </c>
      <c r="D123" s="1" t="s">
        <v>168</v>
      </c>
      <c r="E123" s="4" t="s">
        <v>501</v>
      </c>
      <c r="F123" s="1" t="s">
        <v>408</v>
      </c>
      <c r="G123" s="1" t="s">
        <v>876</v>
      </c>
      <c r="H123" s="15">
        <v>40000</v>
      </c>
      <c r="I123" s="2">
        <f>Tabla24[[#This Row],[TOTAL FACTURA]]*0.6</f>
        <v>24000</v>
      </c>
      <c r="J123" s="2">
        <f>Tabla24[[#This Row],[TOTAL FACTURA]]*0.4</f>
        <v>16000</v>
      </c>
      <c r="K123" s="1" t="s">
        <v>877</v>
      </c>
      <c r="L123" s="2">
        <v>45000</v>
      </c>
      <c r="M123" s="2">
        <v>70000</v>
      </c>
      <c r="N123" s="1" t="s">
        <v>25</v>
      </c>
      <c r="O123" s="15">
        <f>Tabla24[[#This Row],[MONTO DE LA VENTA]]-Tabla24[[#This Row],[MONTO DE COMPRA]]</f>
        <v>25000</v>
      </c>
    </row>
    <row r="124" spans="1:15" x14ac:dyDescent="0.25">
      <c r="A124" s="9">
        <v>44620</v>
      </c>
      <c r="B124" s="4" t="s">
        <v>878</v>
      </c>
      <c r="C124" s="4" t="s">
        <v>879</v>
      </c>
      <c r="D124" s="1" t="s">
        <v>880</v>
      </c>
      <c r="E124" s="4" t="s">
        <v>881</v>
      </c>
      <c r="F124" s="1" t="s">
        <v>408</v>
      </c>
      <c r="G124" s="1" t="s">
        <v>882</v>
      </c>
      <c r="H124" s="15">
        <v>130000</v>
      </c>
      <c r="I124" s="2">
        <f>Tabla24[[#This Row],[TOTAL FACTURA]]*0.6</f>
        <v>78000</v>
      </c>
      <c r="J124" s="2">
        <f>Tabla24[[#This Row],[TOTAL FACTURA]]*0.4</f>
        <v>52000</v>
      </c>
      <c r="K124" s="1" t="s">
        <v>883</v>
      </c>
      <c r="L124" s="2">
        <f>290000+300+2000+37000</f>
        <v>329300</v>
      </c>
      <c r="M124" s="2">
        <v>495000</v>
      </c>
      <c r="N124" s="1" t="s">
        <v>25</v>
      </c>
      <c r="O124" s="15">
        <f>Tabla24[[#This Row],[MONTO DE LA VENTA]]-Tabla24[[#This Row],[MONTO DE COMPRA]]</f>
        <v>165700</v>
      </c>
    </row>
    <row r="125" spans="1:15" x14ac:dyDescent="0.25">
      <c r="A125" s="9">
        <v>44620</v>
      </c>
      <c r="B125" s="4" t="s">
        <v>884</v>
      </c>
      <c r="C125" s="4" t="s">
        <v>885</v>
      </c>
      <c r="D125" s="1" t="s">
        <v>402</v>
      </c>
      <c r="E125" s="4" t="s">
        <v>403</v>
      </c>
      <c r="G125" s="1" t="s">
        <v>400</v>
      </c>
      <c r="H125" s="15"/>
      <c r="I125" s="2">
        <f>Tabla24[[#This Row],[TOTAL FACTURA]]*0.6</f>
        <v>0</v>
      </c>
      <c r="J125" s="2">
        <f>Tabla24[[#This Row],[TOTAL FACTURA]]*0.4</f>
        <v>0</v>
      </c>
      <c r="K125" s="1" t="s">
        <v>886</v>
      </c>
      <c r="L125" s="2">
        <f>120000+3000</f>
        <v>123000</v>
      </c>
      <c r="M125" s="2">
        <v>186000</v>
      </c>
      <c r="N125" s="1" t="s">
        <v>25</v>
      </c>
      <c r="O125" s="15">
        <f>Tabla24[[#This Row],[MONTO DE LA VENTA]]-Tabla24[[#This Row],[MONTO DE COMPRA]]</f>
        <v>63000</v>
      </c>
    </row>
    <row r="126" spans="1:15" x14ac:dyDescent="0.25">
      <c r="A126" s="9">
        <v>44620</v>
      </c>
      <c r="B126" s="4" t="s">
        <v>887</v>
      </c>
      <c r="C126" s="4" t="s">
        <v>888</v>
      </c>
      <c r="D126" s="1" t="s">
        <v>889</v>
      </c>
      <c r="E126" s="4" t="s">
        <v>890</v>
      </c>
      <c r="F126" s="1" t="s">
        <v>408</v>
      </c>
      <c r="G126" s="1" t="s">
        <v>891</v>
      </c>
      <c r="H126" s="15">
        <v>70000</v>
      </c>
      <c r="I126" s="2">
        <f>Tabla24[[#This Row],[TOTAL FACTURA]]*0.6</f>
        <v>42000</v>
      </c>
      <c r="J126" s="2">
        <f>Tabla24[[#This Row],[TOTAL FACTURA]]*0.4</f>
        <v>28000</v>
      </c>
      <c r="K126" s="1" t="s">
        <v>892</v>
      </c>
      <c r="L126" s="11">
        <f>3000+5000+70000+35000</f>
        <v>113000</v>
      </c>
      <c r="M126" s="11">
        <v>140000</v>
      </c>
      <c r="N126" s="1" t="s">
        <v>25</v>
      </c>
      <c r="O126" s="15">
        <f>Tabla24[[#This Row],[MONTO DE LA VENTA]]-Tabla24[[#This Row],[MONTO DE COMPRA]]</f>
        <v>27000</v>
      </c>
    </row>
    <row r="127" spans="1:15" x14ac:dyDescent="0.25">
      <c r="A127" s="9">
        <v>44620</v>
      </c>
      <c r="B127" s="4" t="s">
        <v>893</v>
      </c>
      <c r="C127" s="4" t="s">
        <v>894</v>
      </c>
      <c r="D127" s="1" t="s">
        <v>895</v>
      </c>
      <c r="E127" s="1" t="s">
        <v>395</v>
      </c>
      <c r="F127" s="1" t="s">
        <v>19</v>
      </c>
      <c r="G127" s="1" t="s">
        <v>896</v>
      </c>
      <c r="H127" s="15">
        <v>100000</v>
      </c>
      <c r="I127" s="2">
        <f>Tabla24[[#This Row],[TOTAL FACTURA]]*0.6</f>
        <v>60000</v>
      </c>
      <c r="J127" s="2">
        <f>Tabla24[[#This Row],[TOTAL FACTURA]]*0.4</f>
        <v>40000</v>
      </c>
      <c r="L127" s="11"/>
      <c r="M127" s="11"/>
      <c r="N127" s="1" t="s">
        <v>25</v>
      </c>
      <c r="O127" s="15">
        <f>Tabla24[[#This Row],[MONTO DE LA VENTA]]-Tabla24[[#This Row],[MONTO DE COMPRA]]</f>
        <v>0</v>
      </c>
    </row>
    <row r="128" spans="1:15" x14ac:dyDescent="0.25">
      <c r="A128" s="9">
        <v>44620</v>
      </c>
      <c r="B128" s="4" t="s">
        <v>897</v>
      </c>
      <c r="C128" s="4" t="s">
        <v>898</v>
      </c>
      <c r="D128" s="1" t="s">
        <v>899</v>
      </c>
      <c r="E128" s="4" t="s">
        <v>900</v>
      </c>
      <c r="F128" s="1" t="s">
        <v>10</v>
      </c>
      <c r="G128" s="1" t="s">
        <v>901</v>
      </c>
      <c r="H128" s="15">
        <v>70000</v>
      </c>
      <c r="I128" s="2">
        <f>Tabla24[[#This Row],[TOTAL FACTURA]]*0.6</f>
        <v>42000</v>
      </c>
      <c r="J128" s="2">
        <f>Tabla24[[#This Row],[TOTAL FACTURA]]*0.4</f>
        <v>28000</v>
      </c>
      <c r="K128" s="1" t="s">
        <v>902</v>
      </c>
      <c r="L128" s="11">
        <v>130400</v>
      </c>
      <c r="M128" s="11">
        <v>234000</v>
      </c>
      <c r="N128" s="1" t="s">
        <v>25</v>
      </c>
      <c r="O128" s="15">
        <f>Tabla24[[#This Row],[MONTO DE LA VENTA]]-Tabla24[[#This Row],[MONTO DE COMPRA]]</f>
        <v>103600</v>
      </c>
    </row>
    <row r="129" spans="1:15" x14ac:dyDescent="0.25">
      <c r="A129" s="9">
        <v>44620</v>
      </c>
      <c r="B129" s="4" t="s">
        <v>903</v>
      </c>
      <c r="C129" s="4" t="s">
        <v>904</v>
      </c>
      <c r="D129" s="1" t="s">
        <v>905</v>
      </c>
      <c r="E129" s="4" t="s">
        <v>906</v>
      </c>
      <c r="F129" s="1" t="s">
        <v>19</v>
      </c>
      <c r="G129" s="1" t="s">
        <v>907</v>
      </c>
      <c r="H129" s="15">
        <v>110000</v>
      </c>
      <c r="I129" s="2">
        <f>Tabla24[[#This Row],[TOTAL FACTURA]]*0.6</f>
        <v>66000</v>
      </c>
      <c r="J129" s="2">
        <f>Tabla24[[#This Row],[TOTAL FACTURA]]*0.4</f>
        <v>44000</v>
      </c>
      <c r="K129" s="1" t="s">
        <v>908</v>
      </c>
      <c r="L129" s="11">
        <v>168000</v>
      </c>
      <c r="M129" s="11">
        <v>215000</v>
      </c>
      <c r="N129" s="1" t="s">
        <v>25</v>
      </c>
      <c r="O129" s="15">
        <f>Tabla24[[#This Row],[MONTO DE LA VENTA]]-Tabla24[[#This Row],[MONTO DE COMPRA]]</f>
        <v>47000</v>
      </c>
    </row>
    <row r="130" spans="1:15" x14ac:dyDescent="0.25">
      <c r="A130" s="9">
        <v>44620</v>
      </c>
      <c r="C130" s="4" t="s">
        <v>909</v>
      </c>
      <c r="D130" s="1" t="s">
        <v>303</v>
      </c>
      <c r="E130" s="4"/>
      <c r="F130" s="1" t="s">
        <v>34</v>
      </c>
      <c r="G130" s="1" t="s">
        <v>341</v>
      </c>
      <c r="H130" s="15">
        <v>10000</v>
      </c>
      <c r="I130" s="2">
        <f>Tabla24[[#This Row],[TOTAL FACTURA]]*0.6</f>
        <v>6000</v>
      </c>
      <c r="J130" s="2">
        <f>Tabla24[[#This Row],[TOTAL FACTURA]]*0.4</f>
        <v>4000</v>
      </c>
      <c r="L130" s="11"/>
      <c r="M130" s="11"/>
      <c r="N130" s="1" t="s">
        <v>25</v>
      </c>
      <c r="O130" s="15">
        <f>Tabla24[[#This Row],[MONTO DE LA VENTA]]-Tabla24[[#This Row],[MONTO DE COMPRA]]</f>
        <v>0</v>
      </c>
    </row>
    <row r="131" spans="1:15" x14ac:dyDescent="0.25">
      <c r="A131" s="9">
        <v>44620</v>
      </c>
      <c r="B131" s="4" t="s">
        <v>910</v>
      </c>
      <c r="C131" s="4" t="s">
        <v>911</v>
      </c>
      <c r="D131" s="1" t="s">
        <v>576</v>
      </c>
      <c r="E131" s="4" t="s">
        <v>912</v>
      </c>
      <c r="F131" s="1" t="s">
        <v>10</v>
      </c>
      <c r="G131" s="1" t="s">
        <v>913</v>
      </c>
      <c r="H131" s="15">
        <v>250000</v>
      </c>
      <c r="I131" s="2">
        <f>Tabla24[[#This Row],[TOTAL FACTURA]]*0.6</f>
        <v>150000</v>
      </c>
      <c r="J131" s="2">
        <f>Tabla24[[#This Row],[TOTAL FACTURA]]*0.4</f>
        <v>100000</v>
      </c>
      <c r="K131" s="1" t="s">
        <v>914</v>
      </c>
      <c r="L131" s="11">
        <f>240000+35000+600</f>
        <v>275600</v>
      </c>
      <c r="M131" s="11">
        <v>261000</v>
      </c>
      <c r="N131" s="1" t="s">
        <v>25</v>
      </c>
      <c r="O131" s="15">
        <f>Tabla24[[#This Row],[MONTO DE LA VENTA]]-Tabla24[[#This Row],[MONTO DE COMPRA]]</f>
        <v>-14600</v>
      </c>
    </row>
    <row r="132" spans="1:15" x14ac:dyDescent="0.25">
      <c r="A132" s="9">
        <v>44621</v>
      </c>
      <c r="B132" s="4" t="s">
        <v>915</v>
      </c>
      <c r="C132" s="4" t="s">
        <v>916</v>
      </c>
      <c r="D132" s="1" t="s">
        <v>548</v>
      </c>
      <c r="E132" s="4" t="s">
        <v>549</v>
      </c>
      <c r="F132" s="1" t="s">
        <v>19</v>
      </c>
      <c r="G132" s="1" t="s">
        <v>917</v>
      </c>
      <c r="H132" s="15">
        <v>30000</v>
      </c>
      <c r="I132" s="2">
        <f>Tabla24[[#This Row],[TOTAL FACTURA]]*0.6</f>
        <v>18000</v>
      </c>
      <c r="J132" s="2">
        <f>Tabla24[[#This Row],[TOTAL FACTURA]]*0.4</f>
        <v>12000</v>
      </c>
      <c r="L132" s="11"/>
      <c r="M132" s="11"/>
      <c r="N132" s="2" t="s">
        <v>25</v>
      </c>
      <c r="O132" s="15">
        <f>Tabla24[[#This Row],[MONTO DE LA VENTA]]-Tabla24[[#This Row],[MONTO DE COMPRA]]</f>
        <v>0</v>
      </c>
    </row>
    <row r="133" spans="1:15" x14ac:dyDescent="0.25">
      <c r="A133" s="9">
        <v>44621</v>
      </c>
      <c r="B133" s="4" t="s">
        <v>918</v>
      </c>
      <c r="C133" s="4" t="s">
        <v>598</v>
      </c>
      <c r="E133" s="4" t="s">
        <v>162</v>
      </c>
      <c r="F133" s="1" t="s">
        <v>408</v>
      </c>
      <c r="G133" s="1" t="s">
        <v>919</v>
      </c>
      <c r="H133" s="15">
        <v>80000</v>
      </c>
      <c r="I133" s="2">
        <f>Tabla24[[#This Row],[TOTAL FACTURA]]*0.6</f>
        <v>48000</v>
      </c>
      <c r="J133" s="2">
        <f>Tabla24[[#This Row],[TOTAL FACTURA]]*0.4</f>
        <v>32000</v>
      </c>
      <c r="K133" s="1" t="s">
        <v>920</v>
      </c>
      <c r="L133" s="11"/>
      <c r="M133" s="11"/>
      <c r="N133" s="2" t="s">
        <v>25</v>
      </c>
      <c r="O133" s="15">
        <f>Tabla24[[#This Row],[MONTO DE LA VENTA]]-Tabla24[[#This Row],[MONTO DE COMPRA]]</f>
        <v>0</v>
      </c>
    </row>
    <row r="134" spans="1:15" x14ac:dyDescent="0.25">
      <c r="A134" s="9">
        <v>44621</v>
      </c>
      <c r="B134" s="4" t="s">
        <v>921</v>
      </c>
      <c r="C134" s="4" t="s">
        <v>922</v>
      </c>
      <c r="D134" s="1" t="s">
        <v>923</v>
      </c>
      <c r="E134" s="4" t="s">
        <v>924</v>
      </c>
      <c r="F134" s="1" t="s">
        <v>30</v>
      </c>
      <c r="G134" s="1" t="s">
        <v>925</v>
      </c>
      <c r="H134" s="15">
        <v>280000</v>
      </c>
      <c r="I134" s="2">
        <f>Tabla24[[#This Row],[TOTAL FACTURA]]*0.6</f>
        <v>168000</v>
      </c>
      <c r="J134" s="2">
        <f>Tabla24[[#This Row],[TOTAL FACTURA]]*0.4</f>
        <v>112000</v>
      </c>
      <c r="K134" s="1" t="s">
        <v>926</v>
      </c>
      <c r="L134" s="11">
        <f>250000+40000+1000+10000</f>
        <v>301000</v>
      </c>
      <c r="M134" s="11">
        <v>412000</v>
      </c>
      <c r="N134" s="2" t="s">
        <v>25</v>
      </c>
      <c r="O134" s="15">
        <f>Tabla24[[#This Row],[MONTO DE LA VENTA]]-Tabla24[[#This Row],[MONTO DE COMPRA]]</f>
        <v>111000</v>
      </c>
    </row>
    <row r="135" spans="1:15" x14ac:dyDescent="0.25">
      <c r="A135" s="9">
        <v>44622</v>
      </c>
      <c r="C135" s="4" t="s">
        <v>927</v>
      </c>
      <c r="D135" s="1" t="s">
        <v>54</v>
      </c>
      <c r="E135" s="4" t="s">
        <v>928</v>
      </c>
      <c r="F135" s="1" t="s">
        <v>10</v>
      </c>
      <c r="G135" s="1" t="s">
        <v>929</v>
      </c>
      <c r="H135" s="15">
        <v>50000</v>
      </c>
      <c r="I135" s="2">
        <f>Tabla24[[#This Row],[TOTAL FACTURA]]*0.6</f>
        <v>30000</v>
      </c>
      <c r="J135" s="2">
        <f>Tabla24[[#This Row],[TOTAL FACTURA]]*0.4</f>
        <v>20000</v>
      </c>
      <c r="L135" s="11"/>
      <c r="M135" s="11"/>
      <c r="N135" s="2" t="s">
        <v>25</v>
      </c>
      <c r="O135" s="15">
        <f>Tabla24[[#This Row],[MONTO DE LA VENTA]]-Tabla24[[#This Row],[MONTO DE COMPRA]]</f>
        <v>0</v>
      </c>
    </row>
    <row r="136" spans="1:15" ht="18.75" customHeight="1" x14ac:dyDescent="0.25">
      <c r="A136" s="9">
        <v>44622</v>
      </c>
      <c r="B136" s="4" t="s">
        <v>930</v>
      </c>
      <c r="C136" s="4" t="s">
        <v>598</v>
      </c>
      <c r="D136" s="1" t="s">
        <v>931</v>
      </c>
      <c r="E136" s="4" t="s">
        <v>152</v>
      </c>
      <c r="F136" s="1" t="s">
        <v>19</v>
      </c>
      <c r="G136" s="66" t="s">
        <v>932</v>
      </c>
      <c r="H136" s="15">
        <v>200000</v>
      </c>
      <c r="I136" s="2">
        <f>Tabla24[[#This Row],[TOTAL FACTURA]]*0.6</f>
        <v>120000</v>
      </c>
      <c r="J136" s="67">
        <f>Tabla24[[#This Row],[TOTAL FACTURA]]*0.4</f>
        <v>80000</v>
      </c>
      <c r="K136" s="1" t="s">
        <v>933</v>
      </c>
      <c r="L136" s="11">
        <f>200000+10000+10000+1000</f>
        <v>221000</v>
      </c>
      <c r="M136" s="11">
        <v>416424</v>
      </c>
      <c r="N136" s="2" t="s">
        <v>25</v>
      </c>
      <c r="O136" s="15">
        <f>Tabla24[[#This Row],[MONTO DE LA VENTA]]-Tabla24[[#This Row],[MONTO DE COMPRA]]</f>
        <v>195424</v>
      </c>
    </row>
    <row r="137" spans="1:15" x14ac:dyDescent="0.25">
      <c r="A137" s="56">
        <v>44624</v>
      </c>
      <c r="C137" s="4" t="s">
        <v>934</v>
      </c>
      <c r="D137" s="1" t="s">
        <v>48</v>
      </c>
      <c r="E137" s="4" t="s">
        <v>935</v>
      </c>
      <c r="F137" s="1" t="s">
        <v>408</v>
      </c>
      <c r="G137" s="66" t="s">
        <v>341</v>
      </c>
      <c r="H137" s="15">
        <v>12000</v>
      </c>
      <c r="I137" s="2">
        <f>Tabla24[[#This Row],[TOTAL FACTURA]]*0.6</f>
        <v>7200</v>
      </c>
      <c r="J137" s="68">
        <f>Tabla24[[#This Row],[TOTAL FACTURA]]*0.4</f>
        <v>4800</v>
      </c>
      <c r="L137" s="11"/>
      <c r="M137" s="11"/>
      <c r="N137" s="2" t="s">
        <v>25</v>
      </c>
      <c r="O137" s="15">
        <f>Tabla24[[#This Row],[MONTO DE LA VENTA]]-Tabla24[[#This Row],[MONTO DE COMPRA]]</f>
        <v>0</v>
      </c>
    </row>
    <row r="138" spans="1:15" ht="15" customHeight="1" x14ac:dyDescent="0.25">
      <c r="A138" s="56">
        <v>44624</v>
      </c>
      <c r="B138" s="4" t="s">
        <v>940</v>
      </c>
      <c r="C138" s="4" t="s">
        <v>936</v>
      </c>
      <c r="D138" s="1" t="s">
        <v>580</v>
      </c>
      <c r="E138" s="1" t="s">
        <v>937</v>
      </c>
      <c r="F138" s="1" t="s">
        <v>408</v>
      </c>
      <c r="G138" s="66" t="s">
        <v>250</v>
      </c>
      <c r="H138" s="15">
        <v>20000</v>
      </c>
      <c r="I138" s="2">
        <f>Tabla24[[#This Row],[TOTAL FACTURA]]*0.6</f>
        <v>12000</v>
      </c>
      <c r="J138" s="68">
        <f>Tabla24[[#This Row],[TOTAL FACTURA]]*0.4</f>
        <v>8000</v>
      </c>
      <c r="K138" s="1" t="s">
        <v>938</v>
      </c>
      <c r="L138" s="11">
        <v>10000</v>
      </c>
      <c r="M138" s="15">
        <v>20500</v>
      </c>
      <c r="N138" s="2" t="s">
        <v>25</v>
      </c>
      <c r="O138" s="15">
        <f>Tabla24[[#This Row],[MONTO DE LA VENTA]]-Tabla24[[#This Row],[MONTO DE COMPRA]]</f>
        <v>10500</v>
      </c>
    </row>
    <row r="139" spans="1:15" x14ac:dyDescent="0.25">
      <c r="A139" s="56">
        <v>44624</v>
      </c>
      <c r="B139" s="4" t="s">
        <v>941</v>
      </c>
      <c r="C139" s="4" t="s">
        <v>939</v>
      </c>
      <c r="D139" s="1" t="s">
        <v>942</v>
      </c>
      <c r="E139" s="1" t="s">
        <v>943</v>
      </c>
      <c r="F139" s="4" t="s">
        <v>19</v>
      </c>
      <c r="G139" s="66" t="s">
        <v>944</v>
      </c>
      <c r="H139" s="15">
        <v>150000</v>
      </c>
      <c r="I139" s="2">
        <f>Tabla24[[#This Row],[TOTAL FACTURA]]*0.6</f>
        <v>90000</v>
      </c>
      <c r="J139" s="68">
        <f>Tabla24[[#This Row],[TOTAL FACTURA]]*0.4</f>
        <v>60000</v>
      </c>
      <c r="K139" s="1" t="s">
        <v>946</v>
      </c>
      <c r="L139" s="11">
        <v>20000</v>
      </c>
      <c r="M139" s="15">
        <v>35000</v>
      </c>
      <c r="N139" s="2" t="s">
        <v>25</v>
      </c>
      <c r="O139" s="15">
        <f>Tabla24[[#This Row],[MONTO DE LA VENTA]]-Tabla24[[#This Row],[MONTO DE COMPRA]]</f>
        <v>15000</v>
      </c>
    </row>
    <row r="140" spans="1:15" x14ac:dyDescent="0.25">
      <c r="A140" s="56">
        <v>44624</v>
      </c>
      <c r="B140" s="4" t="s">
        <v>941</v>
      </c>
      <c r="C140" s="4" t="s">
        <v>939</v>
      </c>
      <c r="D140" s="1" t="s">
        <v>942</v>
      </c>
      <c r="E140" s="1" t="s">
        <v>943</v>
      </c>
      <c r="F140" s="4" t="s">
        <v>18</v>
      </c>
      <c r="G140" s="66" t="s">
        <v>945</v>
      </c>
      <c r="H140" s="15">
        <v>10000</v>
      </c>
      <c r="I140" s="2">
        <v>10000</v>
      </c>
      <c r="J140" s="68">
        <f>Tabla24[[#This Row],[TOTAL FACTURA]]*0.4</f>
        <v>4000</v>
      </c>
      <c r="L140" s="11"/>
      <c r="M140" s="15"/>
      <c r="N140" s="2" t="s">
        <v>25</v>
      </c>
      <c r="O140" s="15">
        <f>Tabla24[[#This Row],[MONTO DE LA VENTA]]-Tabla24[[#This Row],[MONTO DE COMPRA]]</f>
        <v>0</v>
      </c>
    </row>
    <row r="141" spans="1:15" x14ac:dyDescent="0.25">
      <c r="A141" s="56">
        <v>44624</v>
      </c>
      <c r="B141" s="4" t="s">
        <v>947</v>
      </c>
      <c r="C141" s="4" t="s">
        <v>948</v>
      </c>
      <c r="D141" s="1" t="s">
        <v>204</v>
      </c>
      <c r="E141" s="1" t="s">
        <v>949</v>
      </c>
      <c r="F141" s="4" t="s">
        <v>19</v>
      </c>
      <c r="G141" s="66" t="s">
        <v>950</v>
      </c>
      <c r="H141" s="15">
        <v>75000</v>
      </c>
      <c r="I141" s="2">
        <v>75000</v>
      </c>
      <c r="J141" s="15">
        <v>50000</v>
      </c>
      <c r="L141" s="11"/>
      <c r="M141" s="15"/>
      <c r="N141" s="2" t="s">
        <v>25</v>
      </c>
      <c r="O141" s="15">
        <f>Tabla24[[#This Row],[MONTO DE LA VENTA]]-Tabla24[[#This Row],[MONTO DE COMPRA]]</f>
        <v>0</v>
      </c>
    </row>
    <row r="142" spans="1:15" x14ac:dyDescent="0.25">
      <c r="A142" s="56">
        <v>44624</v>
      </c>
      <c r="B142" s="4" t="s">
        <v>947</v>
      </c>
      <c r="C142" s="4" t="s">
        <v>948</v>
      </c>
      <c r="D142" s="1" t="s">
        <v>204</v>
      </c>
      <c r="E142" s="1" t="s">
        <v>949</v>
      </c>
      <c r="F142" s="4" t="s">
        <v>408</v>
      </c>
      <c r="G142" s="66" t="s">
        <v>950</v>
      </c>
      <c r="H142" s="15">
        <v>75000</v>
      </c>
      <c r="I142" s="2">
        <v>75000</v>
      </c>
      <c r="J142" s="15"/>
      <c r="L142" s="11"/>
      <c r="M142" s="15"/>
      <c r="N142" s="2" t="s">
        <v>25</v>
      </c>
      <c r="O142" s="15">
        <f>Tabla24[[#This Row],[MONTO DE LA VENTA]]-Tabla24[[#This Row],[MONTO DE COMPRA]]</f>
        <v>0</v>
      </c>
    </row>
    <row r="143" spans="1:15" x14ac:dyDescent="0.25">
      <c r="A143" s="56">
        <v>44624</v>
      </c>
      <c r="B143" s="4" t="s">
        <v>977</v>
      </c>
      <c r="C143" s="4" t="s">
        <v>129</v>
      </c>
      <c r="D143" s="1" t="s">
        <v>952</v>
      </c>
      <c r="E143" s="1" t="s">
        <v>953</v>
      </c>
      <c r="F143" s="4" t="s">
        <v>10</v>
      </c>
      <c r="G143" s="66" t="s">
        <v>954</v>
      </c>
      <c r="H143" s="15">
        <v>350000</v>
      </c>
      <c r="I143" s="2">
        <f>Tabla24[[#This Row],[TOTAL FACTURA]]*0.6</f>
        <v>210000</v>
      </c>
      <c r="J143" s="15">
        <f>Tabla24[[#This Row],[TOTAL FACTURA]]*0.4</f>
        <v>140000</v>
      </c>
      <c r="L143" s="11"/>
      <c r="M143" s="15"/>
      <c r="N143" s="2" t="s">
        <v>25</v>
      </c>
      <c r="O143" s="15">
        <f>Tabla24[[#This Row],[MONTO DE LA VENTA]]-Tabla24[[#This Row],[MONTO DE COMPRA]]</f>
        <v>0</v>
      </c>
    </row>
    <row r="144" spans="1:15" x14ac:dyDescent="0.25">
      <c r="A144" s="56">
        <v>44624</v>
      </c>
      <c r="C144" s="4" t="s">
        <v>765</v>
      </c>
      <c r="D144" s="1" t="s">
        <v>955</v>
      </c>
      <c r="E144" s="1" t="s">
        <v>767</v>
      </c>
      <c r="F144" s="4" t="s">
        <v>10</v>
      </c>
      <c r="G144" s="66" t="s">
        <v>956</v>
      </c>
      <c r="H144" s="15">
        <v>1200000</v>
      </c>
      <c r="I144" s="2">
        <f>Tabla24[[#This Row],[TOTAL FACTURA]]*0.6</f>
        <v>720000</v>
      </c>
      <c r="J144" s="15">
        <f>Tabla24[[#This Row],[TOTAL FACTURA]]*0.4</f>
        <v>480000</v>
      </c>
      <c r="K144" s="1" t="s">
        <v>966</v>
      </c>
      <c r="L144" s="11">
        <f>340000+490000+360000+70000+196000+30000+80000+235000</f>
        <v>1801000</v>
      </c>
      <c r="M144" s="15">
        <v>2423000</v>
      </c>
      <c r="N144" s="2" t="s">
        <v>25</v>
      </c>
      <c r="O144" s="15">
        <f>Tabla24[[#This Row],[MONTO DE LA VENTA]]-Tabla24[[#This Row],[MONTO DE COMPRA]]</f>
        <v>622000</v>
      </c>
    </row>
    <row r="145" spans="1:15" x14ac:dyDescent="0.25">
      <c r="A145" s="56">
        <v>44624</v>
      </c>
      <c r="B145" s="4" t="s">
        <v>977</v>
      </c>
      <c r="C145" s="4" t="s">
        <v>129</v>
      </c>
      <c r="D145" s="1" t="s">
        <v>952</v>
      </c>
      <c r="E145" s="1" t="s">
        <v>953</v>
      </c>
      <c r="F145" s="4" t="s">
        <v>408</v>
      </c>
      <c r="G145" s="66" t="s">
        <v>958</v>
      </c>
      <c r="H145" s="15">
        <v>100000</v>
      </c>
      <c r="I145" s="2">
        <f>Tabla24[[#This Row],[TOTAL FACTURA]]*0.6</f>
        <v>60000</v>
      </c>
      <c r="J145" s="15">
        <f>Tabla24[[#This Row],[TOTAL FACTURA]]*0.4</f>
        <v>40000</v>
      </c>
      <c r="L145" s="11"/>
      <c r="M145" s="15"/>
      <c r="N145" s="2" t="s">
        <v>25</v>
      </c>
      <c r="O145" s="15">
        <f>Tabla24[[#This Row],[MONTO DE LA VENTA]]-Tabla24[[#This Row],[MONTO DE COMPRA]]</f>
        <v>0</v>
      </c>
    </row>
    <row r="146" spans="1:15" x14ac:dyDescent="0.25">
      <c r="A146" s="56">
        <v>44625</v>
      </c>
      <c r="B146" s="4" t="s">
        <v>960</v>
      </c>
      <c r="C146" s="4" t="s">
        <v>961</v>
      </c>
      <c r="D146" s="1" t="s">
        <v>962</v>
      </c>
      <c r="E146" s="1" t="s">
        <v>963</v>
      </c>
      <c r="F146" s="4" t="s">
        <v>30</v>
      </c>
      <c r="G146" s="66" t="s">
        <v>964</v>
      </c>
      <c r="H146" s="15">
        <v>120000</v>
      </c>
      <c r="I146" s="2">
        <f>Tabla24[[#This Row],[TOTAL FACTURA]]*0.6</f>
        <v>72000</v>
      </c>
      <c r="J146" s="15">
        <f>Tabla24[[#This Row],[TOTAL FACTURA]]*0.4</f>
        <v>48000</v>
      </c>
      <c r="L146" s="11"/>
      <c r="M146" s="15"/>
      <c r="N146" s="2" t="s">
        <v>25</v>
      </c>
      <c r="O146" s="15">
        <f>Tabla24[[#This Row],[MONTO DE LA VENTA]]-Tabla24[[#This Row],[MONTO DE COMPRA]]</f>
        <v>0</v>
      </c>
    </row>
    <row r="147" spans="1:15" x14ac:dyDescent="0.25">
      <c r="A147" s="56">
        <v>44625</v>
      </c>
      <c r="B147" s="4" t="s">
        <v>960</v>
      </c>
      <c r="C147" s="4" t="s">
        <v>961</v>
      </c>
      <c r="D147" s="1" t="s">
        <v>962</v>
      </c>
      <c r="E147" s="1" t="s">
        <v>963</v>
      </c>
      <c r="F147" s="4" t="s">
        <v>18</v>
      </c>
      <c r="G147" s="66" t="s">
        <v>965</v>
      </c>
      <c r="H147" s="15">
        <v>30000</v>
      </c>
      <c r="I147" s="2">
        <f>Tabla24[[#This Row],[TOTAL FACTURA]]*0.6</f>
        <v>18000</v>
      </c>
      <c r="J147" s="15">
        <f>Tabla24[[#This Row],[TOTAL FACTURA]]*0.4</f>
        <v>12000</v>
      </c>
      <c r="L147" s="11"/>
      <c r="M147" s="15"/>
      <c r="N147" s="2" t="s">
        <v>26</v>
      </c>
      <c r="O147" s="15">
        <f>Tabla24[[#This Row],[MONTO DE LA VENTA]]-Tabla24[[#This Row],[MONTO DE COMPRA]]</f>
        <v>0</v>
      </c>
    </row>
    <row r="148" spans="1:15" x14ac:dyDescent="0.25">
      <c r="A148" s="56">
        <v>44625</v>
      </c>
      <c r="B148" s="4" t="s">
        <v>967</v>
      </c>
      <c r="C148" s="4" t="s">
        <v>968</v>
      </c>
      <c r="D148" s="1" t="s">
        <v>76</v>
      </c>
      <c r="E148" s="1" t="s">
        <v>969</v>
      </c>
      <c r="F148" s="4" t="s">
        <v>408</v>
      </c>
      <c r="G148" s="66" t="s">
        <v>233</v>
      </c>
      <c r="H148" s="20">
        <v>100000</v>
      </c>
      <c r="I148" s="2">
        <f>Tabla24[[#This Row],[TOTAL FACTURA]]*0.6</f>
        <v>60000</v>
      </c>
      <c r="J148" s="15">
        <f>Tabla24[[#This Row],[TOTAL FACTURA]]*0.4</f>
        <v>40000</v>
      </c>
      <c r="K148" s="1" t="s">
        <v>970</v>
      </c>
      <c r="L148" s="11">
        <v>462000</v>
      </c>
      <c r="M148" s="15">
        <v>530000</v>
      </c>
      <c r="N148" s="2" t="s">
        <v>25</v>
      </c>
      <c r="O148" s="15">
        <f>Tabla24[[#This Row],[MONTO DE LA VENTA]]-Tabla24[[#This Row],[MONTO DE COMPRA]]</f>
        <v>68000</v>
      </c>
    </row>
    <row r="149" spans="1:15" x14ac:dyDescent="0.25">
      <c r="A149" s="56">
        <v>44625</v>
      </c>
      <c r="B149" s="4" t="s">
        <v>971</v>
      </c>
      <c r="C149" s="4" t="s">
        <v>725</v>
      </c>
      <c r="D149" s="1" t="s">
        <v>54</v>
      </c>
      <c r="E149" s="1" t="s">
        <v>727</v>
      </c>
      <c r="F149" s="4" t="s">
        <v>408</v>
      </c>
      <c r="G149" s="66" t="s">
        <v>972</v>
      </c>
      <c r="H149" s="15">
        <v>60000</v>
      </c>
      <c r="I149" s="2">
        <f>Tabla24[[#This Row],[TOTAL FACTURA]]*0.6</f>
        <v>36000</v>
      </c>
      <c r="J149" s="15">
        <f>Tabla24[[#This Row],[TOTAL FACTURA]]*0.4</f>
        <v>24000</v>
      </c>
      <c r="K149" s="1" t="s">
        <v>973</v>
      </c>
      <c r="L149" s="11">
        <v>13000</v>
      </c>
      <c r="M149" s="15">
        <v>30000</v>
      </c>
      <c r="N149" s="2" t="s">
        <v>25</v>
      </c>
      <c r="O149" s="15">
        <f>Tabla24[[#This Row],[MONTO DE LA VENTA]]-Tabla24[[#This Row],[MONTO DE COMPRA]]</f>
        <v>17000</v>
      </c>
    </row>
    <row r="150" spans="1:15" x14ac:dyDescent="0.25">
      <c r="A150" s="56">
        <v>44625</v>
      </c>
      <c r="C150" s="4" t="s">
        <v>974</v>
      </c>
      <c r="D150" s="1" t="s">
        <v>975</v>
      </c>
      <c r="E150" s="1" t="s">
        <v>976</v>
      </c>
      <c r="F150" s="4" t="s">
        <v>408</v>
      </c>
      <c r="G150" s="66" t="s">
        <v>1041</v>
      </c>
      <c r="H150" s="15">
        <v>30000</v>
      </c>
      <c r="I150" s="2">
        <f>Tabla24[[#This Row],[TOTAL FACTURA]]*0.6</f>
        <v>18000</v>
      </c>
      <c r="J150" s="15">
        <f>Tabla24[[#This Row],[TOTAL FACTURA]]*0.4</f>
        <v>12000</v>
      </c>
      <c r="L150" s="11"/>
      <c r="M150" s="15"/>
      <c r="N150" s="2" t="s">
        <v>25</v>
      </c>
      <c r="O150" s="15">
        <f>Tabla24[[#This Row],[MONTO DE LA VENTA]]-Tabla24[[#This Row],[MONTO DE COMPRA]]</f>
        <v>0</v>
      </c>
    </row>
    <row r="151" spans="1:15" x14ac:dyDescent="0.25">
      <c r="A151" s="56">
        <v>44624</v>
      </c>
      <c r="B151" s="4" t="s">
        <v>977</v>
      </c>
      <c r="C151" s="4" t="s">
        <v>129</v>
      </c>
      <c r="D151" s="1" t="s">
        <v>952</v>
      </c>
      <c r="E151" s="1" t="s">
        <v>953</v>
      </c>
      <c r="F151" s="4" t="s">
        <v>18</v>
      </c>
      <c r="G151" s="66" t="s">
        <v>978</v>
      </c>
      <c r="H151" s="15">
        <v>60000</v>
      </c>
      <c r="I151" s="2">
        <f>Tabla24[[#This Row],[TOTAL FACTURA]]*0.6</f>
        <v>36000</v>
      </c>
      <c r="J151" s="15">
        <f>Tabla24[[#This Row],[TOTAL FACTURA]]*0.4</f>
        <v>24000</v>
      </c>
      <c r="L151" s="11"/>
      <c r="M151" s="15"/>
      <c r="N151" s="2" t="s">
        <v>25</v>
      </c>
      <c r="O151" s="15">
        <f>Tabla24[[#This Row],[MONTO DE LA VENTA]]-Tabla24[[#This Row],[MONTO DE COMPRA]]</f>
        <v>0</v>
      </c>
    </row>
    <row r="152" spans="1:15" x14ac:dyDescent="0.25">
      <c r="A152" s="56">
        <v>44627</v>
      </c>
      <c r="B152" s="4" t="s">
        <v>979</v>
      </c>
      <c r="C152" s="4" t="s">
        <v>980</v>
      </c>
      <c r="D152" s="1" t="s">
        <v>122</v>
      </c>
      <c r="E152" s="1" t="s">
        <v>981</v>
      </c>
      <c r="F152" s="4" t="s">
        <v>408</v>
      </c>
      <c r="G152" s="66" t="s">
        <v>982</v>
      </c>
      <c r="H152" s="15">
        <v>80000</v>
      </c>
      <c r="I152" s="2">
        <f>Tabla24[[#This Row],[TOTAL FACTURA]]*0.6</f>
        <v>48000</v>
      </c>
      <c r="J152" s="15">
        <f>Tabla24[[#This Row],[TOTAL FACTURA]]*0.4</f>
        <v>32000</v>
      </c>
      <c r="K152" s="1" t="s">
        <v>71</v>
      </c>
      <c r="L152" s="11">
        <v>135000</v>
      </c>
      <c r="M152" s="15">
        <v>190000</v>
      </c>
      <c r="N152" s="2" t="s">
        <v>25</v>
      </c>
      <c r="O152" s="15">
        <f>Tabla24[[#This Row],[MONTO DE LA VENTA]]-Tabla24[[#This Row],[MONTO DE COMPRA]]</f>
        <v>55000</v>
      </c>
    </row>
    <row r="153" spans="1:15" x14ac:dyDescent="0.25">
      <c r="A153" s="56">
        <v>44627</v>
      </c>
      <c r="B153" s="4" t="s">
        <v>983</v>
      </c>
      <c r="C153" s="4" t="s">
        <v>984</v>
      </c>
      <c r="D153" s="1" t="s">
        <v>48</v>
      </c>
      <c r="E153" s="4" t="s">
        <v>444</v>
      </c>
      <c r="F153" s="4" t="s">
        <v>408</v>
      </c>
      <c r="G153" s="66">
        <v>0</v>
      </c>
      <c r="H153" s="15">
        <v>240000</v>
      </c>
      <c r="I153" s="2">
        <f>Tabla24[[#This Row],[TOTAL FACTURA]]*0.6</f>
        <v>144000</v>
      </c>
      <c r="J153" s="15">
        <f>Tabla24[[#This Row],[TOTAL FACTURA]]*0.4</f>
        <v>96000</v>
      </c>
      <c r="K153" s="1" t="s">
        <v>985</v>
      </c>
      <c r="L153" s="11">
        <f>200000+10000+2000+90000</f>
        <v>302000</v>
      </c>
      <c r="M153" s="15">
        <v>464000</v>
      </c>
      <c r="N153" s="2" t="s">
        <v>25</v>
      </c>
      <c r="O153" s="15">
        <f>Tabla24[[#This Row],[MONTO DE LA VENTA]]-Tabla24[[#This Row],[MONTO DE COMPRA]]</f>
        <v>162000</v>
      </c>
    </row>
    <row r="154" spans="1:15" x14ac:dyDescent="0.25">
      <c r="A154" s="56">
        <v>44628</v>
      </c>
      <c r="C154" s="4"/>
      <c r="F154" s="4" t="s">
        <v>408</v>
      </c>
      <c r="G154" s="66" t="s">
        <v>341</v>
      </c>
      <c r="H154" s="15">
        <v>10000</v>
      </c>
      <c r="I154" s="2">
        <f>Tabla24[[#This Row],[TOTAL FACTURA]]*0.6</f>
        <v>6000</v>
      </c>
      <c r="J154" s="15">
        <f>Tabla24[[#This Row],[TOTAL FACTURA]]*0.4</f>
        <v>4000</v>
      </c>
      <c r="L154" s="11"/>
      <c r="M154" s="15"/>
      <c r="N154" s="2" t="s">
        <v>25</v>
      </c>
      <c r="O154" s="15">
        <f>Tabla24[[#This Row],[MONTO DE LA VENTA]]-Tabla24[[#This Row],[MONTO DE COMPRA]]</f>
        <v>0</v>
      </c>
    </row>
    <row r="155" spans="1:15" x14ac:dyDescent="0.25">
      <c r="A155" s="56">
        <v>44628</v>
      </c>
      <c r="C155" s="70"/>
      <c r="F155" s="4" t="s">
        <v>30</v>
      </c>
      <c r="G155" s="66" t="s">
        <v>986</v>
      </c>
      <c r="H155" s="15">
        <v>10000</v>
      </c>
      <c r="I155" s="2">
        <f>Tabla24[[#This Row],[TOTAL FACTURA]]*0.6</f>
        <v>6000</v>
      </c>
      <c r="J155" s="15">
        <f>Tabla24[[#This Row],[TOTAL FACTURA]]*0.4</f>
        <v>4000</v>
      </c>
      <c r="L155" s="11"/>
      <c r="M155" s="15"/>
      <c r="N155" s="2" t="s">
        <v>25</v>
      </c>
      <c r="O155" s="15">
        <f>Tabla24[[#This Row],[MONTO DE LA VENTA]]-Tabla24[[#This Row],[MONTO DE COMPRA]]</f>
        <v>0</v>
      </c>
    </row>
    <row r="156" spans="1:15" x14ac:dyDescent="0.25">
      <c r="A156" s="56">
        <v>44629</v>
      </c>
      <c r="C156" s="4"/>
      <c r="E156" s="4"/>
      <c r="F156" s="4" t="s">
        <v>408</v>
      </c>
      <c r="G156" s="66" t="s">
        <v>341</v>
      </c>
      <c r="H156" s="15">
        <v>10000</v>
      </c>
      <c r="I156" s="2">
        <f>Tabla24[[#This Row],[TOTAL FACTURA]]*0.6</f>
        <v>6000</v>
      </c>
      <c r="J156" s="15">
        <f>Tabla24[[#This Row],[TOTAL FACTURA]]*0.4</f>
        <v>4000</v>
      </c>
      <c r="L156" s="11"/>
      <c r="M156" s="15"/>
      <c r="N156" s="2" t="s">
        <v>25</v>
      </c>
      <c r="O156" s="15">
        <f>Tabla24[[#This Row],[MONTO DE LA VENTA]]-Tabla24[[#This Row],[MONTO DE COMPRA]]</f>
        <v>0</v>
      </c>
    </row>
    <row r="157" spans="1:15" x14ac:dyDescent="0.25">
      <c r="A157" s="56">
        <v>44629</v>
      </c>
      <c r="B157" s="4" t="s">
        <v>987</v>
      </c>
      <c r="C157" s="4" t="s">
        <v>988</v>
      </c>
      <c r="D157" s="1" t="s">
        <v>989</v>
      </c>
      <c r="E157" s="1" t="s">
        <v>990</v>
      </c>
      <c r="F157" s="4" t="s">
        <v>30</v>
      </c>
      <c r="G157" s="66" t="s">
        <v>991</v>
      </c>
      <c r="H157" s="15">
        <v>300000</v>
      </c>
      <c r="I157" s="2">
        <f>Tabla24[[#This Row],[TOTAL FACTURA]]*0.6</f>
        <v>180000</v>
      </c>
      <c r="J157" s="15">
        <f>Tabla24[[#This Row],[TOTAL FACTURA]]*0.4</f>
        <v>120000</v>
      </c>
      <c r="K157" s="1" t="s">
        <v>992</v>
      </c>
      <c r="L157" s="11">
        <f>15000+60000+5200+7000+8000+90000</f>
        <v>185200</v>
      </c>
      <c r="M157" s="15">
        <v>297000</v>
      </c>
      <c r="N157" s="2" t="s">
        <v>25</v>
      </c>
      <c r="O157" s="15">
        <f>Tabla24[[#This Row],[MONTO DE LA VENTA]]-Tabla24[[#This Row],[MONTO DE COMPRA]]</f>
        <v>111800</v>
      </c>
    </row>
    <row r="158" spans="1:15" x14ac:dyDescent="0.25">
      <c r="A158" s="56">
        <v>44629</v>
      </c>
      <c r="B158" s="4" t="s">
        <v>993</v>
      </c>
      <c r="C158" s="4" t="s">
        <v>994</v>
      </c>
      <c r="D158" s="1" t="s">
        <v>540</v>
      </c>
      <c r="E158" s="1" t="s">
        <v>995</v>
      </c>
      <c r="F158" s="4" t="s">
        <v>30</v>
      </c>
      <c r="G158" s="66" t="s">
        <v>996</v>
      </c>
      <c r="H158" s="15">
        <v>40000</v>
      </c>
      <c r="I158" s="2">
        <f>Tabla24[[#This Row],[TOTAL FACTURA]]*0.6</f>
        <v>24000</v>
      </c>
      <c r="J158" s="15">
        <f>Tabla24[[#This Row],[TOTAL FACTURA]]*0.4</f>
        <v>16000</v>
      </c>
      <c r="K158" s="1" t="s">
        <v>997</v>
      </c>
      <c r="L158" s="11">
        <f>18000</f>
        <v>18000</v>
      </c>
      <c r="M158" s="15">
        <v>74000</v>
      </c>
      <c r="N158" s="2" t="s">
        <v>25</v>
      </c>
      <c r="O158" s="15">
        <f>Tabla24[[#This Row],[MONTO DE LA VENTA]]-Tabla24[[#This Row],[MONTO DE COMPRA]]</f>
        <v>56000</v>
      </c>
    </row>
    <row r="159" spans="1:15" x14ac:dyDescent="0.25">
      <c r="A159" s="56">
        <v>44629</v>
      </c>
      <c r="B159" s="4" t="s">
        <v>998</v>
      </c>
      <c r="C159" s="4" t="s">
        <v>999</v>
      </c>
      <c r="D159" s="1" t="s">
        <v>64</v>
      </c>
      <c r="E159" s="4" t="s">
        <v>1000</v>
      </c>
      <c r="F159" s="4" t="s">
        <v>10</v>
      </c>
      <c r="G159" s="66" t="s">
        <v>1001</v>
      </c>
      <c r="H159" s="15">
        <v>180000</v>
      </c>
      <c r="I159" s="2">
        <f>Tabla24[[#This Row],[TOTAL FACTURA]]*0.6</f>
        <v>108000</v>
      </c>
      <c r="J159" s="15">
        <f>Tabla24[[#This Row],[TOTAL FACTURA]]*0.4</f>
        <v>72000</v>
      </c>
      <c r="K159" s="1" t="s">
        <v>447</v>
      </c>
      <c r="L159" s="11">
        <v>750000</v>
      </c>
      <c r="M159" s="15">
        <v>1000000</v>
      </c>
      <c r="N159" s="2" t="s">
        <v>25</v>
      </c>
      <c r="O159" s="15">
        <f>Tabla24[[#This Row],[MONTO DE LA VENTA]]-Tabla24[[#This Row],[MONTO DE COMPRA]]</f>
        <v>250000</v>
      </c>
    </row>
    <row r="160" spans="1:15" x14ac:dyDescent="0.25">
      <c r="A160" s="56">
        <v>44629</v>
      </c>
      <c r="B160" s="4" t="s">
        <v>1002</v>
      </c>
      <c r="C160" s="4" t="s">
        <v>598</v>
      </c>
      <c r="D160" s="1" t="s">
        <v>151</v>
      </c>
      <c r="E160" s="4" t="s">
        <v>152</v>
      </c>
      <c r="F160" s="4" t="s">
        <v>18</v>
      </c>
      <c r="G160" s="66" t="s">
        <v>1003</v>
      </c>
      <c r="H160" s="15">
        <v>20000</v>
      </c>
      <c r="I160" s="2">
        <f>Tabla24[[#This Row],[TOTAL FACTURA]]*0.6</f>
        <v>12000</v>
      </c>
      <c r="J160" s="15">
        <f>Tabla24[[#This Row],[TOTAL FACTURA]]*0.4</f>
        <v>8000</v>
      </c>
      <c r="L160" s="11"/>
      <c r="M160" s="15"/>
      <c r="N160" s="2" t="s">
        <v>26</v>
      </c>
      <c r="O160" s="15">
        <f>Tabla24[[#This Row],[MONTO DE LA VENTA]]-Tabla24[[#This Row],[MONTO DE COMPRA]]</f>
        <v>0</v>
      </c>
    </row>
    <row r="161" spans="1:15" x14ac:dyDescent="0.25">
      <c r="A161" s="56">
        <v>44630</v>
      </c>
      <c r="B161" s="4" t="s">
        <v>1004</v>
      </c>
      <c r="C161" s="4" t="s">
        <v>1005</v>
      </c>
      <c r="D161" s="1" t="s">
        <v>899</v>
      </c>
      <c r="E161" s="4" t="s">
        <v>1006</v>
      </c>
      <c r="F161" s="4" t="s">
        <v>408</v>
      </c>
      <c r="G161" s="66" t="s">
        <v>1007</v>
      </c>
      <c r="H161" s="15">
        <v>20000</v>
      </c>
      <c r="I161" s="2">
        <f>Tabla24[[#This Row],[TOTAL FACTURA]]*0.6</f>
        <v>12000</v>
      </c>
      <c r="J161" s="15">
        <f>Tabla24[[#This Row],[TOTAL FACTURA]]*0.4</f>
        <v>8000</v>
      </c>
      <c r="K161" s="1" t="s">
        <v>1008</v>
      </c>
      <c r="L161" s="11">
        <v>26000</v>
      </c>
      <c r="M161" s="15">
        <v>36000</v>
      </c>
      <c r="N161" s="2" t="s">
        <v>25</v>
      </c>
      <c r="O161" s="15">
        <f>Tabla24[[#This Row],[MONTO DE LA VENTA]]-Tabla24[[#This Row],[MONTO DE COMPRA]]</f>
        <v>10000</v>
      </c>
    </row>
    <row r="162" spans="1:15" x14ac:dyDescent="0.25">
      <c r="A162" s="56">
        <v>44630</v>
      </c>
      <c r="C162" s="4"/>
      <c r="D162" s="1" t="s">
        <v>1047</v>
      </c>
      <c r="E162" s="4"/>
      <c r="F162" s="4" t="s">
        <v>408</v>
      </c>
      <c r="G162" s="66" t="s">
        <v>1048</v>
      </c>
      <c r="H162" s="15">
        <v>15000</v>
      </c>
      <c r="I162" s="2">
        <f>Tabla24[[#This Row],[TOTAL FACTURA]]*0.6</f>
        <v>9000</v>
      </c>
      <c r="J162" s="15">
        <f>Tabla24[[#This Row],[TOTAL FACTURA]]*0.4</f>
        <v>6000</v>
      </c>
      <c r="L162" s="11"/>
      <c r="M162" s="15"/>
      <c r="N162" s="2" t="s">
        <v>25</v>
      </c>
      <c r="O162" s="15">
        <f>Tabla24[[#This Row],[MONTO DE LA VENTA]]-Tabla24[[#This Row],[MONTO DE COMPRA]]</f>
        <v>0</v>
      </c>
    </row>
    <row r="163" spans="1:15" x14ac:dyDescent="0.25">
      <c r="A163" s="56">
        <v>44630</v>
      </c>
      <c r="B163" s="4" t="s">
        <v>1009</v>
      </c>
      <c r="C163" s="4" t="s">
        <v>1010</v>
      </c>
      <c r="D163" s="1" t="s">
        <v>1011</v>
      </c>
      <c r="E163" s="4" t="s">
        <v>1012</v>
      </c>
      <c r="F163" s="4" t="s">
        <v>10</v>
      </c>
      <c r="G163" s="66" t="s">
        <v>1013</v>
      </c>
      <c r="H163" s="15">
        <v>100000</v>
      </c>
      <c r="I163" s="2">
        <f>Tabla24[[#This Row],[TOTAL FACTURA]]*0.6</f>
        <v>60000</v>
      </c>
      <c r="J163" s="15">
        <f>Tabla24[[#This Row],[TOTAL FACTURA]]*0.4</f>
        <v>40000</v>
      </c>
      <c r="L163" s="11"/>
      <c r="M163" s="15"/>
      <c r="N163" s="2" t="s">
        <v>25</v>
      </c>
      <c r="O163" s="15">
        <f>Tabla24[[#This Row],[MONTO DE LA VENTA]]-Tabla24[[#This Row],[MONTO DE COMPRA]]</f>
        <v>0</v>
      </c>
    </row>
    <row r="164" spans="1:15" x14ac:dyDescent="0.25">
      <c r="A164" s="56">
        <v>44630</v>
      </c>
      <c r="C164" s="4" t="s">
        <v>215</v>
      </c>
      <c r="D164" s="1" t="s">
        <v>1034</v>
      </c>
      <c r="E164" s="4" t="s">
        <v>1035</v>
      </c>
      <c r="F164" s="4" t="s">
        <v>408</v>
      </c>
      <c r="G164" s="66" t="s">
        <v>437</v>
      </c>
      <c r="H164" s="15">
        <v>60000</v>
      </c>
      <c r="I164" s="2">
        <f>Tabla24[[#This Row],[TOTAL FACTURA]]*0.6</f>
        <v>36000</v>
      </c>
      <c r="J164" s="72">
        <f>Tabla24[[#This Row],[TOTAL FACTURA]]*0.4</f>
        <v>24000</v>
      </c>
      <c r="L164" s="11"/>
      <c r="M164" s="15"/>
      <c r="N164" s="2" t="s">
        <v>25</v>
      </c>
      <c r="O164" s="15">
        <f>Tabla24[[#This Row],[MONTO DE LA VENTA]]-Tabla24[[#This Row],[MONTO DE COMPRA]]</f>
        <v>0</v>
      </c>
    </row>
    <row r="165" spans="1:15" x14ac:dyDescent="0.25">
      <c r="A165" s="56">
        <v>44630</v>
      </c>
      <c r="C165" s="4" t="s">
        <v>1014</v>
      </c>
      <c r="D165" s="1" t="s">
        <v>84</v>
      </c>
      <c r="E165" s="4" t="s">
        <v>85</v>
      </c>
      <c r="F165" s="4" t="s">
        <v>408</v>
      </c>
      <c r="G165" s="66" t="s">
        <v>869</v>
      </c>
      <c r="H165" s="15">
        <v>20000</v>
      </c>
      <c r="I165" s="2">
        <f>Tabla24[[#This Row],[TOTAL FACTURA]]*0.6</f>
        <v>12000</v>
      </c>
      <c r="J165" s="15">
        <f>Tabla24[[#This Row],[TOTAL FACTURA]]*0.4</f>
        <v>8000</v>
      </c>
      <c r="K165" s="1" t="s">
        <v>1015</v>
      </c>
      <c r="L165" s="11">
        <v>2000</v>
      </c>
      <c r="M165" s="15">
        <v>5000</v>
      </c>
      <c r="N165" s="2" t="s">
        <v>25</v>
      </c>
      <c r="O165" s="15">
        <f>Tabla24[[#This Row],[MONTO DE LA VENTA]]-Tabla24[[#This Row],[MONTO DE COMPRA]]</f>
        <v>3000</v>
      </c>
    </row>
    <row r="166" spans="1:15" x14ac:dyDescent="0.25">
      <c r="A166" s="56">
        <v>44631</v>
      </c>
      <c r="B166" s="4" t="s">
        <v>1016</v>
      </c>
      <c r="C166" s="4" t="s">
        <v>1017</v>
      </c>
      <c r="D166" s="1" t="s">
        <v>1018</v>
      </c>
      <c r="E166" s="4" t="s">
        <v>1019</v>
      </c>
      <c r="F166" s="4" t="s">
        <v>30</v>
      </c>
      <c r="G166" s="66" t="s">
        <v>1020</v>
      </c>
      <c r="H166" s="15">
        <v>80000</v>
      </c>
      <c r="I166" s="2">
        <f>Tabla24[[#This Row],[TOTAL FACTURA]]*0.6</f>
        <v>48000</v>
      </c>
      <c r="J166" s="15">
        <f>Tabla24[[#This Row],[TOTAL FACTURA]]*0.4</f>
        <v>32000</v>
      </c>
      <c r="L166" s="11"/>
      <c r="M166" s="15"/>
      <c r="N166" s="2" t="s">
        <v>25</v>
      </c>
      <c r="O166" s="15">
        <f>Tabla24[[#This Row],[MONTO DE LA VENTA]]-Tabla24[[#This Row],[MONTO DE COMPRA]]</f>
        <v>0</v>
      </c>
    </row>
    <row r="167" spans="1:15" x14ac:dyDescent="0.25">
      <c r="A167" s="9">
        <v>44631</v>
      </c>
      <c r="B167" s="4" t="s">
        <v>1022</v>
      </c>
      <c r="C167" s="1" t="s">
        <v>1023</v>
      </c>
      <c r="D167" s="1" t="s">
        <v>1024</v>
      </c>
      <c r="E167" s="1" t="s">
        <v>1025</v>
      </c>
      <c r="F167" s="4" t="s">
        <v>408</v>
      </c>
      <c r="G167" s="2" t="s">
        <v>1026</v>
      </c>
      <c r="H167" s="15">
        <v>40000</v>
      </c>
      <c r="I167" s="2">
        <f>Tabla24[[#This Row],[TOTAL FACTURA]]*0.6</f>
        <v>24000</v>
      </c>
      <c r="J167" s="15">
        <f>Tabla24[[#This Row],[TOTAL FACTURA]]*0.4</f>
        <v>16000</v>
      </c>
      <c r="N167" s="2" t="s">
        <v>25</v>
      </c>
    </row>
    <row r="168" spans="1:15" x14ac:dyDescent="0.25">
      <c r="A168" s="9">
        <v>44631</v>
      </c>
      <c r="B168" s="4" t="s">
        <v>1022</v>
      </c>
      <c r="C168" s="1" t="s">
        <v>1023</v>
      </c>
      <c r="D168" s="1" t="s">
        <v>1024</v>
      </c>
      <c r="E168" s="1" t="s">
        <v>1025</v>
      </c>
      <c r="F168" s="4" t="s">
        <v>10</v>
      </c>
      <c r="G168" s="71" t="s">
        <v>1027</v>
      </c>
      <c r="H168" s="15">
        <v>120000</v>
      </c>
      <c r="I168" s="2">
        <f>Tabla24[[#This Row],[TOTAL FACTURA]]*0.6</f>
        <v>72000</v>
      </c>
      <c r="J168" s="15">
        <f>Tabla24[[#This Row],[TOTAL FACTURA]]*0.4</f>
        <v>48000</v>
      </c>
      <c r="K168" s="1" t="s">
        <v>1028</v>
      </c>
      <c r="L168" s="11">
        <f>6000+60000</f>
        <v>66000</v>
      </c>
      <c r="M168" s="11"/>
      <c r="N168" s="2" t="s">
        <v>25</v>
      </c>
      <c r="O168" s="15">
        <f>Tabla24[[#This Row],[MONTO DE LA VENTA]]-Tabla24[[#This Row],[MONTO DE COMPRA]]</f>
        <v>-66000</v>
      </c>
    </row>
    <row r="169" spans="1:15" x14ac:dyDescent="0.25">
      <c r="A169" s="56">
        <v>44631</v>
      </c>
      <c r="B169" s="4" t="s">
        <v>1029</v>
      </c>
      <c r="C169" s="4" t="s">
        <v>1030</v>
      </c>
      <c r="D169" s="1" t="s">
        <v>1031</v>
      </c>
      <c r="E169" s="4" t="s">
        <v>1032</v>
      </c>
      <c r="F169" s="4" t="s">
        <v>10</v>
      </c>
      <c r="G169" s="71" t="s">
        <v>1033</v>
      </c>
      <c r="H169" s="15">
        <v>20000</v>
      </c>
      <c r="I169" s="2">
        <f>Tabla24[[#This Row],[TOTAL FACTURA]]*0.6</f>
        <v>12000</v>
      </c>
      <c r="J169" s="15">
        <f>Tabla24[[#This Row],[TOTAL FACTURA]]*0.4</f>
        <v>8000</v>
      </c>
      <c r="L169" s="11"/>
      <c r="M169" s="11"/>
      <c r="N169" s="2" t="s">
        <v>25</v>
      </c>
      <c r="O169" s="15">
        <f>Tabla24[[#This Row],[MONTO DE LA VENTA]]-Tabla24[[#This Row],[MONTO DE COMPRA]]</f>
        <v>0</v>
      </c>
    </row>
    <row r="170" spans="1:15" x14ac:dyDescent="0.25">
      <c r="A170" s="56">
        <v>44631</v>
      </c>
      <c r="B170" s="4" t="s">
        <v>1042</v>
      </c>
      <c r="C170" s="4" t="s">
        <v>1043</v>
      </c>
      <c r="D170" s="1" t="s">
        <v>1044</v>
      </c>
      <c r="E170" s="4" t="s">
        <v>1045</v>
      </c>
      <c r="F170" s="4" t="s">
        <v>408</v>
      </c>
      <c r="G170" s="71" t="s">
        <v>1046</v>
      </c>
      <c r="H170" s="15">
        <v>100000</v>
      </c>
      <c r="I170" s="2">
        <f>Tabla24[[#This Row],[TOTAL FACTURA]]*0.6</f>
        <v>60000</v>
      </c>
      <c r="J170" s="15">
        <f>Tabla24[[#This Row],[TOTAL FACTURA]]*0.4</f>
        <v>40000</v>
      </c>
      <c r="L170" s="11"/>
      <c r="M170" s="11"/>
      <c r="N170" s="2" t="s">
        <v>25</v>
      </c>
      <c r="O170" s="15">
        <f>Tabla24[[#This Row],[MONTO DE LA VENTA]]-Tabla24[[#This Row],[MONTO DE COMPRA]]</f>
        <v>0</v>
      </c>
    </row>
    <row r="171" spans="1:15" x14ac:dyDescent="0.25">
      <c r="A171" s="56">
        <v>44632</v>
      </c>
      <c r="B171" s="4" t="s">
        <v>1050</v>
      </c>
      <c r="C171" s="4" t="s">
        <v>1051</v>
      </c>
      <c r="D171" s="1" t="s">
        <v>194</v>
      </c>
      <c r="E171" s="4" t="s">
        <v>316</v>
      </c>
      <c r="F171" s="4" t="s">
        <v>19</v>
      </c>
      <c r="G171" s="71" t="s">
        <v>233</v>
      </c>
      <c r="H171" s="15">
        <v>40000</v>
      </c>
      <c r="I171" s="2">
        <v>40000</v>
      </c>
      <c r="J171" s="15">
        <f>Tabla24[[#This Row],[TOTAL FACTURA]]*0.4</f>
        <v>16000</v>
      </c>
      <c r="K171" s="1" t="s">
        <v>1052</v>
      </c>
      <c r="L171" s="11">
        <f>200000+118000</f>
        <v>318000</v>
      </c>
      <c r="M171" s="11">
        <v>360000</v>
      </c>
      <c r="O171" s="15">
        <f>Tabla24[[#This Row],[MONTO DE LA VENTA]]-Tabla24[[#This Row],[MONTO DE COMPRA]]</f>
        <v>42000</v>
      </c>
    </row>
    <row r="172" spans="1:15" x14ac:dyDescent="0.25">
      <c r="A172" s="56">
        <v>44632</v>
      </c>
      <c r="B172" s="4" t="s">
        <v>1053</v>
      </c>
      <c r="C172" s="4" t="s">
        <v>1054</v>
      </c>
      <c r="D172" s="1" t="s">
        <v>584</v>
      </c>
      <c r="E172" s="4" t="s">
        <v>1055</v>
      </c>
      <c r="F172" s="4" t="s">
        <v>19</v>
      </c>
      <c r="G172" s="71" t="s">
        <v>1056</v>
      </c>
      <c r="H172" s="15">
        <v>120000</v>
      </c>
      <c r="I172" s="2">
        <f>Tabla24[[#This Row],[TOTAL FACTURA]]*0.6</f>
        <v>72000</v>
      </c>
      <c r="J172" s="15">
        <f>Tabla24[[#This Row],[TOTAL FACTURA]]*0.4</f>
        <v>48000</v>
      </c>
      <c r="K172" s="1" t="s">
        <v>1057</v>
      </c>
      <c r="L172" s="11">
        <v>40000</v>
      </c>
      <c r="M172" s="11">
        <v>80000</v>
      </c>
      <c r="O172" s="15">
        <f>Tabla24[[#This Row],[MONTO DE LA VENTA]]-Tabla24[[#This Row],[MONTO DE COMPRA]]</f>
        <v>40000</v>
      </c>
    </row>
    <row r="173" spans="1:15" x14ac:dyDescent="0.25">
      <c r="A173" s="56">
        <v>44632</v>
      </c>
      <c r="B173" s="4" t="s">
        <v>1058</v>
      </c>
      <c r="C173" s="4" t="s">
        <v>1059</v>
      </c>
      <c r="D173" s="1" t="s">
        <v>1060</v>
      </c>
      <c r="E173" s="4" t="s">
        <v>1061</v>
      </c>
      <c r="F173" s="4" t="s">
        <v>19</v>
      </c>
      <c r="G173" s="71" t="s">
        <v>1062</v>
      </c>
      <c r="H173" s="15">
        <v>60000</v>
      </c>
      <c r="I173" s="2">
        <f>Tabla24[[#This Row],[TOTAL FACTURA]]*0.6</f>
        <v>36000</v>
      </c>
      <c r="J173" s="15">
        <f>Tabla24[[#This Row],[TOTAL FACTURA]]*0.4</f>
        <v>24000</v>
      </c>
      <c r="K173" s="1" t="s">
        <v>1063</v>
      </c>
      <c r="L173" s="11">
        <v>150000</v>
      </c>
      <c r="M173" s="11">
        <v>210000</v>
      </c>
      <c r="O173" s="15">
        <f>Tabla24[[#This Row],[MONTO DE LA VENTA]]-Tabla24[[#This Row],[MONTO DE COMPRA]]</f>
        <v>60000</v>
      </c>
    </row>
    <row r="174" spans="1:15" x14ac:dyDescent="0.25">
      <c r="A174" s="56">
        <v>44632</v>
      </c>
      <c r="B174" s="4" t="s">
        <v>1064</v>
      </c>
      <c r="C174" s="4" t="s">
        <v>1065</v>
      </c>
      <c r="D174" s="1" t="s">
        <v>1066</v>
      </c>
      <c r="E174" s="4" t="s">
        <v>243</v>
      </c>
      <c r="F174" s="4" t="s">
        <v>19</v>
      </c>
      <c r="G174" s="71" t="s">
        <v>1067</v>
      </c>
      <c r="H174" s="15">
        <v>25000</v>
      </c>
      <c r="I174" s="2">
        <f>Tabla24[[#This Row],[TOTAL FACTURA]]*0.6</f>
        <v>15000</v>
      </c>
      <c r="J174" s="15">
        <f>Tabla24[[#This Row],[TOTAL FACTURA]]*0.4</f>
        <v>10000</v>
      </c>
      <c r="K174" s="1" t="s">
        <v>1068</v>
      </c>
      <c r="L174" s="11">
        <f>60000+900</f>
        <v>60900</v>
      </c>
      <c r="M174" s="11">
        <v>85000</v>
      </c>
      <c r="O174" s="15">
        <f>Tabla24[[#This Row],[MONTO DE LA VENTA]]-Tabla24[[#This Row],[MONTO DE COMPRA]]</f>
        <v>24100</v>
      </c>
    </row>
    <row r="175" spans="1:15" x14ac:dyDescent="0.25">
      <c r="A175" s="56">
        <v>44632</v>
      </c>
      <c r="B175" s="4" t="s">
        <v>1069</v>
      </c>
      <c r="C175" s="4" t="s">
        <v>1070</v>
      </c>
      <c r="D175" s="1" t="s">
        <v>385</v>
      </c>
      <c r="E175" s="4" t="s">
        <v>1071</v>
      </c>
      <c r="F175" s="4" t="s">
        <v>10</v>
      </c>
      <c r="G175" s="71" t="s">
        <v>1072</v>
      </c>
      <c r="H175" s="15">
        <v>180000</v>
      </c>
      <c r="I175" s="2">
        <f>Tabla24[[#This Row],[TOTAL FACTURA]]*0.6</f>
        <v>108000</v>
      </c>
      <c r="J175" s="15">
        <f>Tabla24[[#This Row],[TOTAL FACTURA]]*0.4</f>
        <v>72000</v>
      </c>
      <c r="K175" s="1" t="s">
        <v>1073</v>
      </c>
      <c r="L175" s="11">
        <v>258000</v>
      </c>
      <c r="M175" s="11">
        <v>290000</v>
      </c>
      <c r="O175" s="15">
        <f>Tabla24[[#This Row],[MONTO DE LA VENTA]]-Tabla24[[#This Row],[MONTO DE COMPRA]]</f>
        <v>32000</v>
      </c>
    </row>
    <row r="176" spans="1:15" x14ac:dyDescent="0.25">
      <c r="A176" s="56">
        <v>44632</v>
      </c>
      <c r="C176" s="82"/>
      <c r="D176" s="1" t="s">
        <v>1158</v>
      </c>
      <c r="E176" s="4"/>
      <c r="F176" s="4" t="s">
        <v>19</v>
      </c>
      <c r="G176" s="71" t="s">
        <v>1157</v>
      </c>
      <c r="H176" s="15">
        <v>30000</v>
      </c>
      <c r="I176" s="2">
        <f>Tabla24[[#This Row],[TOTAL FACTURA]]*0.6</f>
        <v>18000</v>
      </c>
      <c r="J176" s="83">
        <f>Tabla24[[#This Row],[TOTAL FACTURA]]*0.4</f>
        <v>12000</v>
      </c>
      <c r="L176" s="11"/>
      <c r="M176" s="11"/>
      <c r="O176" s="15">
        <f>Tabla24[[#This Row],[MONTO DE LA VENTA]]-Tabla24[[#This Row],[MONTO DE COMPRA]]</f>
        <v>0</v>
      </c>
    </row>
    <row r="177" spans="1:15" x14ac:dyDescent="0.25">
      <c r="A177" s="56">
        <v>44632</v>
      </c>
      <c r="C177" s="70"/>
      <c r="E177" s="4"/>
      <c r="G177" s="71" t="s">
        <v>1074</v>
      </c>
      <c r="H177" s="15">
        <v>30000</v>
      </c>
      <c r="I177" s="2">
        <f>Tabla24[[#This Row],[TOTAL FACTURA]]*0.6</f>
        <v>18000</v>
      </c>
      <c r="J177" s="15">
        <f>Tabla24[[#This Row],[TOTAL FACTURA]]*0.4</f>
        <v>12000</v>
      </c>
      <c r="L177" s="11"/>
      <c r="M177" s="11"/>
      <c r="O177" s="15">
        <f>Tabla24[[#This Row],[MONTO DE LA VENTA]]-Tabla24[[#This Row],[MONTO DE COMPRA]]</f>
        <v>0</v>
      </c>
    </row>
    <row r="178" spans="1:15" x14ac:dyDescent="0.25">
      <c r="A178" s="56">
        <v>44632</v>
      </c>
      <c r="C178" s="4"/>
      <c r="E178" s="4"/>
      <c r="F178" s="4" t="s">
        <v>19</v>
      </c>
      <c r="G178" s="71" t="s">
        <v>434</v>
      </c>
      <c r="H178" s="15">
        <v>30000</v>
      </c>
      <c r="I178" s="2">
        <f>Tabla24[[#This Row],[TOTAL FACTURA]]*0.6</f>
        <v>18000</v>
      </c>
      <c r="J178" s="15">
        <f>Tabla24[[#This Row],[TOTAL FACTURA]]*0.4</f>
        <v>12000</v>
      </c>
      <c r="L178" s="11"/>
      <c r="M178" s="11"/>
      <c r="O178" s="15">
        <f>Tabla24[[#This Row],[MONTO DE LA VENTA]]-Tabla24[[#This Row],[MONTO DE COMPRA]]</f>
        <v>0</v>
      </c>
    </row>
    <row r="179" spans="1:15" x14ac:dyDescent="0.25">
      <c r="A179" s="56">
        <v>44634</v>
      </c>
      <c r="B179" s="4" t="s">
        <v>1075</v>
      </c>
      <c r="C179" s="4" t="s">
        <v>1076</v>
      </c>
      <c r="D179" s="1" t="s">
        <v>1077</v>
      </c>
      <c r="E179" s="4" t="s">
        <v>937</v>
      </c>
      <c r="F179" s="4" t="s">
        <v>19</v>
      </c>
      <c r="G179" s="71" t="s">
        <v>1078</v>
      </c>
      <c r="H179" s="15">
        <v>130000</v>
      </c>
      <c r="I179" s="2">
        <f>Tabla24[[#This Row],[TOTAL FACTURA]]*0.6</f>
        <v>78000</v>
      </c>
      <c r="J179" s="15">
        <f>Tabla24[[#This Row],[TOTAL FACTURA]]*0.4</f>
        <v>52000</v>
      </c>
      <c r="K179" s="1" t="s">
        <v>1079</v>
      </c>
      <c r="L179" s="11">
        <f>10000+200000</f>
        <v>210000</v>
      </c>
      <c r="M179" s="11">
        <v>145000</v>
      </c>
      <c r="O179" s="15">
        <f>Tabla24[[#This Row],[MONTO DE LA VENTA]]-Tabla24[[#This Row],[MONTO DE COMPRA]]</f>
        <v>-65000</v>
      </c>
    </row>
    <row r="180" spans="1:15" x14ac:dyDescent="0.25">
      <c r="A180" s="56">
        <v>44634</v>
      </c>
      <c r="B180" s="4" t="s">
        <v>1080</v>
      </c>
      <c r="C180" s="4" t="s">
        <v>1081</v>
      </c>
      <c r="D180" s="1" t="s">
        <v>1082</v>
      </c>
      <c r="E180" s="4" t="s">
        <v>1083</v>
      </c>
      <c r="F180" s="4" t="s">
        <v>19</v>
      </c>
      <c r="G180" s="71" t="s">
        <v>1084</v>
      </c>
      <c r="H180" s="15">
        <v>23000</v>
      </c>
      <c r="I180" s="2">
        <f>Tabla24[[#This Row],[TOTAL FACTURA]]*0.6</f>
        <v>13800</v>
      </c>
      <c r="J180" s="15">
        <f>Tabla24[[#This Row],[TOTAL FACTURA]]*0.4</f>
        <v>9200</v>
      </c>
      <c r="K180" s="1" t="s">
        <v>1085</v>
      </c>
      <c r="L180" s="11">
        <f>5000+10000</f>
        <v>15000</v>
      </c>
      <c r="M180" s="11"/>
      <c r="O180" s="15">
        <f>Tabla24[[#This Row],[MONTO DE LA VENTA]]-Tabla24[[#This Row],[MONTO DE COMPRA]]</f>
        <v>-15000</v>
      </c>
    </row>
    <row r="181" spans="1:15" x14ac:dyDescent="0.25">
      <c r="A181" s="56">
        <v>44634</v>
      </c>
      <c r="B181" s="4" t="s">
        <v>1086</v>
      </c>
      <c r="C181" s="4" t="s">
        <v>1087</v>
      </c>
      <c r="D181" s="1" t="s">
        <v>889</v>
      </c>
      <c r="E181" s="4" t="s">
        <v>1088</v>
      </c>
      <c r="F181" s="4" t="s">
        <v>19</v>
      </c>
      <c r="G181" s="71" t="s">
        <v>1089</v>
      </c>
      <c r="H181" s="15">
        <v>100000</v>
      </c>
      <c r="I181" s="2">
        <f>Tabla24[[#This Row],[TOTAL FACTURA]]*0.6</f>
        <v>60000</v>
      </c>
      <c r="J181" s="72">
        <f>Tabla24[[#This Row],[TOTAL FACTURA]]*0.4</f>
        <v>40000</v>
      </c>
      <c r="K181" s="1" t="s">
        <v>1090</v>
      </c>
      <c r="L181" s="11">
        <f>600+8000</f>
        <v>8600</v>
      </c>
      <c r="M181" s="11">
        <v>11000</v>
      </c>
      <c r="O181" s="15">
        <f>Tabla24[[#This Row],[MONTO DE LA VENTA]]-Tabla24[[#This Row],[MONTO DE COMPRA]]</f>
        <v>2400</v>
      </c>
    </row>
    <row r="182" spans="1:15" x14ac:dyDescent="0.25">
      <c r="A182" s="56">
        <v>44634</v>
      </c>
      <c r="B182" s="4" t="s">
        <v>1095</v>
      </c>
      <c r="C182" s="4" t="s">
        <v>1091</v>
      </c>
      <c r="D182" s="1" t="s">
        <v>975</v>
      </c>
      <c r="E182" s="4" t="s">
        <v>1092</v>
      </c>
      <c r="F182" s="4" t="s">
        <v>19</v>
      </c>
      <c r="G182" s="71" t="s">
        <v>1093</v>
      </c>
      <c r="H182" s="15">
        <v>60000</v>
      </c>
      <c r="I182" s="2">
        <f>Tabla24[[#This Row],[TOTAL FACTURA]]*0.6</f>
        <v>36000</v>
      </c>
      <c r="J182" s="72">
        <f>Tabla24[[#This Row],[TOTAL FACTURA]]*0.4</f>
        <v>24000</v>
      </c>
      <c r="K182" s="1" t="s">
        <v>1094</v>
      </c>
      <c r="L182" s="11">
        <f>24000+65000</f>
        <v>89000</v>
      </c>
      <c r="M182" s="11">
        <f>85000+37000</f>
        <v>122000</v>
      </c>
      <c r="O182" s="15">
        <f>Tabla24[[#This Row],[MONTO DE LA VENTA]]-Tabla24[[#This Row],[MONTO DE COMPRA]]</f>
        <v>33000</v>
      </c>
    </row>
    <row r="183" spans="1:15" x14ac:dyDescent="0.25">
      <c r="A183" s="56">
        <v>44635</v>
      </c>
      <c r="C183" s="4"/>
      <c r="D183" s="1" t="s">
        <v>48</v>
      </c>
      <c r="E183" s="4"/>
      <c r="F183" s="4"/>
      <c r="G183" s="71" t="s">
        <v>1159</v>
      </c>
      <c r="H183" s="15">
        <v>10000</v>
      </c>
      <c r="I183" s="2">
        <f>Tabla24[[#This Row],[TOTAL FACTURA]]*0.6</f>
        <v>6000</v>
      </c>
      <c r="J183" s="15">
        <f>Tabla24[[#This Row],[TOTAL FACTURA]]*0.4</f>
        <v>4000</v>
      </c>
      <c r="L183" s="11"/>
      <c r="M183" s="11"/>
      <c r="O183" s="15">
        <f>Tabla24[[#This Row],[MONTO DE LA VENTA]]-Tabla24[[#This Row],[MONTO DE COMPRA]]</f>
        <v>0</v>
      </c>
    </row>
    <row r="184" spans="1:15" x14ac:dyDescent="0.25">
      <c r="A184" s="56">
        <v>44635</v>
      </c>
      <c r="B184" s="4" t="s">
        <v>1096</v>
      </c>
      <c r="C184" s="4" t="s">
        <v>1097</v>
      </c>
      <c r="E184" s="4" t="s">
        <v>1098</v>
      </c>
      <c r="F184" s="4" t="s">
        <v>30</v>
      </c>
      <c r="G184" s="71" t="s">
        <v>1099</v>
      </c>
      <c r="H184" s="15">
        <v>20000</v>
      </c>
      <c r="I184" s="2">
        <f>Tabla24[[#This Row],[TOTAL FACTURA]]*0.6</f>
        <v>12000</v>
      </c>
      <c r="J184" s="72">
        <f>Tabla24[[#This Row],[TOTAL FACTURA]]*0.4</f>
        <v>8000</v>
      </c>
      <c r="L184" s="11"/>
      <c r="M184" s="11"/>
      <c r="O184" s="15">
        <f>Tabla24[[#This Row],[MONTO DE LA VENTA]]-Tabla24[[#This Row],[MONTO DE COMPRA]]</f>
        <v>0</v>
      </c>
    </row>
    <row r="185" spans="1:15" x14ac:dyDescent="0.25">
      <c r="A185" s="56">
        <v>44635</v>
      </c>
      <c r="C185" s="4" t="s">
        <v>1100</v>
      </c>
      <c r="D185" s="1" t="s">
        <v>466</v>
      </c>
      <c r="E185" s="4" t="s">
        <v>1101</v>
      </c>
      <c r="F185" s="4" t="s">
        <v>19</v>
      </c>
      <c r="G185" s="71" t="s">
        <v>128</v>
      </c>
      <c r="H185" s="15">
        <v>6500</v>
      </c>
      <c r="I185" s="2">
        <f>Tabla24[[#This Row],[TOTAL FACTURA]]*0.6</f>
        <v>3900</v>
      </c>
      <c r="J185" s="72">
        <f>Tabla24[[#This Row],[TOTAL FACTURA]]*0.4</f>
        <v>2600</v>
      </c>
      <c r="L185" s="11"/>
      <c r="M185" s="11"/>
      <c r="O185" s="15">
        <f>Tabla24[[#This Row],[MONTO DE LA VENTA]]-Tabla24[[#This Row],[MONTO DE COMPRA]]</f>
        <v>0</v>
      </c>
    </row>
    <row r="186" spans="1:15" x14ac:dyDescent="0.25">
      <c r="A186" s="56">
        <v>44635</v>
      </c>
      <c r="C186" s="4" t="s">
        <v>1102</v>
      </c>
      <c r="D186" s="1" t="s">
        <v>200</v>
      </c>
      <c r="E186" s="4" t="s">
        <v>1103</v>
      </c>
      <c r="F186" s="4" t="s">
        <v>19</v>
      </c>
      <c r="G186" s="71" t="s">
        <v>1104</v>
      </c>
      <c r="H186" s="15">
        <v>30000</v>
      </c>
      <c r="I186" s="2">
        <f>Tabla24[[#This Row],[TOTAL FACTURA]]*0.6</f>
        <v>18000</v>
      </c>
      <c r="J186" s="72">
        <f>Tabla24[[#This Row],[TOTAL FACTURA]]*0.4</f>
        <v>12000</v>
      </c>
      <c r="L186" s="11"/>
      <c r="M186" s="11"/>
      <c r="O186" s="15">
        <f>Tabla24[[#This Row],[MONTO DE LA VENTA]]-Tabla24[[#This Row],[MONTO DE COMPRA]]</f>
        <v>0</v>
      </c>
    </row>
    <row r="187" spans="1:15" x14ac:dyDescent="0.25">
      <c r="A187" s="56">
        <v>44636</v>
      </c>
      <c r="B187" s="4" t="s">
        <v>1105</v>
      </c>
      <c r="C187" s="4" t="s">
        <v>1023</v>
      </c>
      <c r="D187" s="1" t="s">
        <v>1024</v>
      </c>
      <c r="E187" s="4" t="s">
        <v>1106</v>
      </c>
      <c r="F187" s="4" t="s">
        <v>19</v>
      </c>
      <c r="G187" s="71" t="s">
        <v>343</v>
      </c>
      <c r="H187" s="15">
        <v>120000</v>
      </c>
      <c r="I187" s="2">
        <f>Tabla24[[#This Row],[TOTAL FACTURA]]*0.6</f>
        <v>72000</v>
      </c>
      <c r="J187" s="72">
        <f>Tabla24[[#This Row],[TOTAL FACTURA]]*0.4</f>
        <v>48000</v>
      </c>
      <c r="K187" s="1" t="s">
        <v>1107</v>
      </c>
      <c r="L187" s="11">
        <v>100000</v>
      </c>
      <c r="M187" s="11">
        <v>120000</v>
      </c>
      <c r="O187" s="15">
        <f>Tabla24[[#This Row],[MONTO DE LA VENTA]]-Tabla24[[#This Row],[MONTO DE COMPRA]]</f>
        <v>20000</v>
      </c>
    </row>
    <row r="188" spans="1:15" x14ac:dyDescent="0.25">
      <c r="A188" s="56">
        <v>44636</v>
      </c>
      <c r="B188" s="4" t="s">
        <v>1108</v>
      </c>
      <c r="C188" s="4" t="s">
        <v>1109</v>
      </c>
      <c r="D188" s="1" t="s">
        <v>59</v>
      </c>
      <c r="E188" s="4" t="s">
        <v>1110</v>
      </c>
      <c r="F188" s="4" t="s">
        <v>19</v>
      </c>
      <c r="G188" s="71" t="s">
        <v>1111</v>
      </c>
      <c r="H188" s="15">
        <v>30000</v>
      </c>
      <c r="I188" s="2">
        <f>Tabla24[[#This Row],[TOTAL FACTURA]]*0.6</f>
        <v>18000</v>
      </c>
      <c r="J188" s="72">
        <f>Tabla24[[#This Row],[TOTAL FACTURA]]*0.4</f>
        <v>12000</v>
      </c>
      <c r="L188" s="11"/>
      <c r="M188" s="11"/>
      <c r="O188" s="15">
        <f>Tabla24[[#This Row],[MONTO DE LA VENTA]]-Tabla24[[#This Row],[MONTO DE COMPRA]]</f>
        <v>0</v>
      </c>
    </row>
    <row r="189" spans="1:15" x14ac:dyDescent="0.25">
      <c r="A189" s="56">
        <v>44636</v>
      </c>
      <c r="B189" s="4" t="s">
        <v>707</v>
      </c>
      <c r="C189" s="4" t="s">
        <v>1112</v>
      </c>
      <c r="D189" s="1" t="s">
        <v>1113</v>
      </c>
      <c r="E189" s="4" t="s">
        <v>963</v>
      </c>
      <c r="F189" s="4" t="s">
        <v>30</v>
      </c>
      <c r="G189" s="71" t="s">
        <v>1114</v>
      </c>
      <c r="H189" s="15">
        <v>40000</v>
      </c>
      <c r="I189" s="2">
        <f>Tabla24[[#This Row],[TOTAL FACTURA]]*0.6</f>
        <v>24000</v>
      </c>
      <c r="J189" s="72">
        <f>Tabla24[[#This Row],[TOTAL FACTURA]]*0.4</f>
        <v>16000</v>
      </c>
      <c r="L189" s="11"/>
      <c r="M189" s="11"/>
      <c r="O189" s="15">
        <f>Tabla24[[#This Row],[MONTO DE LA VENTA]]-Tabla24[[#This Row],[MONTO DE COMPRA]]</f>
        <v>0</v>
      </c>
    </row>
    <row r="190" spans="1:15" x14ac:dyDescent="0.25">
      <c r="A190" s="56">
        <v>44636</v>
      </c>
      <c r="B190" s="4" t="s">
        <v>1115</v>
      </c>
      <c r="C190" s="4" t="s">
        <v>1116</v>
      </c>
      <c r="D190" s="1" t="s">
        <v>975</v>
      </c>
      <c r="E190" s="4" t="s">
        <v>1117</v>
      </c>
      <c r="F190" s="4" t="s">
        <v>30</v>
      </c>
      <c r="G190" s="71" t="s">
        <v>1118</v>
      </c>
      <c r="H190" s="15">
        <v>330000</v>
      </c>
      <c r="I190" s="2">
        <f>Tabla24[[#This Row],[TOTAL FACTURA]]*0.6</f>
        <v>198000</v>
      </c>
      <c r="J190" s="72">
        <f>Tabla24[[#This Row],[TOTAL FACTURA]]*0.4</f>
        <v>132000</v>
      </c>
      <c r="K190" s="1" t="s">
        <v>1119</v>
      </c>
      <c r="L190" s="11">
        <v>10000</v>
      </c>
      <c r="M190" s="11">
        <v>15000</v>
      </c>
      <c r="O190" s="15">
        <f>Tabla24[[#This Row],[MONTO DE LA VENTA]]-Tabla24[[#This Row],[MONTO DE COMPRA]]</f>
        <v>5000</v>
      </c>
    </row>
    <row r="191" spans="1:15" x14ac:dyDescent="0.25">
      <c r="A191" s="56">
        <v>44636</v>
      </c>
      <c r="B191" s="4" t="s">
        <v>1120</v>
      </c>
      <c r="C191" s="4" t="s">
        <v>1121</v>
      </c>
      <c r="D191" s="1" t="s">
        <v>76</v>
      </c>
      <c r="E191" s="4" t="s">
        <v>1122</v>
      </c>
      <c r="F191" s="4" t="s">
        <v>19</v>
      </c>
      <c r="G191" s="71" t="s">
        <v>206</v>
      </c>
      <c r="H191" s="15">
        <v>50000</v>
      </c>
      <c r="I191" s="2">
        <f>Tabla24[[#This Row],[TOTAL FACTURA]]*0.6</f>
        <v>30000</v>
      </c>
      <c r="J191" s="72">
        <f>Tabla24[[#This Row],[TOTAL FACTURA]]*0.4</f>
        <v>20000</v>
      </c>
      <c r="L191" s="11"/>
      <c r="M191" s="11"/>
      <c r="O191" s="15">
        <f>Tabla24[[#This Row],[MONTO DE LA VENTA]]-Tabla24[[#This Row],[MONTO DE COMPRA]]</f>
        <v>0</v>
      </c>
    </row>
    <row r="192" spans="1:15" x14ac:dyDescent="0.25">
      <c r="A192" s="56">
        <v>44636</v>
      </c>
      <c r="B192" s="4" t="s">
        <v>1123</v>
      </c>
      <c r="C192" s="4" t="s">
        <v>1124</v>
      </c>
      <c r="D192" s="1" t="s">
        <v>1125</v>
      </c>
      <c r="E192" s="4" t="s">
        <v>1126</v>
      </c>
      <c r="F192" s="4" t="s">
        <v>19</v>
      </c>
      <c r="G192" s="71" t="s">
        <v>1127</v>
      </c>
      <c r="H192" s="15">
        <v>20000</v>
      </c>
      <c r="I192" s="2">
        <f>Tabla24[[#This Row],[TOTAL FACTURA]]*0.6</f>
        <v>12000</v>
      </c>
      <c r="J192" s="72">
        <f>Tabla24[[#This Row],[TOTAL FACTURA]]*0.4</f>
        <v>8000</v>
      </c>
      <c r="K192" s="1" t="s">
        <v>1128</v>
      </c>
      <c r="L192" s="11">
        <v>38000</v>
      </c>
      <c r="M192" s="11">
        <v>60000</v>
      </c>
      <c r="O192" s="15">
        <f>Tabla24[[#This Row],[MONTO DE LA VENTA]]-Tabla24[[#This Row],[MONTO DE COMPRA]]</f>
        <v>22000</v>
      </c>
    </row>
    <row r="193" spans="1:15" x14ac:dyDescent="0.25">
      <c r="A193" s="56">
        <v>44637</v>
      </c>
      <c r="B193" s="4" t="s">
        <v>1129</v>
      </c>
      <c r="C193" s="4" t="s">
        <v>1130</v>
      </c>
      <c r="D193" s="1" t="s">
        <v>52</v>
      </c>
      <c r="E193" s="4" t="s">
        <v>1131</v>
      </c>
      <c r="F193" s="4" t="s">
        <v>10</v>
      </c>
      <c r="G193" s="71" t="s">
        <v>1132</v>
      </c>
      <c r="H193" s="15">
        <v>50000</v>
      </c>
      <c r="I193" s="2">
        <f>Tabla24[[#This Row],[TOTAL FACTURA]]*0.6</f>
        <v>30000</v>
      </c>
      <c r="J193" s="72">
        <f>Tabla24[[#This Row],[TOTAL FACTURA]]*0.4</f>
        <v>20000</v>
      </c>
      <c r="K193" s="1" t="s">
        <v>1133</v>
      </c>
      <c r="L193" s="11">
        <v>3200</v>
      </c>
      <c r="M193" s="11">
        <v>6000</v>
      </c>
      <c r="O193" s="15">
        <f>Tabla24[[#This Row],[MONTO DE LA VENTA]]-Tabla24[[#This Row],[MONTO DE COMPRA]]</f>
        <v>2800</v>
      </c>
    </row>
    <row r="194" spans="1:15" x14ac:dyDescent="0.25">
      <c r="A194" s="56">
        <v>44637</v>
      </c>
      <c r="C194" s="4" t="s">
        <v>1134</v>
      </c>
      <c r="D194" s="1" t="s">
        <v>975</v>
      </c>
      <c r="E194" s="4" t="s">
        <v>1135</v>
      </c>
      <c r="F194" s="4" t="s">
        <v>10</v>
      </c>
      <c r="G194" s="71" t="s">
        <v>1001</v>
      </c>
      <c r="H194" s="15">
        <v>150000</v>
      </c>
      <c r="I194" s="2">
        <f>Tabla24[[#This Row],[TOTAL FACTURA]]*0.6</f>
        <v>90000</v>
      </c>
      <c r="J194" s="72">
        <f>Tabla24[[#This Row],[TOTAL FACTURA]]*0.4</f>
        <v>60000</v>
      </c>
      <c r="L194" s="11"/>
      <c r="M194" s="11"/>
      <c r="O194" s="15">
        <f>Tabla24[[#This Row],[MONTO DE LA VENTA]]-Tabla24[[#This Row],[MONTO DE COMPRA]]</f>
        <v>0</v>
      </c>
    </row>
    <row r="195" spans="1:15" x14ac:dyDescent="0.25">
      <c r="A195" s="56">
        <v>44638</v>
      </c>
      <c r="B195" s="4" t="s">
        <v>1136</v>
      </c>
      <c r="C195" s="70"/>
      <c r="E195" s="4"/>
      <c r="F195" s="4" t="s">
        <v>18</v>
      </c>
      <c r="G195" s="71" t="s">
        <v>1137</v>
      </c>
      <c r="H195" s="15">
        <v>10000</v>
      </c>
      <c r="I195" s="2">
        <v>10000</v>
      </c>
      <c r="J195" s="72">
        <f>Tabla24[[#This Row],[TOTAL FACTURA]]*0.4</f>
        <v>4000</v>
      </c>
      <c r="L195" s="11"/>
      <c r="M195" s="11"/>
      <c r="O195" s="15">
        <f>Tabla24[[#This Row],[MONTO DE LA VENTA]]-Tabla24[[#This Row],[MONTO DE COMPRA]]</f>
        <v>0</v>
      </c>
    </row>
    <row r="196" spans="1:15" x14ac:dyDescent="0.25">
      <c r="A196" s="56">
        <v>44638</v>
      </c>
      <c r="C196" s="70"/>
      <c r="E196" s="4"/>
      <c r="F196" s="4" t="s">
        <v>10</v>
      </c>
      <c r="G196" s="71" t="s">
        <v>434</v>
      </c>
      <c r="H196" s="15">
        <v>50000</v>
      </c>
      <c r="I196" s="2">
        <f>Tabla24[[#This Row],[TOTAL FACTURA]]*0.6</f>
        <v>30000</v>
      </c>
      <c r="J196" s="72">
        <f>Tabla24[[#This Row],[TOTAL FACTURA]]*0.4</f>
        <v>20000</v>
      </c>
      <c r="L196" s="11"/>
      <c r="M196" s="11"/>
      <c r="O196" s="15">
        <f>Tabla24[[#This Row],[MONTO DE LA VENTA]]-Tabla24[[#This Row],[MONTO DE COMPRA]]</f>
        <v>0</v>
      </c>
    </row>
    <row r="197" spans="1:15" x14ac:dyDescent="0.25">
      <c r="A197" s="56">
        <v>44638</v>
      </c>
      <c r="B197" s="4" t="s">
        <v>1138</v>
      </c>
      <c r="C197" s="4" t="s">
        <v>1139</v>
      </c>
      <c r="D197" s="1" t="s">
        <v>677</v>
      </c>
      <c r="E197" s="4" t="s">
        <v>1140</v>
      </c>
      <c r="F197" s="4" t="s">
        <v>19</v>
      </c>
      <c r="G197" s="71" t="s">
        <v>1141</v>
      </c>
      <c r="H197" s="15">
        <v>80000</v>
      </c>
      <c r="I197" s="2">
        <f>Tabla24[[#This Row],[TOTAL FACTURA]]*0.6</f>
        <v>48000</v>
      </c>
      <c r="J197" s="72">
        <f>Tabla24[[#This Row],[TOTAL FACTURA]]*0.4</f>
        <v>32000</v>
      </c>
      <c r="K197" s="1" t="s">
        <v>1142</v>
      </c>
      <c r="L197" s="11">
        <v>163000</v>
      </c>
      <c r="M197" s="11">
        <v>230000</v>
      </c>
      <c r="O197" s="15">
        <f>Tabla24[[#This Row],[MONTO DE LA VENTA]]-Tabla24[[#This Row],[MONTO DE COMPRA]]</f>
        <v>67000</v>
      </c>
    </row>
    <row r="198" spans="1:15" x14ac:dyDescent="0.25">
      <c r="A198" s="56">
        <v>44638</v>
      </c>
      <c r="B198" s="4" t="s">
        <v>1143</v>
      </c>
      <c r="C198" s="4" t="s">
        <v>1144</v>
      </c>
      <c r="D198" s="1" t="s">
        <v>59</v>
      </c>
      <c r="E198" s="4" t="s">
        <v>1145</v>
      </c>
      <c r="F198" s="4" t="s">
        <v>19</v>
      </c>
      <c r="G198" s="71" t="s">
        <v>1146</v>
      </c>
      <c r="H198" s="15">
        <v>40000</v>
      </c>
      <c r="I198" s="2">
        <f>Tabla24[[#This Row],[TOTAL FACTURA]]*0.6</f>
        <v>24000</v>
      </c>
      <c r="J198" s="72">
        <f>Tabla24[[#This Row],[TOTAL FACTURA]]*0.4</f>
        <v>16000</v>
      </c>
      <c r="L198" s="11"/>
      <c r="M198" s="11"/>
      <c r="O198" s="15">
        <f>Tabla24[[#This Row],[MONTO DE LA VENTA]]-Tabla24[[#This Row],[MONTO DE COMPRA]]</f>
        <v>0</v>
      </c>
    </row>
    <row r="199" spans="1:15" x14ac:dyDescent="0.25">
      <c r="A199" s="56">
        <v>44638</v>
      </c>
      <c r="B199" s="4" t="s">
        <v>1147</v>
      </c>
      <c r="C199" s="4" t="s">
        <v>1148</v>
      </c>
      <c r="D199" s="1" t="s">
        <v>385</v>
      </c>
      <c r="E199" s="4" t="s">
        <v>1149</v>
      </c>
      <c r="F199" s="4" t="s">
        <v>10</v>
      </c>
      <c r="G199" s="71" t="s">
        <v>1150</v>
      </c>
      <c r="H199" s="15">
        <v>70000</v>
      </c>
      <c r="I199" s="2">
        <f>Tabla24[[#This Row],[TOTAL FACTURA]]*0.6</f>
        <v>42000</v>
      </c>
      <c r="J199" s="72">
        <f>Tabla24[[#This Row],[TOTAL FACTURA]]*0.4</f>
        <v>28000</v>
      </c>
      <c r="L199" s="11"/>
      <c r="M199" s="11"/>
      <c r="O199" s="15">
        <f>Tabla24[[#This Row],[MONTO DE LA VENTA]]-Tabla24[[#This Row],[MONTO DE COMPRA]]</f>
        <v>0</v>
      </c>
    </row>
    <row r="200" spans="1:15" x14ac:dyDescent="0.25">
      <c r="A200" s="56">
        <v>44638</v>
      </c>
      <c r="C200" s="70"/>
      <c r="D200" s="1" t="s">
        <v>168</v>
      </c>
      <c r="E200" s="4"/>
      <c r="F200" s="4" t="s">
        <v>10</v>
      </c>
      <c r="G200" s="71" t="s">
        <v>1151</v>
      </c>
      <c r="H200" s="15">
        <v>1200000</v>
      </c>
      <c r="I200" s="2">
        <f>Tabla24[[#This Row],[TOTAL FACTURA]]*0.6</f>
        <v>720000</v>
      </c>
      <c r="J200" s="72">
        <f>Tabla24[[#This Row],[TOTAL FACTURA]]*0.4</f>
        <v>480000</v>
      </c>
      <c r="L200" s="11"/>
      <c r="M200" s="11"/>
      <c r="O200" s="15">
        <f>Tabla24[[#This Row],[MONTO DE LA VENTA]]-Tabla24[[#This Row],[MONTO DE COMPRA]]</f>
        <v>0</v>
      </c>
    </row>
    <row r="201" spans="1:15" x14ac:dyDescent="0.25">
      <c r="A201" s="56">
        <v>44638</v>
      </c>
      <c r="C201" s="70"/>
      <c r="D201" s="1" t="s">
        <v>201</v>
      </c>
      <c r="E201" s="4" t="s">
        <v>1152</v>
      </c>
      <c r="F201" s="4" t="s">
        <v>19</v>
      </c>
      <c r="G201" s="71" t="s">
        <v>341</v>
      </c>
      <c r="H201" s="15">
        <v>10000</v>
      </c>
      <c r="I201" s="2">
        <f>Tabla24[[#This Row],[TOTAL FACTURA]]*0.6</f>
        <v>6000</v>
      </c>
      <c r="J201" s="72">
        <f>Tabla24[[#This Row],[TOTAL FACTURA]]*0.4</f>
        <v>4000</v>
      </c>
      <c r="L201" s="11"/>
      <c r="M201" s="11"/>
      <c r="O201" s="15">
        <f>Tabla24[[#This Row],[MONTO DE LA VENTA]]-Tabla24[[#This Row],[MONTO DE COMPRA]]</f>
        <v>0</v>
      </c>
    </row>
    <row r="202" spans="1:15" x14ac:dyDescent="0.25">
      <c r="A202" s="56">
        <v>44638</v>
      </c>
      <c r="B202" s="4" t="s">
        <v>1153</v>
      </c>
      <c r="C202" s="4" t="s">
        <v>1154</v>
      </c>
      <c r="D202" s="1" t="s">
        <v>59</v>
      </c>
      <c r="E202" s="4" t="s">
        <v>1155</v>
      </c>
      <c r="F202" s="4" t="s">
        <v>19</v>
      </c>
      <c r="G202" s="71" t="s">
        <v>1156</v>
      </c>
      <c r="H202" s="15">
        <v>100000</v>
      </c>
      <c r="I202" s="2">
        <f>Tabla24[[#This Row],[TOTAL FACTURA]]*0.6</f>
        <v>60000</v>
      </c>
      <c r="J202" s="72">
        <f>Tabla24[[#This Row],[TOTAL FACTURA]]*0.4</f>
        <v>40000</v>
      </c>
      <c r="L202" s="11"/>
      <c r="M202" s="11"/>
      <c r="O202" s="15">
        <f>Tabla24[[#This Row],[MONTO DE LA VENTA]]-Tabla24[[#This Row],[MONTO DE COMPRA]]</f>
        <v>0</v>
      </c>
    </row>
    <row r="203" spans="1:15" x14ac:dyDescent="0.25">
      <c r="A203" s="56">
        <v>44634</v>
      </c>
      <c r="C203" s="4"/>
      <c r="E203" s="4"/>
      <c r="F203" s="11" t="s">
        <v>19</v>
      </c>
      <c r="G203" s="71" t="s">
        <v>341</v>
      </c>
      <c r="H203" s="15">
        <v>5000</v>
      </c>
      <c r="I203" s="2">
        <f>Tabla24[[#This Row],[TOTAL FACTURA]]*0.6</f>
        <v>3000</v>
      </c>
      <c r="J203" s="2">
        <f>Tabla24[[#This Row],[TOTAL FACTURA]]*0.4</f>
        <v>2000</v>
      </c>
      <c r="L203" s="11"/>
      <c r="M203" s="11"/>
      <c r="O203" s="15">
        <f>Tabla24[[#This Row],[MONTO DE LA VENTA]]-Tabla24[[#This Row],[MONTO DE COMPRA]]</f>
        <v>0</v>
      </c>
    </row>
    <row r="204" spans="1:15" x14ac:dyDescent="0.25">
      <c r="A204" s="56">
        <v>44639</v>
      </c>
      <c r="C204" s="4" t="s">
        <v>1163</v>
      </c>
      <c r="D204" s="1" t="s">
        <v>466</v>
      </c>
      <c r="E204" s="4" t="s">
        <v>1164</v>
      </c>
      <c r="F204" s="1" t="s">
        <v>19</v>
      </c>
      <c r="G204" s="71" t="s">
        <v>1165</v>
      </c>
      <c r="H204" s="15">
        <v>80000</v>
      </c>
      <c r="I204" s="2">
        <f>Tabla24[[#This Row],[TOTAL FACTURA]]*0.6</f>
        <v>48000</v>
      </c>
      <c r="J204" s="85">
        <f>Tabla24[[#This Row],[TOTAL FACTURA]]*0.4</f>
        <v>32000</v>
      </c>
      <c r="K204" s="1" t="s">
        <v>1166</v>
      </c>
      <c r="L204" s="11">
        <v>40000</v>
      </c>
      <c r="M204" s="11">
        <v>70000</v>
      </c>
      <c r="O204" s="15">
        <f>Tabla24[[#This Row],[MONTO DE LA VENTA]]-Tabla24[[#This Row],[MONTO DE COMPRA]]</f>
        <v>30000</v>
      </c>
    </row>
    <row r="205" spans="1:15" x14ac:dyDescent="0.25">
      <c r="A205" s="56">
        <v>44642</v>
      </c>
      <c r="C205" s="4" t="s">
        <v>1167</v>
      </c>
      <c r="D205" s="1" t="s">
        <v>899</v>
      </c>
      <c r="E205" s="4" t="s">
        <v>1168</v>
      </c>
      <c r="F205" s="1" t="s">
        <v>19</v>
      </c>
      <c r="G205" s="71" t="s">
        <v>140</v>
      </c>
      <c r="H205" s="15">
        <v>50000</v>
      </c>
      <c r="I205" s="2">
        <f>Tabla24[[#This Row],[TOTAL FACTURA]]*0.6</f>
        <v>30000</v>
      </c>
      <c r="J205" s="85">
        <f>Tabla24[[#This Row],[TOTAL FACTURA]]*0.4</f>
        <v>20000</v>
      </c>
      <c r="L205" s="11"/>
      <c r="M205" s="11"/>
      <c r="O205" s="15">
        <f>Tabla24[[#This Row],[MONTO DE LA VENTA]]-Tabla24[[#This Row],[MONTO DE COMPRA]]</f>
        <v>0</v>
      </c>
    </row>
    <row r="206" spans="1:15" x14ac:dyDescent="0.25">
      <c r="A206" s="56">
        <v>44642</v>
      </c>
      <c r="C206" s="4" t="s">
        <v>703</v>
      </c>
      <c r="D206" s="1" t="s">
        <v>704</v>
      </c>
      <c r="E206" s="4" t="s">
        <v>705</v>
      </c>
      <c r="F206" s="1" t="s">
        <v>408</v>
      </c>
      <c r="G206" s="71" t="s">
        <v>570</v>
      </c>
      <c r="H206" s="15">
        <v>50000</v>
      </c>
      <c r="I206" s="2">
        <f>Tabla24[[#This Row],[TOTAL FACTURA]]*0.6</f>
        <v>30000</v>
      </c>
      <c r="J206" s="85">
        <f>Tabla24[[#This Row],[TOTAL FACTURA]]*0.4</f>
        <v>20000</v>
      </c>
      <c r="L206" s="11"/>
      <c r="M206" s="11"/>
      <c r="O206" s="15">
        <f>Tabla24[[#This Row],[MONTO DE LA VENTA]]-Tabla24[[#This Row],[MONTO DE COMPRA]]</f>
        <v>0</v>
      </c>
    </row>
    <row r="207" spans="1:15" x14ac:dyDescent="0.25">
      <c r="A207" s="56">
        <v>44642</v>
      </c>
      <c r="B207" s="4" t="s">
        <v>1172</v>
      </c>
      <c r="C207" s="4" t="s">
        <v>1169</v>
      </c>
      <c r="D207" s="1" t="s">
        <v>1170</v>
      </c>
      <c r="E207" s="4" t="s">
        <v>1171</v>
      </c>
      <c r="F207" s="1" t="s">
        <v>19</v>
      </c>
      <c r="G207" s="71" t="s">
        <v>1173</v>
      </c>
      <c r="H207" s="15">
        <v>20000</v>
      </c>
      <c r="I207" s="2">
        <f>Tabla24[[#This Row],[TOTAL FACTURA]]*0.6</f>
        <v>12000</v>
      </c>
      <c r="J207" s="85">
        <f>Tabla24[[#This Row],[TOTAL FACTURA]]*0.4</f>
        <v>8000</v>
      </c>
      <c r="L207" s="11"/>
      <c r="M207" s="11"/>
      <c r="O207" s="15">
        <f>Tabla24[[#This Row],[MONTO DE LA VENTA]]-Tabla24[[#This Row],[MONTO DE COMPRA]]</f>
        <v>0</v>
      </c>
    </row>
    <row r="208" spans="1:15" x14ac:dyDescent="0.25">
      <c r="A208" s="56">
        <v>44643</v>
      </c>
      <c r="B208" s="4" t="s">
        <v>1174</v>
      </c>
      <c r="C208" s="4" t="s">
        <v>1175</v>
      </c>
      <c r="D208" s="1" t="s">
        <v>1176</v>
      </c>
      <c r="E208" s="4" t="s">
        <v>1177</v>
      </c>
      <c r="F208" s="1" t="s">
        <v>408</v>
      </c>
      <c r="G208" s="71" t="s">
        <v>437</v>
      </c>
      <c r="H208" s="15">
        <v>30000</v>
      </c>
      <c r="I208" s="2">
        <f>Tabla24[[#This Row],[TOTAL FACTURA]]*0.6</f>
        <v>18000</v>
      </c>
      <c r="J208" s="85">
        <f>Tabla24[[#This Row],[TOTAL FACTURA]]*0.4</f>
        <v>12000</v>
      </c>
      <c r="L208" s="11"/>
      <c r="M208" s="11"/>
      <c r="O208" s="15">
        <f>Tabla24[[#This Row],[MONTO DE LA VENTA]]-Tabla24[[#This Row],[MONTO DE COMPRA]]</f>
        <v>0</v>
      </c>
    </row>
    <row r="209" spans="1:15" x14ac:dyDescent="0.25">
      <c r="A209" s="56">
        <v>44643</v>
      </c>
      <c r="B209" s="4" t="s">
        <v>1178</v>
      </c>
      <c r="C209" s="4" t="s">
        <v>948</v>
      </c>
      <c r="D209" s="1" t="s">
        <v>204</v>
      </c>
      <c r="E209" s="4" t="s">
        <v>949</v>
      </c>
      <c r="F209" s="1" t="s">
        <v>30</v>
      </c>
      <c r="G209" s="71" t="s">
        <v>1179</v>
      </c>
      <c r="H209" s="15">
        <v>200000</v>
      </c>
      <c r="I209" s="2">
        <f>Tabla24[[#This Row],[TOTAL FACTURA]]*0.6</f>
        <v>120000</v>
      </c>
      <c r="J209" s="85">
        <f>Tabla24[[#This Row],[TOTAL FACTURA]]*0.4</f>
        <v>80000</v>
      </c>
      <c r="L209" s="11"/>
      <c r="M209" s="11"/>
      <c r="O209" s="15">
        <f>Tabla24[[#This Row],[MONTO DE LA VENTA]]-Tabla24[[#This Row],[MONTO DE COMPRA]]</f>
        <v>0</v>
      </c>
    </row>
    <row r="210" spans="1:15" x14ac:dyDescent="0.25">
      <c r="A210" s="56">
        <v>44643</v>
      </c>
      <c r="B210" s="4" t="s">
        <v>1180</v>
      </c>
      <c r="C210" s="4" t="s">
        <v>1181</v>
      </c>
      <c r="D210" s="4" t="s">
        <v>905</v>
      </c>
      <c r="E210" s="4" t="s">
        <v>1182</v>
      </c>
      <c r="F210" s="1" t="s">
        <v>19</v>
      </c>
      <c r="G210" s="71" t="s">
        <v>1183</v>
      </c>
      <c r="H210" s="15">
        <v>50000</v>
      </c>
      <c r="I210" s="2">
        <f>Tabla24[[#This Row],[TOTAL FACTURA]]*0.6</f>
        <v>30000</v>
      </c>
      <c r="J210" s="85">
        <f>Tabla24[[#This Row],[TOTAL FACTURA]]*0.4</f>
        <v>20000</v>
      </c>
      <c r="K210" s="1" t="s">
        <v>1184</v>
      </c>
      <c r="L210" s="11">
        <f>85000+20000+40000</f>
        <v>145000</v>
      </c>
      <c r="M210" s="11">
        <v>220000</v>
      </c>
      <c r="O210" s="15">
        <f>Tabla24[[#This Row],[MONTO DE LA VENTA]]-Tabla24[[#This Row],[MONTO DE COMPRA]]</f>
        <v>75000</v>
      </c>
    </row>
    <row r="211" spans="1:15" x14ac:dyDescent="0.25">
      <c r="A211" s="56">
        <v>44643</v>
      </c>
      <c r="B211" s="4" t="s">
        <v>1185</v>
      </c>
      <c r="C211" s="4" t="s">
        <v>1186</v>
      </c>
      <c r="D211" s="1" t="s">
        <v>76</v>
      </c>
      <c r="E211" s="4" t="s">
        <v>1187</v>
      </c>
      <c r="F211" s="1" t="s">
        <v>408</v>
      </c>
      <c r="G211" s="71" t="s">
        <v>844</v>
      </c>
      <c r="H211" s="15">
        <v>30000</v>
      </c>
      <c r="I211" s="2">
        <f>Tabla24[[#This Row],[TOTAL FACTURA]]*0.6</f>
        <v>18000</v>
      </c>
      <c r="J211" s="85">
        <f>Tabla24[[#This Row],[TOTAL FACTURA]]*0.4</f>
        <v>12000</v>
      </c>
      <c r="L211" s="11"/>
      <c r="M211" s="11"/>
      <c r="O211" s="15">
        <f>Tabla24[[#This Row],[MONTO DE LA VENTA]]-Tabla24[[#This Row],[MONTO DE COMPRA]]</f>
        <v>0</v>
      </c>
    </row>
    <row r="212" spans="1:15" x14ac:dyDescent="0.25">
      <c r="A212" s="56">
        <v>44644</v>
      </c>
      <c r="B212" s="4" t="s">
        <v>1188</v>
      </c>
      <c r="C212" s="4" t="s">
        <v>1023</v>
      </c>
      <c r="D212" s="1" t="s">
        <v>1024</v>
      </c>
      <c r="E212" s="4" t="s">
        <v>1189</v>
      </c>
      <c r="F212" s="1" t="s">
        <v>19</v>
      </c>
      <c r="G212" s="71" t="s">
        <v>1190</v>
      </c>
      <c r="H212" s="15">
        <v>150000</v>
      </c>
      <c r="I212" s="2">
        <f>Tabla24[[#This Row],[TOTAL FACTURA]]*0.6</f>
        <v>90000</v>
      </c>
      <c r="J212" s="85">
        <f>Tabla24[[#This Row],[TOTAL FACTURA]]*0.4</f>
        <v>60000</v>
      </c>
      <c r="L212" s="11"/>
      <c r="M212" s="11"/>
      <c r="O212" s="15">
        <f>Tabla24[[#This Row],[MONTO DE LA VENTA]]-Tabla24[[#This Row],[MONTO DE COMPRA]]</f>
        <v>0</v>
      </c>
    </row>
    <row r="213" spans="1:15" x14ac:dyDescent="0.25">
      <c r="A213" s="56">
        <v>44644</v>
      </c>
      <c r="C213" s="82"/>
      <c r="D213" s="1" t="s">
        <v>46</v>
      </c>
      <c r="E213" s="4" t="s">
        <v>386</v>
      </c>
      <c r="F213" s="1" t="s">
        <v>408</v>
      </c>
      <c r="G213" s="71" t="s">
        <v>21</v>
      </c>
      <c r="H213" s="15">
        <v>12000</v>
      </c>
      <c r="I213" s="2">
        <f>Tabla24[[#This Row],[TOTAL FACTURA]]*0.6</f>
        <v>7200</v>
      </c>
      <c r="J213" s="85">
        <f>Tabla24[[#This Row],[TOTAL FACTURA]]*0.4</f>
        <v>4800</v>
      </c>
      <c r="L213" s="11"/>
      <c r="M213" s="11"/>
      <c r="O213" s="15">
        <f>Tabla24[[#This Row],[MONTO DE LA VENTA]]-Tabla24[[#This Row],[MONTO DE COMPRA]]</f>
        <v>0</v>
      </c>
    </row>
    <row r="214" spans="1:15" x14ac:dyDescent="0.25">
      <c r="A214" s="56">
        <v>44646</v>
      </c>
      <c r="C214" s="4" t="s">
        <v>1199</v>
      </c>
      <c r="D214" s="1" t="s">
        <v>122</v>
      </c>
      <c r="E214" s="4"/>
      <c r="F214" s="1" t="s">
        <v>10</v>
      </c>
      <c r="G214" s="71" t="s">
        <v>1191</v>
      </c>
      <c r="H214" s="15">
        <v>120000</v>
      </c>
      <c r="I214" s="2">
        <f>Tabla24[[#This Row],[TOTAL FACTURA]]*0.6</f>
        <v>72000</v>
      </c>
      <c r="J214" s="85">
        <f>Tabla24[[#This Row],[TOTAL FACTURA]]*0.4</f>
        <v>48000</v>
      </c>
      <c r="L214" s="11"/>
      <c r="M214" s="11"/>
      <c r="O214" s="15">
        <f>Tabla24[[#This Row],[MONTO DE LA VENTA]]-Tabla24[[#This Row],[MONTO DE COMPRA]]</f>
        <v>0</v>
      </c>
    </row>
    <row r="215" spans="1:15" x14ac:dyDescent="0.25">
      <c r="A215" s="56">
        <v>44644</v>
      </c>
      <c r="B215" s="4" t="s">
        <v>1194</v>
      </c>
      <c r="C215" s="4" t="s">
        <v>1195</v>
      </c>
      <c r="D215" s="1" t="s">
        <v>1196</v>
      </c>
      <c r="E215" s="4" t="s">
        <v>1197</v>
      </c>
      <c r="F215" s="1" t="s">
        <v>408</v>
      </c>
      <c r="G215" s="71" t="s">
        <v>1198</v>
      </c>
      <c r="H215" s="15">
        <v>80000</v>
      </c>
      <c r="I215" s="2">
        <f>Tabla24[[#This Row],[TOTAL FACTURA]]*0.6</f>
        <v>48000</v>
      </c>
      <c r="J215" s="2">
        <f>Tabla24[[#This Row],[TOTAL FACTURA]]*0.4</f>
        <v>32000</v>
      </c>
      <c r="L215" s="11"/>
      <c r="M215" s="11"/>
      <c r="O215" s="15">
        <f>Tabla24[[#This Row],[MONTO DE LA VENTA]]-Tabla24[[#This Row],[MONTO DE COMPRA]]</f>
        <v>0</v>
      </c>
    </row>
    <row r="216" spans="1:15" x14ac:dyDescent="0.25">
      <c r="A216" s="56">
        <v>44645</v>
      </c>
      <c r="C216" s="4" t="s">
        <v>739</v>
      </c>
      <c r="D216" s="1" t="s">
        <v>1192</v>
      </c>
      <c r="E216" s="4"/>
      <c r="F216" s="1" t="s">
        <v>19</v>
      </c>
      <c r="G216" s="71" t="s">
        <v>341</v>
      </c>
      <c r="H216" s="15">
        <v>10000</v>
      </c>
      <c r="I216" s="2">
        <f>Tabla24[[#This Row],[TOTAL FACTURA]]*0.6</f>
        <v>6000</v>
      </c>
      <c r="J216" s="85">
        <f>Tabla24[[#This Row],[TOTAL FACTURA]]*0.4</f>
        <v>4000</v>
      </c>
      <c r="L216" s="11"/>
      <c r="M216" s="11"/>
      <c r="O216" s="15">
        <f>Tabla24[[#This Row],[MONTO DE LA VENTA]]-Tabla24[[#This Row],[MONTO DE COMPRA]]</f>
        <v>0</v>
      </c>
    </row>
    <row r="217" spans="1:15" x14ac:dyDescent="0.25">
      <c r="A217" s="56">
        <v>44646</v>
      </c>
      <c r="B217" s="4" t="s">
        <v>1201</v>
      </c>
      <c r="C217" s="4" t="s">
        <v>1232</v>
      </c>
      <c r="D217" s="1" t="s">
        <v>1203</v>
      </c>
      <c r="E217" s="4" t="s">
        <v>1202</v>
      </c>
      <c r="F217" s="1" t="s">
        <v>19</v>
      </c>
      <c r="G217" s="71" t="s">
        <v>1204</v>
      </c>
      <c r="H217" s="15">
        <v>40000</v>
      </c>
      <c r="I217" s="2">
        <f>Tabla24[[#This Row],[TOTAL FACTURA]]*0.6</f>
        <v>24000</v>
      </c>
      <c r="J217" s="85">
        <f>Tabla24[[#This Row],[TOTAL FACTURA]]*0.4</f>
        <v>16000</v>
      </c>
      <c r="K217" s="1" t="s">
        <v>1205</v>
      </c>
      <c r="L217" s="11">
        <v>73000</v>
      </c>
      <c r="M217" s="11">
        <v>130000</v>
      </c>
      <c r="O217" s="15">
        <f>Tabla24[[#This Row],[MONTO DE LA VENTA]]-Tabla24[[#This Row],[MONTO DE COMPRA]]</f>
        <v>57000</v>
      </c>
    </row>
    <row r="218" spans="1:15" x14ac:dyDescent="0.25">
      <c r="A218" s="56">
        <v>44646</v>
      </c>
      <c r="B218" s="4" t="s">
        <v>1206</v>
      </c>
      <c r="C218" s="4" t="s">
        <v>1207</v>
      </c>
      <c r="D218" s="1" t="s">
        <v>224</v>
      </c>
      <c r="E218" s="4" t="s">
        <v>1208</v>
      </c>
      <c r="F218" s="1" t="s">
        <v>30</v>
      </c>
      <c r="G218" s="71" t="s">
        <v>1209</v>
      </c>
      <c r="H218" s="15">
        <v>300000</v>
      </c>
      <c r="I218" s="2">
        <f>Tabla24[[#This Row],[TOTAL FACTURA]]*0.6</f>
        <v>180000</v>
      </c>
      <c r="J218" s="85">
        <f>Tabla24[[#This Row],[TOTAL FACTURA]]*0.4</f>
        <v>120000</v>
      </c>
      <c r="L218" s="11"/>
      <c r="M218" s="11"/>
      <c r="O218" s="15">
        <f>Tabla24[[#This Row],[MONTO DE LA VENTA]]-Tabla24[[#This Row],[MONTO DE COMPRA]]</f>
        <v>0</v>
      </c>
    </row>
    <row r="219" spans="1:15" x14ac:dyDescent="0.25">
      <c r="A219" s="56">
        <v>44648</v>
      </c>
      <c r="B219" s="4" t="s">
        <v>1210</v>
      </c>
      <c r="C219" s="4" t="s">
        <v>980</v>
      </c>
      <c r="D219" s="1" t="s">
        <v>122</v>
      </c>
      <c r="E219" s="4" t="s">
        <v>981</v>
      </c>
      <c r="F219" s="1" t="s">
        <v>19</v>
      </c>
      <c r="G219" s="71" t="s">
        <v>1211</v>
      </c>
      <c r="H219" s="15">
        <v>80000</v>
      </c>
      <c r="I219" s="2">
        <f>Tabla24[[#This Row],[TOTAL FACTURA]]*0.6</f>
        <v>48000</v>
      </c>
      <c r="J219" s="85">
        <f>Tabla24[[#This Row],[TOTAL FACTURA]]*0.4</f>
        <v>32000</v>
      </c>
      <c r="K219" s="1" t="s">
        <v>1212</v>
      </c>
      <c r="L219" s="11"/>
      <c r="M219" s="11">
        <v>100000</v>
      </c>
      <c r="O219" s="15">
        <f>Tabla24[[#This Row],[MONTO DE LA VENTA]]-Tabla24[[#This Row],[MONTO DE COMPRA]]</f>
        <v>100000</v>
      </c>
    </row>
    <row r="220" spans="1:15" x14ac:dyDescent="0.25">
      <c r="A220" s="56">
        <v>44648</v>
      </c>
      <c r="B220" s="4" t="s">
        <v>1213</v>
      </c>
      <c r="C220" s="4" t="s">
        <v>1214</v>
      </c>
      <c r="D220" s="1" t="s">
        <v>242</v>
      </c>
      <c r="E220" s="4" t="s">
        <v>1215</v>
      </c>
      <c r="F220" s="1" t="s">
        <v>19</v>
      </c>
      <c r="G220" s="71" t="s">
        <v>1216</v>
      </c>
      <c r="H220" s="15">
        <v>50000</v>
      </c>
      <c r="I220" s="2">
        <f>Tabla24[[#This Row],[TOTAL FACTURA]]*0.6</f>
        <v>30000</v>
      </c>
      <c r="J220" s="85">
        <f>Tabla24[[#This Row],[TOTAL FACTURA]]*0.4</f>
        <v>20000</v>
      </c>
      <c r="K220" s="1" t="s">
        <v>1217</v>
      </c>
      <c r="L220" s="11">
        <v>60000</v>
      </c>
      <c r="M220" s="11">
        <v>80000</v>
      </c>
      <c r="O220" s="15">
        <f>Tabla24[[#This Row],[MONTO DE LA VENTA]]-Tabla24[[#This Row],[MONTO DE COMPRA]]</f>
        <v>20000</v>
      </c>
    </row>
    <row r="221" spans="1:15" x14ac:dyDescent="0.25">
      <c r="A221" s="56">
        <v>44648</v>
      </c>
      <c r="C221" s="4" t="s">
        <v>1219</v>
      </c>
      <c r="D221" s="1" t="s">
        <v>54</v>
      </c>
      <c r="E221" s="4" t="s">
        <v>1218</v>
      </c>
      <c r="F221" s="1" t="s">
        <v>19</v>
      </c>
      <c r="G221" s="71" t="s">
        <v>21</v>
      </c>
      <c r="H221" s="15">
        <v>10000</v>
      </c>
      <c r="I221" s="2">
        <f>Tabla24[[#This Row],[TOTAL FACTURA]]*0.6</f>
        <v>6000</v>
      </c>
      <c r="J221" s="85">
        <f>Tabla24[[#This Row],[TOTAL FACTURA]]*0.4</f>
        <v>4000</v>
      </c>
      <c r="L221" s="11"/>
      <c r="M221" s="11"/>
      <c r="O221" s="15">
        <f>Tabla24[[#This Row],[MONTO DE LA VENTA]]-Tabla24[[#This Row],[MONTO DE COMPRA]]</f>
        <v>0</v>
      </c>
    </row>
    <row r="222" spans="1:15" x14ac:dyDescent="0.25">
      <c r="A222" s="56">
        <v>44649</v>
      </c>
      <c r="C222" s="82"/>
      <c r="D222" s="1" t="s">
        <v>1220</v>
      </c>
      <c r="E222" s="4" t="s">
        <v>1221</v>
      </c>
      <c r="F222" s="1" t="s">
        <v>30</v>
      </c>
      <c r="G222" s="71" t="s">
        <v>1222</v>
      </c>
      <c r="H222" s="15">
        <v>20000</v>
      </c>
      <c r="I222" s="2">
        <f>Tabla24[[#This Row],[TOTAL FACTURA]]*0.6</f>
        <v>12000</v>
      </c>
      <c r="J222" s="85">
        <f>Tabla24[[#This Row],[TOTAL FACTURA]]*0.4</f>
        <v>8000</v>
      </c>
      <c r="L222" s="11"/>
      <c r="M222" s="11"/>
      <c r="O222" s="15">
        <f>Tabla24[[#This Row],[MONTO DE LA VENTA]]-Tabla24[[#This Row],[MONTO DE COMPRA]]</f>
        <v>0</v>
      </c>
    </row>
    <row r="223" spans="1:15" x14ac:dyDescent="0.25">
      <c r="A223" s="56">
        <v>44649</v>
      </c>
      <c r="B223" s="4" t="s">
        <v>1223</v>
      </c>
      <c r="C223" s="4" t="s">
        <v>642</v>
      </c>
      <c r="D223" s="1" t="s">
        <v>815</v>
      </c>
      <c r="E223" s="4" t="s">
        <v>1224</v>
      </c>
      <c r="F223" s="1" t="s">
        <v>30</v>
      </c>
      <c r="G223" s="71" t="s">
        <v>343</v>
      </c>
      <c r="H223" s="15">
        <v>150000</v>
      </c>
      <c r="I223" s="2">
        <f>Tabla24[[#This Row],[TOTAL FACTURA]]*0.6</f>
        <v>90000</v>
      </c>
      <c r="J223" s="85">
        <f>Tabla24[[#This Row],[TOTAL FACTURA]]*0.4</f>
        <v>60000</v>
      </c>
      <c r="L223" s="11"/>
      <c r="M223" s="11"/>
      <c r="O223" s="15">
        <f>Tabla24[[#This Row],[MONTO DE LA VENTA]]-Tabla24[[#This Row],[MONTO DE COMPRA]]</f>
        <v>0</v>
      </c>
    </row>
    <row r="224" spans="1:15" x14ac:dyDescent="0.25">
      <c r="A224" s="56">
        <v>44650</v>
      </c>
      <c r="C224" s="4" t="s">
        <v>1076</v>
      </c>
      <c r="D224" s="1" t="s">
        <v>1077</v>
      </c>
      <c r="E224" s="4" t="s">
        <v>937</v>
      </c>
      <c r="F224" s="1" t="s">
        <v>19</v>
      </c>
      <c r="G224" s="71" t="s">
        <v>1225</v>
      </c>
      <c r="H224" s="15">
        <v>15000</v>
      </c>
      <c r="I224" s="2">
        <f>Tabla24[[#This Row],[TOTAL FACTURA]]*0.6</f>
        <v>9000</v>
      </c>
      <c r="J224" s="85">
        <f>Tabla24[[#This Row],[TOTAL FACTURA]]*0.4</f>
        <v>6000</v>
      </c>
      <c r="K224" s="1" t="s">
        <v>1226</v>
      </c>
      <c r="L224" s="11">
        <v>2100</v>
      </c>
      <c r="M224" s="11">
        <v>4300</v>
      </c>
      <c r="O224" s="15">
        <f>Tabla24[[#This Row],[MONTO DE LA VENTA]]-Tabla24[[#This Row],[MONTO DE COMPRA]]</f>
        <v>2200</v>
      </c>
    </row>
    <row r="225" spans="1:15" x14ac:dyDescent="0.25">
      <c r="A225" s="56">
        <v>44650</v>
      </c>
      <c r="B225" s="4" t="s">
        <v>1227</v>
      </c>
      <c r="C225" s="4" t="s">
        <v>1228</v>
      </c>
      <c r="D225" s="1" t="s">
        <v>637</v>
      </c>
      <c r="E225" s="4" t="s">
        <v>1229</v>
      </c>
      <c r="F225" s="1" t="s">
        <v>30</v>
      </c>
      <c r="G225" s="71" t="s">
        <v>1230</v>
      </c>
      <c r="H225" s="15">
        <v>130000</v>
      </c>
      <c r="I225" s="2">
        <f>Tabla24[[#This Row],[TOTAL FACTURA]]*0.6</f>
        <v>78000</v>
      </c>
      <c r="J225" s="85">
        <f>Tabla24[[#This Row],[TOTAL FACTURA]]*0.4</f>
        <v>52000</v>
      </c>
      <c r="K225" s="1" t="s">
        <v>1231</v>
      </c>
      <c r="L225" s="11">
        <v>14000</v>
      </c>
      <c r="M225" s="11">
        <v>20000</v>
      </c>
      <c r="O225" s="15">
        <f>Tabla24[[#This Row],[MONTO DE LA VENTA]]-Tabla24[[#This Row],[MONTO DE COMPRA]]</f>
        <v>6000</v>
      </c>
    </row>
    <row r="226" spans="1:15" x14ac:dyDescent="0.25">
      <c r="A226" s="56">
        <v>44650</v>
      </c>
      <c r="C226" s="4" t="s">
        <v>598</v>
      </c>
      <c r="D226" s="1" t="s">
        <v>151</v>
      </c>
      <c r="E226" s="4" t="s">
        <v>152</v>
      </c>
      <c r="F226" s="1" t="s">
        <v>19</v>
      </c>
      <c r="G226" s="71" t="s">
        <v>21</v>
      </c>
      <c r="H226" s="15">
        <v>10000</v>
      </c>
      <c r="I226" s="2">
        <f>Tabla24[[#This Row],[TOTAL FACTURA]]*0.6</f>
        <v>6000</v>
      </c>
      <c r="J226" s="85">
        <f>Tabla24[[#This Row],[TOTAL FACTURA]]*0.4</f>
        <v>4000</v>
      </c>
      <c r="L226" s="11"/>
      <c r="M226" s="11"/>
      <c r="O226" s="15">
        <f>Tabla24[[#This Row],[MONTO DE LA VENTA]]-Tabla24[[#This Row],[MONTO DE COMPRA]]</f>
        <v>0</v>
      </c>
    </row>
    <row r="227" spans="1:15" x14ac:dyDescent="0.25">
      <c r="A227" s="56">
        <v>44651</v>
      </c>
      <c r="B227" s="4" t="s">
        <v>1233</v>
      </c>
      <c r="C227" s="4" t="s">
        <v>1234</v>
      </c>
      <c r="D227" s="1" t="s">
        <v>200</v>
      </c>
      <c r="E227" s="4" t="s">
        <v>1235</v>
      </c>
      <c r="F227" s="1" t="s">
        <v>408</v>
      </c>
      <c r="G227" s="71" t="s">
        <v>1236</v>
      </c>
      <c r="H227" s="15">
        <v>500000</v>
      </c>
      <c r="I227" s="2">
        <f>Tabla24[[#This Row],[TOTAL FACTURA]]*0.6</f>
        <v>300000</v>
      </c>
      <c r="J227" s="85">
        <f>Tabla24[[#This Row],[TOTAL FACTURA]]*0.4</f>
        <v>200000</v>
      </c>
      <c r="L227" s="11"/>
      <c r="M227" s="11"/>
      <c r="O227" s="15">
        <f>Tabla24[[#This Row],[MONTO DE LA VENTA]]-Tabla24[[#This Row],[MONTO DE COMPRA]]</f>
        <v>0</v>
      </c>
    </row>
    <row r="228" spans="1:15" x14ac:dyDescent="0.25">
      <c r="A228" s="56">
        <v>44651</v>
      </c>
      <c r="B228" s="4" t="s">
        <v>1237</v>
      </c>
      <c r="C228" s="4" t="s">
        <v>1238</v>
      </c>
      <c r="D228" s="1" t="s">
        <v>59</v>
      </c>
      <c r="E228" s="4" t="s">
        <v>60</v>
      </c>
      <c r="F228" s="1" t="s">
        <v>30</v>
      </c>
      <c r="G228" s="71" t="s">
        <v>1239</v>
      </c>
      <c r="H228" s="15">
        <v>250000</v>
      </c>
      <c r="I228" s="2">
        <f>Tabla24[[#This Row],[TOTAL FACTURA]]*0.6</f>
        <v>150000</v>
      </c>
      <c r="J228" s="85">
        <f>Tabla24[[#This Row],[TOTAL FACTURA]]*0.4</f>
        <v>100000</v>
      </c>
      <c r="L228" s="11"/>
      <c r="M228" s="11"/>
      <c r="O228" s="15">
        <f>Tabla24[[#This Row],[MONTO DE LA VENTA]]-Tabla24[[#This Row],[MONTO DE COMPRA]]</f>
        <v>0</v>
      </c>
    </row>
    <row r="229" spans="1:15" x14ac:dyDescent="0.25">
      <c r="A229" s="56">
        <v>44651</v>
      </c>
      <c r="B229" s="4" t="s">
        <v>1240</v>
      </c>
      <c r="C229" s="4" t="s">
        <v>1241</v>
      </c>
      <c r="D229" s="1" t="s">
        <v>54</v>
      </c>
      <c r="E229" s="4" t="s">
        <v>1242</v>
      </c>
      <c r="F229" s="1" t="s">
        <v>408</v>
      </c>
      <c r="G229" s="71" t="s">
        <v>1243</v>
      </c>
      <c r="H229" s="15">
        <v>40000</v>
      </c>
      <c r="I229" s="2">
        <f>Tabla24[[#This Row],[TOTAL FACTURA]]*0.6</f>
        <v>24000</v>
      </c>
      <c r="J229" s="85">
        <f>Tabla24[[#This Row],[TOTAL FACTURA]]*0.4</f>
        <v>16000</v>
      </c>
      <c r="L229" s="11"/>
      <c r="M229" s="11"/>
      <c r="O229" s="15">
        <f>Tabla24[[#This Row],[MONTO DE LA VENTA]]-Tabla24[[#This Row],[MONTO DE COMPRA]]</f>
        <v>0</v>
      </c>
    </row>
    <row r="230" spans="1:15" x14ac:dyDescent="0.25">
      <c r="A230" s="56">
        <v>44651</v>
      </c>
      <c r="B230" s="4" t="s">
        <v>1244</v>
      </c>
      <c r="C230" s="4" t="s">
        <v>1245</v>
      </c>
      <c r="D230" s="1" t="s">
        <v>107</v>
      </c>
      <c r="E230" s="4" t="s">
        <v>357</v>
      </c>
      <c r="G230" s="71" t="s">
        <v>956</v>
      </c>
      <c r="H230" s="15">
        <v>1400000</v>
      </c>
      <c r="I230" s="2">
        <f>Tabla24[[#This Row],[TOTAL FACTURA]]*0.6</f>
        <v>840000</v>
      </c>
      <c r="J230" s="85">
        <f>Tabla24[[#This Row],[TOTAL FACTURA]]*0.4</f>
        <v>560000</v>
      </c>
      <c r="L230" s="11"/>
      <c r="M230" s="11"/>
      <c r="O230" s="15">
        <f>Tabla24[[#This Row],[MONTO DE LA VENTA]]-Tabla24[[#This Row],[MONTO DE COMPRA]]</f>
        <v>0</v>
      </c>
    </row>
    <row r="231" spans="1:15" x14ac:dyDescent="0.25">
      <c r="E231" s="4"/>
    </row>
    <row r="232" spans="1:15" x14ac:dyDescent="0.25">
      <c r="E232" s="4"/>
      <c r="J232" s="11"/>
    </row>
    <row r="233" spans="1:15" x14ac:dyDescent="0.25">
      <c r="E233" s="4"/>
    </row>
    <row r="234" spans="1:15" x14ac:dyDescent="0.25">
      <c r="E234" s="4"/>
    </row>
    <row r="235" spans="1:15" x14ac:dyDescent="0.25">
      <c r="D235" s="53"/>
      <c r="E235" s="4"/>
      <c r="H235" s="2" t="s">
        <v>959</v>
      </c>
    </row>
    <row r="236" spans="1:15" x14ac:dyDescent="0.25">
      <c r="D236" s="53"/>
      <c r="E236" s="4"/>
      <c r="J236" s="11"/>
    </row>
    <row r="237" spans="1:15" x14ac:dyDescent="0.25">
      <c r="E237" s="4"/>
    </row>
    <row r="238" spans="1:15" x14ac:dyDescent="0.25">
      <c r="E238" s="4"/>
    </row>
    <row r="239" spans="1:15" x14ac:dyDescent="0.25">
      <c r="E239" s="4"/>
    </row>
    <row r="240" spans="1:1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</sheetData>
  <phoneticPr fontId="2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DETALLES!$A$1:$A$2</xm:f>
          </x14:formula1>
          <xm:sqref>N1:N92 M228:M1048576</xm:sqref>
        </x14:dataValidation>
        <x14:dataValidation type="list" allowBlank="1" showInputMessage="1" showErrorMessage="1" xr:uid="{00000000-0002-0000-0100-000001000000}">
          <x14:formula1>
            <xm:f>AREA!$A$2:$A$12</xm:f>
          </x14:formula1>
          <xm:sqref>F101:F132 F2:F40 F139:F166 F42:F91 E231:E1048576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80C4-F9E3-4ABA-802C-7BE9DEE81C56}">
  <sheetPr>
    <tabColor theme="9" tint="0.79998168889431442"/>
  </sheetPr>
  <dimension ref="A1:O131"/>
  <sheetViews>
    <sheetView topLeftCell="H101" workbookViewId="0">
      <selection activeCell="C2" sqref="A2:XFD130"/>
    </sheetView>
  </sheetViews>
  <sheetFormatPr baseColWidth="10" defaultRowHeight="15" x14ac:dyDescent="0.25"/>
  <cols>
    <col min="1" max="1" width="15.5703125" style="9" customWidth="1"/>
    <col min="2" max="2" width="22.5703125" style="4" customWidth="1"/>
    <col min="3" max="3" width="27.7109375" style="1" customWidth="1"/>
    <col min="4" max="4" width="27.5703125" style="1" customWidth="1"/>
    <col min="5" max="5" width="24" style="1" customWidth="1"/>
    <col min="6" max="6" width="24.28515625" style="1" customWidth="1"/>
    <col min="7" max="7" width="95.42578125" style="2" customWidth="1"/>
    <col min="8" max="8" width="25.85546875" style="15" customWidth="1"/>
    <col min="9" max="9" width="25.85546875" style="2" customWidth="1"/>
    <col min="10" max="10" width="23.5703125" style="1" customWidth="1"/>
    <col min="11" max="11" width="58.85546875" style="1" customWidth="1"/>
    <col min="12" max="12" width="23.7109375" style="1" customWidth="1"/>
    <col min="13" max="13" width="22.5703125" style="1" customWidth="1"/>
    <col min="14" max="14" width="25.140625" style="2" customWidth="1"/>
    <col min="15" max="15" width="36.5703125" style="1" customWidth="1"/>
    <col min="16" max="16384" width="11.42578125" style="1"/>
  </cols>
  <sheetData>
    <row r="1" spans="1:15" x14ac:dyDescent="0.25">
      <c r="A1" s="9" t="s">
        <v>0</v>
      </c>
      <c r="B1" s="4" t="s">
        <v>1</v>
      </c>
      <c r="C1" s="4" t="s">
        <v>597</v>
      </c>
      <c r="D1" s="1" t="s">
        <v>2</v>
      </c>
      <c r="E1" s="1" t="s">
        <v>3</v>
      </c>
      <c r="F1" s="1" t="s">
        <v>15</v>
      </c>
      <c r="G1" s="1" t="s">
        <v>4</v>
      </c>
      <c r="H1" s="15" t="s">
        <v>5</v>
      </c>
      <c r="I1" s="2" t="s">
        <v>6</v>
      </c>
      <c r="J1" s="2" t="s">
        <v>130</v>
      </c>
      <c r="K1" s="1" t="s">
        <v>7</v>
      </c>
      <c r="L1" s="1" t="s">
        <v>8</v>
      </c>
      <c r="M1" s="1" t="s">
        <v>38</v>
      </c>
      <c r="N1" s="1" t="s">
        <v>24</v>
      </c>
      <c r="O1" s="2" t="s">
        <v>131</v>
      </c>
    </row>
    <row r="2" spans="1:15" x14ac:dyDescent="0.25">
      <c r="A2" s="56">
        <v>44652</v>
      </c>
      <c r="B2" s="4" t="s">
        <v>1247</v>
      </c>
      <c r="C2" s="4" t="s">
        <v>1248</v>
      </c>
      <c r="D2" s="1" t="s">
        <v>218</v>
      </c>
      <c r="E2" s="4" t="s">
        <v>1249</v>
      </c>
      <c r="F2" s="1" t="s">
        <v>10</v>
      </c>
      <c r="G2" s="71" t="s">
        <v>338</v>
      </c>
      <c r="H2" s="15">
        <v>150000</v>
      </c>
      <c r="I2" s="2">
        <f>Tabla245[[#This Row],[TOTAL FACTURA]]*0.6</f>
        <v>90000</v>
      </c>
      <c r="J2" s="85">
        <f>Tabla245[[#This Row],[TOTAL FACTURA]]*0.4</f>
        <v>60000</v>
      </c>
      <c r="L2" s="11"/>
      <c r="M2" s="11"/>
      <c r="N2" s="2" t="s">
        <v>25</v>
      </c>
      <c r="O2" s="15">
        <f>Tabla245[[#This Row],[MONTO DE LA VENTA]]-Tabla245[[#This Row],[MONTO DE COMPRA]]</f>
        <v>0</v>
      </c>
    </row>
    <row r="3" spans="1:15" x14ac:dyDescent="0.25">
      <c r="A3" s="56">
        <v>44652</v>
      </c>
      <c r="B3" s="4" t="s">
        <v>742</v>
      </c>
      <c r="C3" s="4" t="s">
        <v>1250</v>
      </c>
      <c r="D3" s="1" t="s">
        <v>1251</v>
      </c>
      <c r="E3" s="4" t="s">
        <v>1252</v>
      </c>
      <c r="F3" s="1" t="s">
        <v>30</v>
      </c>
      <c r="G3" s="71" t="s">
        <v>437</v>
      </c>
      <c r="H3" s="15">
        <v>30000</v>
      </c>
      <c r="I3" s="2">
        <f>Tabla245[[#This Row],[TOTAL FACTURA]]*0.6</f>
        <v>18000</v>
      </c>
      <c r="J3" s="85">
        <f>Tabla245[[#This Row],[TOTAL FACTURA]]*0.4</f>
        <v>12000</v>
      </c>
      <c r="L3" s="11"/>
      <c r="M3" s="11"/>
      <c r="N3" s="2" t="s">
        <v>25</v>
      </c>
      <c r="O3" s="15">
        <f>Tabla245[[#This Row],[MONTO DE LA VENTA]]-Tabla245[[#This Row],[MONTO DE COMPRA]]</f>
        <v>0</v>
      </c>
    </row>
    <row r="4" spans="1:15" ht="20.25" customHeight="1" x14ac:dyDescent="0.25">
      <c r="A4" s="56">
        <v>44652</v>
      </c>
      <c r="B4" s="4" t="s">
        <v>1254</v>
      </c>
      <c r="C4" s="4" t="s">
        <v>1255</v>
      </c>
      <c r="D4" s="1" t="s">
        <v>574</v>
      </c>
      <c r="E4" s="4" t="s">
        <v>1256</v>
      </c>
      <c r="F4" s="1" t="s">
        <v>19</v>
      </c>
      <c r="G4" s="71" t="s">
        <v>1257</v>
      </c>
      <c r="H4" s="15">
        <v>80000</v>
      </c>
      <c r="I4" s="2">
        <f>Tabla245[[#This Row],[TOTAL FACTURA]]*0.6</f>
        <v>48000</v>
      </c>
      <c r="J4" s="85">
        <f>Tabla245[[#This Row],[TOTAL FACTURA]]*0.4</f>
        <v>32000</v>
      </c>
      <c r="L4" s="11"/>
      <c r="M4" s="11"/>
      <c r="N4" s="2" t="s">
        <v>25</v>
      </c>
      <c r="O4" s="15">
        <f>Tabla245[[#This Row],[MONTO DE LA VENTA]]-Tabla245[[#This Row],[MONTO DE COMPRA]]</f>
        <v>0</v>
      </c>
    </row>
    <row r="5" spans="1:15" x14ac:dyDescent="0.25">
      <c r="A5" s="56">
        <v>44652</v>
      </c>
      <c r="B5" s="4" t="s">
        <v>1258</v>
      </c>
      <c r="C5" s="4" t="s">
        <v>1259</v>
      </c>
      <c r="D5" s="1" t="s">
        <v>54</v>
      </c>
      <c r="E5" s="4" t="s">
        <v>1260</v>
      </c>
      <c r="F5" s="1" t="s">
        <v>10</v>
      </c>
      <c r="G5" s="71" t="s">
        <v>1261</v>
      </c>
      <c r="H5" s="15">
        <v>80000</v>
      </c>
      <c r="I5" s="2">
        <f>Tabla245[[#This Row],[TOTAL FACTURA]]*0.6</f>
        <v>48000</v>
      </c>
      <c r="J5" s="85">
        <f>Tabla245[[#This Row],[TOTAL FACTURA]]*0.4</f>
        <v>32000</v>
      </c>
      <c r="L5" s="11"/>
      <c r="M5" s="11"/>
      <c r="N5" s="2" t="s">
        <v>25</v>
      </c>
      <c r="O5" s="15">
        <f>Tabla245[[#This Row],[MONTO DE LA VENTA]]-Tabla245[[#This Row],[MONTO DE COMPRA]]</f>
        <v>0</v>
      </c>
    </row>
    <row r="6" spans="1:15" x14ac:dyDescent="0.25">
      <c r="A6" s="9">
        <v>44653</v>
      </c>
      <c r="B6" s="4" t="s">
        <v>1262</v>
      </c>
      <c r="C6" s="4" t="s">
        <v>1263</v>
      </c>
      <c r="D6" s="1" t="s">
        <v>52</v>
      </c>
      <c r="E6" s="4" t="s">
        <v>1264</v>
      </c>
      <c r="F6" s="1" t="s">
        <v>408</v>
      </c>
      <c r="G6" s="1" t="s">
        <v>1265</v>
      </c>
      <c r="H6" s="15">
        <v>160000</v>
      </c>
      <c r="I6" s="2">
        <f>Tabla245[[#This Row],[TOTAL FACTURA]]*0.6</f>
        <v>96000</v>
      </c>
      <c r="J6" s="52">
        <f>Tabla245[[#This Row],[TOTAL FACTURA]]*0.4</f>
        <v>64000</v>
      </c>
      <c r="K6" s="1" t="s">
        <v>1266</v>
      </c>
      <c r="L6" s="2">
        <f>18000+40000+80000+20000+12000</f>
        <v>170000</v>
      </c>
      <c r="M6" s="2">
        <v>300000</v>
      </c>
      <c r="N6" s="2" t="s">
        <v>25</v>
      </c>
      <c r="O6" s="15">
        <f>Tabla245[[#This Row],[MONTO DE LA VENTA]]-Tabla245[[#This Row],[MONTO DE COMPRA]]</f>
        <v>130000</v>
      </c>
    </row>
    <row r="7" spans="1:15" x14ac:dyDescent="0.25">
      <c r="A7" s="9">
        <v>44655</v>
      </c>
      <c r="B7" s="4" t="s">
        <v>1267</v>
      </c>
      <c r="C7" s="4" t="s">
        <v>1268</v>
      </c>
      <c r="D7" s="1" t="s">
        <v>1269</v>
      </c>
      <c r="E7" s="4" t="s">
        <v>1270</v>
      </c>
      <c r="F7" s="1" t="s">
        <v>30</v>
      </c>
      <c r="G7" s="1" t="s">
        <v>1271</v>
      </c>
      <c r="H7" s="15">
        <v>120000</v>
      </c>
      <c r="I7" s="2">
        <f>Tabla245[[#This Row],[TOTAL FACTURA]]*0.6</f>
        <v>72000</v>
      </c>
      <c r="J7" s="52">
        <f>Tabla245[[#This Row],[TOTAL FACTURA]]*0.4</f>
        <v>48000</v>
      </c>
      <c r="K7" s="1" t="s">
        <v>1272</v>
      </c>
      <c r="L7" s="2">
        <f>15000+14500+50000</f>
        <v>79500</v>
      </c>
      <c r="M7" s="2">
        <v>90000</v>
      </c>
      <c r="N7" s="2" t="s">
        <v>25</v>
      </c>
      <c r="O7" s="15">
        <f>Tabla245[[#This Row],[MONTO DE LA VENTA]]-Tabla245[[#This Row],[MONTO DE COMPRA]]</f>
        <v>10500</v>
      </c>
    </row>
    <row r="8" spans="1:15" x14ac:dyDescent="0.25">
      <c r="A8" s="9">
        <v>44655</v>
      </c>
      <c r="B8" s="4" t="s">
        <v>1273</v>
      </c>
      <c r="C8" s="4" t="s">
        <v>1274</v>
      </c>
      <c r="D8" s="1" t="s">
        <v>103</v>
      </c>
      <c r="E8" s="4" t="s">
        <v>1275</v>
      </c>
      <c r="F8" s="1" t="s">
        <v>408</v>
      </c>
      <c r="G8" s="1" t="s">
        <v>1276</v>
      </c>
      <c r="H8" s="15">
        <v>60000</v>
      </c>
      <c r="I8" s="2">
        <f>Tabla245[[#This Row],[TOTAL FACTURA]]*0.6</f>
        <v>36000</v>
      </c>
      <c r="J8" s="2">
        <f>Tabla245[[#This Row],[TOTAL FACTURA]]*0.4</f>
        <v>24000</v>
      </c>
      <c r="K8" s="1" t="s">
        <v>71</v>
      </c>
      <c r="L8" s="2">
        <v>118000</v>
      </c>
      <c r="M8" s="2">
        <v>164000</v>
      </c>
      <c r="N8" s="2" t="s">
        <v>25</v>
      </c>
      <c r="O8" s="15">
        <f>Tabla245[[#This Row],[MONTO DE LA VENTA]]-Tabla245[[#This Row],[MONTO DE COMPRA]]</f>
        <v>46000</v>
      </c>
    </row>
    <row r="9" spans="1:15" x14ac:dyDescent="0.25">
      <c r="A9" s="9">
        <v>44655</v>
      </c>
      <c r="B9" s="4" t="s">
        <v>1277</v>
      </c>
      <c r="C9" s="4" t="s">
        <v>1278</v>
      </c>
      <c r="D9" s="1" t="s">
        <v>46</v>
      </c>
      <c r="E9" s="4" t="s">
        <v>386</v>
      </c>
      <c r="F9" s="1" t="s">
        <v>19</v>
      </c>
      <c r="G9" s="1" t="s">
        <v>1279</v>
      </c>
      <c r="H9" s="15">
        <v>40000</v>
      </c>
      <c r="I9" s="2">
        <f>Tabla245[[#This Row],[TOTAL FACTURA]]*0.6</f>
        <v>24000</v>
      </c>
      <c r="J9" s="2">
        <f>Tabla245[[#This Row],[TOTAL FACTURA]]*0.4</f>
        <v>16000</v>
      </c>
      <c r="K9" s="1" t="s">
        <v>1280</v>
      </c>
      <c r="L9" s="2">
        <f>15000+115000+10000+10000</f>
        <v>150000</v>
      </c>
      <c r="M9" s="2">
        <f>30000+130000+15000+10000</f>
        <v>185000</v>
      </c>
      <c r="N9" s="2" t="s">
        <v>25</v>
      </c>
      <c r="O9" s="15">
        <f>Tabla245[[#This Row],[MONTO DE LA VENTA]]-Tabla245[[#This Row],[MONTO DE COMPRA]]</f>
        <v>35000</v>
      </c>
    </row>
    <row r="10" spans="1:15" x14ac:dyDescent="0.25">
      <c r="A10" s="9">
        <v>44655</v>
      </c>
      <c r="B10" s="4" t="s">
        <v>1281</v>
      </c>
      <c r="C10" s="4" t="s">
        <v>1282</v>
      </c>
      <c r="D10" s="1" t="s">
        <v>43</v>
      </c>
      <c r="E10" s="4" t="s">
        <v>1126</v>
      </c>
      <c r="F10" s="1" t="s">
        <v>408</v>
      </c>
      <c r="G10" s="1" t="s">
        <v>1371</v>
      </c>
      <c r="H10" s="15">
        <v>70000</v>
      </c>
      <c r="I10" s="2">
        <f>Tabla245[[#This Row],[TOTAL FACTURA]]*0.6</f>
        <v>42000</v>
      </c>
      <c r="J10" s="2">
        <f>Tabla245[[#This Row],[TOTAL FACTURA]]*0.4</f>
        <v>28000</v>
      </c>
      <c r="L10" s="2"/>
      <c r="M10" s="2"/>
      <c r="N10" s="2" t="s">
        <v>25</v>
      </c>
      <c r="O10" s="15">
        <f>Tabla245[[#This Row],[MONTO DE LA VENTA]]-Tabla245[[#This Row],[MONTO DE COMPRA]]</f>
        <v>0</v>
      </c>
    </row>
    <row r="11" spans="1:15" x14ac:dyDescent="0.25">
      <c r="A11" s="9">
        <v>44656</v>
      </c>
      <c r="B11" s="4" t="s">
        <v>1283</v>
      </c>
      <c r="C11" s="4" t="s">
        <v>948</v>
      </c>
      <c r="D11" s="1" t="s">
        <v>204</v>
      </c>
      <c r="E11" s="4" t="s">
        <v>1284</v>
      </c>
      <c r="F11" s="1" t="s">
        <v>408</v>
      </c>
      <c r="G11" s="1" t="s">
        <v>1285</v>
      </c>
      <c r="H11" s="15">
        <v>290000</v>
      </c>
      <c r="I11" s="2">
        <f>Tabla245[[#This Row],[TOTAL FACTURA]]*0.6</f>
        <v>174000</v>
      </c>
      <c r="J11" s="2">
        <f>Tabla245[[#This Row],[TOTAL FACTURA]]*0.4</f>
        <v>116000</v>
      </c>
      <c r="L11" s="2"/>
      <c r="M11" s="2"/>
      <c r="N11" s="2" t="s">
        <v>25</v>
      </c>
      <c r="O11" s="15">
        <f>Tabla245[[#This Row],[MONTO DE LA VENTA]]-Tabla245[[#This Row],[MONTO DE COMPRA]]</f>
        <v>0</v>
      </c>
    </row>
    <row r="12" spans="1:15" x14ac:dyDescent="0.25">
      <c r="A12" s="9">
        <v>44656</v>
      </c>
      <c r="B12" s="4" t="s">
        <v>1286</v>
      </c>
      <c r="C12" s="4" t="s">
        <v>1287</v>
      </c>
      <c r="D12" s="1" t="s">
        <v>202</v>
      </c>
      <c r="E12" s="4" t="s">
        <v>1288</v>
      </c>
      <c r="F12" s="1" t="s">
        <v>30</v>
      </c>
      <c r="G12" s="1" t="s">
        <v>1289</v>
      </c>
      <c r="H12" s="15">
        <v>100000</v>
      </c>
      <c r="I12" s="2">
        <f>Tabla245[[#This Row],[TOTAL FACTURA]]*0.6</f>
        <v>60000</v>
      </c>
      <c r="J12" s="52">
        <f>Tabla245[[#This Row],[TOTAL FACTURA]]*0.4</f>
        <v>40000</v>
      </c>
      <c r="K12" s="1" t="s">
        <v>1290</v>
      </c>
      <c r="L12" s="2"/>
      <c r="M12" s="2"/>
      <c r="N12" s="2" t="s">
        <v>25</v>
      </c>
      <c r="O12" s="15">
        <f>Tabla245[[#This Row],[MONTO DE LA VENTA]]-Tabla245[[#This Row],[MONTO DE COMPRA]]</f>
        <v>0</v>
      </c>
    </row>
    <row r="13" spans="1:15" x14ac:dyDescent="0.25">
      <c r="A13" s="9">
        <v>44656</v>
      </c>
      <c r="B13" s="4" t="s">
        <v>1291</v>
      </c>
      <c r="C13" s="4" t="s">
        <v>1292</v>
      </c>
      <c r="D13" s="1" t="s">
        <v>1293</v>
      </c>
      <c r="E13" s="4" t="s">
        <v>1294</v>
      </c>
      <c r="F13" s="1" t="s">
        <v>10</v>
      </c>
      <c r="G13" s="1" t="s">
        <v>1295</v>
      </c>
      <c r="H13" s="15">
        <v>150000</v>
      </c>
      <c r="I13" s="2">
        <f>Tabla245[[#This Row],[TOTAL FACTURA]]*0.6</f>
        <v>90000</v>
      </c>
      <c r="J13" s="52">
        <f>Tabla245[[#This Row],[TOTAL FACTURA]]*0.4</f>
        <v>60000</v>
      </c>
      <c r="L13" s="2"/>
      <c r="M13" s="2"/>
      <c r="N13" s="2" t="s">
        <v>25</v>
      </c>
      <c r="O13" s="15">
        <f>Tabla245[[#This Row],[MONTO DE LA VENTA]]-Tabla245[[#This Row],[MONTO DE COMPRA]]</f>
        <v>0</v>
      </c>
    </row>
    <row r="14" spans="1:15" x14ac:dyDescent="0.25">
      <c r="A14" s="9">
        <v>44656</v>
      </c>
      <c r="B14" s="4" t="s">
        <v>1291</v>
      </c>
      <c r="C14" s="4" t="s">
        <v>1292</v>
      </c>
      <c r="D14" s="1" t="s">
        <v>1293</v>
      </c>
      <c r="E14" s="4" t="s">
        <v>1294</v>
      </c>
      <c r="F14" s="1" t="s">
        <v>19</v>
      </c>
      <c r="G14" s="1" t="s">
        <v>140</v>
      </c>
      <c r="H14" s="15">
        <v>100000</v>
      </c>
      <c r="I14" s="2">
        <f>Tabla245[[#This Row],[TOTAL FACTURA]]*0.6</f>
        <v>60000</v>
      </c>
      <c r="J14" s="52">
        <f>Tabla245[[#This Row],[TOTAL FACTURA]]*0.4</f>
        <v>40000</v>
      </c>
      <c r="L14" s="2"/>
      <c r="M14" s="2"/>
      <c r="N14" s="2" t="s">
        <v>25</v>
      </c>
      <c r="O14" s="15">
        <f>Tabla245[[#This Row],[MONTO DE LA VENTA]]-Tabla245[[#This Row],[MONTO DE COMPRA]]</f>
        <v>0</v>
      </c>
    </row>
    <row r="15" spans="1:15" x14ac:dyDescent="0.25">
      <c r="A15" s="9">
        <v>44656</v>
      </c>
      <c r="B15" s="4" t="s">
        <v>1296</v>
      </c>
      <c r="C15" s="4" t="s">
        <v>1297</v>
      </c>
      <c r="D15" s="1" t="s">
        <v>168</v>
      </c>
      <c r="E15" s="4" t="s">
        <v>1298</v>
      </c>
      <c r="F15" s="1" t="s">
        <v>408</v>
      </c>
      <c r="G15" s="1" t="s">
        <v>1299</v>
      </c>
      <c r="H15" s="15">
        <v>30000</v>
      </c>
      <c r="I15" s="2">
        <f>Tabla245[[#This Row],[TOTAL FACTURA]]*0.6</f>
        <v>18000</v>
      </c>
      <c r="J15" s="52">
        <f>Tabla245[[#This Row],[TOTAL FACTURA]]*0.4</f>
        <v>12000</v>
      </c>
      <c r="K15" s="1" t="s">
        <v>1300</v>
      </c>
      <c r="L15" s="2">
        <v>90000</v>
      </c>
      <c r="M15" s="2">
        <v>125000</v>
      </c>
      <c r="N15" s="2" t="s">
        <v>25</v>
      </c>
      <c r="O15" s="15">
        <f>Tabla245[[#This Row],[MONTO DE LA VENTA]]-Tabla245[[#This Row],[MONTO DE COMPRA]]</f>
        <v>35000</v>
      </c>
    </row>
    <row r="16" spans="1:15" x14ac:dyDescent="0.25">
      <c r="A16" s="9">
        <v>44657</v>
      </c>
      <c r="B16" s="4" t="s">
        <v>1301</v>
      </c>
      <c r="C16" s="4"/>
      <c r="D16" s="1" t="s">
        <v>1302</v>
      </c>
      <c r="E16" s="4" t="s">
        <v>1303</v>
      </c>
      <c r="F16" s="1" t="s">
        <v>30</v>
      </c>
      <c r="G16" s="1" t="s">
        <v>1304</v>
      </c>
      <c r="H16" s="15">
        <v>220000</v>
      </c>
      <c r="I16" s="2">
        <f>Tabla245[[#This Row],[TOTAL FACTURA]]*0.6</f>
        <v>132000</v>
      </c>
      <c r="J16" s="2">
        <f>Tabla245[[#This Row],[TOTAL FACTURA]]*0.4</f>
        <v>88000</v>
      </c>
      <c r="L16" s="2"/>
      <c r="M16" s="2"/>
      <c r="N16" s="2" t="s">
        <v>25</v>
      </c>
      <c r="O16" s="15">
        <f>Tabla245[[#This Row],[MONTO DE LA VENTA]]-Tabla245[[#This Row],[MONTO DE COMPRA]]</f>
        <v>0</v>
      </c>
    </row>
    <row r="17" spans="1:15" x14ac:dyDescent="0.25">
      <c r="A17" s="9">
        <v>44657</v>
      </c>
      <c r="C17" s="4"/>
      <c r="D17" s="1" t="s">
        <v>1305</v>
      </c>
      <c r="E17" s="4" t="s">
        <v>1306</v>
      </c>
      <c r="F17" s="1" t="s">
        <v>408</v>
      </c>
      <c r="G17" s="10" t="s">
        <v>193</v>
      </c>
      <c r="H17" s="15">
        <v>30000</v>
      </c>
      <c r="I17" s="2">
        <f>Tabla245[[#This Row],[TOTAL FACTURA]]*0.6</f>
        <v>18000</v>
      </c>
      <c r="J17" s="2">
        <f>Tabla245[[#This Row],[TOTAL FACTURA]]*0.4</f>
        <v>12000</v>
      </c>
      <c r="K17" s="1" t="s">
        <v>1307</v>
      </c>
      <c r="L17" s="2">
        <v>80920</v>
      </c>
      <c r="M17" s="2">
        <v>140000</v>
      </c>
      <c r="N17" s="2" t="s">
        <v>25</v>
      </c>
      <c r="O17" s="15">
        <f>Tabla245[[#This Row],[MONTO DE LA VENTA]]-Tabla245[[#This Row],[MONTO DE COMPRA]]</f>
        <v>59080</v>
      </c>
    </row>
    <row r="18" spans="1:15" x14ac:dyDescent="0.25">
      <c r="A18" s="9">
        <v>44657</v>
      </c>
      <c r="B18" s="4" t="s">
        <v>1313</v>
      </c>
      <c r="C18" s="4" t="s">
        <v>1311</v>
      </c>
      <c r="D18" s="1" t="s">
        <v>200</v>
      </c>
      <c r="E18" s="4" t="s">
        <v>1308</v>
      </c>
      <c r="F18" s="1" t="s">
        <v>19</v>
      </c>
      <c r="G18" s="1" t="s">
        <v>1309</v>
      </c>
      <c r="H18" s="15">
        <v>120000</v>
      </c>
      <c r="I18" s="2">
        <f>Tabla245[[#This Row],[TOTAL FACTURA]]*0.6</f>
        <v>72000</v>
      </c>
      <c r="J18" s="52">
        <f>Tabla245[[#This Row],[TOTAL FACTURA]]*0.4</f>
        <v>48000</v>
      </c>
      <c r="K18" s="1" t="s">
        <v>1310</v>
      </c>
      <c r="L18" s="2">
        <v>17000</v>
      </c>
      <c r="M18" s="2">
        <v>45000</v>
      </c>
      <c r="N18" s="2" t="s">
        <v>25</v>
      </c>
      <c r="O18" s="15">
        <f>Tabla245[[#This Row],[MONTO DE LA VENTA]]-Tabla245[[#This Row],[MONTO DE COMPRA]]</f>
        <v>28000</v>
      </c>
    </row>
    <row r="19" spans="1:15" x14ac:dyDescent="0.25">
      <c r="A19" s="9">
        <v>44657</v>
      </c>
      <c r="B19" s="4" t="s">
        <v>1372</v>
      </c>
      <c r="C19" s="4" t="s">
        <v>1312</v>
      </c>
      <c r="D19" s="1" t="s">
        <v>22</v>
      </c>
      <c r="E19" s="4" t="s">
        <v>1314</v>
      </c>
      <c r="F19" s="1" t="s">
        <v>408</v>
      </c>
      <c r="G19" s="1" t="s">
        <v>1326</v>
      </c>
      <c r="H19" s="15">
        <v>60000</v>
      </c>
      <c r="I19" s="15">
        <v>60000</v>
      </c>
      <c r="J19" s="15">
        <f>Tabla245[[#This Row],[TOTAL FACTURA]]*0.4</f>
        <v>24000</v>
      </c>
      <c r="K19" s="1" t="s">
        <v>1315</v>
      </c>
      <c r="L19" s="15">
        <f>117000+310000+25000+8000</f>
        <v>460000</v>
      </c>
      <c r="M19" s="15">
        <v>569000</v>
      </c>
      <c r="N19" s="2" t="s">
        <v>25</v>
      </c>
      <c r="O19" s="15">
        <f>Tabla245[[#This Row],[MONTO DE LA VENTA]]-Tabla245[[#This Row],[MONTO DE COMPRA]]</f>
        <v>109000</v>
      </c>
    </row>
    <row r="20" spans="1:15" x14ac:dyDescent="0.25">
      <c r="A20" s="56">
        <v>44657</v>
      </c>
      <c r="C20" s="91"/>
      <c r="E20" s="4" t="s">
        <v>1374</v>
      </c>
      <c r="F20" s="1" t="s">
        <v>19</v>
      </c>
      <c r="G20" s="1" t="s">
        <v>1375</v>
      </c>
      <c r="H20" s="15">
        <v>20000</v>
      </c>
      <c r="I20" s="15">
        <f>Tabla245[[#This Row],[TOTAL FACTURA]]*0.6</f>
        <v>12000</v>
      </c>
      <c r="J20" s="92">
        <f>Tabla245[[#This Row],[TOTAL FACTURA]]*0.4</f>
        <v>8000</v>
      </c>
      <c r="L20" s="15">
        <f>18000+40000+80000+20000+12000</f>
        <v>170000</v>
      </c>
      <c r="M20" s="15"/>
      <c r="N20" s="2" t="s">
        <v>25</v>
      </c>
      <c r="O20" s="15">
        <f>Tabla245[[#This Row],[MONTO DE LA VENTA]]-Tabla245[[#This Row],[MONTO DE COMPRA]]</f>
        <v>-170000</v>
      </c>
    </row>
    <row r="21" spans="1:15" x14ac:dyDescent="0.25">
      <c r="A21" s="9">
        <v>44657</v>
      </c>
      <c r="B21" s="4" t="s">
        <v>1316</v>
      </c>
      <c r="C21" s="4" t="s">
        <v>1317</v>
      </c>
      <c r="D21" s="1" t="s">
        <v>1318</v>
      </c>
      <c r="E21" s="4" t="s">
        <v>1319</v>
      </c>
      <c r="F21" s="1" t="s">
        <v>10</v>
      </c>
      <c r="G21" s="1" t="s">
        <v>1380</v>
      </c>
      <c r="H21" s="15">
        <v>250000</v>
      </c>
      <c r="I21" s="2">
        <f>Tabla245[[#This Row],[TOTAL FACTURA]]*0.6</f>
        <v>150000</v>
      </c>
      <c r="J21" s="2">
        <f>Tabla245[[#This Row],[TOTAL FACTURA]]*0.4</f>
        <v>100000</v>
      </c>
      <c r="L21" s="2"/>
      <c r="M21" s="2"/>
      <c r="N21" s="2" t="s">
        <v>25</v>
      </c>
      <c r="O21" s="15">
        <f>Tabla245[[#This Row],[MONTO DE LA VENTA]]-Tabla245[[#This Row],[MONTO DE COMPRA]]</f>
        <v>0</v>
      </c>
    </row>
    <row r="22" spans="1:15" x14ac:dyDescent="0.25">
      <c r="A22" s="9">
        <v>44657</v>
      </c>
      <c r="C22" s="4" t="s">
        <v>1320</v>
      </c>
      <c r="D22" s="1" t="s">
        <v>52</v>
      </c>
      <c r="E22" s="4" t="s">
        <v>1321</v>
      </c>
      <c r="F22" s="1" t="s">
        <v>19</v>
      </c>
      <c r="G22" s="1" t="s">
        <v>21</v>
      </c>
      <c r="H22" s="15">
        <v>12000</v>
      </c>
      <c r="I22" s="2">
        <f>Tabla245[[#This Row],[TOTAL FACTURA]]*0.6</f>
        <v>7200</v>
      </c>
      <c r="J22" s="2">
        <f>Tabla245[[#This Row],[TOTAL FACTURA]]*0.4</f>
        <v>4800</v>
      </c>
      <c r="L22" s="2"/>
      <c r="M22" s="2"/>
      <c r="N22" s="2" t="s">
        <v>25</v>
      </c>
      <c r="O22" s="15">
        <f>Tabla245[[#This Row],[MONTO DE LA VENTA]]-Tabla245[[#This Row],[MONTO DE COMPRA]]</f>
        <v>0</v>
      </c>
    </row>
    <row r="23" spans="1:15" x14ac:dyDescent="0.25">
      <c r="A23" s="9">
        <v>44657</v>
      </c>
      <c r="B23" s="4" t="s">
        <v>1322</v>
      </c>
      <c r="C23" s="4" t="s">
        <v>1238</v>
      </c>
      <c r="D23" s="1" t="s">
        <v>59</v>
      </c>
      <c r="E23" s="4" t="s">
        <v>60</v>
      </c>
      <c r="F23" s="1" t="s">
        <v>10</v>
      </c>
      <c r="G23" s="1" t="s">
        <v>1323</v>
      </c>
      <c r="H23" s="15">
        <v>250000</v>
      </c>
      <c r="I23" s="2">
        <f>Tabla245[[#This Row],[TOTAL FACTURA]]*0.6</f>
        <v>150000</v>
      </c>
      <c r="J23" s="2">
        <f>Tabla245[[#This Row],[TOTAL FACTURA]]*0.4</f>
        <v>100000</v>
      </c>
      <c r="L23" s="2"/>
      <c r="M23" s="2"/>
      <c r="N23" s="2" t="s">
        <v>25</v>
      </c>
      <c r="O23" s="15">
        <f>Tabla245[[#This Row],[MONTO DE LA VENTA]]-Tabla245[[#This Row],[MONTO DE COMPRA]]</f>
        <v>0</v>
      </c>
    </row>
    <row r="24" spans="1:15" x14ac:dyDescent="0.25">
      <c r="A24" s="9">
        <v>44657</v>
      </c>
      <c r="C24" s="4" t="s">
        <v>739</v>
      </c>
      <c r="D24" s="1" t="s">
        <v>200</v>
      </c>
      <c r="E24" s="4" t="s">
        <v>449</v>
      </c>
      <c r="F24" s="1" t="s">
        <v>408</v>
      </c>
      <c r="G24" s="1" t="s">
        <v>21</v>
      </c>
      <c r="H24" s="15">
        <v>10000</v>
      </c>
      <c r="I24" s="2">
        <f>Tabla245[[#This Row],[TOTAL FACTURA]]*0.6</f>
        <v>6000</v>
      </c>
      <c r="J24" s="2">
        <f>Tabla245[[#This Row],[TOTAL FACTURA]]*0.4</f>
        <v>4000</v>
      </c>
      <c r="L24" s="2"/>
      <c r="M24" s="2"/>
      <c r="N24" s="2" t="s">
        <v>25</v>
      </c>
      <c r="O24" s="15">
        <f>Tabla245[[#This Row],[MONTO DE LA VENTA]]-Tabla245[[#This Row],[MONTO DE COMPRA]]</f>
        <v>0</v>
      </c>
    </row>
    <row r="25" spans="1:15" x14ac:dyDescent="0.25">
      <c r="A25" s="9">
        <v>44657</v>
      </c>
      <c r="C25" s="4" t="s">
        <v>1324</v>
      </c>
      <c r="D25" s="1" t="s">
        <v>54</v>
      </c>
      <c r="E25" s="4" t="s">
        <v>1325</v>
      </c>
      <c r="F25" s="1" t="s">
        <v>19</v>
      </c>
      <c r="G25" s="1" t="s">
        <v>21</v>
      </c>
      <c r="H25" s="15">
        <v>20000</v>
      </c>
      <c r="I25" s="2">
        <f>Tabla245[[#This Row],[TOTAL FACTURA]]*0.6</f>
        <v>12000</v>
      </c>
      <c r="J25" s="2">
        <f>Tabla245[[#This Row],[TOTAL FACTURA]]*0.4</f>
        <v>8000</v>
      </c>
      <c r="L25" s="2"/>
      <c r="M25" s="2"/>
      <c r="N25" s="2" t="s">
        <v>25</v>
      </c>
      <c r="O25" s="15">
        <f>Tabla245[[#This Row],[MONTO DE LA VENTA]]-Tabla245[[#This Row],[MONTO DE COMPRA]]</f>
        <v>0</v>
      </c>
    </row>
    <row r="26" spans="1:15" x14ac:dyDescent="0.25">
      <c r="A26" s="9">
        <v>44658</v>
      </c>
      <c r="B26" s="4" t="s">
        <v>1327</v>
      </c>
      <c r="C26" s="4" t="s">
        <v>1328</v>
      </c>
      <c r="D26" s="1" t="s">
        <v>1379</v>
      </c>
      <c r="E26" s="4" t="s">
        <v>1329</v>
      </c>
      <c r="F26" s="1" t="s">
        <v>408</v>
      </c>
      <c r="G26" s="1" t="s">
        <v>193</v>
      </c>
      <c r="H26" s="15">
        <v>30000</v>
      </c>
      <c r="I26" s="2">
        <f>Tabla245[[#This Row],[TOTAL FACTURA]]*0.6</f>
        <v>18000</v>
      </c>
      <c r="J26" s="2">
        <f>Tabla245[[#This Row],[TOTAL FACTURA]]*0.4</f>
        <v>12000</v>
      </c>
      <c r="L26" s="2"/>
      <c r="M26" s="2"/>
      <c r="N26" s="2" t="s">
        <v>25</v>
      </c>
      <c r="O26" s="15">
        <f>Tabla245[[#This Row],[MONTO DE LA VENTA]]-Tabla245[[#This Row],[MONTO DE COMPRA]]</f>
        <v>0</v>
      </c>
    </row>
    <row r="27" spans="1:15" x14ac:dyDescent="0.25">
      <c r="A27" s="9">
        <v>44658</v>
      </c>
      <c r="B27" s="4" t="s">
        <v>1327</v>
      </c>
      <c r="C27" s="4" t="s">
        <v>1328</v>
      </c>
      <c r="D27" s="1" t="s">
        <v>1379</v>
      </c>
      <c r="E27" s="4" t="s">
        <v>1329</v>
      </c>
      <c r="F27" s="1" t="s">
        <v>10</v>
      </c>
      <c r="G27" s="1" t="s">
        <v>1330</v>
      </c>
      <c r="H27" s="15">
        <v>50000</v>
      </c>
      <c r="I27" s="2">
        <f>Tabla245[[#This Row],[TOTAL FACTURA]]*0.6</f>
        <v>30000</v>
      </c>
      <c r="J27" s="2">
        <f>Tabla245[[#This Row],[TOTAL FACTURA]]*0.4</f>
        <v>20000</v>
      </c>
      <c r="L27" s="2"/>
      <c r="M27" s="2"/>
      <c r="N27" s="2" t="s">
        <v>25</v>
      </c>
      <c r="O27" s="15">
        <f>Tabla245[[#This Row],[MONTO DE LA VENTA]]-Tabla245[[#This Row],[MONTO DE COMPRA]]</f>
        <v>0</v>
      </c>
    </row>
    <row r="28" spans="1:15" x14ac:dyDescent="0.25">
      <c r="A28" s="9">
        <v>44658</v>
      </c>
      <c r="B28" s="21" t="s">
        <v>1331</v>
      </c>
      <c r="C28" s="21" t="s">
        <v>598</v>
      </c>
      <c r="D28" s="16" t="s">
        <v>1332</v>
      </c>
      <c r="E28" s="21" t="s">
        <v>1333</v>
      </c>
      <c r="F28" s="1" t="s">
        <v>34</v>
      </c>
      <c r="G28" s="1" t="s">
        <v>1335</v>
      </c>
      <c r="H28" s="15">
        <v>90000</v>
      </c>
      <c r="I28" s="2">
        <f>Tabla245[[#This Row],[TOTAL FACTURA]]*0.6</f>
        <v>54000</v>
      </c>
      <c r="J28" s="2">
        <f>Tabla245[[#This Row],[TOTAL FACTURA]]*0.4</f>
        <v>36000</v>
      </c>
      <c r="L28" s="2"/>
      <c r="M28" s="2"/>
      <c r="N28" s="2" t="s">
        <v>25</v>
      </c>
      <c r="O28" s="15">
        <f>Tabla245[[#This Row],[MONTO DE LA VENTA]]-Tabla245[[#This Row],[MONTO DE COMPRA]]</f>
        <v>0</v>
      </c>
    </row>
    <row r="29" spans="1:15" x14ac:dyDescent="0.25">
      <c r="A29" s="9">
        <v>44658</v>
      </c>
      <c r="B29" s="21" t="s">
        <v>1331</v>
      </c>
      <c r="C29" s="21" t="s">
        <v>598</v>
      </c>
      <c r="D29" s="16" t="s">
        <v>1332</v>
      </c>
      <c r="E29" s="21" t="s">
        <v>1333</v>
      </c>
      <c r="F29" s="1" t="s">
        <v>408</v>
      </c>
      <c r="G29" s="1" t="s">
        <v>1373</v>
      </c>
      <c r="H29" s="15">
        <v>150000</v>
      </c>
      <c r="I29" s="2">
        <f>Tabla245[[#This Row],[TOTAL FACTURA]]*0.6</f>
        <v>90000</v>
      </c>
      <c r="J29" s="90">
        <f>Tabla245[[#This Row],[TOTAL FACTURA]]*0.4</f>
        <v>60000</v>
      </c>
      <c r="L29" s="2">
        <f>18000+40000+80000+20000+12000</f>
        <v>170000</v>
      </c>
      <c r="M29" s="2"/>
      <c r="N29" s="2" t="s">
        <v>25</v>
      </c>
      <c r="O29" s="15">
        <f>Tabla245[[#This Row],[MONTO DE LA VENTA]]-Tabla245[[#This Row],[MONTO DE COMPRA]]</f>
        <v>-170000</v>
      </c>
    </row>
    <row r="30" spans="1:15" x14ac:dyDescent="0.25">
      <c r="A30" s="9">
        <v>44658</v>
      </c>
      <c r="B30" s="4" t="s">
        <v>836</v>
      </c>
      <c r="C30" s="4" t="s">
        <v>1336</v>
      </c>
      <c r="D30" s="1" t="s">
        <v>1337</v>
      </c>
      <c r="E30" s="4" t="s">
        <v>1338</v>
      </c>
      <c r="F30" s="1" t="s">
        <v>408</v>
      </c>
      <c r="G30" s="1" t="s">
        <v>1339</v>
      </c>
      <c r="H30" s="15">
        <v>80000</v>
      </c>
      <c r="I30" s="2">
        <f>Tabla245[[#This Row],[TOTAL FACTURA]]*0.6</f>
        <v>48000</v>
      </c>
      <c r="J30" s="2">
        <f>Tabla245[[#This Row],[TOTAL FACTURA]]*0.4</f>
        <v>32000</v>
      </c>
      <c r="L30" s="2"/>
      <c r="M30" s="2"/>
      <c r="N30" s="2" t="s">
        <v>25</v>
      </c>
      <c r="O30" s="15">
        <f>Tabla245[[#This Row],[MONTO DE LA VENTA]]-Tabla245[[#This Row],[MONTO DE COMPRA]]</f>
        <v>0</v>
      </c>
    </row>
    <row r="31" spans="1:15" x14ac:dyDescent="0.25">
      <c r="A31" s="9">
        <v>44658</v>
      </c>
      <c r="B31" s="4" t="s">
        <v>1340</v>
      </c>
      <c r="C31" s="4" t="s">
        <v>1341</v>
      </c>
      <c r="D31" s="1" t="s">
        <v>412</v>
      </c>
      <c r="E31" s="4" t="s">
        <v>1342</v>
      </c>
      <c r="F31" s="1" t="s">
        <v>408</v>
      </c>
      <c r="G31" s="1" t="s">
        <v>1257</v>
      </c>
      <c r="H31" s="15">
        <v>60000</v>
      </c>
      <c r="I31" s="2">
        <f>Tabla245[[#This Row],[TOTAL FACTURA]]*0.6</f>
        <v>36000</v>
      </c>
      <c r="J31" s="2">
        <f>Tabla245[[#This Row],[TOTAL FACTURA]]*0.4</f>
        <v>24000</v>
      </c>
      <c r="L31" s="2"/>
      <c r="M31" s="2"/>
      <c r="N31" s="2" t="s">
        <v>25</v>
      </c>
      <c r="O31" s="15">
        <f>Tabla245[[#This Row],[MONTO DE LA VENTA]]-Tabla245[[#This Row],[MONTO DE COMPRA]]</f>
        <v>0</v>
      </c>
    </row>
    <row r="32" spans="1:15" x14ac:dyDescent="0.25">
      <c r="A32" s="9">
        <v>44658</v>
      </c>
      <c r="B32" s="4" t="s">
        <v>1343</v>
      </c>
      <c r="C32" s="4" t="s">
        <v>1344</v>
      </c>
      <c r="D32" s="1" t="s">
        <v>1345</v>
      </c>
      <c r="E32" s="4" t="s">
        <v>1346</v>
      </c>
      <c r="F32" s="1" t="s">
        <v>19</v>
      </c>
      <c r="G32" s="1" t="s">
        <v>1347</v>
      </c>
      <c r="H32" s="15">
        <v>40000</v>
      </c>
      <c r="I32" s="15">
        <v>40000</v>
      </c>
      <c r="J32" s="2">
        <f>Tabla245[[#This Row],[TOTAL FACTURA]]*0.4</f>
        <v>16000</v>
      </c>
      <c r="K32" s="1" t="s">
        <v>1348</v>
      </c>
      <c r="L32" s="2">
        <v>160000</v>
      </c>
      <c r="M32" s="2">
        <v>230000</v>
      </c>
      <c r="N32" s="2" t="s">
        <v>25</v>
      </c>
      <c r="O32" s="15">
        <f>Tabla245[[#This Row],[MONTO DE LA VENTA]]-Tabla245[[#This Row],[MONTO DE COMPRA]]</f>
        <v>70000</v>
      </c>
    </row>
    <row r="33" spans="1:15" x14ac:dyDescent="0.25">
      <c r="A33" s="9">
        <v>44658</v>
      </c>
      <c r="B33" s="4" t="s">
        <v>1349</v>
      </c>
      <c r="C33" s="4" t="s">
        <v>1350</v>
      </c>
      <c r="D33" s="1" t="s">
        <v>1351</v>
      </c>
      <c r="E33" s="4" t="s">
        <v>1352</v>
      </c>
      <c r="F33" s="1" t="s">
        <v>19</v>
      </c>
      <c r="G33" s="1" t="s">
        <v>1353</v>
      </c>
      <c r="H33" s="15">
        <v>40000</v>
      </c>
      <c r="I33" s="2">
        <f>Tabla245[[#This Row],[TOTAL FACTURA]]*0.6</f>
        <v>24000</v>
      </c>
      <c r="J33" s="2">
        <f>Tabla245[[#This Row],[TOTAL FACTURA]]*0.4</f>
        <v>16000</v>
      </c>
      <c r="K33" s="1" t="s">
        <v>217</v>
      </c>
      <c r="L33" s="2">
        <v>104000</v>
      </c>
      <c r="M33" s="2">
        <v>144000</v>
      </c>
      <c r="N33" s="2" t="s">
        <v>25</v>
      </c>
      <c r="O33" s="15">
        <f>Tabla245[[#This Row],[MONTO DE LA VENTA]]-Tabla245[[#This Row],[MONTO DE COMPRA]]</f>
        <v>40000</v>
      </c>
    </row>
    <row r="34" spans="1:15" x14ac:dyDescent="0.25">
      <c r="A34" s="9">
        <v>44658</v>
      </c>
      <c r="B34" s="4" t="s">
        <v>1354</v>
      </c>
      <c r="C34" s="4" t="s">
        <v>1355</v>
      </c>
      <c r="D34" s="1" t="s">
        <v>1356</v>
      </c>
      <c r="E34" s="4" t="s">
        <v>1357</v>
      </c>
      <c r="F34" s="1" t="s">
        <v>10</v>
      </c>
      <c r="G34" s="1" t="s">
        <v>1001</v>
      </c>
      <c r="H34" s="15">
        <v>280000</v>
      </c>
      <c r="I34" s="2">
        <f>Tabla245[[#This Row],[TOTAL FACTURA]]*0.6</f>
        <v>168000</v>
      </c>
      <c r="J34" s="2">
        <f>Tabla245[[#This Row],[TOTAL FACTURA]]*0.4</f>
        <v>112000</v>
      </c>
      <c r="K34" s="1" t="s">
        <v>447</v>
      </c>
      <c r="L34" s="2">
        <v>950000</v>
      </c>
      <c r="M34" s="2">
        <v>1310000</v>
      </c>
      <c r="N34" s="2" t="s">
        <v>25</v>
      </c>
      <c r="O34" s="15">
        <f>Tabla245[[#This Row],[MONTO DE LA VENTA]]-Tabla245[[#This Row],[MONTO DE COMPRA]]</f>
        <v>360000</v>
      </c>
    </row>
    <row r="35" spans="1:15" x14ac:dyDescent="0.25">
      <c r="A35" s="9">
        <v>44658</v>
      </c>
      <c r="D35" s="1" t="s">
        <v>1359</v>
      </c>
      <c r="E35" s="1" t="s">
        <v>1360</v>
      </c>
      <c r="F35" s="1" t="s">
        <v>19</v>
      </c>
      <c r="G35" s="2" t="s">
        <v>1361</v>
      </c>
      <c r="H35" s="15">
        <v>10000</v>
      </c>
      <c r="I35" s="2">
        <f>Tabla245[[#This Row],[TOTAL FACTURA]]*0.6</f>
        <v>6000</v>
      </c>
      <c r="N35" s="2" t="s">
        <v>25</v>
      </c>
    </row>
    <row r="36" spans="1:15" x14ac:dyDescent="0.25">
      <c r="A36" s="9">
        <v>44658</v>
      </c>
      <c r="C36" s="88"/>
      <c r="D36" s="1" t="s">
        <v>54</v>
      </c>
      <c r="E36" s="4" t="s">
        <v>1362</v>
      </c>
      <c r="F36" s="1" t="s">
        <v>34</v>
      </c>
      <c r="G36" s="71" t="s">
        <v>1363</v>
      </c>
      <c r="H36" s="15">
        <v>10000</v>
      </c>
      <c r="I36" s="2">
        <f>Tabla245[[#This Row],[TOTAL FACTURA]]*0.6</f>
        <v>6000</v>
      </c>
      <c r="J36" s="89">
        <f>Tabla245[[#This Row],[TOTAL FACTURA]]*0.4</f>
        <v>4000</v>
      </c>
      <c r="L36" s="11">
        <f>18000+40000+80000+20000+12000</f>
        <v>170000</v>
      </c>
      <c r="M36" s="11"/>
      <c r="N36" s="2" t="s">
        <v>25</v>
      </c>
      <c r="O36" s="15">
        <f>Tabla245[[#This Row],[MONTO DE LA VENTA]]-Tabla245[[#This Row],[MONTO DE COMPRA]]</f>
        <v>-170000</v>
      </c>
    </row>
    <row r="37" spans="1:15" x14ac:dyDescent="0.25">
      <c r="A37" s="9">
        <v>44658</v>
      </c>
      <c r="C37" s="4" t="s">
        <v>1376</v>
      </c>
      <c r="D37" s="1" t="s">
        <v>54</v>
      </c>
      <c r="E37" s="4" t="s">
        <v>1377</v>
      </c>
      <c r="F37" s="1" t="s">
        <v>19</v>
      </c>
      <c r="G37" s="71" t="s">
        <v>193</v>
      </c>
      <c r="H37" s="15">
        <v>30000</v>
      </c>
      <c r="I37" s="2">
        <f>Tabla245[[#This Row],[TOTAL FACTURA]]*0.6</f>
        <v>18000</v>
      </c>
      <c r="J37" s="90">
        <f>Tabla245[[#This Row],[TOTAL FACTURA]]*0.4</f>
        <v>12000</v>
      </c>
      <c r="L37" s="11">
        <f>18000+40000+80000+20000+12000</f>
        <v>170000</v>
      </c>
      <c r="M37" s="11"/>
      <c r="N37" s="2" t="s">
        <v>25</v>
      </c>
      <c r="O37" s="15">
        <f>Tabla245[[#This Row],[MONTO DE LA VENTA]]-Tabla245[[#This Row],[MONTO DE COMPRA]]</f>
        <v>-170000</v>
      </c>
    </row>
    <row r="38" spans="1:15" x14ac:dyDescent="0.25">
      <c r="A38" s="9">
        <v>44659</v>
      </c>
      <c r="B38" s="4" t="s">
        <v>1358</v>
      </c>
      <c r="C38" s="4" t="s">
        <v>739</v>
      </c>
      <c r="D38" s="1" t="s">
        <v>240</v>
      </c>
      <c r="E38" s="4" t="s">
        <v>404</v>
      </c>
      <c r="F38" s="1" t="s">
        <v>19</v>
      </c>
      <c r="G38" s="1" t="s">
        <v>21</v>
      </c>
      <c r="H38" s="15">
        <v>12000</v>
      </c>
      <c r="I38" s="2">
        <f>Tabla245[[#This Row],[TOTAL FACTURA]]*0.6</f>
        <v>7200</v>
      </c>
      <c r="J38" s="2">
        <f>Tabla245[[#This Row],[TOTAL FACTURA]]*0.4</f>
        <v>4800</v>
      </c>
      <c r="L38" s="2"/>
      <c r="M38" s="2"/>
      <c r="N38" s="2" t="s">
        <v>25</v>
      </c>
      <c r="O38" s="15">
        <f>Tabla245[[#This Row],[MONTO DE LA VENTA]]-Tabla245[[#This Row],[MONTO DE COMPRA]]</f>
        <v>0</v>
      </c>
    </row>
    <row r="39" spans="1:15" x14ac:dyDescent="0.25">
      <c r="A39" s="9">
        <v>44659</v>
      </c>
      <c r="B39" s="4" t="s">
        <v>1364</v>
      </c>
      <c r="C39" s="4" t="s">
        <v>1365</v>
      </c>
      <c r="D39" s="1" t="s">
        <v>815</v>
      </c>
      <c r="E39" s="4" t="s">
        <v>1366</v>
      </c>
      <c r="F39" s="1" t="s">
        <v>19</v>
      </c>
      <c r="G39" s="1" t="s">
        <v>1334</v>
      </c>
      <c r="H39" s="15">
        <v>10000</v>
      </c>
      <c r="I39" s="2">
        <f>Tabla245[[#This Row],[TOTAL FACTURA]]*0.6</f>
        <v>6000</v>
      </c>
      <c r="J39" s="2">
        <f>Tabla245[[#This Row],[TOTAL FACTURA]]*0.4</f>
        <v>4000</v>
      </c>
      <c r="L39" s="2"/>
      <c r="M39" s="2"/>
      <c r="N39" s="2" t="s">
        <v>25</v>
      </c>
      <c r="O39" s="15">
        <f>Tabla245[[#This Row],[MONTO DE LA VENTA]]-Tabla245[[#This Row],[MONTO DE COMPRA]]</f>
        <v>0</v>
      </c>
    </row>
    <row r="40" spans="1:15" x14ac:dyDescent="0.25">
      <c r="A40" s="9">
        <v>44659</v>
      </c>
      <c r="B40" s="4" t="s">
        <v>1364</v>
      </c>
      <c r="C40" s="4" t="s">
        <v>1365</v>
      </c>
      <c r="D40" s="1" t="s">
        <v>815</v>
      </c>
      <c r="E40" s="4" t="s">
        <v>1366</v>
      </c>
      <c r="F40" s="1" t="s">
        <v>408</v>
      </c>
      <c r="G40" s="1" t="s">
        <v>1334</v>
      </c>
      <c r="H40" s="15">
        <v>10000</v>
      </c>
      <c r="I40" s="2">
        <f>Tabla245[[#This Row],[TOTAL FACTURA]]*0.6</f>
        <v>6000</v>
      </c>
      <c r="J40" s="2">
        <f>Tabla245[[#This Row],[TOTAL FACTURA]]*0.4</f>
        <v>4000</v>
      </c>
      <c r="L40" s="2"/>
      <c r="M40" s="2"/>
      <c r="N40" s="2" t="s">
        <v>25</v>
      </c>
      <c r="O40" s="15">
        <f>Tabla245[[#This Row],[MONTO DE LA VENTA]]-Tabla245[[#This Row],[MONTO DE COMPRA]]</f>
        <v>0</v>
      </c>
    </row>
    <row r="41" spans="1:15" x14ac:dyDescent="0.25">
      <c r="A41" s="9">
        <v>44659</v>
      </c>
      <c r="C41" s="4" t="s">
        <v>215</v>
      </c>
      <c r="E41" s="4"/>
      <c r="G41" s="1" t="s">
        <v>1367</v>
      </c>
      <c r="H41" s="15">
        <v>5000</v>
      </c>
      <c r="I41" s="15">
        <f>Tabla245[[#This Row],[TOTAL FACTURA]]*0.6</f>
        <v>3000</v>
      </c>
      <c r="J41" s="15">
        <f>Tabla245[[#This Row],[TOTAL FACTURA]]*0.4</f>
        <v>2000</v>
      </c>
      <c r="K41" s="15"/>
      <c r="L41" s="15"/>
      <c r="M41" s="15"/>
      <c r="N41" s="2" t="s">
        <v>25</v>
      </c>
      <c r="O41" s="15">
        <f>Tabla245[[#This Row],[MONTO DE LA VENTA]]-Tabla245[[#This Row],[MONTO DE COMPRA]]</f>
        <v>0</v>
      </c>
    </row>
    <row r="42" spans="1:15" x14ac:dyDescent="0.25">
      <c r="A42" s="9">
        <v>44659</v>
      </c>
      <c r="B42" s="4" t="s">
        <v>1368</v>
      </c>
      <c r="C42" s="4" t="s">
        <v>1369</v>
      </c>
      <c r="D42" s="1" t="s">
        <v>107</v>
      </c>
      <c r="E42" s="4" t="s">
        <v>1370</v>
      </c>
      <c r="F42" s="1" t="s">
        <v>10</v>
      </c>
      <c r="G42" s="1" t="s">
        <v>956</v>
      </c>
      <c r="H42" s="15">
        <v>800000</v>
      </c>
      <c r="I42" s="2">
        <v>800000</v>
      </c>
      <c r="J42" s="2">
        <f>Tabla245[[#This Row],[TOTAL FACTURA]]*0.4</f>
        <v>320000</v>
      </c>
      <c r="L42" s="2"/>
      <c r="M42" s="2"/>
      <c r="N42" s="2" t="s">
        <v>25</v>
      </c>
      <c r="O42" s="15">
        <f>Tabla245[[#This Row],[MONTO DE LA VENTA]]-Tabla245[[#This Row],[MONTO DE COMPRA]]</f>
        <v>0</v>
      </c>
    </row>
    <row r="43" spans="1:15" x14ac:dyDescent="0.25">
      <c r="A43" s="9">
        <v>44659</v>
      </c>
      <c r="B43" s="4" t="s">
        <v>1368</v>
      </c>
      <c r="C43" s="4" t="s">
        <v>1369</v>
      </c>
      <c r="D43" s="1" t="s">
        <v>107</v>
      </c>
      <c r="E43" s="4" t="s">
        <v>1370</v>
      </c>
      <c r="F43" s="1" t="s">
        <v>408</v>
      </c>
      <c r="G43" s="1" t="s">
        <v>206</v>
      </c>
      <c r="H43" s="15">
        <v>100000</v>
      </c>
      <c r="I43" s="2">
        <v>100000</v>
      </c>
      <c r="J43" s="2">
        <f>Tabla245[[#This Row],[TOTAL FACTURA]]*0.4</f>
        <v>40000</v>
      </c>
      <c r="L43" s="2"/>
      <c r="M43" s="2"/>
      <c r="N43" s="2" t="s">
        <v>25</v>
      </c>
      <c r="O43" s="15">
        <f>Tabla245[[#This Row],[MONTO DE LA VENTA]]-Tabla245[[#This Row],[MONTO DE COMPRA]]</f>
        <v>0</v>
      </c>
    </row>
    <row r="44" spans="1:15" x14ac:dyDescent="0.25">
      <c r="A44" s="9">
        <v>44660</v>
      </c>
      <c r="B44" s="4" t="s">
        <v>1383</v>
      </c>
      <c r="C44" s="4" t="s">
        <v>1384</v>
      </c>
      <c r="D44" s="1" t="s">
        <v>194</v>
      </c>
      <c r="E44" s="4" t="s">
        <v>1385</v>
      </c>
      <c r="F44" s="1" t="s">
        <v>408</v>
      </c>
      <c r="G44" s="1" t="s">
        <v>1386</v>
      </c>
      <c r="H44" s="15">
        <v>100000</v>
      </c>
      <c r="I44" s="2">
        <f>Tabla245[[#This Row],[TOTAL FACTURA]]*0.6</f>
        <v>60000</v>
      </c>
      <c r="J44" s="2">
        <f>Tabla245[[#This Row],[TOTAL FACTURA]]*0.4</f>
        <v>40000</v>
      </c>
      <c r="K44" s="1" t="s">
        <v>1387</v>
      </c>
      <c r="L44" s="2">
        <f>57000+57000+20000</f>
        <v>134000</v>
      </c>
      <c r="M44" s="2">
        <v>170000</v>
      </c>
      <c r="N44" s="2" t="s">
        <v>25</v>
      </c>
      <c r="O44" s="15">
        <f>Tabla245[[#This Row],[MONTO DE LA VENTA]]-Tabla245[[#This Row],[MONTO DE COMPRA]]</f>
        <v>36000</v>
      </c>
    </row>
    <row r="45" spans="1:15" x14ac:dyDescent="0.25">
      <c r="A45" s="9">
        <v>44660</v>
      </c>
      <c r="C45" s="4" t="s">
        <v>1388</v>
      </c>
      <c r="D45" s="1" t="s">
        <v>580</v>
      </c>
      <c r="E45" s="4" t="s">
        <v>1389</v>
      </c>
      <c r="F45" s="1" t="s">
        <v>408</v>
      </c>
      <c r="G45" s="1" t="s">
        <v>1390</v>
      </c>
      <c r="H45" s="15">
        <v>40000</v>
      </c>
      <c r="I45" s="15">
        <f>Tabla245[[#This Row],[TOTAL FACTURA]]*0.6</f>
        <v>24000</v>
      </c>
      <c r="J45" s="15">
        <f>Tabla245[[#This Row],[TOTAL FACTURA]]*0.4</f>
        <v>16000</v>
      </c>
      <c r="L45" s="15"/>
      <c r="M45" s="15"/>
      <c r="N45" s="2" t="s">
        <v>25</v>
      </c>
      <c r="O45" s="15">
        <f>Tabla245[[#This Row],[MONTO DE LA VENTA]]-Tabla245[[#This Row],[MONTO DE COMPRA]]</f>
        <v>0</v>
      </c>
    </row>
    <row r="46" spans="1:15" x14ac:dyDescent="0.25">
      <c r="A46" s="9">
        <v>44660</v>
      </c>
      <c r="C46" s="54"/>
      <c r="D46" s="1" t="s">
        <v>84</v>
      </c>
      <c r="E46" s="4" t="s">
        <v>1288</v>
      </c>
      <c r="F46" s="1" t="s">
        <v>19</v>
      </c>
      <c r="G46" s="1" t="s">
        <v>21</v>
      </c>
      <c r="H46" s="15">
        <v>10000</v>
      </c>
      <c r="I46" s="15">
        <f>Tabla245[[#This Row],[TOTAL FACTURA]]*0.6</f>
        <v>6000</v>
      </c>
      <c r="J46" s="55">
        <f>Tabla245[[#This Row],[TOTAL FACTURA]]*0.4</f>
        <v>4000</v>
      </c>
      <c r="L46" s="15"/>
      <c r="M46" s="15"/>
      <c r="N46" s="2" t="s">
        <v>25</v>
      </c>
      <c r="O46" s="15">
        <f>Tabla245[[#This Row],[MONTO DE LA VENTA]]-Tabla245[[#This Row],[MONTO DE COMPRA]]</f>
        <v>0</v>
      </c>
    </row>
    <row r="47" spans="1:15" x14ac:dyDescent="0.25">
      <c r="A47" s="9">
        <v>44660</v>
      </c>
      <c r="C47" s="4" t="s">
        <v>1250</v>
      </c>
      <c r="E47" s="4" t="s">
        <v>1391</v>
      </c>
      <c r="F47" s="1" t="s">
        <v>34</v>
      </c>
      <c r="G47" s="1" t="s">
        <v>1392</v>
      </c>
      <c r="H47" s="15">
        <v>25000</v>
      </c>
      <c r="I47" s="2">
        <f>Tabla245[[#This Row],[TOTAL FACTURA]]*0.6</f>
        <v>15000</v>
      </c>
      <c r="J47" s="2">
        <f>Tabla245[[#This Row],[TOTAL FACTURA]]*0.4</f>
        <v>10000</v>
      </c>
      <c r="K47" s="1" t="s">
        <v>1393</v>
      </c>
      <c r="L47" s="2">
        <v>25000</v>
      </c>
      <c r="M47" s="2">
        <v>15000</v>
      </c>
      <c r="N47" s="2" t="s">
        <v>25</v>
      </c>
      <c r="O47" s="15">
        <f>Tabla245[[#This Row],[MONTO DE LA VENTA]]-Tabla245[[#This Row],[MONTO DE COMPRA]]</f>
        <v>-10000</v>
      </c>
    </row>
    <row r="48" spans="1:15" x14ac:dyDescent="0.25">
      <c r="A48" s="9">
        <v>44662</v>
      </c>
      <c r="C48" s="4" t="s">
        <v>1394</v>
      </c>
      <c r="E48" s="4" t="s">
        <v>1395</v>
      </c>
      <c r="F48" s="1" t="s">
        <v>18</v>
      </c>
      <c r="G48" s="1" t="s">
        <v>1396</v>
      </c>
      <c r="H48" s="15">
        <v>30000</v>
      </c>
      <c r="I48" s="2">
        <v>20000</v>
      </c>
      <c r="J48" s="2">
        <f>Tabla245[[#This Row],[TOTAL FACTURA]]*0.4</f>
        <v>12000</v>
      </c>
      <c r="L48" s="2"/>
      <c r="M48" s="2"/>
      <c r="N48" s="2" t="s">
        <v>25</v>
      </c>
      <c r="O48" s="15">
        <f>Tabla245[[#This Row],[MONTO DE LA VENTA]]-Tabla245[[#This Row],[MONTO DE COMPRA]]</f>
        <v>0</v>
      </c>
    </row>
    <row r="49" spans="1:15" x14ac:dyDescent="0.25">
      <c r="A49" s="56">
        <v>44662</v>
      </c>
      <c r="B49" s="4" t="s">
        <v>1398</v>
      </c>
      <c r="C49" s="4" t="s">
        <v>1399</v>
      </c>
      <c r="D49" s="1" t="s">
        <v>59</v>
      </c>
      <c r="E49" s="4" t="s">
        <v>1397</v>
      </c>
      <c r="F49" s="1" t="s">
        <v>408</v>
      </c>
      <c r="G49" s="71" t="s">
        <v>1400</v>
      </c>
      <c r="H49" s="15">
        <v>280000</v>
      </c>
      <c r="I49" s="2">
        <f>Tabla245[[#This Row],[TOTAL FACTURA]]*0.6</f>
        <v>168000</v>
      </c>
      <c r="J49" s="2">
        <f>Tabla245[[#This Row],[TOTAL FACTURA]]*0.4</f>
        <v>112000</v>
      </c>
      <c r="L49" s="2"/>
      <c r="M49" s="2"/>
      <c r="N49" s="2" t="s">
        <v>25</v>
      </c>
      <c r="O49" s="15">
        <f>Tabla245[[#This Row],[MONTO DE LA VENTA]]-Tabla245[[#This Row],[MONTO DE COMPRA]]</f>
        <v>0</v>
      </c>
    </row>
    <row r="50" spans="1:15" x14ac:dyDescent="0.25">
      <c r="A50" s="56">
        <v>44662</v>
      </c>
      <c r="B50" s="4" t="s">
        <v>1401</v>
      </c>
      <c r="C50" s="4" t="s">
        <v>1402</v>
      </c>
      <c r="D50" s="1" t="s">
        <v>200</v>
      </c>
      <c r="E50" s="4" t="s">
        <v>1403</v>
      </c>
      <c r="F50" s="1" t="s">
        <v>19</v>
      </c>
      <c r="G50" s="71" t="s">
        <v>193</v>
      </c>
      <c r="H50" s="15">
        <v>30000</v>
      </c>
      <c r="I50" s="2">
        <f>Tabla245[[#This Row],[TOTAL FACTURA]]*0.6</f>
        <v>18000</v>
      </c>
      <c r="J50" s="2">
        <f>Tabla245[[#This Row],[TOTAL FACTURA]]*0.4</f>
        <v>12000</v>
      </c>
      <c r="L50" s="11"/>
      <c r="M50" s="2"/>
      <c r="N50" s="2" t="s">
        <v>25</v>
      </c>
      <c r="O50" s="15">
        <f>Tabla245[[#This Row],[MONTO DE LA VENTA]]-Tabla245[[#This Row],[MONTO DE COMPRA]]</f>
        <v>0</v>
      </c>
    </row>
    <row r="51" spans="1:15" x14ac:dyDescent="0.25">
      <c r="A51" s="56">
        <v>44662</v>
      </c>
      <c r="B51" s="4" t="s">
        <v>1404</v>
      </c>
      <c r="C51" s="4" t="s">
        <v>1405</v>
      </c>
      <c r="D51" s="1" t="s">
        <v>69</v>
      </c>
      <c r="E51" s="4" t="s">
        <v>70</v>
      </c>
      <c r="F51" s="1" t="s">
        <v>19</v>
      </c>
      <c r="G51" s="71" t="s">
        <v>378</v>
      </c>
      <c r="H51" s="15">
        <v>100000</v>
      </c>
      <c r="I51" s="2">
        <f>Tabla245[[#This Row],[TOTAL FACTURA]]*0.6</f>
        <v>60000</v>
      </c>
      <c r="J51" s="2">
        <f>Tabla245[[#This Row],[TOTAL FACTURA]]*0.4</f>
        <v>40000</v>
      </c>
      <c r="K51" s="1" t="s">
        <v>1142</v>
      </c>
      <c r="L51" s="11">
        <v>110000</v>
      </c>
      <c r="M51" s="2">
        <v>160000</v>
      </c>
      <c r="N51" s="2" t="s">
        <v>25</v>
      </c>
      <c r="O51" s="15">
        <f>Tabla245[[#This Row],[MONTO DE LA VENTA]]-Tabla245[[#This Row],[MONTO DE COMPRA]]</f>
        <v>50000</v>
      </c>
    </row>
    <row r="52" spans="1:15" x14ac:dyDescent="0.25">
      <c r="A52" s="56">
        <v>44662</v>
      </c>
      <c r="C52" s="4"/>
      <c r="D52" s="1" t="s">
        <v>435</v>
      </c>
      <c r="E52" s="4" t="s">
        <v>1406</v>
      </c>
      <c r="F52" s="1" t="s">
        <v>10</v>
      </c>
      <c r="G52" s="71" t="s">
        <v>1407</v>
      </c>
      <c r="H52" s="15">
        <v>180000</v>
      </c>
      <c r="I52" s="2">
        <f>Tabla245[[#This Row],[TOTAL FACTURA]]*0.6</f>
        <v>108000</v>
      </c>
      <c r="J52" s="2">
        <f>Tabla245[[#This Row],[TOTAL FACTURA]]*0.4</f>
        <v>72000</v>
      </c>
      <c r="L52" s="11"/>
      <c r="M52" s="2"/>
      <c r="N52" s="2" t="s">
        <v>25</v>
      </c>
      <c r="O52" s="15">
        <f>Tabla245[[#This Row],[MONTO DE LA VENTA]]-Tabla245[[#This Row],[MONTO DE COMPRA]]</f>
        <v>0</v>
      </c>
    </row>
    <row r="53" spans="1:15" x14ac:dyDescent="0.25">
      <c r="A53" s="56">
        <v>44662</v>
      </c>
      <c r="B53" s="4" t="s">
        <v>1408</v>
      </c>
      <c r="C53" s="4" t="s">
        <v>1409</v>
      </c>
      <c r="D53" s="1" t="s">
        <v>1410</v>
      </c>
      <c r="E53" s="4" t="s">
        <v>1411</v>
      </c>
      <c r="F53" s="1" t="s">
        <v>10</v>
      </c>
      <c r="G53" s="71" t="s">
        <v>343</v>
      </c>
      <c r="H53" s="15">
        <v>130000</v>
      </c>
      <c r="I53" s="2">
        <f>Tabla245[[#This Row],[TOTAL FACTURA]]*0.6</f>
        <v>78000</v>
      </c>
      <c r="J53" s="2">
        <f>Tabla245[[#This Row],[TOTAL FACTURA]]*0.4</f>
        <v>52000</v>
      </c>
      <c r="L53" s="11"/>
      <c r="M53" s="2"/>
      <c r="N53" s="2" t="s">
        <v>25</v>
      </c>
      <c r="O53" s="15">
        <f>Tabla245[[#This Row],[MONTO DE LA VENTA]]-Tabla245[[#This Row],[MONTO DE COMPRA]]</f>
        <v>0</v>
      </c>
    </row>
    <row r="54" spans="1:15" x14ac:dyDescent="0.25">
      <c r="A54" s="56">
        <v>44662</v>
      </c>
      <c r="B54" s="4" t="s">
        <v>1408</v>
      </c>
      <c r="C54" s="4" t="s">
        <v>1409</v>
      </c>
      <c r="D54" s="1" t="s">
        <v>1410</v>
      </c>
      <c r="E54" s="4" t="s">
        <v>1411</v>
      </c>
      <c r="F54" s="1" t="s">
        <v>408</v>
      </c>
      <c r="G54" s="71" t="s">
        <v>1412</v>
      </c>
      <c r="H54" s="15">
        <v>100000</v>
      </c>
      <c r="I54" s="2">
        <f>Tabla245[[#This Row],[TOTAL FACTURA]]*0.6</f>
        <v>60000</v>
      </c>
      <c r="J54" s="2">
        <f>Tabla245[[#This Row],[TOTAL FACTURA]]*0.4</f>
        <v>40000</v>
      </c>
      <c r="L54" s="11"/>
      <c r="M54" s="2"/>
      <c r="N54" s="2" t="s">
        <v>25</v>
      </c>
      <c r="O54" s="15">
        <f>Tabla245[[#This Row],[MONTO DE LA VENTA]]-Tabla245[[#This Row],[MONTO DE COMPRA]]</f>
        <v>0</v>
      </c>
    </row>
    <row r="55" spans="1:15" x14ac:dyDescent="0.25">
      <c r="A55" s="56">
        <v>44662</v>
      </c>
      <c r="B55" s="4" t="s">
        <v>1413</v>
      </c>
      <c r="C55" s="4" t="s">
        <v>598</v>
      </c>
      <c r="D55" s="1" t="s">
        <v>1414</v>
      </c>
      <c r="E55" s="4"/>
      <c r="F55" s="1" t="s">
        <v>10</v>
      </c>
      <c r="G55" s="71" t="s">
        <v>1415</v>
      </c>
      <c r="H55" s="15">
        <v>30000</v>
      </c>
      <c r="I55" s="2">
        <f>Tabla245[[#This Row],[TOTAL FACTURA]]*0.6</f>
        <v>18000</v>
      </c>
      <c r="J55" s="2">
        <f>Tabla245[[#This Row],[TOTAL FACTURA]]*0.4</f>
        <v>12000</v>
      </c>
      <c r="L55" s="11"/>
      <c r="M55" s="2"/>
      <c r="N55" s="2" t="s">
        <v>25</v>
      </c>
      <c r="O55" s="15">
        <f>Tabla245[[#This Row],[MONTO DE LA VENTA]]-Tabla245[[#This Row],[MONTO DE COMPRA]]</f>
        <v>0</v>
      </c>
    </row>
    <row r="56" spans="1:15" x14ac:dyDescent="0.25">
      <c r="A56" s="56">
        <v>44663</v>
      </c>
      <c r="B56" s="4" t="s">
        <v>1416</v>
      </c>
      <c r="C56" s="4" t="s">
        <v>1417</v>
      </c>
      <c r="D56" s="1" t="s">
        <v>1418</v>
      </c>
      <c r="E56" s="4" t="s">
        <v>1419</v>
      </c>
      <c r="F56" s="1" t="s">
        <v>408</v>
      </c>
      <c r="G56" s="71" t="s">
        <v>1420</v>
      </c>
      <c r="H56" s="15">
        <v>60000</v>
      </c>
      <c r="I56" s="2">
        <f>Tabla245[[#This Row],[TOTAL FACTURA]]*0.6</f>
        <v>36000</v>
      </c>
      <c r="J56" s="2">
        <f>Tabla245[[#This Row],[TOTAL FACTURA]]*0.4</f>
        <v>24000</v>
      </c>
      <c r="K56" s="1" t="s">
        <v>1421</v>
      </c>
      <c r="L56" s="11">
        <v>22000</v>
      </c>
      <c r="M56" s="2">
        <v>33000</v>
      </c>
      <c r="N56" s="2" t="s">
        <v>25</v>
      </c>
      <c r="O56" s="15">
        <f>Tabla245[[#This Row],[MONTO DE LA VENTA]]-Tabla245[[#This Row],[MONTO DE COMPRA]]</f>
        <v>11000</v>
      </c>
    </row>
    <row r="57" spans="1:15" x14ac:dyDescent="0.25">
      <c r="A57" s="56">
        <v>44663</v>
      </c>
      <c r="B57" s="4" t="s">
        <v>941</v>
      </c>
      <c r="C57" s="4" t="s">
        <v>1422</v>
      </c>
      <c r="D57" s="1" t="s">
        <v>59</v>
      </c>
      <c r="E57" s="4" t="s">
        <v>1423</v>
      </c>
      <c r="F57" s="1" t="s">
        <v>19</v>
      </c>
      <c r="G57" s="71" t="s">
        <v>1424</v>
      </c>
      <c r="H57" s="15">
        <v>100000</v>
      </c>
      <c r="I57" s="2">
        <f>Tabla245[[#This Row],[TOTAL FACTURA]]*0.6</f>
        <v>60000</v>
      </c>
      <c r="J57" s="2">
        <f>Tabla245[[#This Row],[TOTAL FACTURA]]*0.4</f>
        <v>40000</v>
      </c>
      <c r="K57" s="1" t="s">
        <v>1425</v>
      </c>
      <c r="L57" s="11"/>
      <c r="M57" s="2"/>
      <c r="N57" s="2" t="s">
        <v>25</v>
      </c>
      <c r="O57" s="15">
        <f>Tabla245[[#This Row],[MONTO DE LA VENTA]]-Tabla245[[#This Row],[MONTO DE COMPRA]]</f>
        <v>0</v>
      </c>
    </row>
    <row r="58" spans="1:15" x14ac:dyDescent="0.25">
      <c r="A58" s="56">
        <v>44663</v>
      </c>
      <c r="B58" s="4" t="s">
        <v>1426</v>
      </c>
      <c r="C58" s="4" t="s">
        <v>1427</v>
      </c>
      <c r="D58" s="1" t="s">
        <v>1428</v>
      </c>
      <c r="E58" s="4" t="s">
        <v>1429</v>
      </c>
      <c r="F58" s="1" t="s">
        <v>10</v>
      </c>
      <c r="G58" s="71" t="s">
        <v>1431</v>
      </c>
      <c r="H58" s="15">
        <v>30000</v>
      </c>
      <c r="I58" s="2">
        <f>Tabla245[[#This Row],[TOTAL FACTURA]]*0.6</f>
        <v>18000</v>
      </c>
      <c r="J58" s="2">
        <f>Tabla245[[#This Row],[TOTAL FACTURA]]*0.4</f>
        <v>12000</v>
      </c>
      <c r="L58" s="11"/>
      <c r="M58" s="2"/>
      <c r="N58" s="2" t="s">
        <v>25</v>
      </c>
      <c r="O58" s="15">
        <f>Tabla245[[#This Row],[MONTO DE LA VENTA]]-Tabla245[[#This Row],[MONTO DE COMPRA]]</f>
        <v>0</v>
      </c>
    </row>
    <row r="59" spans="1:15" x14ac:dyDescent="0.25">
      <c r="A59" s="56">
        <v>44663</v>
      </c>
      <c r="B59" s="4" t="s">
        <v>1426</v>
      </c>
      <c r="C59" s="4" t="s">
        <v>1427</v>
      </c>
      <c r="D59" s="1" t="s">
        <v>1428</v>
      </c>
      <c r="E59" s="4" t="s">
        <v>1429</v>
      </c>
      <c r="F59" s="1" t="s">
        <v>19</v>
      </c>
      <c r="G59" s="71" t="s">
        <v>1430</v>
      </c>
      <c r="H59" s="15">
        <v>50000</v>
      </c>
      <c r="I59" s="2">
        <f>Tabla245[[#This Row],[TOTAL FACTURA]]*0.6</f>
        <v>30000</v>
      </c>
      <c r="J59" s="94">
        <f>Tabla245[[#This Row],[TOTAL FACTURA]]*0.4</f>
        <v>20000</v>
      </c>
      <c r="K59" s="1" t="s">
        <v>1432</v>
      </c>
      <c r="L59" s="11">
        <f>100000+80000+20000</f>
        <v>200000</v>
      </c>
      <c r="M59" s="2">
        <v>255000</v>
      </c>
      <c r="N59" s="2" t="s">
        <v>25</v>
      </c>
      <c r="O59" s="15">
        <f>Tabla245[[#This Row],[MONTO DE LA VENTA]]-Tabla245[[#This Row],[MONTO DE COMPRA]]</f>
        <v>55000</v>
      </c>
    </row>
    <row r="60" spans="1:15" x14ac:dyDescent="0.25">
      <c r="A60" s="56">
        <v>44663</v>
      </c>
      <c r="B60" s="4" t="s">
        <v>1433</v>
      </c>
      <c r="C60" s="4" t="s">
        <v>646</v>
      </c>
      <c r="D60" s="1" t="s">
        <v>1434</v>
      </c>
      <c r="E60" s="4" t="s">
        <v>1435</v>
      </c>
      <c r="F60" s="1" t="s">
        <v>408</v>
      </c>
      <c r="G60" s="71" t="s">
        <v>1436</v>
      </c>
      <c r="H60" s="15">
        <v>180000</v>
      </c>
      <c r="I60" s="2">
        <f>Tabla245[[#This Row],[TOTAL FACTURA]]*0.6</f>
        <v>108000</v>
      </c>
      <c r="J60" s="94">
        <f>Tabla245[[#This Row],[TOTAL FACTURA]]*0.4</f>
        <v>72000</v>
      </c>
      <c r="L60" s="11"/>
      <c r="M60" s="2"/>
      <c r="N60" s="2" t="s">
        <v>25</v>
      </c>
      <c r="O60" s="15">
        <f>Tabla245[[#This Row],[MONTO DE LA VENTA]]-Tabla245[[#This Row],[MONTO DE COMPRA]]</f>
        <v>0</v>
      </c>
    </row>
    <row r="61" spans="1:15" x14ac:dyDescent="0.25">
      <c r="A61" s="56">
        <v>44663</v>
      </c>
      <c r="B61" s="4" t="s">
        <v>1437</v>
      </c>
      <c r="C61" s="4" t="s">
        <v>1438</v>
      </c>
      <c r="D61" s="1" t="s">
        <v>1439</v>
      </c>
      <c r="E61" s="4" t="s">
        <v>1440</v>
      </c>
      <c r="F61" s="1" t="s">
        <v>408</v>
      </c>
      <c r="G61" s="71" t="s">
        <v>1441</v>
      </c>
      <c r="H61" s="15">
        <v>80000</v>
      </c>
      <c r="I61" s="2">
        <f>Tabla245[[#This Row],[TOTAL FACTURA]]*0.6</f>
        <v>48000</v>
      </c>
      <c r="J61" s="94">
        <f>Tabla245[[#This Row],[TOTAL FACTURA]]*0.4</f>
        <v>32000</v>
      </c>
      <c r="K61" s="1" t="s">
        <v>680</v>
      </c>
      <c r="L61" s="11">
        <v>194000</v>
      </c>
      <c r="M61" s="2">
        <v>268000</v>
      </c>
      <c r="N61" s="2" t="s">
        <v>25</v>
      </c>
      <c r="O61" s="15">
        <f>Tabla245[[#This Row],[MONTO DE LA VENTA]]-Tabla245[[#This Row],[MONTO DE COMPRA]]</f>
        <v>74000</v>
      </c>
    </row>
    <row r="62" spans="1:15" x14ac:dyDescent="0.25">
      <c r="A62" s="56">
        <v>44663</v>
      </c>
      <c r="B62" s="4" t="s">
        <v>947</v>
      </c>
      <c r="C62" s="4" t="s">
        <v>1442</v>
      </c>
      <c r="D62" s="1" t="s">
        <v>231</v>
      </c>
      <c r="E62" s="4" t="s">
        <v>1443</v>
      </c>
      <c r="F62" s="1" t="s">
        <v>10</v>
      </c>
      <c r="G62" s="71" t="s">
        <v>1444</v>
      </c>
      <c r="H62" s="15">
        <v>25000</v>
      </c>
      <c r="I62" s="2">
        <f>Tabla245[[#This Row],[TOTAL FACTURA]]*0.6</f>
        <v>15000</v>
      </c>
      <c r="J62" s="94">
        <f>Tabla245[[#This Row],[TOTAL FACTURA]]*0.4</f>
        <v>10000</v>
      </c>
      <c r="K62" s="1" t="s">
        <v>1445</v>
      </c>
      <c r="L62" s="11">
        <v>5400</v>
      </c>
      <c r="M62" s="2">
        <v>8000</v>
      </c>
      <c r="N62" s="2" t="s">
        <v>25</v>
      </c>
      <c r="O62" s="15">
        <f>Tabla245[[#This Row],[MONTO DE LA VENTA]]-Tabla245[[#This Row],[MONTO DE COMPRA]]</f>
        <v>2600</v>
      </c>
    </row>
    <row r="63" spans="1:15" x14ac:dyDescent="0.25">
      <c r="A63" s="56">
        <v>44663</v>
      </c>
      <c r="C63" s="93"/>
      <c r="D63" s="1" t="s">
        <v>889</v>
      </c>
      <c r="E63" s="4" t="s">
        <v>345</v>
      </c>
      <c r="F63" s="1" t="s">
        <v>10</v>
      </c>
      <c r="G63" s="71" t="s">
        <v>1446</v>
      </c>
      <c r="H63" s="15">
        <v>20000</v>
      </c>
      <c r="I63" s="2">
        <f>Tabla245[[#This Row],[TOTAL FACTURA]]*0.6</f>
        <v>12000</v>
      </c>
      <c r="J63" s="94">
        <f>Tabla245[[#This Row],[TOTAL FACTURA]]*0.4</f>
        <v>8000</v>
      </c>
      <c r="L63" s="11"/>
      <c r="M63" s="2"/>
      <c r="N63" s="2" t="s">
        <v>25</v>
      </c>
      <c r="O63" s="15">
        <f>Tabla245[[#This Row],[MONTO DE LA VENTA]]-Tabla245[[#This Row],[MONTO DE COMPRA]]</f>
        <v>0</v>
      </c>
    </row>
    <row r="64" spans="1:15" x14ac:dyDescent="0.25">
      <c r="A64" s="56">
        <v>44664</v>
      </c>
      <c r="B64" s="4" t="s">
        <v>1447</v>
      </c>
      <c r="C64" s="4" t="s">
        <v>847</v>
      </c>
      <c r="D64" s="1" t="s">
        <v>112</v>
      </c>
      <c r="E64" s="4" t="s">
        <v>353</v>
      </c>
      <c r="F64" s="1" t="s">
        <v>19</v>
      </c>
      <c r="G64" s="71" t="s">
        <v>1448</v>
      </c>
      <c r="H64" s="15">
        <v>30000</v>
      </c>
      <c r="I64" s="2">
        <f>Tabla245[[#This Row],[TOTAL FACTURA]]*0.6</f>
        <v>18000</v>
      </c>
      <c r="J64" s="94">
        <f>Tabla245[[#This Row],[TOTAL FACTURA]]*0.4</f>
        <v>12000</v>
      </c>
      <c r="L64" s="11"/>
      <c r="M64" s="2"/>
      <c r="N64" s="2" t="s">
        <v>25</v>
      </c>
      <c r="O64" s="15">
        <f>Tabla245[[#This Row],[MONTO DE LA VENTA]]-Tabla245[[#This Row],[MONTO DE COMPRA]]</f>
        <v>0</v>
      </c>
    </row>
    <row r="65" spans="1:15" x14ac:dyDescent="0.25">
      <c r="A65" s="56">
        <v>44664</v>
      </c>
      <c r="B65" s="4" t="s">
        <v>1449</v>
      </c>
      <c r="C65" s="4" t="s">
        <v>1450</v>
      </c>
      <c r="D65" s="1" t="s">
        <v>1451</v>
      </c>
      <c r="E65" s="4" t="s">
        <v>1452</v>
      </c>
      <c r="F65" s="1" t="s">
        <v>19</v>
      </c>
      <c r="G65" s="71" t="s">
        <v>1453</v>
      </c>
      <c r="H65" s="15">
        <v>80000</v>
      </c>
      <c r="I65" s="2">
        <f>Tabla245[[#This Row],[TOTAL FACTURA]]*0.6</f>
        <v>48000</v>
      </c>
      <c r="J65" s="94">
        <f>Tabla245[[#This Row],[TOTAL FACTURA]]*0.4</f>
        <v>32000</v>
      </c>
      <c r="K65" s="1" t="s">
        <v>1454</v>
      </c>
      <c r="L65" s="11">
        <f>60000+60000+20000</f>
        <v>140000</v>
      </c>
      <c r="M65" s="2">
        <v>200000</v>
      </c>
      <c r="N65" s="2" t="s">
        <v>25</v>
      </c>
      <c r="O65" s="15">
        <f>Tabla245[[#This Row],[MONTO DE LA VENTA]]-Tabla245[[#This Row],[MONTO DE COMPRA]]</f>
        <v>60000</v>
      </c>
    </row>
    <row r="66" spans="1:15" x14ac:dyDescent="0.25">
      <c r="A66" s="56">
        <v>44664</v>
      </c>
      <c r="B66" s="4" t="s">
        <v>1449</v>
      </c>
      <c r="C66" s="4" t="s">
        <v>1450</v>
      </c>
      <c r="D66" s="1" t="s">
        <v>1451</v>
      </c>
      <c r="E66" s="4" t="s">
        <v>1452</v>
      </c>
      <c r="F66" s="1" t="s">
        <v>10</v>
      </c>
      <c r="G66" s="71" t="s">
        <v>1455</v>
      </c>
      <c r="H66" s="15">
        <v>180000</v>
      </c>
      <c r="I66" s="2">
        <f>Tabla245[[#This Row],[TOTAL FACTURA]]*0.6</f>
        <v>108000</v>
      </c>
      <c r="J66" s="94">
        <f>Tabla245[[#This Row],[TOTAL FACTURA]]*0.4</f>
        <v>72000</v>
      </c>
      <c r="K66" s="1" t="s">
        <v>1454</v>
      </c>
      <c r="L66" s="11">
        <f>60000+60000+20000</f>
        <v>140000</v>
      </c>
      <c r="M66" s="2">
        <v>200000</v>
      </c>
      <c r="N66" s="2" t="s">
        <v>25</v>
      </c>
      <c r="O66" s="15">
        <f>Tabla245[[#This Row],[MONTO DE LA VENTA]]-Tabla245[[#This Row],[MONTO DE COMPRA]]</f>
        <v>60000</v>
      </c>
    </row>
    <row r="67" spans="1:15" x14ac:dyDescent="0.25">
      <c r="A67" s="56">
        <v>44664</v>
      </c>
      <c r="B67" s="4" t="s">
        <v>1456</v>
      </c>
      <c r="C67" s="4" t="s">
        <v>847</v>
      </c>
      <c r="D67" s="1" t="s">
        <v>112</v>
      </c>
      <c r="E67" s="4" t="s">
        <v>353</v>
      </c>
      <c r="F67" s="1" t="s">
        <v>19</v>
      </c>
      <c r="G67" s="71" t="s">
        <v>381</v>
      </c>
      <c r="H67" s="15">
        <v>20000</v>
      </c>
      <c r="I67" s="2">
        <f>Tabla245[[#This Row],[TOTAL FACTURA]]*0.6</f>
        <v>12000</v>
      </c>
      <c r="J67" s="94">
        <f>Tabla245[[#This Row],[TOTAL FACTURA]]*0.4</f>
        <v>8000</v>
      </c>
      <c r="K67" s="1" t="s">
        <v>51</v>
      </c>
      <c r="L67" s="11">
        <v>90000</v>
      </c>
      <c r="M67" s="11"/>
      <c r="N67" s="2" t="s">
        <v>25</v>
      </c>
      <c r="O67" s="15">
        <f>Tabla245[[#This Row],[MONTO DE LA VENTA]]-Tabla245[[#This Row],[MONTO DE COMPRA]]</f>
        <v>-90000</v>
      </c>
    </row>
    <row r="68" spans="1:15" x14ac:dyDescent="0.25">
      <c r="A68" s="56">
        <v>44664</v>
      </c>
      <c r="B68" s="4" t="s">
        <v>1457</v>
      </c>
      <c r="C68" s="4" t="s">
        <v>1458</v>
      </c>
      <c r="D68" s="1" t="s">
        <v>1459</v>
      </c>
      <c r="E68" s="4" t="s">
        <v>1460</v>
      </c>
      <c r="F68" s="1" t="s">
        <v>19</v>
      </c>
      <c r="G68" s="71" t="s">
        <v>1461</v>
      </c>
      <c r="H68" s="15">
        <v>160000</v>
      </c>
      <c r="I68" s="2">
        <f>Tabla245[[#This Row],[TOTAL FACTURA]]*0.6</f>
        <v>96000</v>
      </c>
      <c r="J68" s="94">
        <f>Tabla245[[#This Row],[TOTAL FACTURA]]*0.4</f>
        <v>64000</v>
      </c>
      <c r="K68" s="1" t="s">
        <v>1462</v>
      </c>
      <c r="L68" s="11"/>
      <c r="M68" s="11"/>
      <c r="N68" s="2" t="s">
        <v>25</v>
      </c>
      <c r="O68" s="15">
        <f>Tabla245[[#This Row],[MONTO DE LA VENTA]]-Tabla245[[#This Row],[MONTO DE COMPRA]]</f>
        <v>0</v>
      </c>
    </row>
    <row r="69" spans="1:15" ht="15.75" customHeight="1" x14ac:dyDescent="0.25">
      <c r="A69" s="56">
        <v>44664</v>
      </c>
      <c r="C69" s="4" t="s">
        <v>1463</v>
      </c>
      <c r="D69" s="1" t="s">
        <v>1464</v>
      </c>
      <c r="E69" s="4" t="s">
        <v>1465</v>
      </c>
      <c r="F69" s="1" t="s">
        <v>10</v>
      </c>
      <c r="G69" s="71" t="s">
        <v>1466</v>
      </c>
      <c r="H69" s="15">
        <v>30000</v>
      </c>
      <c r="I69" s="2">
        <f>Tabla245[[#This Row],[TOTAL FACTURA]]*0.6</f>
        <v>18000</v>
      </c>
      <c r="J69" s="94">
        <f>Tabla245[[#This Row],[TOTAL FACTURA]]*0.4</f>
        <v>12000</v>
      </c>
      <c r="L69" s="11"/>
      <c r="M69" s="11"/>
      <c r="N69" s="2" t="s">
        <v>25</v>
      </c>
      <c r="O69" s="15">
        <f>Tabla245[[#This Row],[MONTO DE LA VENTA]]-Tabla245[[#This Row],[MONTO DE COMPRA]]</f>
        <v>0</v>
      </c>
    </row>
    <row r="70" spans="1:15" ht="15.75" customHeight="1" x14ac:dyDescent="0.25">
      <c r="A70" s="56">
        <v>44664</v>
      </c>
      <c r="C70" s="93"/>
      <c r="D70" s="1" t="s">
        <v>168</v>
      </c>
      <c r="E70" s="4"/>
      <c r="F70" s="1" t="s">
        <v>19</v>
      </c>
      <c r="G70" s="71" t="s">
        <v>140</v>
      </c>
      <c r="H70" s="15">
        <v>30000</v>
      </c>
      <c r="I70" s="2">
        <f>Tabla245[[#This Row],[TOTAL FACTURA]]*0.6</f>
        <v>18000</v>
      </c>
      <c r="J70" s="94">
        <f>Tabla245[[#This Row],[TOTAL FACTURA]]*0.4</f>
        <v>12000</v>
      </c>
      <c r="L70" s="11">
        <f>18000+40000+80000+20000+12000</f>
        <v>170000</v>
      </c>
      <c r="M70" s="11"/>
      <c r="N70" s="2" t="s">
        <v>25</v>
      </c>
      <c r="O70" s="15">
        <f>Tabla245[[#This Row],[MONTO DE LA VENTA]]-Tabla245[[#This Row],[MONTO DE COMPRA]]</f>
        <v>-170000</v>
      </c>
    </row>
    <row r="71" spans="1:15" ht="15.75" customHeight="1" x14ac:dyDescent="0.25">
      <c r="A71" s="56">
        <v>44665</v>
      </c>
      <c r="C71" s="93"/>
      <c r="D71" s="1" t="s">
        <v>1469</v>
      </c>
      <c r="E71" s="4"/>
      <c r="G71" s="71" t="s">
        <v>1470</v>
      </c>
      <c r="H71" s="15">
        <v>80000</v>
      </c>
      <c r="I71" s="2">
        <f>Tabla245[[#This Row],[TOTAL FACTURA]]*0.6</f>
        <v>48000</v>
      </c>
      <c r="J71" s="94">
        <f>Tabla245[[#This Row],[TOTAL FACTURA]]*0.4</f>
        <v>32000</v>
      </c>
      <c r="L71" s="11">
        <f>18000+40000+80000+20000+12000</f>
        <v>170000</v>
      </c>
      <c r="M71" s="11"/>
      <c r="N71" s="2" t="s">
        <v>25</v>
      </c>
      <c r="O71" s="15">
        <f>Tabla245[[#This Row],[MONTO DE LA VENTA]]-Tabla245[[#This Row],[MONTO DE COMPRA]]</f>
        <v>-170000</v>
      </c>
    </row>
    <row r="72" spans="1:15" ht="15.75" customHeight="1" x14ac:dyDescent="0.25">
      <c r="A72" s="56">
        <v>44665</v>
      </c>
      <c r="C72" s="93"/>
      <c r="D72" s="1" t="s">
        <v>1471</v>
      </c>
      <c r="E72" s="4"/>
      <c r="F72" s="1" t="s">
        <v>19</v>
      </c>
      <c r="G72" s="71" t="s">
        <v>206</v>
      </c>
      <c r="H72" s="15">
        <v>30000</v>
      </c>
      <c r="I72" s="2">
        <f>Tabla245[[#This Row],[TOTAL FACTURA]]*0.6</f>
        <v>18000</v>
      </c>
      <c r="J72" s="94">
        <f>Tabla245[[#This Row],[TOTAL FACTURA]]*0.4</f>
        <v>12000</v>
      </c>
      <c r="L72" s="11">
        <f>18000+40000+80000+20000+12000</f>
        <v>170000</v>
      </c>
      <c r="M72" s="11"/>
      <c r="N72" s="2" t="s">
        <v>25</v>
      </c>
      <c r="O72" s="15">
        <f>Tabla245[[#This Row],[MONTO DE LA VENTA]]-Tabla245[[#This Row],[MONTO DE COMPRA]]</f>
        <v>-170000</v>
      </c>
    </row>
    <row r="73" spans="1:15" x14ac:dyDescent="0.25">
      <c r="A73" s="56">
        <v>44666</v>
      </c>
      <c r="C73" s="93"/>
      <c r="D73" s="1" t="s">
        <v>460</v>
      </c>
      <c r="E73" s="4"/>
      <c r="F73" s="1" t="s">
        <v>10</v>
      </c>
      <c r="G73" s="71" t="s">
        <v>1467</v>
      </c>
      <c r="H73" s="15">
        <v>150000</v>
      </c>
      <c r="I73" s="2">
        <f>Tabla245[[#This Row],[TOTAL FACTURA]]*0.6</f>
        <v>90000</v>
      </c>
      <c r="J73" s="94">
        <f>Tabla245[[#This Row],[TOTAL FACTURA]]*0.4</f>
        <v>60000</v>
      </c>
      <c r="L73" s="11"/>
      <c r="M73" s="11"/>
      <c r="N73" s="2" t="s">
        <v>25</v>
      </c>
      <c r="O73" s="15">
        <f>Tabla245[[#This Row],[MONTO DE LA VENTA]]-Tabla245[[#This Row],[MONTO DE COMPRA]]</f>
        <v>0</v>
      </c>
    </row>
    <row r="74" spans="1:15" x14ac:dyDescent="0.25">
      <c r="A74" s="56">
        <v>44666</v>
      </c>
      <c r="C74" s="93"/>
      <c r="E74" s="4" t="s">
        <v>1468</v>
      </c>
      <c r="F74" s="1" t="s">
        <v>10</v>
      </c>
      <c r="G74" s="71" t="s">
        <v>515</v>
      </c>
      <c r="H74" s="15">
        <v>40000</v>
      </c>
      <c r="I74" s="2">
        <f>Tabla245[[#This Row],[TOTAL FACTURA]]*0.6</f>
        <v>24000</v>
      </c>
      <c r="J74" s="94">
        <f>Tabla245[[#This Row],[TOTAL FACTURA]]*0.4</f>
        <v>16000</v>
      </c>
      <c r="L74" s="11"/>
      <c r="M74" s="11"/>
      <c r="N74" s="2" t="s">
        <v>25</v>
      </c>
      <c r="O74" s="15">
        <f>Tabla245[[#This Row],[MONTO DE LA VENTA]]-Tabla245[[#This Row],[MONTO DE COMPRA]]</f>
        <v>0</v>
      </c>
    </row>
    <row r="75" spans="1:15" x14ac:dyDescent="0.25">
      <c r="A75" s="56">
        <v>44667</v>
      </c>
      <c r="B75" s="4" t="s">
        <v>1473</v>
      </c>
      <c r="C75" s="4" t="s">
        <v>1474</v>
      </c>
      <c r="D75" s="1" t="s">
        <v>529</v>
      </c>
      <c r="E75" s="4" t="s">
        <v>606</v>
      </c>
      <c r="F75" s="1" t="s">
        <v>19</v>
      </c>
      <c r="G75" s="71" t="s">
        <v>1475</v>
      </c>
      <c r="H75" s="15">
        <v>80000</v>
      </c>
      <c r="I75" s="2">
        <f>Tabla245[[#This Row],[TOTAL FACTURA]]*0.6</f>
        <v>48000</v>
      </c>
      <c r="J75" s="94">
        <f>Tabla245[[#This Row],[TOTAL FACTURA]]*0.4</f>
        <v>32000</v>
      </c>
      <c r="K75" s="1" t="s">
        <v>1476</v>
      </c>
      <c r="L75" s="11">
        <v>166000</v>
      </c>
      <c r="M75" s="11">
        <v>255500</v>
      </c>
      <c r="N75" s="2" t="s">
        <v>25</v>
      </c>
      <c r="O75" s="15">
        <f>Tabla245[[#This Row],[MONTO DE LA VENTA]]-Tabla245[[#This Row],[MONTO DE COMPRA]]</f>
        <v>89500</v>
      </c>
    </row>
    <row r="76" spans="1:15" x14ac:dyDescent="0.25">
      <c r="A76" s="56">
        <v>44667</v>
      </c>
      <c r="B76" s="4" t="s">
        <v>1477</v>
      </c>
      <c r="C76" s="4" t="s">
        <v>1478</v>
      </c>
      <c r="D76" s="1" t="s">
        <v>828</v>
      </c>
      <c r="E76" s="4" t="s">
        <v>1479</v>
      </c>
      <c r="F76" s="1" t="s">
        <v>408</v>
      </c>
      <c r="G76" s="71" t="s">
        <v>1480</v>
      </c>
      <c r="H76" s="15">
        <v>60000</v>
      </c>
      <c r="I76" s="2">
        <f>Tabla245[[#This Row],[TOTAL FACTURA]]*0.6</f>
        <v>36000</v>
      </c>
      <c r="J76" s="94">
        <f>Tabla245[[#This Row],[TOTAL FACTURA]]*0.4</f>
        <v>24000</v>
      </c>
      <c r="K76" s="1" t="s">
        <v>1481</v>
      </c>
      <c r="L76" s="11">
        <f>6500+3000+500+14000</f>
        <v>24000</v>
      </c>
      <c r="M76" s="11">
        <v>43000</v>
      </c>
      <c r="N76" s="2" t="s">
        <v>25</v>
      </c>
      <c r="O76" s="15">
        <f>Tabla245[[#This Row],[MONTO DE LA VENTA]]-Tabla245[[#This Row],[MONTO DE COMPRA]]</f>
        <v>19000</v>
      </c>
    </row>
    <row r="77" spans="1:15" x14ac:dyDescent="0.25">
      <c r="A77" s="56">
        <v>44667</v>
      </c>
      <c r="B77" s="4" t="s">
        <v>1482</v>
      </c>
      <c r="C77" s="4" t="s">
        <v>1483</v>
      </c>
      <c r="D77" s="1" t="s">
        <v>242</v>
      </c>
      <c r="E77" s="4" t="s">
        <v>1484</v>
      </c>
      <c r="F77" s="1" t="s">
        <v>408</v>
      </c>
      <c r="G77" s="71" t="s">
        <v>1485</v>
      </c>
      <c r="H77" s="15">
        <v>100000</v>
      </c>
      <c r="I77" s="2">
        <v>100000</v>
      </c>
      <c r="J77" s="2" t="s">
        <v>655</v>
      </c>
      <c r="K77" s="1" t="s">
        <v>1486</v>
      </c>
      <c r="L77" s="11">
        <f>90000+125000+200000</f>
        <v>415000</v>
      </c>
      <c r="M77" s="11">
        <f>12000+300000+160000</f>
        <v>472000</v>
      </c>
      <c r="N77" s="2" t="s">
        <v>25</v>
      </c>
      <c r="O77" s="15">
        <f>Tabla245[[#This Row],[MONTO DE LA VENTA]]-Tabla245[[#This Row],[MONTO DE COMPRA]]</f>
        <v>57000</v>
      </c>
    </row>
    <row r="78" spans="1:15" x14ac:dyDescent="0.25">
      <c r="A78" s="56">
        <v>44667</v>
      </c>
      <c r="B78" s="4" t="s">
        <v>1487</v>
      </c>
      <c r="C78" s="4" t="s">
        <v>1292</v>
      </c>
      <c r="D78" s="1" t="s">
        <v>1488</v>
      </c>
      <c r="E78" s="4" t="s">
        <v>1294</v>
      </c>
      <c r="F78" s="1" t="s">
        <v>10</v>
      </c>
      <c r="G78" s="71" t="s">
        <v>1489</v>
      </c>
      <c r="H78" s="15">
        <v>30000</v>
      </c>
      <c r="I78" s="2">
        <f>Tabla245[[#This Row],[TOTAL FACTURA]]*0.6</f>
        <v>18000</v>
      </c>
      <c r="J78" s="94">
        <f>Tabla245[[#This Row],[TOTAL FACTURA]]*0.4</f>
        <v>12000</v>
      </c>
      <c r="L78" s="11"/>
      <c r="M78" s="11"/>
      <c r="N78" s="2" t="s">
        <v>25</v>
      </c>
      <c r="O78" s="15">
        <f>Tabla245[[#This Row],[MONTO DE LA VENTA]]-Tabla245[[#This Row],[MONTO DE COMPRA]]</f>
        <v>0</v>
      </c>
    </row>
    <row r="79" spans="1:15" x14ac:dyDescent="0.25">
      <c r="A79" s="56">
        <v>44667</v>
      </c>
      <c r="B79" s="4" t="s">
        <v>1487</v>
      </c>
      <c r="C79" s="4" t="s">
        <v>1292</v>
      </c>
      <c r="D79" s="1" t="s">
        <v>1488</v>
      </c>
      <c r="E79" s="4" t="s">
        <v>1294</v>
      </c>
      <c r="F79" s="1" t="s">
        <v>18</v>
      </c>
      <c r="G79" s="71" t="s">
        <v>1490</v>
      </c>
      <c r="H79" s="15">
        <v>60000</v>
      </c>
      <c r="I79" s="2">
        <f>Tabla245[[#This Row],[TOTAL FACTURA]]*0.6</f>
        <v>36000</v>
      </c>
      <c r="J79" s="94">
        <f>Tabla245[[#This Row],[TOTAL FACTURA]]*0.4</f>
        <v>24000</v>
      </c>
      <c r="L79" s="11"/>
      <c r="M79" s="11"/>
      <c r="N79" s="2" t="s">
        <v>25</v>
      </c>
      <c r="O79" s="15">
        <f>Tabla245[[#This Row],[MONTO DE LA VENTA]]-Tabla245[[#This Row],[MONTO DE COMPRA]]</f>
        <v>0</v>
      </c>
    </row>
    <row r="80" spans="1:15" x14ac:dyDescent="0.25">
      <c r="A80" s="56">
        <v>44667</v>
      </c>
      <c r="C80" s="4" t="s">
        <v>1491</v>
      </c>
      <c r="D80" s="1" t="s">
        <v>1492</v>
      </c>
      <c r="E80" s="4" t="s">
        <v>1493</v>
      </c>
      <c r="F80" s="1" t="s">
        <v>10</v>
      </c>
      <c r="G80" s="71" t="s">
        <v>1494</v>
      </c>
      <c r="H80" s="15">
        <v>60000</v>
      </c>
      <c r="I80" s="2">
        <f>Tabla245[[#This Row],[TOTAL FACTURA]]*0.6</f>
        <v>36000</v>
      </c>
      <c r="J80" s="94">
        <f>Tabla245[[#This Row],[TOTAL FACTURA]]*0.4</f>
        <v>24000</v>
      </c>
      <c r="K80" s="1" t="s">
        <v>1495</v>
      </c>
      <c r="L80" s="11">
        <v>45000</v>
      </c>
      <c r="M80" s="11">
        <v>60000</v>
      </c>
      <c r="N80" s="2" t="s">
        <v>25</v>
      </c>
      <c r="O80" s="15">
        <f>Tabla245[[#This Row],[MONTO DE LA VENTA]]-Tabla245[[#This Row],[MONTO DE COMPRA]]</f>
        <v>15000</v>
      </c>
    </row>
    <row r="81" spans="1:15" x14ac:dyDescent="0.25">
      <c r="A81" s="56">
        <v>44667</v>
      </c>
      <c r="C81" s="4" t="s">
        <v>1402</v>
      </c>
      <c r="D81" s="1" t="s">
        <v>59</v>
      </c>
      <c r="E81" s="4" t="s">
        <v>93</v>
      </c>
      <c r="F81" s="1" t="s">
        <v>34</v>
      </c>
      <c r="G81" s="71" t="s">
        <v>1496</v>
      </c>
      <c r="H81" s="15">
        <v>10000</v>
      </c>
      <c r="I81" s="2">
        <f>Tabla245[[#This Row],[TOTAL FACTURA]]*0.6</f>
        <v>6000</v>
      </c>
      <c r="J81" s="94">
        <f>Tabla245[[#This Row],[TOTAL FACTURA]]*0.4</f>
        <v>4000</v>
      </c>
      <c r="L81" s="11"/>
      <c r="M81" s="11"/>
      <c r="N81" s="2" t="s">
        <v>25</v>
      </c>
      <c r="O81" s="15">
        <f>Tabla245[[#This Row],[MONTO DE LA VENTA]]-Tabla245[[#This Row],[MONTO DE COMPRA]]</f>
        <v>0</v>
      </c>
    </row>
    <row r="82" spans="1:15" x14ac:dyDescent="0.25">
      <c r="A82" s="56">
        <v>44667</v>
      </c>
      <c r="C82" s="95"/>
      <c r="D82" s="1" t="s">
        <v>828</v>
      </c>
      <c r="E82" s="4"/>
      <c r="F82" s="1" t="s">
        <v>408</v>
      </c>
      <c r="G82" s="66" t="s">
        <v>329</v>
      </c>
      <c r="H82" s="15">
        <v>20000</v>
      </c>
      <c r="I82" s="15">
        <f>Tabla245[[#This Row],[TOTAL FACTURA]]*0.6</f>
        <v>12000</v>
      </c>
      <c r="J82" s="98">
        <f>Tabla245[[#This Row],[TOTAL FACTURA]]*0.4</f>
        <v>8000</v>
      </c>
      <c r="L82" s="11">
        <f>18000+40000+80000+20000+12000</f>
        <v>170000</v>
      </c>
      <c r="M82" s="11"/>
      <c r="N82" s="2" t="s">
        <v>25</v>
      </c>
      <c r="O82" s="15">
        <f>Tabla245[[#This Row],[MONTO DE LA VENTA]]-Tabla245[[#This Row],[MONTO DE COMPRA]]</f>
        <v>-170000</v>
      </c>
    </row>
    <row r="83" spans="1:15" x14ac:dyDescent="0.25">
      <c r="A83" s="56">
        <v>44667</v>
      </c>
      <c r="B83" s="4" t="s">
        <v>1497</v>
      </c>
      <c r="C83" s="4" t="s">
        <v>598</v>
      </c>
      <c r="D83" s="1" t="s">
        <v>161</v>
      </c>
      <c r="E83" s="4" t="s">
        <v>162</v>
      </c>
      <c r="F83" s="1" t="s">
        <v>19</v>
      </c>
      <c r="G83" s="66" t="s">
        <v>1498</v>
      </c>
      <c r="H83" s="15">
        <v>20000</v>
      </c>
      <c r="I83" s="15">
        <f>Tabla245[[#This Row],[TOTAL FACTURA]]*0.6</f>
        <v>12000</v>
      </c>
      <c r="J83" s="97">
        <f>Tabla245[[#This Row],[TOTAL FACTURA]]*0.4</f>
        <v>8000</v>
      </c>
      <c r="L83" s="11"/>
      <c r="M83" s="11"/>
      <c r="N83" s="2" t="s">
        <v>25</v>
      </c>
      <c r="O83" s="15">
        <f>Tabla245[[#This Row],[MONTO DE LA VENTA]]-Tabla245[[#This Row],[MONTO DE COMPRA]]</f>
        <v>0</v>
      </c>
    </row>
    <row r="84" spans="1:15" x14ac:dyDescent="0.25">
      <c r="A84" s="56">
        <v>44667</v>
      </c>
      <c r="B84" s="4" t="s">
        <v>1499</v>
      </c>
      <c r="C84" s="4" t="s">
        <v>598</v>
      </c>
      <c r="E84" s="4" t="s">
        <v>152</v>
      </c>
      <c r="F84" s="1" t="s">
        <v>18</v>
      </c>
      <c r="G84" s="71" t="s">
        <v>1500</v>
      </c>
      <c r="H84" s="15">
        <v>50000</v>
      </c>
      <c r="I84" s="2">
        <f>Tabla245[[#This Row],[TOTAL FACTURA]]*0.6</f>
        <v>30000</v>
      </c>
      <c r="J84" s="94">
        <f>Tabla245[[#This Row],[TOTAL FACTURA]]*0.4</f>
        <v>20000</v>
      </c>
      <c r="L84" s="11"/>
      <c r="M84" s="11"/>
      <c r="N84" s="2" t="s">
        <v>25</v>
      </c>
      <c r="O84" s="15">
        <f>Tabla245[[#This Row],[MONTO DE LA VENTA]]-Tabla245[[#This Row],[MONTO DE COMPRA]]</f>
        <v>0</v>
      </c>
    </row>
    <row r="85" spans="1:15" x14ac:dyDescent="0.25">
      <c r="A85" s="56">
        <v>44669</v>
      </c>
      <c r="B85" s="4" t="s">
        <v>1501</v>
      </c>
      <c r="C85" s="4" t="s">
        <v>1502</v>
      </c>
      <c r="D85" s="1" t="s">
        <v>1503</v>
      </c>
      <c r="E85" s="4" t="s">
        <v>1504</v>
      </c>
      <c r="F85" s="1" t="s">
        <v>30</v>
      </c>
      <c r="G85" s="71" t="s">
        <v>1505</v>
      </c>
      <c r="H85" s="15">
        <v>200000</v>
      </c>
      <c r="I85" s="2">
        <f>Tabla245[[#This Row],[TOTAL FACTURA]]*0.6</f>
        <v>120000</v>
      </c>
      <c r="J85" s="94">
        <f>Tabla245[[#This Row],[TOTAL FACTURA]]*0.4</f>
        <v>80000</v>
      </c>
      <c r="L85" s="11"/>
      <c r="M85" s="11"/>
      <c r="N85" s="2" t="s">
        <v>25</v>
      </c>
      <c r="O85" s="15">
        <f>Tabla245[[#This Row],[MONTO DE LA VENTA]]-Tabla245[[#This Row],[MONTO DE COMPRA]]</f>
        <v>0</v>
      </c>
    </row>
    <row r="86" spans="1:15" x14ac:dyDescent="0.25">
      <c r="A86" s="56">
        <v>44669</v>
      </c>
      <c r="B86" s="4" t="s">
        <v>1506</v>
      </c>
      <c r="C86" s="4" t="s">
        <v>1507</v>
      </c>
      <c r="D86" s="1" t="s">
        <v>1508</v>
      </c>
      <c r="E86" s="4" t="s">
        <v>1509</v>
      </c>
      <c r="F86" s="1" t="s">
        <v>19</v>
      </c>
      <c r="G86" s="66" t="s">
        <v>1510</v>
      </c>
      <c r="H86" s="15">
        <v>40000</v>
      </c>
      <c r="I86" s="15">
        <f>Tabla245[[#This Row],[TOTAL FACTURA]]*0.6</f>
        <v>24000</v>
      </c>
      <c r="J86" s="97">
        <f>Tabla245[[#This Row],[TOTAL FACTURA]]*0.4</f>
        <v>16000</v>
      </c>
      <c r="L86" s="11"/>
      <c r="M86" s="11"/>
      <c r="N86" s="2" t="s">
        <v>25</v>
      </c>
      <c r="O86" s="15">
        <f>Tabla245[[#This Row],[MONTO DE LA VENTA]]-Tabla245[[#This Row],[MONTO DE COMPRA]]</f>
        <v>0</v>
      </c>
    </row>
    <row r="87" spans="1:15" x14ac:dyDescent="0.25">
      <c r="A87" s="56">
        <v>44669</v>
      </c>
      <c r="B87" s="4" t="s">
        <v>1511</v>
      </c>
      <c r="C87" s="4" t="s">
        <v>1512</v>
      </c>
      <c r="D87" s="1" t="s">
        <v>54</v>
      </c>
      <c r="E87" s="4" t="s">
        <v>1513</v>
      </c>
      <c r="F87" s="1" t="s">
        <v>18</v>
      </c>
      <c r="G87" s="71" t="s">
        <v>1514</v>
      </c>
      <c r="H87" s="15">
        <v>80000</v>
      </c>
      <c r="I87" s="2">
        <f>Tabla245[[#This Row],[TOTAL FACTURA]]*0.6</f>
        <v>48000</v>
      </c>
      <c r="J87" s="94">
        <f>Tabla245[[#This Row],[TOTAL FACTURA]]*0.4</f>
        <v>32000</v>
      </c>
      <c r="L87" s="11"/>
      <c r="M87" s="11"/>
      <c r="N87" s="2" t="s">
        <v>25</v>
      </c>
      <c r="O87" s="15">
        <f>Tabla245[[#This Row],[MONTO DE LA VENTA]]-Tabla245[[#This Row],[MONTO DE COMPRA]]</f>
        <v>0</v>
      </c>
    </row>
    <row r="88" spans="1:15" x14ac:dyDescent="0.25">
      <c r="A88" s="56">
        <v>44669</v>
      </c>
      <c r="C88" s="4" t="s">
        <v>1478</v>
      </c>
      <c r="D88" s="1" t="s">
        <v>828</v>
      </c>
      <c r="E88" s="4" t="s">
        <v>1479</v>
      </c>
      <c r="F88" s="1" t="s">
        <v>19</v>
      </c>
      <c r="G88" s="71" t="s">
        <v>1515</v>
      </c>
      <c r="H88" s="15">
        <v>10000</v>
      </c>
      <c r="I88" s="2">
        <v>10000</v>
      </c>
      <c r="J88" s="94">
        <f>Tabla245[[#This Row],[TOTAL FACTURA]]*0.4</f>
        <v>4000</v>
      </c>
      <c r="L88" s="11"/>
      <c r="M88" s="11"/>
      <c r="N88" s="2" t="s">
        <v>25</v>
      </c>
      <c r="O88" s="15">
        <f>Tabla245[[#This Row],[MONTO DE LA VENTA]]-Tabla245[[#This Row],[MONTO DE COMPRA]]</f>
        <v>0</v>
      </c>
    </row>
    <row r="89" spans="1:15" x14ac:dyDescent="0.25">
      <c r="A89" s="56">
        <v>44669</v>
      </c>
      <c r="C89" s="4" t="s">
        <v>1144</v>
      </c>
      <c r="D89" s="1" t="s">
        <v>1516</v>
      </c>
      <c r="E89" s="4" t="s">
        <v>1517</v>
      </c>
      <c r="F89" s="1" t="s">
        <v>30</v>
      </c>
      <c r="G89" s="71" t="s">
        <v>1518</v>
      </c>
      <c r="H89" s="15">
        <v>10000</v>
      </c>
      <c r="I89" s="2">
        <f>Tabla245[[#This Row],[TOTAL FACTURA]]*0.6</f>
        <v>6000</v>
      </c>
      <c r="J89" s="94">
        <f>Tabla245[[#This Row],[TOTAL FACTURA]]*0.4</f>
        <v>4000</v>
      </c>
      <c r="L89" s="11"/>
      <c r="M89" s="11"/>
      <c r="N89" s="2" t="s">
        <v>25</v>
      </c>
      <c r="O89" s="15">
        <f>Tabla245[[#This Row],[MONTO DE LA VENTA]]-Tabla245[[#This Row],[MONTO DE COMPRA]]</f>
        <v>0</v>
      </c>
    </row>
    <row r="90" spans="1:15" ht="15.75" customHeight="1" x14ac:dyDescent="0.25">
      <c r="A90" s="56">
        <v>44669</v>
      </c>
      <c r="C90" s="93"/>
      <c r="D90" s="1" t="s">
        <v>1011</v>
      </c>
      <c r="E90" s="1" t="s">
        <v>1519</v>
      </c>
      <c r="F90" s="1" t="s">
        <v>19</v>
      </c>
      <c r="G90" s="66" t="s">
        <v>1520</v>
      </c>
      <c r="H90" s="15">
        <v>36000</v>
      </c>
      <c r="I90" s="15">
        <v>36000</v>
      </c>
      <c r="J90" s="97">
        <f>Tabla245[[#This Row],[TOTAL FACTURA]]*0.4</f>
        <v>14400</v>
      </c>
      <c r="L90" s="11"/>
      <c r="M90" s="11"/>
      <c r="N90" s="2" t="s">
        <v>25</v>
      </c>
      <c r="O90" s="15">
        <f>Tabla245[[#This Row],[MONTO DE LA VENTA]]-Tabla245[[#This Row],[MONTO DE COMPRA]]</f>
        <v>0</v>
      </c>
    </row>
    <row r="91" spans="1:15" ht="15.75" customHeight="1" x14ac:dyDescent="0.25">
      <c r="A91" s="56">
        <v>44669</v>
      </c>
      <c r="B91" s="4" t="s">
        <v>1557</v>
      </c>
      <c r="C91" s="4" t="s">
        <v>1558</v>
      </c>
      <c r="D91" s="1" t="s">
        <v>1559</v>
      </c>
      <c r="E91" s="4" t="s">
        <v>1560</v>
      </c>
      <c r="F91" s="1" t="s">
        <v>10</v>
      </c>
      <c r="G91" s="71" t="s">
        <v>956</v>
      </c>
      <c r="H91" s="15">
        <v>1000000</v>
      </c>
      <c r="I91" s="2">
        <f>Tabla245[[#This Row],[TOTAL FACTURA]]*0.6</f>
        <v>600000</v>
      </c>
      <c r="J91" s="96">
        <f>Tabla245[[#This Row],[TOTAL FACTURA]]*0.4</f>
        <v>400000</v>
      </c>
      <c r="K91" s="1" t="s">
        <v>1561</v>
      </c>
      <c r="L91" s="11">
        <v>30000</v>
      </c>
      <c r="M91" s="11">
        <v>24000</v>
      </c>
      <c r="N91" s="2" t="s">
        <v>25</v>
      </c>
      <c r="O91" s="15">
        <f>Tabla245[[#This Row],[MONTO DE LA VENTA]]-Tabla245[[#This Row],[MONTO DE COMPRA]]</f>
        <v>-6000</v>
      </c>
    </row>
    <row r="92" spans="1:15" x14ac:dyDescent="0.25">
      <c r="A92" s="56">
        <v>44670</v>
      </c>
      <c r="B92" s="4" t="s">
        <v>1521</v>
      </c>
      <c r="C92" s="4" t="s">
        <v>1522</v>
      </c>
      <c r="D92" s="1" t="s">
        <v>46</v>
      </c>
      <c r="E92" s="4" t="s">
        <v>1523</v>
      </c>
      <c r="F92" s="1" t="s">
        <v>408</v>
      </c>
      <c r="G92" s="71" t="s">
        <v>1524</v>
      </c>
      <c r="H92" s="15">
        <v>40000</v>
      </c>
      <c r="I92" s="2">
        <f>Tabla245[[#This Row],[TOTAL FACTURA]]*0.6</f>
        <v>24000</v>
      </c>
      <c r="J92" s="94">
        <f>Tabla245[[#This Row],[TOTAL FACTURA]]*0.4</f>
        <v>16000</v>
      </c>
      <c r="K92" s="1" t="s">
        <v>1525</v>
      </c>
      <c r="L92" s="11">
        <v>14000</v>
      </c>
      <c r="M92" s="11">
        <v>17000</v>
      </c>
      <c r="N92" s="2" t="s">
        <v>25</v>
      </c>
      <c r="O92" s="15">
        <f>Tabla245[[#This Row],[MONTO DE LA VENTA]]-Tabla245[[#This Row],[MONTO DE COMPRA]]</f>
        <v>3000</v>
      </c>
    </row>
    <row r="93" spans="1:15" x14ac:dyDescent="0.25">
      <c r="A93" s="56">
        <v>44670</v>
      </c>
      <c r="B93" s="4" t="s">
        <v>1526</v>
      </c>
      <c r="C93" s="4" t="s">
        <v>1527</v>
      </c>
      <c r="D93" s="1" t="s">
        <v>410</v>
      </c>
      <c r="E93" s="4" t="s">
        <v>1528</v>
      </c>
      <c r="F93" s="1" t="s">
        <v>408</v>
      </c>
      <c r="G93" s="71" t="s">
        <v>1529</v>
      </c>
      <c r="H93" s="15">
        <v>40000</v>
      </c>
      <c r="I93" s="2">
        <f>Tabla245[[#This Row],[TOTAL FACTURA]]*0.6</f>
        <v>24000</v>
      </c>
      <c r="J93" s="94">
        <f>Tabla245[[#This Row],[TOTAL FACTURA]]*0.4</f>
        <v>16000</v>
      </c>
      <c r="K93" s="1" t="s">
        <v>973</v>
      </c>
      <c r="L93" s="11">
        <v>36000</v>
      </c>
      <c r="M93" s="11">
        <v>100000</v>
      </c>
      <c r="N93" s="2" t="s">
        <v>25</v>
      </c>
      <c r="O93" s="15">
        <f>Tabla245[[#This Row],[MONTO DE LA VENTA]]-Tabla245[[#This Row],[MONTO DE COMPRA]]</f>
        <v>64000</v>
      </c>
    </row>
    <row r="94" spans="1:15" x14ac:dyDescent="0.25">
      <c r="A94" s="56">
        <v>44670</v>
      </c>
      <c r="B94" s="4" t="s">
        <v>1530</v>
      </c>
      <c r="C94" s="4" t="s">
        <v>1278</v>
      </c>
      <c r="D94" s="1" t="s">
        <v>59</v>
      </c>
      <c r="E94" s="4" t="s">
        <v>380</v>
      </c>
      <c r="F94" s="1" t="s">
        <v>19</v>
      </c>
      <c r="G94" s="71" t="s">
        <v>381</v>
      </c>
      <c r="H94" s="15">
        <v>80000</v>
      </c>
      <c r="I94" s="2">
        <f>Tabla245[[#This Row],[TOTAL FACTURA]]*0.6</f>
        <v>48000</v>
      </c>
      <c r="J94" s="94">
        <f>Tabla245[[#This Row],[TOTAL FACTURA]]*0.4</f>
        <v>32000</v>
      </c>
      <c r="K94" s="1" t="s">
        <v>1531</v>
      </c>
      <c r="L94" s="11">
        <v>327000</v>
      </c>
      <c r="M94" s="11">
        <v>295000</v>
      </c>
      <c r="N94" s="2" t="s">
        <v>25</v>
      </c>
      <c r="O94" s="15">
        <f>Tabla245[[#This Row],[MONTO DE LA VENTA]]-Tabla245[[#This Row],[MONTO DE COMPRA]]</f>
        <v>-32000</v>
      </c>
    </row>
    <row r="95" spans="1:15" x14ac:dyDescent="0.25">
      <c r="A95" s="56">
        <v>44670</v>
      </c>
      <c r="B95" s="4" t="s">
        <v>1530</v>
      </c>
      <c r="C95" s="4" t="s">
        <v>1278</v>
      </c>
      <c r="D95" s="1" t="s">
        <v>59</v>
      </c>
      <c r="E95" s="4" t="s">
        <v>380</v>
      </c>
      <c r="F95" s="1" t="s">
        <v>34</v>
      </c>
      <c r="G95" s="71" t="s">
        <v>1532</v>
      </c>
      <c r="H95" s="15">
        <v>580000</v>
      </c>
      <c r="I95" s="2">
        <f>Tabla245[[#This Row],[TOTAL FACTURA]]*0.6</f>
        <v>348000</v>
      </c>
      <c r="J95" s="94">
        <f>Tabla245[[#This Row],[TOTAL FACTURA]]*0.4</f>
        <v>232000</v>
      </c>
      <c r="L95" s="11"/>
      <c r="M95" s="11"/>
      <c r="N95" s="2" t="s">
        <v>25</v>
      </c>
      <c r="O95" s="15">
        <f>Tabla245[[#This Row],[MONTO DE LA VENTA]]-Tabla245[[#This Row],[MONTO DE COMPRA]]</f>
        <v>0</v>
      </c>
    </row>
    <row r="96" spans="1:15" x14ac:dyDescent="0.25">
      <c r="A96" s="56">
        <v>44670</v>
      </c>
      <c r="B96" s="4" t="s">
        <v>1533</v>
      </c>
      <c r="C96" s="4" t="s">
        <v>1534</v>
      </c>
      <c r="D96" s="1" t="s">
        <v>213</v>
      </c>
      <c r="E96" s="4" t="s">
        <v>1535</v>
      </c>
      <c r="F96" s="1" t="s">
        <v>19</v>
      </c>
      <c r="G96" s="66" t="s">
        <v>206</v>
      </c>
      <c r="H96" s="15">
        <v>60000</v>
      </c>
      <c r="I96" s="15">
        <f>Tabla245[[#This Row],[TOTAL FACTURA]]*0.6</f>
        <v>36000</v>
      </c>
      <c r="J96" s="97">
        <f>Tabla245[[#This Row],[TOTAL FACTURA]]*0.4</f>
        <v>24000</v>
      </c>
      <c r="L96" s="11"/>
      <c r="M96" s="11"/>
      <c r="N96" s="2" t="s">
        <v>25</v>
      </c>
      <c r="O96" s="15">
        <f>Tabla245[[#This Row],[MONTO DE LA VENTA]]-Tabla245[[#This Row],[MONTO DE COMPRA]]</f>
        <v>0</v>
      </c>
    </row>
    <row r="97" spans="1:15" x14ac:dyDescent="0.25">
      <c r="A97" s="56">
        <v>44670</v>
      </c>
      <c r="C97" s="93"/>
      <c r="D97" s="1" t="s">
        <v>566</v>
      </c>
      <c r="E97" s="4"/>
      <c r="F97" s="1" t="s">
        <v>10</v>
      </c>
      <c r="G97" s="71" t="s">
        <v>1536</v>
      </c>
      <c r="H97" s="15">
        <v>250000</v>
      </c>
      <c r="I97" s="2">
        <f>Tabla245[[#This Row],[TOTAL FACTURA]]*0.6</f>
        <v>150000</v>
      </c>
      <c r="J97" s="94">
        <f>Tabla245[[#This Row],[TOTAL FACTURA]]*0.4</f>
        <v>100000</v>
      </c>
      <c r="L97" s="11"/>
      <c r="M97" s="11"/>
      <c r="N97" s="2" t="s">
        <v>25</v>
      </c>
      <c r="O97" s="15">
        <f>Tabla245[[#This Row],[MONTO DE LA VENTA]]-Tabla245[[#This Row],[MONTO DE COMPRA]]</f>
        <v>0</v>
      </c>
    </row>
    <row r="98" spans="1:15" x14ac:dyDescent="0.25">
      <c r="A98" s="56">
        <v>44670</v>
      </c>
      <c r="C98" s="4" t="s">
        <v>854</v>
      </c>
      <c r="D98" s="1" t="s">
        <v>435</v>
      </c>
      <c r="E98" s="4" t="s">
        <v>1537</v>
      </c>
      <c r="F98" s="1" t="s">
        <v>19</v>
      </c>
      <c r="G98" s="71" t="s">
        <v>1538</v>
      </c>
      <c r="H98" s="15">
        <v>20000</v>
      </c>
      <c r="I98" s="2">
        <f>Tabla245[[#This Row],[TOTAL FACTURA]]*0.6</f>
        <v>12000</v>
      </c>
      <c r="J98" s="94">
        <f>Tabla245[[#This Row],[TOTAL FACTURA]]*0.4</f>
        <v>8000</v>
      </c>
      <c r="L98" s="11"/>
      <c r="M98" s="11"/>
      <c r="N98" s="2" t="s">
        <v>25</v>
      </c>
      <c r="O98" s="15">
        <f>Tabla245[[#This Row],[MONTO DE LA VENTA]]-Tabla245[[#This Row],[MONTO DE COMPRA]]</f>
        <v>0</v>
      </c>
    </row>
    <row r="99" spans="1:15" x14ac:dyDescent="0.25">
      <c r="A99" s="56">
        <v>44671</v>
      </c>
      <c r="B99" s="4" t="s">
        <v>1539</v>
      </c>
      <c r="C99" s="4" t="s">
        <v>789</v>
      </c>
      <c r="D99" s="1" t="s">
        <v>828</v>
      </c>
      <c r="E99" s="4" t="s">
        <v>790</v>
      </c>
      <c r="F99" s="1" t="s">
        <v>30</v>
      </c>
      <c r="G99" s="71" t="s">
        <v>1001</v>
      </c>
      <c r="H99" s="15">
        <v>250000</v>
      </c>
      <c r="I99" s="2">
        <f>Tabla245[[#This Row],[TOTAL FACTURA]]*0.6</f>
        <v>150000</v>
      </c>
      <c r="J99" s="94">
        <f>Tabla245[[#This Row],[TOTAL FACTURA]]*0.4</f>
        <v>100000</v>
      </c>
      <c r="K99" s="1" t="s">
        <v>1540</v>
      </c>
      <c r="L99" s="11">
        <v>780000</v>
      </c>
      <c r="M99" s="11">
        <v>980000</v>
      </c>
      <c r="N99" s="2" t="s">
        <v>25</v>
      </c>
      <c r="O99" s="15">
        <f>Tabla245[[#This Row],[MONTO DE LA VENTA]]-Tabla245[[#This Row],[MONTO DE COMPRA]]</f>
        <v>200000</v>
      </c>
    </row>
    <row r="100" spans="1:15" x14ac:dyDescent="0.25">
      <c r="A100" s="56">
        <v>44671</v>
      </c>
      <c r="B100" s="4" t="s">
        <v>1541</v>
      </c>
      <c r="C100" s="4" t="s">
        <v>1542</v>
      </c>
      <c r="D100" s="1" t="s">
        <v>1543</v>
      </c>
      <c r="E100" s="4" t="s">
        <v>1544</v>
      </c>
      <c r="F100" s="1" t="s">
        <v>19</v>
      </c>
      <c r="G100" s="66" t="s">
        <v>1545</v>
      </c>
      <c r="H100" s="15">
        <v>100000</v>
      </c>
      <c r="I100" s="15">
        <f>Tabla245[[#This Row],[TOTAL FACTURA]]*0.6</f>
        <v>60000</v>
      </c>
      <c r="J100" s="97">
        <f>Tabla245[[#This Row],[TOTAL FACTURA]]*0.4</f>
        <v>40000</v>
      </c>
      <c r="K100" s="1" t="s">
        <v>1546</v>
      </c>
      <c r="L100" s="11">
        <f>22000+31000+6000</f>
        <v>59000</v>
      </c>
      <c r="M100" s="11">
        <v>145000</v>
      </c>
      <c r="N100" s="2" t="s">
        <v>25</v>
      </c>
      <c r="O100" s="15">
        <f>Tabla245[[#This Row],[MONTO DE LA VENTA]]-Tabla245[[#This Row],[MONTO DE COMPRA]]</f>
        <v>86000</v>
      </c>
    </row>
    <row r="101" spans="1:15" x14ac:dyDescent="0.25">
      <c r="A101" s="56">
        <v>44671</v>
      </c>
      <c r="C101" s="93"/>
      <c r="E101" s="4"/>
      <c r="F101" s="1" t="s">
        <v>34</v>
      </c>
      <c r="G101" s="71" t="s">
        <v>341</v>
      </c>
      <c r="H101" s="15">
        <v>10000</v>
      </c>
      <c r="I101" s="2">
        <f>Tabla245[[#This Row],[TOTAL FACTURA]]*0.6</f>
        <v>6000</v>
      </c>
      <c r="J101" s="94">
        <f>Tabla245[[#This Row],[TOTAL FACTURA]]*0.4</f>
        <v>4000</v>
      </c>
      <c r="L101" s="11"/>
      <c r="M101" s="11"/>
      <c r="N101" s="2" t="s">
        <v>25</v>
      </c>
      <c r="O101" s="15">
        <f>Tabla245[[#This Row],[MONTO DE LA VENTA]]-Tabla245[[#This Row],[MONTO DE COMPRA]]</f>
        <v>0</v>
      </c>
    </row>
    <row r="102" spans="1:15" x14ac:dyDescent="0.25">
      <c r="A102" s="56">
        <v>44672</v>
      </c>
      <c r="B102" s="4" t="s">
        <v>1547</v>
      </c>
      <c r="C102" s="4" t="s">
        <v>1548</v>
      </c>
      <c r="D102" s="1" t="s">
        <v>1549</v>
      </c>
      <c r="E102" s="4" t="s">
        <v>1550</v>
      </c>
      <c r="F102" s="1" t="s">
        <v>19</v>
      </c>
      <c r="G102" s="71" t="s">
        <v>1551</v>
      </c>
      <c r="H102" s="15">
        <v>120000</v>
      </c>
      <c r="I102" s="2">
        <f>Tabla245[[#This Row],[TOTAL FACTURA]]*0.6</f>
        <v>72000</v>
      </c>
      <c r="J102" s="94">
        <f>Tabla245[[#This Row],[TOTAL FACTURA]]*0.4</f>
        <v>48000</v>
      </c>
      <c r="K102" s="1" t="s">
        <v>1552</v>
      </c>
      <c r="L102" s="11">
        <f>760000+158000</f>
        <v>918000</v>
      </c>
      <c r="M102" s="11">
        <v>1330000</v>
      </c>
      <c r="N102" s="2" t="s">
        <v>25</v>
      </c>
      <c r="O102" s="15">
        <f>Tabla245[[#This Row],[MONTO DE LA VENTA]]-Tabla245[[#This Row],[MONTO DE COMPRA]]</f>
        <v>412000</v>
      </c>
    </row>
    <row r="103" spans="1:15" x14ac:dyDescent="0.25">
      <c r="A103" s="56">
        <v>44672</v>
      </c>
      <c r="C103" s="4" t="s">
        <v>999</v>
      </c>
      <c r="D103" s="1" t="s">
        <v>64</v>
      </c>
      <c r="E103" s="4" t="s">
        <v>63</v>
      </c>
      <c r="F103" s="1" t="s">
        <v>408</v>
      </c>
      <c r="G103" s="71" t="s">
        <v>21</v>
      </c>
      <c r="H103" s="15">
        <v>10000</v>
      </c>
      <c r="I103" s="2">
        <f>Tabla245[[#This Row],[TOTAL FACTURA]]*0.6</f>
        <v>6000</v>
      </c>
      <c r="J103" s="94">
        <f>Tabla245[[#This Row],[TOTAL FACTURA]]*0.4</f>
        <v>4000</v>
      </c>
      <c r="L103" s="11"/>
      <c r="M103" s="11"/>
      <c r="N103" s="2" t="s">
        <v>25</v>
      </c>
      <c r="O103" s="15">
        <f>Tabla245[[#This Row],[MONTO DE LA VENTA]]-Tabla245[[#This Row],[MONTO DE COMPRA]]</f>
        <v>0</v>
      </c>
    </row>
    <row r="104" spans="1:15" ht="23.25" customHeight="1" x14ac:dyDescent="0.25">
      <c r="A104" s="56">
        <v>44673</v>
      </c>
      <c r="B104" s="4" t="s">
        <v>1553</v>
      </c>
      <c r="C104" s="4" t="s">
        <v>1502</v>
      </c>
      <c r="D104" s="1" t="s">
        <v>410</v>
      </c>
      <c r="E104" s="4" t="s">
        <v>1504</v>
      </c>
      <c r="F104" s="1" t="s">
        <v>408</v>
      </c>
      <c r="G104" s="71" t="s">
        <v>1554</v>
      </c>
      <c r="H104" s="15">
        <v>30000</v>
      </c>
      <c r="I104" s="2">
        <v>30000</v>
      </c>
      <c r="J104" s="2" t="s">
        <v>655</v>
      </c>
      <c r="K104" s="1" t="s">
        <v>1555</v>
      </c>
      <c r="L104" s="11">
        <v>252000</v>
      </c>
      <c r="M104" s="11">
        <v>320000</v>
      </c>
      <c r="N104" s="2" t="s">
        <v>25</v>
      </c>
      <c r="O104" s="15">
        <f>Tabla245[[#This Row],[MONTO DE LA VENTA]]-Tabla245[[#This Row],[MONTO DE COMPRA]]</f>
        <v>68000</v>
      </c>
    </row>
    <row r="105" spans="1:15" ht="18" customHeight="1" x14ac:dyDescent="0.25">
      <c r="A105" s="56">
        <v>44673</v>
      </c>
      <c r="C105" s="4" t="s">
        <v>1527</v>
      </c>
      <c r="D105" s="1" t="s">
        <v>410</v>
      </c>
      <c r="E105" s="4" t="s">
        <v>1528</v>
      </c>
      <c r="F105" s="1" t="s">
        <v>408</v>
      </c>
      <c r="G105" s="71" t="s">
        <v>140</v>
      </c>
      <c r="H105" s="15">
        <v>100000</v>
      </c>
      <c r="I105" s="2">
        <v>100000</v>
      </c>
      <c r="J105" s="2" t="s">
        <v>655</v>
      </c>
      <c r="L105" s="11"/>
      <c r="M105" s="11"/>
      <c r="N105" s="2" t="s">
        <v>25</v>
      </c>
      <c r="O105" s="15">
        <f>Tabla245[[#This Row],[MONTO DE LA VENTA]]-Tabla245[[#This Row],[MONTO DE COMPRA]]</f>
        <v>0</v>
      </c>
    </row>
    <row r="106" spans="1:15" ht="21.75" customHeight="1" x14ac:dyDescent="0.25">
      <c r="A106" s="56">
        <v>44673</v>
      </c>
      <c r="C106" s="4" t="s">
        <v>1527</v>
      </c>
      <c r="D106" s="1" t="s">
        <v>410</v>
      </c>
      <c r="E106" s="4" t="s">
        <v>1528</v>
      </c>
      <c r="F106" s="1" t="s">
        <v>30</v>
      </c>
      <c r="G106" s="71" t="s">
        <v>1562</v>
      </c>
      <c r="H106" s="15">
        <v>420000</v>
      </c>
      <c r="I106" s="2">
        <f>Tabla245[[#This Row],[TOTAL FACTURA]]*0.6</f>
        <v>252000</v>
      </c>
      <c r="J106" s="94">
        <f>Tabla245[[#This Row],[TOTAL FACTURA]]*0.4</f>
        <v>168000</v>
      </c>
      <c r="L106" s="11"/>
      <c r="M106" s="11"/>
      <c r="N106" s="2" t="s">
        <v>25</v>
      </c>
      <c r="O106" s="15">
        <f>Tabla245[[#This Row],[MONTO DE LA VENTA]]-Tabla245[[#This Row],[MONTO DE COMPRA]]</f>
        <v>0</v>
      </c>
    </row>
    <row r="107" spans="1:15" ht="17.25" customHeight="1" x14ac:dyDescent="0.25">
      <c r="A107" s="56">
        <v>44673</v>
      </c>
      <c r="C107" s="4" t="s">
        <v>1527</v>
      </c>
      <c r="D107" s="1" t="s">
        <v>410</v>
      </c>
      <c r="E107" s="4" t="s">
        <v>1528</v>
      </c>
      <c r="F107" s="1" t="s">
        <v>18</v>
      </c>
      <c r="G107" s="71" t="s">
        <v>1563</v>
      </c>
      <c r="H107" s="15">
        <v>30000</v>
      </c>
      <c r="I107" s="2">
        <v>30000</v>
      </c>
      <c r="J107" s="94">
        <f>Tabla245[[#This Row],[TOTAL FACTURA]]*0.4</f>
        <v>12000</v>
      </c>
      <c r="L107" s="11"/>
      <c r="M107" s="11"/>
      <c r="N107" s="2" t="s">
        <v>25</v>
      </c>
      <c r="O107" s="15">
        <f>Tabla245[[#This Row],[MONTO DE LA VENTA]]-Tabla245[[#This Row],[MONTO DE COMPRA]]</f>
        <v>0</v>
      </c>
    </row>
    <row r="108" spans="1:15" x14ac:dyDescent="0.25">
      <c r="A108" s="56">
        <v>44674</v>
      </c>
      <c r="B108" s="4" t="s">
        <v>1564</v>
      </c>
      <c r="C108" s="4" t="s">
        <v>1565</v>
      </c>
      <c r="D108" s="1" t="s">
        <v>240</v>
      </c>
      <c r="E108" s="4" t="s">
        <v>1566</v>
      </c>
      <c r="F108" s="1" t="s">
        <v>34</v>
      </c>
      <c r="G108" s="71" t="s">
        <v>1518</v>
      </c>
      <c r="H108" s="15">
        <v>35000</v>
      </c>
      <c r="I108" s="2">
        <f>Tabla245[[#This Row],[TOTAL FACTURA]]*0.6</f>
        <v>21000</v>
      </c>
      <c r="J108" s="2">
        <f>Tabla245[[#This Row],[TOTAL FACTURA]]*0.4</f>
        <v>14000</v>
      </c>
      <c r="L108" s="11"/>
      <c r="M108" s="11"/>
      <c r="N108" s="2" t="s">
        <v>25</v>
      </c>
      <c r="O108" s="15">
        <f>Tabla245[[#This Row],[MONTO DE LA VENTA]]-Tabla245[[#This Row],[MONTO DE COMPRA]]</f>
        <v>0</v>
      </c>
    </row>
    <row r="109" spans="1:15" ht="18.75" customHeight="1" x14ac:dyDescent="0.25">
      <c r="A109" s="56">
        <v>44674</v>
      </c>
      <c r="C109" s="95"/>
      <c r="D109" s="1" t="s">
        <v>1567</v>
      </c>
      <c r="E109" s="4" t="s">
        <v>413</v>
      </c>
      <c r="F109" s="1" t="s">
        <v>19</v>
      </c>
      <c r="G109" s="71" t="s">
        <v>1568</v>
      </c>
      <c r="H109" s="15">
        <v>20000</v>
      </c>
      <c r="I109" s="2">
        <f>Tabla245[[#This Row],[TOTAL FACTURA]]*0.6</f>
        <v>12000</v>
      </c>
      <c r="J109" s="96">
        <f>Tabla245[[#This Row],[TOTAL FACTURA]]*0.4</f>
        <v>8000</v>
      </c>
      <c r="L109" s="11"/>
      <c r="M109" s="11"/>
      <c r="N109" s="2" t="s">
        <v>25</v>
      </c>
      <c r="O109" s="15">
        <f>Tabla245[[#This Row],[MONTO DE LA VENTA]]-Tabla245[[#This Row],[MONTO DE COMPRA]]</f>
        <v>0</v>
      </c>
    </row>
    <row r="110" spans="1:15" ht="20.25" customHeight="1" x14ac:dyDescent="0.25">
      <c r="A110" s="56">
        <v>44674</v>
      </c>
      <c r="C110" s="95"/>
      <c r="D110" s="1" t="s">
        <v>268</v>
      </c>
      <c r="E110" s="4"/>
      <c r="F110" s="1" t="s">
        <v>19</v>
      </c>
      <c r="G110" s="71" t="s">
        <v>1620</v>
      </c>
      <c r="H110" s="15">
        <v>10000</v>
      </c>
      <c r="I110" s="2">
        <f>Tabla245[[#This Row],[TOTAL FACTURA]]*0.6</f>
        <v>6000</v>
      </c>
      <c r="J110" s="96">
        <f>Tabla245[[#This Row],[TOTAL FACTURA]]*0.4</f>
        <v>4000</v>
      </c>
      <c r="L110" s="11">
        <f>18000+40000+80000+20000+12000</f>
        <v>170000</v>
      </c>
      <c r="M110" s="11"/>
      <c r="N110" s="2" t="s">
        <v>25</v>
      </c>
      <c r="O110" s="15">
        <f>Tabla245[[#This Row],[MONTO DE LA VENTA]]-Tabla245[[#This Row],[MONTO DE COMPRA]]</f>
        <v>-170000</v>
      </c>
    </row>
    <row r="111" spans="1:15" ht="14.25" customHeight="1" x14ac:dyDescent="0.25">
      <c r="A111" s="56">
        <v>44674</v>
      </c>
      <c r="C111" s="4" t="s">
        <v>1442</v>
      </c>
      <c r="D111" s="1" t="s">
        <v>815</v>
      </c>
      <c r="E111" s="4" t="s">
        <v>1569</v>
      </c>
      <c r="F111" s="1" t="s">
        <v>408</v>
      </c>
      <c r="G111" s="71" t="s">
        <v>1570</v>
      </c>
      <c r="H111" s="15">
        <v>50000</v>
      </c>
      <c r="I111" s="2">
        <f>Tabla245[[#This Row],[TOTAL FACTURA]]*0.6</f>
        <v>30000</v>
      </c>
      <c r="J111" s="96">
        <f>Tabla245[[#This Row],[TOTAL FACTURA]]*0.4</f>
        <v>20000</v>
      </c>
      <c r="L111" s="11"/>
      <c r="M111" s="11"/>
      <c r="N111" s="2" t="s">
        <v>25</v>
      </c>
      <c r="O111" s="15">
        <f>Tabla245[[#This Row],[MONTO DE LA VENTA]]-Tabla245[[#This Row],[MONTO DE COMPRA]]</f>
        <v>0</v>
      </c>
    </row>
    <row r="112" spans="1:15" x14ac:dyDescent="0.25">
      <c r="A112" s="56">
        <v>44674</v>
      </c>
      <c r="C112" s="4" t="s">
        <v>1571</v>
      </c>
      <c r="D112" s="1" t="s">
        <v>200</v>
      </c>
      <c r="E112" s="4" t="s">
        <v>1572</v>
      </c>
      <c r="F112" s="1" t="s">
        <v>408</v>
      </c>
      <c r="G112" s="71" t="s">
        <v>1573</v>
      </c>
      <c r="H112" s="15">
        <v>30000</v>
      </c>
      <c r="I112" s="2">
        <f>Tabla245[[#This Row],[TOTAL FACTURA]]*0.6</f>
        <v>18000</v>
      </c>
      <c r="J112" s="96">
        <f>Tabla245[[#This Row],[TOTAL FACTURA]]*0.4</f>
        <v>12000</v>
      </c>
      <c r="K112" s="1" t="s">
        <v>57</v>
      </c>
      <c r="L112" s="11">
        <v>14000</v>
      </c>
      <c r="M112" s="11">
        <v>22000</v>
      </c>
      <c r="N112" s="2" t="s">
        <v>25</v>
      </c>
      <c r="O112" s="15">
        <f>Tabla245[[#This Row],[MONTO DE LA VENTA]]-Tabla245[[#This Row],[MONTO DE COMPRA]]</f>
        <v>8000</v>
      </c>
    </row>
    <row r="113" spans="1:15" x14ac:dyDescent="0.25">
      <c r="A113" s="56">
        <v>44676</v>
      </c>
      <c r="C113" s="4" t="s">
        <v>888</v>
      </c>
      <c r="D113" s="1" t="s">
        <v>1574</v>
      </c>
      <c r="E113" s="4" t="s">
        <v>890</v>
      </c>
      <c r="F113" s="1" t="s">
        <v>408</v>
      </c>
      <c r="G113" s="71" t="s">
        <v>1575</v>
      </c>
      <c r="H113" s="15">
        <v>20000</v>
      </c>
      <c r="I113" s="2">
        <f>Tabla245[[#This Row],[TOTAL FACTURA]]*0.6</f>
        <v>12000</v>
      </c>
      <c r="J113" s="96">
        <f>Tabla245[[#This Row],[TOTAL FACTURA]]*0.4</f>
        <v>8000</v>
      </c>
      <c r="K113" s="1" t="s">
        <v>1577</v>
      </c>
      <c r="L113" s="11">
        <v>15000</v>
      </c>
      <c r="M113" s="11">
        <v>27000</v>
      </c>
      <c r="N113" s="2" t="s">
        <v>25</v>
      </c>
      <c r="O113" s="15">
        <f>Tabla245[[#This Row],[MONTO DE LA VENTA]]-Tabla245[[#This Row],[MONTO DE COMPRA]]</f>
        <v>12000</v>
      </c>
    </row>
    <row r="114" spans="1:15" ht="14.25" customHeight="1" x14ac:dyDescent="0.25">
      <c r="A114" s="56">
        <v>44676</v>
      </c>
      <c r="B114" s="4" t="s">
        <v>1576</v>
      </c>
      <c r="C114" s="4" t="s">
        <v>1578</v>
      </c>
      <c r="D114" s="1" t="s">
        <v>202</v>
      </c>
      <c r="E114" s="4" t="s">
        <v>1579</v>
      </c>
      <c r="F114" s="1" t="s">
        <v>408</v>
      </c>
      <c r="G114" s="71" t="s">
        <v>341</v>
      </c>
      <c r="H114" s="15">
        <v>15000</v>
      </c>
      <c r="I114" s="2">
        <f>Tabla245[[#This Row],[TOTAL FACTURA]]*0.6</f>
        <v>9000</v>
      </c>
      <c r="J114" s="96">
        <f>Tabla245[[#This Row],[TOTAL FACTURA]]*0.4</f>
        <v>6000</v>
      </c>
      <c r="L114" s="11"/>
      <c r="M114" s="11"/>
      <c r="N114" s="2" t="s">
        <v>25</v>
      </c>
      <c r="O114" s="15">
        <f>Tabla245[[#This Row],[MONTO DE LA VENTA]]-Tabla245[[#This Row],[MONTO DE COMPRA]]</f>
        <v>0</v>
      </c>
    </row>
    <row r="115" spans="1:15" x14ac:dyDescent="0.25">
      <c r="A115" s="56">
        <v>44676</v>
      </c>
      <c r="C115" s="4" t="s">
        <v>598</v>
      </c>
      <c r="D115" s="1" t="s">
        <v>161</v>
      </c>
      <c r="E115" s="4" t="s">
        <v>162</v>
      </c>
      <c r="F115" s="1" t="s">
        <v>408</v>
      </c>
      <c r="G115" s="71" t="s">
        <v>1580</v>
      </c>
      <c r="H115" s="15">
        <v>80000</v>
      </c>
      <c r="I115" s="2">
        <f>Tabla245[[#This Row],[TOTAL FACTURA]]*0.6</f>
        <v>48000</v>
      </c>
      <c r="J115" s="96">
        <f>Tabla245[[#This Row],[TOTAL FACTURA]]*0.4</f>
        <v>32000</v>
      </c>
      <c r="K115" s="1" t="s">
        <v>1581</v>
      </c>
      <c r="L115" s="11">
        <v>23000</v>
      </c>
      <c r="M115" s="11"/>
      <c r="N115" s="2" t="s">
        <v>25</v>
      </c>
      <c r="O115" s="15">
        <f>Tabla245[[#This Row],[MONTO DE LA VENTA]]-Tabla245[[#This Row],[MONTO DE COMPRA]]</f>
        <v>-23000</v>
      </c>
    </row>
    <row r="116" spans="1:15" x14ac:dyDescent="0.25">
      <c r="A116" s="56">
        <v>44676</v>
      </c>
      <c r="C116" s="95" t="s">
        <v>598</v>
      </c>
      <c r="D116" s="1" t="s">
        <v>161</v>
      </c>
      <c r="E116" s="4" t="s">
        <v>162</v>
      </c>
      <c r="F116" s="1" t="s">
        <v>19</v>
      </c>
      <c r="G116" s="71" t="s">
        <v>341</v>
      </c>
      <c r="H116" s="15">
        <v>15000</v>
      </c>
      <c r="I116" s="2">
        <f>Tabla245[[#This Row],[TOTAL FACTURA]]*0.6</f>
        <v>9000</v>
      </c>
      <c r="J116" s="96">
        <f>Tabla245[[#This Row],[TOTAL FACTURA]]*0.4</f>
        <v>6000</v>
      </c>
      <c r="L116" s="11"/>
      <c r="M116" s="11"/>
      <c r="N116" s="2" t="s">
        <v>25</v>
      </c>
      <c r="O116" s="15">
        <f>Tabla245[[#This Row],[MONTO DE LA VENTA]]-Tabla245[[#This Row],[MONTO DE COMPRA]]</f>
        <v>0</v>
      </c>
    </row>
    <row r="117" spans="1:15" ht="20.25" customHeight="1" x14ac:dyDescent="0.25">
      <c r="A117" s="56">
        <v>44676</v>
      </c>
      <c r="C117" s="95"/>
      <c r="D117" s="1" t="s">
        <v>1618</v>
      </c>
      <c r="E117" s="4"/>
      <c r="F117" s="1" t="s">
        <v>19</v>
      </c>
      <c r="G117" s="71" t="s">
        <v>1619</v>
      </c>
      <c r="H117" s="15">
        <v>20000</v>
      </c>
      <c r="I117" s="2">
        <f>Tabla245[[#This Row],[TOTAL FACTURA]]*0.6</f>
        <v>12000</v>
      </c>
      <c r="J117" s="96">
        <f>Tabla245[[#This Row],[TOTAL FACTURA]]*0.4</f>
        <v>8000</v>
      </c>
      <c r="L117" s="11">
        <f>18000+40000+80000+20000+12000</f>
        <v>170000</v>
      </c>
      <c r="M117" s="11"/>
      <c r="N117" s="2" t="s">
        <v>25</v>
      </c>
      <c r="O117" s="15">
        <f>Tabla245[[#This Row],[MONTO DE LA VENTA]]-Tabla245[[#This Row],[MONTO DE COMPRA]]</f>
        <v>-170000</v>
      </c>
    </row>
    <row r="118" spans="1:15" x14ac:dyDescent="0.25">
      <c r="A118" s="56">
        <v>44677</v>
      </c>
      <c r="B118" s="4" t="s">
        <v>1582</v>
      </c>
      <c r="C118" s="4" t="s">
        <v>1583</v>
      </c>
      <c r="D118" s="1" t="s">
        <v>122</v>
      </c>
      <c r="E118" s="4" t="s">
        <v>1584</v>
      </c>
      <c r="F118" s="1" t="s">
        <v>19</v>
      </c>
      <c r="G118" s="71" t="s">
        <v>140</v>
      </c>
      <c r="H118" s="15">
        <v>90000</v>
      </c>
      <c r="I118" s="2">
        <f>Tabla245[[#This Row],[TOTAL FACTURA]]*0.6</f>
        <v>54000</v>
      </c>
      <c r="J118" s="96">
        <f>Tabla245[[#This Row],[TOTAL FACTURA]]*0.4</f>
        <v>36000</v>
      </c>
      <c r="K118" s="1" t="s">
        <v>1585</v>
      </c>
      <c r="L118" s="11">
        <v>149000</v>
      </c>
      <c r="M118" s="11">
        <v>210000</v>
      </c>
      <c r="N118" s="2" t="s">
        <v>25</v>
      </c>
      <c r="O118" s="15">
        <f>Tabla245[[#This Row],[MONTO DE LA VENTA]]-Tabla245[[#This Row],[MONTO DE COMPRA]]</f>
        <v>61000</v>
      </c>
    </row>
    <row r="119" spans="1:15" x14ac:dyDescent="0.25">
      <c r="A119" s="56">
        <v>44677</v>
      </c>
      <c r="C119" s="4" t="s">
        <v>1586</v>
      </c>
      <c r="D119" s="1" t="s">
        <v>48</v>
      </c>
      <c r="E119" s="4" t="s">
        <v>263</v>
      </c>
      <c r="F119" s="1" t="s">
        <v>19</v>
      </c>
      <c r="G119" s="71" t="s">
        <v>21</v>
      </c>
      <c r="H119" s="15">
        <v>10000</v>
      </c>
      <c r="I119" s="2">
        <f>Tabla245[[#This Row],[TOTAL FACTURA]]*0.6</f>
        <v>6000</v>
      </c>
      <c r="J119" s="96">
        <f>Tabla245[[#This Row],[TOTAL FACTURA]]*0.4</f>
        <v>4000</v>
      </c>
      <c r="L119" s="11"/>
      <c r="M119" s="11"/>
      <c r="N119" s="2" t="s">
        <v>25</v>
      </c>
      <c r="O119" s="15">
        <f>Tabla245[[#This Row],[MONTO DE LA VENTA]]-Tabla245[[#This Row],[MONTO DE COMPRA]]</f>
        <v>0</v>
      </c>
    </row>
    <row r="120" spans="1:15" x14ac:dyDescent="0.25">
      <c r="A120" s="56">
        <v>44677</v>
      </c>
      <c r="B120" s="4" t="s">
        <v>1587</v>
      </c>
      <c r="C120" s="4" t="s">
        <v>1588</v>
      </c>
      <c r="D120" s="1" t="s">
        <v>566</v>
      </c>
      <c r="E120" s="4" t="s">
        <v>1589</v>
      </c>
      <c r="F120" s="1" t="s">
        <v>1590</v>
      </c>
      <c r="G120" s="71" t="s">
        <v>1591</v>
      </c>
      <c r="H120" s="15">
        <v>80000</v>
      </c>
      <c r="I120" s="2">
        <f>Tabla245[[#This Row],[TOTAL FACTURA]]*0.6</f>
        <v>48000</v>
      </c>
      <c r="J120" s="96">
        <f>Tabla245[[#This Row],[TOTAL FACTURA]]*0.4</f>
        <v>32000</v>
      </c>
      <c r="L120" s="11"/>
      <c r="M120" s="11"/>
      <c r="N120" s="2" t="s">
        <v>25</v>
      </c>
      <c r="O120" s="15">
        <f>Tabla245[[#This Row],[MONTO DE LA VENTA]]-Tabla245[[#This Row],[MONTO DE COMPRA]]</f>
        <v>0</v>
      </c>
    </row>
    <row r="121" spans="1:15" x14ac:dyDescent="0.25">
      <c r="A121" s="56">
        <v>44677</v>
      </c>
      <c r="B121" s="4" t="s">
        <v>1592</v>
      </c>
      <c r="C121" s="4" t="s">
        <v>734</v>
      </c>
      <c r="D121" s="1" t="s">
        <v>1593</v>
      </c>
      <c r="E121" s="4" t="s">
        <v>735</v>
      </c>
      <c r="F121" s="1" t="s">
        <v>19</v>
      </c>
      <c r="G121" s="71" t="s">
        <v>1594</v>
      </c>
      <c r="H121" s="15">
        <v>80000</v>
      </c>
      <c r="I121" s="2">
        <f>Tabla245[[#This Row],[TOTAL FACTURA]]*0.6</f>
        <v>48000</v>
      </c>
      <c r="J121" s="96">
        <f>Tabla245[[#This Row],[TOTAL FACTURA]]*0.4</f>
        <v>32000</v>
      </c>
      <c r="K121" s="1" t="s">
        <v>1595</v>
      </c>
      <c r="L121" s="11">
        <v>170000</v>
      </c>
      <c r="M121" s="11">
        <v>400000</v>
      </c>
      <c r="N121" s="2" t="s">
        <v>25</v>
      </c>
      <c r="O121" s="15">
        <f>Tabla245[[#This Row],[MONTO DE LA VENTA]]-Tabla245[[#This Row],[MONTO DE COMPRA]]</f>
        <v>230000</v>
      </c>
    </row>
    <row r="122" spans="1:15" x14ac:dyDescent="0.25">
      <c r="A122" s="56">
        <v>44678</v>
      </c>
      <c r="C122" s="95"/>
      <c r="E122" s="4" t="s">
        <v>1596</v>
      </c>
      <c r="F122" s="1" t="s">
        <v>34</v>
      </c>
      <c r="G122" s="71" t="s">
        <v>21</v>
      </c>
      <c r="H122" s="15">
        <v>10000</v>
      </c>
      <c r="I122" s="2">
        <f>Tabla245[[#This Row],[TOTAL FACTURA]]*0.6</f>
        <v>6000</v>
      </c>
      <c r="J122" s="96">
        <f>Tabla245[[#This Row],[TOTAL FACTURA]]*0.4</f>
        <v>4000</v>
      </c>
      <c r="L122" s="11"/>
      <c r="M122" s="11"/>
      <c r="N122" s="2" t="s">
        <v>25</v>
      </c>
      <c r="O122" s="15">
        <f>Tabla245[[#This Row],[MONTO DE LA VENTA]]-Tabla245[[#This Row],[MONTO DE COMPRA]]</f>
        <v>0</v>
      </c>
    </row>
    <row r="123" spans="1:15" x14ac:dyDescent="0.25">
      <c r="A123" s="56">
        <v>44678</v>
      </c>
      <c r="B123" s="4" t="s">
        <v>1597</v>
      </c>
      <c r="C123" s="4" t="s">
        <v>1598</v>
      </c>
      <c r="E123" s="4" t="s">
        <v>1599</v>
      </c>
      <c r="F123" s="1" t="s">
        <v>10</v>
      </c>
      <c r="G123" s="71" t="s">
        <v>1600</v>
      </c>
      <c r="H123" s="15">
        <v>20000</v>
      </c>
      <c r="I123" s="2">
        <f>Tabla245[[#This Row],[TOTAL FACTURA]]*0.6</f>
        <v>12000</v>
      </c>
      <c r="J123" s="96">
        <f>Tabla245[[#This Row],[TOTAL FACTURA]]*0.4</f>
        <v>8000</v>
      </c>
      <c r="L123" s="11"/>
      <c r="M123" s="11"/>
      <c r="N123" s="2" t="s">
        <v>25</v>
      </c>
      <c r="O123" s="15">
        <f>Tabla245[[#This Row],[MONTO DE LA VENTA]]-Tabla245[[#This Row],[MONTO DE COMPRA]]</f>
        <v>0</v>
      </c>
    </row>
    <row r="124" spans="1:15" x14ac:dyDescent="0.25">
      <c r="A124" s="56">
        <v>44679</v>
      </c>
      <c r="B124" s="4" t="s">
        <v>1601</v>
      </c>
      <c r="C124" s="4" t="s">
        <v>1602</v>
      </c>
      <c r="D124" s="1" t="s">
        <v>122</v>
      </c>
      <c r="E124" s="4" t="s">
        <v>1603</v>
      </c>
      <c r="F124" s="1" t="s">
        <v>408</v>
      </c>
      <c r="G124" s="71" t="s">
        <v>1604</v>
      </c>
      <c r="H124" s="15">
        <v>50000</v>
      </c>
      <c r="I124" s="2">
        <f>Tabla245[[#This Row],[TOTAL FACTURA]]*0.6</f>
        <v>30000</v>
      </c>
      <c r="J124" s="96">
        <f>Tabla245[[#This Row],[TOTAL FACTURA]]*0.4</f>
        <v>20000</v>
      </c>
      <c r="K124" s="1" t="s">
        <v>1605</v>
      </c>
      <c r="L124" s="11"/>
      <c r="M124" s="11"/>
      <c r="N124" s="2" t="s">
        <v>25</v>
      </c>
      <c r="O124" s="15">
        <f>Tabla245[[#This Row],[MONTO DE LA VENTA]]-Tabla245[[#This Row],[MONTO DE COMPRA]]</f>
        <v>0</v>
      </c>
    </row>
    <row r="125" spans="1:15" x14ac:dyDescent="0.25">
      <c r="A125" s="56">
        <v>44680</v>
      </c>
      <c r="B125" s="4" t="s">
        <v>1606</v>
      </c>
      <c r="C125" s="95" t="s">
        <v>1442</v>
      </c>
      <c r="D125" s="1" t="s">
        <v>59</v>
      </c>
      <c r="E125" s="4" t="s">
        <v>1607</v>
      </c>
      <c r="F125" s="1" t="s">
        <v>408</v>
      </c>
      <c r="G125" s="71" t="s">
        <v>1614</v>
      </c>
      <c r="H125" s="15">
        <v>400000</v>
      </c>
      <c r="I125" s="2">
        <f>Tabla245[[#This Row],[TOTAL FACTURA]]*0.6</f>
        <v>240000</v>
      </c>
      <c r="J125" s="96">
        <f>Tabla245[[#This Row],[TOTAL FACTURA]]*0.4</f>
        <v>160000</v>
      </c>
      <c r="L125" s="11"/>
      <c r="M125" s="11"/>
      <c r="N125" s="2" t="s">
        <v>25</v>
      </c>
      <c r="O125" s="15">
        <f>Tabla245[[#This Row],[MONTO DE LA VENTA]]-Tabla245[[#This Row],[MONTO DE COMPRA]]</f>
        <v>0</v>
      </c>
    </row>
    <row r="126" spans="1:15" x14ac:dyDescent="0.25">
      <c r="A126" s="56">
        <v>44680</v>
      </c>
      <c r="C126" s="95"/>
      <c r="E126" s="4"/>
      <c r="F126" s="1" t="s">
        <v>19</v>
      </c>
      <c r="G126" s="71" t="s">
        <v>434</v>
      </c>
      <c r="H126" s="15">
        <v>50000</v>
      </c>
      <c r="I126" s="2">
        <f>Tabla245[[#This Row],[TOTAL FACTURA]]*0.6</f>
        <v>30000</v>
      </c>
      <c r="J126" s="96">
        <f>Tabla245[[#This Row],[TOTAL FACTURA]]*0.4</f>
        <v>20000</v>
      </c>
      <c r="L126" s="11"/>
      <c r="M126" s="11"/>
      <c r="N126" s="2" t="s">
        <v>25</v>
      </c>
      <c r="O126" s="15">
        <f>Tabla245[[#This Row],[MONTO DE LA VENTA]]-Tabla245[[#This Row],[MONTO DE COMPRA]]</f>
        <v>0</v>
      </c>
    </row>
    <row r="127" spans="1:15" x14ac:dyDescent="0.25">
      <c r="A127" s="56">
        <v>44680</v>
      </c>
      <c r="B127" s="4" t="s">
        <v>1609</v>
      </c>
      <c r="C127" s="4" t="s">
        <v>129</v>
      </c>
      <c r="D127" s="1" t="s">
        <v>202</v>
      </c>
      <c r="E127" s="4" t="s">
        <v>125</v>
      </c>
      <c r="F127" s="1" t="s">
        <v>10</v>
      </c>
      <c r="G127" s="71" t="s">
        <v>1151</v>
      </c>
      <c r="H127" s="15">
        <v>2400000</v>
      </c>
      <c r="I127" s="2">
        <v>720000</v>
      </c>
      <c r="J127" s="96">
        <f>Tabla245[[#This Row],[TOTAL FACTURA]]*0.4</f>
        <v>960000</v>
      </c>
      <c r="L127" s="11"/>
      <c r="M127" s="11"/>
      <c r="N127" s="2" t="s">
        <v>25</v>
      </c>
      <c r="O127" s="15">
        <f>Tabla245[[#This Row],[MONTO DE LA VENTA]]-Tabla245[[#This Row],[MONTO DE COMPRA]]</f>
        <v>0</v>
      </c>
    </row>
    <row r="128" spans="1:15" x14ac:dyDescent="0.25">
      <c r="A128" s="56">
        <v>44680</v>
      </c>
      <c r="B128" s="4" t="s">
        <v>1609</v>
      </c>
      <c r="C128" s="4" t="s">
        <v>129</v>
      </c>
      <c r="D128" s="1" t="s">
        <v>202</v>
      </c>
      <c r="E128" s="4" t="s">
        <v>125</v>
      </c>
      <c r="F128" s="1" t="s">
        <v>30</v>
      </c>
      <c r="G128" s="71" t="s">
        <v>1151</v>
      </c>
      <c r="H128" s="15">
        <v>2400000</v>
      </c>
      <c r="I128" s="2">
        <v>720000</v>
      </c>
      <c r="J128" s="2" t="s">
        <v>655</v>
      </c>
      <c r="L128" s="11"/>
      <c r="M128" s="11"/>
      <c r="N128" s="2" t="s">
        <v>25</v>
      </c>
      <c r="O128" s="15">
        <f>Tabla245[[#This Row],[MONTO DE LA VENTA]]-Tabla245[[#This Row],[MONTO DE COMPRA]]</f>
        <v>0</v>
      </c>
    </row>
    <row r="129" spans="1:15" x14ac:dyDescent="0.25">
      <c r="A129" s="56">
        <v>44680</v>
      </c>
      <c r="C129" s="95"/>
      <c r="D129" s="1" t="s">
        <v>59</v>
      </c>
      <c r="E129" s="4" t="s">
        <v>273</v>
      </c>
      <c r="F129" s="1" t="s">
        <v>19</v>
      </c>
      <c r="G129" s="71" t="s">
        <v>21</v>
      </c>
      <c r="H129" s="15">
        <v>10000</v>
      </c>
      <c r="I129" s="2">
        <f>Tabla245[[#This Row],[TOTAL FACTURA]]*0.6</f>
        <v>6000</v>
      </c>
      <c r="J129" s="96">
        <f>Tabla245[[#This Row],[TOTAL FACTURA]]*0.4</f>
        <v>4000</v>
      </c>
      <c r="L129" s="11"/>
      <c r="M129" s="11"/>
      <c r="N129" s="2" t="s">
        <v>25</v>
      </c>
      <c r="O129" s="15">
        <f>Tabla245[[#This Row],[MONTO DE LA VENTA]]-Tabla245[[#This Row],[MONTO DE COMPRA]]</f>
        <v>0</v>
      </c>
    </row>
    <row r="130" spans="1:15" x14ac:dyDescent="0.25">
      <c r="A130" s="56">
        <v>44680</v>
      </c>
      <c r="B130" s="4" t="s">
        <v>1612</v>
      </c>
      <c r="C130" s="4" t="s">
        <v>1613</v>
      </c>
      <c r="D130" s="1" t="s">
        <v>54</v>
      </c>
      <c r="E130" s="4" t="s">
        <v>1610</v>
      </c>
      <c r="F130" s="1" t="s">
        <v>10</v>
      </c>
      <c r="G130" s="71" t="s">
        <v>1611</v>
      </c>
      <c r="H130" s="15">
        <v>150000</v>
      </c>
      <c r="I130" s="2">
        <f>Tabla245[[#This Row],[TOTAL FACTURA]]*0.6</f>
        <v>90000</v>
      </c>
      <c r="J130" s="96">
        <f>Tabla245[[#This Row],[TOTAL FACTURA]]*0.4</f>
        <v>60000</v>
      </c>
      <c r="L130" s="11"/>
      <c r="M130" s="11"/>
      <c r="N130" s="2" t="s">
        <v>25</v>
      </c>
      <c r="O130" s="15">
        <f>Tabla245[[#This Row],[MONTO DE LA VENTA]]-Tabla245[[#This Row],[MONTO DE COMPRA]]</f>
        <v>0</v>
      </c>
    </row>
    <row r="131" spans="1:15" x14ac:dyDescent="0.25">
      <c r="A131" s="56">
        <v>44680</v>
      </c>
      <c r="C131" s="95"/>
      <c r="E131" s="4"/>
      <c r="G131" s="71"/>
      <c r="I131" s="2">
        <f>Tabla245[[#This Row],[TOTAL FACTURA]]*0.6</f>
        <v>0</v>
      </c>
      <c r="J131" s="96">
        <f>Tabla245[[#This Row],[TOTAL FACTURA]]*0.4</f>
        <v>0</v>
      </c>
      <c r="L131" s="11"/>
      <c r="M131" s="11"/>
      <c r="N131" s="2" t="s">
        <v>25</v>
      </c>
      <c r="O131" s="15">
        <f>Tabla245[[#This Row],[MONTO DE LA VENTA]]-Tabla245[[#This Row],[MONTO DE COMPRA]]</f>
        <v>0</v>
      </c>
    </row>
  </sheetData>
  <phoneticPr fontId="2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77C7E2-0CEB-4E15-8670-1B20A7836499}">
          <x14:formula1>
            <xm:f>DETALLES!$A$1:$A$2</xm:f>
          </x14:formula1>
          <xm:sqref>N1:N2</xm:sqref>
        </x14:dataValidation>
        <x14:dataValidation type="list" allowBlank="1" showInputMessage="1" showErrorMessage="1" xr:uid="{92F126E6-AA1B-445F-B0BF-5044ABAABCFD}">
          <x14:formula1>
            <xm:f>AREA!$A$2:$A$12</xm:f>
          </x14:formula1>
          <xm:sqref>F6:F34 F38:F48 E322:E1048576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3D6C-5252-4EE8-9B1A-4A2A395951CD}">
  <sheetPr>
    <tabColor rgb="FFFF0000"/>
  </sheetPr>
  <dimension ref="A1:O301"/>
  <sheetViews>
    <sheetView topLeftCell="A284" zoomScale="93" zoomScaleNormal="93" workbookViewId="0">
      <selection activeCell="A2" sqref="A2:XFD301"/>
    </sheetView>
  </sheetViews>
  <sheetFormatPr baseColWidth="10" defaultRowHeight="15" x14ac:dyDescent="0.25"/>
  <cols>
    <col min="1" max="1" width="15.5703125" style="9" customWidth="1"/>
    <col min="2" max="2" width="22.5703125" style="4" customWidth="1"/>
    <col min="3" max="3" width="33.5703125" style="1" customWidth="1"/>
    <col min="4" max="4" width="27.5703125" style="1" customWidth="1"/>
    <col min="5" max="5" width="24" style="1" customWidth="1"/>
    <col min="6" max="6" width="24.28515625" style="1" customWidth="1"/>
    <col min="7" max="7" width="95.42578125" style="2" customWidth="1"/>
    <col min="8" max="8" width="25.85546875" style="15" customWidth="1"/>
    <col min="9" max="9" width="25.85546875" style="2" customWidth="1"/>
    <col min="10" max="10" width="23.5703125" style="1" customWidth="1"/>
    <col min="11" max="11" width="58.85546875" style="1" customWidth="1"/>
    <col min="12" max="12" width="23.7109375" style="1" customWidth="1"/>
    <col min="13" max="13" width="22.5703125" style="1" customWidth="1"/>
    <col min="14" max="14" width="25.140625" style="2" customWidth="1"/>
    <col min="15" max="15" width="31.28515625" style="1" customWidth="1"/>
    <col min="16" max="16384" width="11.42578125" style="1"/>
  </cols>
  <sheetData>
    <row r="1" spans="1:15" x14ac:dyDescent="0.25">
      <c r="A1" s="9" t="s">
        <v>0</v>
      </c>
      <c r="B1" s="4" t="s">
        <v>1</v>
      </c>
      <c r="C1" s="4" t="s">
        <v>597</v>
      </c>
      <c r="D1" s="1" t="s">
        <v>2</v>
      </c>
      <c r="E1" s="1" t="s">
        <v>3</v>
      </c>
      <c r="F1" s="1" t="s">
        <v>15</v>
      </c>
      <c r="G1" s="1" t="s">
        <v>4</v>
      </c>
      <c r="H1" s="15" t="s">
        <v>5</v>
      </c>
      <c r="I1" s="2" t="s">
        <v>6</v>
      </c>
      <c r="J1" s="2" t="s">
        <v>130</v>
      </c>
      <c r="K1" s="1" t="s">
        <v>7</v>
      </c>
      <c r="L1" s="1" t="s">
        <v>8</v>
      </c>
      <c r="M1" s="1" t="s">
        <v>2065</v>
      </c>
      <c r="N1" s="1" t="s">
        <v>24</v>
      </c>
      <c r="O1" s="2" t="s">
        <v>131</v>
      </c>
    </row>
    <row r="2" spans="1:15" x14ac:dyDescent="0.25">
      <c r="A2" s="56">
        <v>44681</v>
      </c>
      <c r="C2" s="4"/>
      <c r="D2" s="1" t="s">
        <v>540</v>
      </c>
      <c r="E2" s="4" t="s">
        <v>1624</v>
      </c>
      <c r="F2" s="1" t="s">
        <v>10</v>
      </c>
      <c r="G2" s="71" t="s">
        <v>1538</v>
      </c>
      <c r="H2" s="15">
        <v>20000</v>
      </c>
      <c r="I2" s="2">
        <f>Tabla2456[[#This Row],[TOTAL FACTURA]]*0.6</f>
        <v>12000</v>
      </c>
      <c r="J2" s="85">
        <f>Tabla2456[[#This Row],[TOTAL FACTURA]]*0.4</f>
        <v>8000</v>
      </c>
      <c r="L2" s="2"/>
      <c r="M2" s="2"/>
      <c r="N2" s="2" t="s">
        <v>25</v>
      </c>
      <c r="O2" s="15">
        <f>Tabla2456[[#This Row],[Columna1]]-Tabla2456[[#This Row],[MONTO DE COMPRA]]</f>
        <v>0</v>
      </c>
    </row>
    <row r="3" spans="1:15" x14ac:dyDescent="0.25">
      <c r="A3" s="56">
        <v>44681</v>
      </c>
      <c r="C3" s="4"/>
      <c r="E3" s="4" t="s">
        <v>1625</v>
      </c>
      <c r="F3" s="1" t="s">
        <v>19</v>
      </c>
      <c r="G3" s="71" t="s">
        <v>1626</v>
      </c>
      <c r="H3" s="15">
        <v>10000</v>
      </c>
      <c r="I3" s="2">
        <f>Tabla2456[[#This Row],[TOTAL FACTURA]]*0.6</f>
        <v>6000</v>
      </c>
      <c r="J3" s="85">
        <f>Tabla2456[[#This Row],[TOTAL FACTURA]]*0.4</f>
        <v>4000</v>
      </c>
      <c r="L3" s="2"/>
      <c r="M3" s="2"/>
      <c r="N3" s="2" t="s">
        <v>25</v>
      </c>
      <c r="O3" s="15">
        <f>Tabla2456[[#This Row],[Columna1]]-Tabla2456[[#This Row],[MONTO DE COMPRA]]</f>
        <v>0</v>
      </c>
    </row>
    <row r="4" spans="1:15" ht="14.25" customHeight="1" x14ac:dyDescent="0.25">
      <c r="A4" s="56">
        <v>44681</v>
      </c>
      <c r="C4" s="4" t="s">
        <v>1627</v>
      </c>
      <c r="E4" s="4" t="s">
        <v>1628</v>
      </c>
      <c r="F4" s="1" t="s">
        <v>1039</v>
      </c>
      <c r="G4" s="71" t="s">
        <v>206</v>
      </c>
      <c r="H4" s="15">
        <v>100000</v>
      </c>
      <c r="I4" s="2">
        <f>Tabla2456[[#This Row],[TOTAL FACTURA]]*0.6</f>
        <v>60000</v>
      </c>
      <c r="J4" s="85">
        <f>Tabla2456[[#This Row],[TOTAL FACTURA]]*0.4</f>
        <v>40000</v>
      </c>
      <c r="L4" s="2"/>
      <c r="M4" s="2"/>
      <c r="N4" s="2" t="s">
        <v>25</v>
      </c>
      <c r="O4" s="15">
        <f>Tabla2456[[#This Row],[Columna1]]-Tabla2456[[#This Row],[MONTO DE COMPRA]]</f>
        <v>0</v>
      </c>
    </row>
    <row r="5" spans="1:15" x14ac:dyDescent="0.25">
      <c r="A5" s="56">
        <v>44681</v>
      </c>
      <c r="C5" s="4" t="s">
        <v>609</v>
      </c>
      <c r="D5" s="1" t="s">
        <v>54</v>
      </c>
      <c r="E5" s="4" t="s">
        <v>1629</v>
      </c>
      <c r="F5" s="1" t="s">
        <v>408</v>
      </c>
      <c r="G5" s="71" t="s">
        <v>1630</v>
      </c>
      <c r="H5" s="15">
        <v>60000</v>
      </c>
      <c r="I5" s="2">
        <f>Tabla2456[[#This Row],[TOTAL FACTURA]]*0.6</f>
        <v>36000</v>
      </c>
      <c r="J5" s="85">
        <f>Tabla2456[[#This Row],[TOTAL FACTURA]]*0.4</f>
        <v>24000</v>
      </c>
      <c r="L5" s="2"/>
      <c r="M5" s="2"/>
      <c r="N5" s="2" t="s">
        <v>25</v>
      </c>
      <c r="O5" s="15">
        <f>Tabla2456[[#This Row],[Columna1]]-Tabla2456[[#This Row],[MONTO DE COMPRA]]</f>
        <v>0</v>
      </c>
    </row>
    <row r="6" spans="1:15" x14ac:dyDescent="0.25">
      <c r="A6" s="9">
        <v>44681</v>
      </c>
      <c r="C6" s="4"/>
      <c r="D6" s="1" t="s">
        <v>84</v>
      </c>
      <c r="E6" s="4" t="s">
        <v>470</v>
      </c>
      <c r="F6" s="1" t="s">
        <v>19</v>
      </c>
      <c r="G6" s="1" t="s">
        <v>1631</v>
      </c>
      <c r="H6" s="15">
        <v>40000</v>
      </c>
      <c r="I6" s="2">
        <f>Tabla2456[[#This Row],[TOTAL FACTURA]]*0.6</f>
        <v>24000</v>
      </c>
      <c r="J6" s="85">
        <f>Tabla2456[[#This Row],[TOTAL FACTURA]]*0.4</f>
        <v>16000</v>
      </c>
      <c r="L6" s="2"/>
      <c r="M6" s="2"/>
      <c r="N6" s="2" t="s">
        <v>25</v>
      </c>
      <c r="O6" s="15">
        <f>Tabla2456[[#This Row],[Columna1]]-Tabla2456[[#This Row],[MONTO DE COMPRA]]</f>
        <v>0</v>
      </c>
    </row>
    <row r="7" spans="1:15" x14ac:dyDescent="0.25">
      <c r="A7" s="9">
        <v>44681</v>
      </c>
      <c r="C7" s="4" t="s">
        <v>1278</v>
      </c>
      <c r="E7" s="4" t="s">
        <v>380</v>
      </c>
      <c r="F7" s="1" t="s">
        <v>30</v>
      </c>
      <c r="G7" s="1" t="s">
        <v>1632</v>
      </c>
      <c r="H7" s="15">
        <v>30000</v>
      </c>
      <c r="I7" s="2">
        <v>30000</v>
      </c>
      <c r="J7" s="2" t="s">
        <v>655</v>
      </c>
      <c r="L7" s="2"/>
      <c r="M7" s="2"/>
      <c r="N7" s="2" t="s">
        <v>25</v>
      </c>
      <c r="O7" s="15">
        <f>Tabla2456[[#This Row],[Columna1]]-Tabla2456[[#This Row],[MONTO DE COMPRA]]</f>
        <v>0</v>
      </c>
    </row>
    <row r="8" spans="1:15" x14ac:dyDescent="0.25">
      <c r="A8" s="9">
        <v>44681</v>
      </c>
      <c r="C8" s="4" t="s">
        <v>1278</v>
      </c>
      <c r="E8" s="4" t="s">
        <v>380</v>
      </c>
      <c r="F8" s="1" t="s">
        <v>1039</v>
      </c>
      <c r="G8" s="1" t="s">
        <v>1633</v>
      </c>
      <c r="H8" s="15">
        <v>30000</v>
      </c>
      <c r="I8" s="2">
        <f>Tabla2456[[#This Row],[TOTAL FACTURA]]*0.6</f>
        <v>18000</v>
      </c>
      <c r="J8" s="85">
        <f>Tabla2456[[#This Row],[TOTAL FACTURA]]*0.4</f>
        <v>12000</v>
      </c>
      <c r="K8" s="1" t="s">
        <v>1634</v>
      </c>
      <c r="L8" s="2">
        <v>25000</v>
      </c>
      <c r="M8" s="2">
        <v>40000</v>
      </c>
      <c r="N8" s="2" t="s">
        <v>25</v>
      </c>
      <c r="O8" s="15">
        <f>Tabla2456[[#This Row],[Columna1]]-Tabla2456[[#This Row],[MONTO DE COMPRA]]</f>
        <v>15000</v>
      </c>
    </row>
    <row r="9" spans="1:15" x14ac:dyDescent="0.25">
      <c r="A9" s="9">
        <v>44683</v>
      </c>
      <c r="C9" s="100"/>
      <c r="D9" s="1" t="s">
        <v>200</v>
      </c>
      <c r="E9" s="4"/>
      <c r="F9" s="1" t="s">
        <v>19</v>
      </c>
      <c r="G9" s="1" t="s">
        <v>212</v>
      </c>
      <c r="H9" s="15">
        <v>50000</v>
      </c>
      <c r="I9" s="2">
        <f>Tabla2456[[#This Row],[TOTAL FACTURA]]*0.6</f>
        <v>30000</v>
      </c>
      <c r="J9" s="85">
        <f>Tabla2456[[#This Row],[TOTAL FACTURA]]*0.4</f>
        <v>20000</v>
      </c>
      <c r="L9" s="2"/>
      <c r="M9" s="2"/>
      <c r="N9" s="2" t="s">
        <v>25</v>
      </c>
      <c r="O9" s="15"/>
    </row>
    <row r="10" spans="1:15" x14ac:dyDescent="0.25">
      <c r="A10" s="9">
        <v>44683</v>
      </c>
      <c r="C10" s="4" t="s">
        <v>1635</v>
      </c>
      <c r="D10" s="1" t="s">
        <v>1044</v>
      </c>
      <c r="E10" s="4" t="s">
        <v>1636</v>
      </c>
      <c r="F10" s="1" t="s">
        <v>19</v>
      </c>
      <c r="G10" s="1" t="s">
        <v>1637</v>
      </c>
      <c r="H10" s="15">
        <v>80000</v>
      </c>
      <c r="I10" s="2">
        <v>80000</v>
      </c>
      <c r="J10" s="2" t="s">
        <v>655</v>
      </c>
      <c r="K10" s="1" t="s">
        <v>1638</v>
      </c>
      <c r="L10" s="2">
        <v>425000</v>
      </c>
      <c r="M10" s="2">
        <v>490000</v>
      </c>
      <c r="N10" s="2" t="s">
        <v>25</v>
      </c>
      <c r="O10" s="15">
        <f>Tabla2456[[#This Row],[Columna1]]-Tabla2456[[#This Row],[MONTO DE COMPRA]]</f>
        <v>65000</v>
      </c>
    </row>
    <row r="11" spans="1:15" x14ac:dyDescent="0.25">
      <c r="A11" s="9">
        <v>44683</v>
      </c>
      <c r="B11" s="4" t="s">
        <v>1639</v>
      </c>
      <c r="C11" s="4" t="s">
        <v>642</v>
      </c>
      <c r="D11" s="1" t="s">
        <v>815</v>
      </c>
      <c r="E11" s="4" t="s">
        <v>1224</v>
      </c>
      <c r="F11" s="1" t="s">
        <v>10</v>
      </c>
      <c r="G11" s="1" t="s">
        <v>1640</v>
      </c>
      <c r="H11" s="15">
        <v>180000</v>
      </c>
      <c r="I11" s="2">
        <f>Tabla2456[[#This Row],[TOTAL FACTURA]]*0.6</f>
        <v>108000</v>
      </c>
      <c r="J11" s="85">
        <f>Tabla2456[[#This Row],[TOTAL FACTURA]]*0.4</f>
        <v>72000</v>
      </c>
      <c r="K11" s="1" t="s">
        <v>57</v>
      </c>
      <c r="L11" s="2">
        <v>5000</v>
      </c>
      <c r="M11" s="2">
        <v>12000</v>
      </c>
      <c r="N11" s="2" t="s">
        <v>25</v>
      </c>
      <c r="O11" s="15">
        <f>Tabla2456[[#This Row],[Columna1]]-Tabla2456[[#This Row],[MONTO DE COMPRA]]</f>
        <v>7000</v>
      </c>
    </row>
    <row r="12" spans="1:15" x14ac:dyDescent="0.25">
      <c r="A12" s="9">
        <v>44683</v>
      </c>
      <c r="B12" s="4" t="s">
        <v>1641</v>
      </c>
      <c r="C12" s="4" t="s">
        <v>215</v>
      </c>
      <c r="D12" s="1" t="s">
        <v>450</v>
      </c>
      <c r="E12" s="4" t="s">
        <v>1610</v>
      </c>
      <c r="F12" s="1" t="s">
        <v>19</v>
      </c>
      <c r="G12" s="1" t="s">
        <v>1642</v>
      </c>
      <c r="H12" s="15">
        <v>50000</v>
      </c>
      <c r="I12" s="2">
        <f>Tabla2456[[#This Row],[TOTAL FACTURA]]*0.6</f>
        <v>30000</v>
      </c>
      <c r="J12" s="85">
        <f>Tabla2456[[#This Row],[TOTAL FACTURA]]*0.4</f>
        <v>20000</v>
      </c>
      <c r="L12" s="2"/>
      <c r="M12" s="2"/>
      <c r="N12" s="2" t="s">
        <v>25</v>
      </c>
      <c r="O12" s="15">
        <f>Tabla2456[[#This Row],[Columna1]]-Tabla2456[[#This Row],[MONTO DE COMPRA]]</f>
        <v>0</v>
      </c>
    </row>
    <row r="13" spans="1:15" x14ac:dyDescent="0.25">
      <c r="A13" s="9">
        <v>44683</v>
      </c>
      <c r="C13" s="4"/>
      <c r="D13" s="1" t="s">
        <v>1643</v>
      </c>
      <c r="E13" s="4" t="s">
        <v>1419</v>
      </c>
      <c r="F13" s="1" t="s">
        <v>408</v>
      </c>
      <c r="G13" s="1" t="s">
        <v>1644</v>
      </c>
      <c r="H13" s="15">
        <v>40000</v>
      </c>
      <c r="I13" s="2">
        <f>Tabla2456[[#This Row],[TOTAL FACTURA]]*0.6</f>
        <v>24000</v>
      </c>
      <c r="J13" s="85">
        <f>Tabla2456[[#This Row],[TOTAL FACTURA]]*0.4</f>
        <v>16000</v>
      </c>
      <c r="L13" s="2"/>
      <c r="M13" s="2"/>
      <c r="N13" s="2" t="s">
        <v>25</v>
      </c>
      <c r="O13" s="15">
        <f>Tabla2456[[#This Row],[Columna1]]-Tabla2456[[#This Row],[MONTO DE COMPRA]]</f>
        <v>0</v>
      </c>
    </row>
    <row r="14" spans="1:15" x14ac:dyDescent="0.25">
      <c r="A14" s="9">
        <v>44683</v>
      </c>
      <c r="B14" s="4" t="s">
        <v>1645</v>
      </c>
      <c r="C14" s="4" t="s">
        <v>1646</v>
      </c>
      <c r="D14" s="1" t="s">
        <v>122</v>
      </c>
      <c r="E14" s="4" t="s">
        <v>1647</v>
      </c>
      <c r="F14" s="1" t="s">
        <v>1039</v>
      </c>
      <c r="G14" s="1" t="s">
        <v>1648</v>
      </c>
      <c r="H14" s="15">
        <v>80000</v>
      </c>
      <c r="I14" s="2">
        <f>Tabla2456[[#This Row],[TOTAL FACTURA]]*0.6</f>
        <v>48000</v>
      </c>
      <c r="J14" s="85">
        <f>Tabla2456[[#This Row],[TOTAL FACTURA]]*0.4</f>
        <v>32000</v>
      </c>
      <c r="K14" s="1" t="s">
        <v>1649</v>
      </c>
      <c r="L14" s="2">
        <f>117000+20000</f>
        <v>137000</v>
      </c>
      <c r="M14" s="2">
        <v>200000</v>
      </c>
      <c r="N14" s="2" t="s">
        <v>25</v>
      </c>
      <c r="O14" s="15">
        <f>Tabla2456[[#This Row],[Columna1]]-Tabla2456[[#This Row],[MONTO DE COMPRA]]</f>
        <v>63000</v>
      </c>
    </row>
    <row r="15" spans="1:15" x14ac:dyDescent="0.25">
      <c r="A15" s="9">
        <v>44683</v>
      </c>
      <c r="C15" s="4" t="s">
        <v>1650</v>
      </c>
      <c r="D15" s="1" t="s">
        <v>161</v>
      </c>
      <c r="E15" s="1" t="s">
        <v>1651</v>
      </c>
      <c r="F15" s="1" t="s">
        <v>19</v>
      </c>
      <c r="G15" s="1" t="s">
        <v>21</v>
      </c>
      <c r="H15" s="15">
        <v>12000</v>
      </c>
      <c r="I15" s="2">
        <f>Tabla2456[[#This Row],[TOTAL FACTURA]]*0.6</f>
        <v>7200</v>
      </c>
      <c r="J15" s="85">
        <f>Tabla2456[[#This Row],[TOTAL FACTURA]]*0.4</f>
        <v>4800</v>
      </c>
      <c r="L15" s="2"/>
      <c r="M15" s="2"/>
      <c r="N15" s="2" t="s">
        <v>25</v>
      </c>
      <c r="O15" s="15">
        <f>Tabla2456[[#This Row],[Columna1]]-Tabla2456[[#This Row],[MONTO DE COMPRA]]</f>
        <v>0</v>
      </c>
    </row>
    <row r="16" spans="1:15" x14ac:dyDescent="0.25">
      <c r="A16" s="9">
        <v>44684</v>
      </c>
      <c r="B16" s="4" t="s">
        <v>1652</v>
      </c>
      <c r="C16" s="4" t="s">
        <v>1653</v>
      </c>
      <c r="D16" s="1" t="s">
        <v>1654</v>
      </c>
      <c r="E16" s="4" t="s">
        <v>1655</v>
      </c>
      <c r="F16" s="1" t="s">
        <v>19</v>
      </c>
      <c r="G16" s="1" t="s">
        <v>786</v>
      </c>
      <c r="H16" s="15">
        <v>120000</v>
      </c>
      <c r="I16" s="2">
        <f>Tabla2456[[#This Row],[TOTAL FACTURA]]*0.6</f>
        <v>72000</v>
      </c>
      <c r="J16" s="85">
        <f>Tabla2456[[#This Row],[TOTAL FACTURA]]*0.4</f>
        <v>48000</v>
      </c>
      <c r="K16" s="1" t="s">
        <v>1656</v>
      </c>
      <c r="L16" s="11">
        <v>940000</v>
      </c>
      <c r="M16" s="2">
        <v>1180000</v>
      </c>
      <c r="N16" s="2" t="s">
        <v>25</v>
      </c>
      <c r="O16" s="15">
        <f>Tabla2456[[#This Row],[Columna1]]-Tabla2456[[#This Row],[MONTO DE COMPRA]]</f>
        <v>240000</v>
      </c>
    </row>
    <row r="17" spans="1:15" x14ac:dyDescent="0.25">
      <c r="A17" s="9">
        <v>44684</v>
      </c>
      <c r="B17" s="4" t="s">
        <v>1657</v>
      </c>
      <c r="C17" s="4" t="s">
        <v>1658</v>
      </c>
      <c r="D17" s="1" t="s">
        <v>435</v>
      </c>
      <c r="E17" s="4" t="s">
        <v>1659</v>
      </c>
      <c r="F17" s="1" t="s">
        <v>19</v>
      </c>
      <c r="G17" s="1" t="s">
        <v>1660</v>
      </c>
      <c r="H17" s="15">
        <v>80000</v>
      </c>
      <c r="I17" s="2">
        <f>Tabla2456[[#This Row],[TOTAL FACTURA]]*0.6</f>
        <v>48000</v>
      </c>
      <c r="J17" s="85">
        <f>Tabla2456[[#This Row],[TOTAL FACTURA]]*0.4</f>
        <v>32000</v>
      </c>
      <c r="K17" s="1" t="s">
        <v>660</v>
      </c>
      <c r="L17" s="2">
        <v>152000</v>
      </c>
      <c r="M17" s="2">
        <v>212000</v>
      </c>
      <c r="N17" s="2" t="s">
        <v>25</v>
      </c>
      <c r="O17" s="15">
        <f>Tabla2456[[#This Row],[Columna1]]-Tabla2456[[#This Row],[MONTO DE COMPRA]]</f>
        <v>60000</v>
      </c>
    </row>
    <row r="18" spans="1:15" x14ac:dyDescent="0.25">
      <c r="A18" s="9">
        <v>44684</v>
      </c>
      <c r="B18" s="4" t="s">
        <v>1664</v>
      </c>
      <c r="C18" s="4" t="s">
        <v>1665</v>
      </c>
      <c r="D18" s="1" t="s">
        <v>1661</v>
      </c>
      <c r="E18" s="4" t="s">
        <v>1662</v>
      </c>
      <c r="F18" s="1" t="s">
        <v>19</v>
      </c>
      <c r="G18" s="10" t="s">
        <v>20</v>
      </c>
      <c r="H18" s="15">
        <v>30000</v>
      </c>
      <c r="I18" s="2">
        <f>Tabla2456[[#This Row],[TOTAL FACTURA]]*0.6</f>
        <v>18000</v>
      </c>
      <c r="J18" s="85">
        <f>Tabla2456[[#This Row],[TOTAL FACTURA]]*0.4</f>
        <v>12000</v>
      </c>
      <c r="K18" s="1" t="s">
        <v>1663</v>
      </c>
      <c r="L18" s="2">
        <v>95000</v>
      </c>
      <c r="M18" s="2">
        <v>135000</v>
      </c>
      <c r="N18" s="2" t="s">
        <v>25</v>
      </c>
      <c r="O18" s="15">
        <f>Tabla2456[[#This Row],[Columna1]]-Tabla2456[[#This Row],[MONTO DE COMPRA]]</f>
        <v>40000</v>
      </c>
    </row>
    <row r="19" spans="1:15" x14ac:dyDescent="0.25">
      <c r="A19" s="9">
        <v>44685</v>
      </c>
      <c r="B19" s="4" t="s">
        <v>1666</v>
      </c>
      <c r="C19" s="4" t="s">
        <v>1667</v>
      </c>
      <c r="D19" s="1" t="s">
        <v>240</v>
      </c>
      <c r="E19" s="4" t="s">
        <v>1668</v>
      </c>
      <c r="F19" s="1" t="s">
        <v>34</v>
      </c>
      <c r="G19" s="1" t="s">
        <v>1669</v>
      </c>
      <c r="H19" s="15">
        <v>1400000</v>
      </c>
      <c r="I19" s="2">
        <f>Tabla2456[[#This Row],[TOTAL FACTURA]]*0.6</f>
        <v>840000</v>
      </c>
      <c r="J19" s="85">
        <f>Tabla2456[[#This Row],[TOTAL FACTURA]]*0.4</f>
        <v>560000</v>
      </c>
      <c r="K19" s="1" t="s">
        <v>1670</v>
      </c>
      <c r="L19" s="2"/>
      <c r="M19" s="2"/>
      <c r="N19" s="2" t="s">
        <v>25</v>
      </c>
      <c r="O19" s="15">
        <f>Tabla2456[[#This Row],[Columna1]]-Tabla2456[[#This Row],[MONTO DE COMPRA]]</f>
        <v>0</v>
      </c>
    </row>
    <row r="20" spans="1:15" x14ac:dyDescent="0.25">
      <c r="A20" s="9">
        <v>44685</v>
      </c>
      <c r="C20" s="4" t="s">
        <v>1671</v>
      </c>
      <c r="D20" s="1" t="s">
        <v>410</v>
      </c>
      <c r="E20" s="4" t="s">
        <v>1672</v>
      </c>
      <c r="F20" s="1" t="s">
        <v>408</v>
      </c>
      <c r="G20" s="1" t="s">
        <v>1673</v>
      </c>
      <c r="H20" s="15">
        <v>40000</v>
      </c>
      <c r="I20" s="2">
        <f>Tabla2456[[#This Row],[TOTAL FACTURA]]*0.6</f>
        <v>24000</v>
      </c>
      <c r="J20" s="85">
        <f>Tabla2456[[#This Row],[TOTAL FACTURA]]*0.4</f>
        <v>16000</v>
      </c>
      <c r="K20" s="1" t="s">
        <v>1674</v>
      </c>
      <c r="L20" s="15">
        <v>90000</v>
      </c>
      <c r="M20" s="15">
        <v>130000</v>
      </c>
      <c r="N20" s="2" t="s">
        <v>25</v>
      </c>
      <c r="O20" s="15">
        <f>Tabla2456[[#This Row],[Columna1]]-Tabla2456[[#This Row],[MONTO DE COMPRA]]</f>
        <v>40000</v>
      </c>
    </row>
    <row r="21" spans="1:15" x14ac:dyDescent="0.25">
      <c r="A21" s="56">
        <v>44685</v>
      </c>
      <c r="C21" s="4" t="s">
        <v>1199</v>
      </c>
      <c r="D21" s="1" t="s">
        <v>122</v>
      </c>
      <c r="E21" s="4" t="s">
        <v>1675</v>
      </c>
      <c r="F21" s="1" t="s">
        <v>10</v>
      </c>
      <c r="G21" s="1" t="s">
        <v>1676</v>
      </c>
      <c r="H21" s="15">
        <v>60000</v>
      </c>
      <c r="I21" s="2">
        <f>Tabla2456[[#This Row],[TOTAL FACTURA]]*0.6</f>
        <v>36000</v>
      </c>
      <c r="J21" s="85">
        <f>Tabla2456[[#This Row],[TOTAL FACTURA]]*0.4</f>
        <v>24000</v>
      </c>
      <c r="L21" s="15"/>
      <c r="M21" s="15"/>
      <c r="N21" s="2" t="s">
        <v>25</v>
      </c>
      <c r="O21" s="15">
        <f>Tabla2456[[#This Row],[Columna1]]-Tabla2456[[#This Row],[MONTO DE COMPRA]]</f>
        <v>0</v>
      </c>
    </row>
    <row r="22" spans="1:15" x14ac:dyDescent="0.25">
      <c r="A22" s="56">
        <v>44685</v>
      </c>
      <c r="B22" s="4" t="s">
        <v>1678</v>
      </c>
      <c r="C22" s="4" t="s">
        <v>1677</v>
      </c>
      <c r="D22" s="1" t="s">
        <v>1679</v>
      </c>
      <c r="E22" s="4" t="s">
        <v>1655</v>
      </c>
      <c r="F22" s="1" t="s">
        <v>19</v>
      </c>
      <c r="G22" s="1" t="s">
        <v>1680</v>
      </c>
      <c r="H22" s="15">
        <v>60000</v>
      </c>
      <c r="I22" s="2">
        <f>Tabla2456[[#This Row],[TOTAL FACTURA]]*0.6</f>
        <v>36000</v>
      </c>
      <c r="J22" s="85">
        <f>Tabla2456[[#This Row],[TOTAL FACTURA]]*0.4</f>
        <v>24000</v>
      </c>
      <c r="K22" s="1" t="s">
        <v>1681</v>
      </c>
      <c r="L22" s="2">
        <v>160000</v>
      </c>
      <c r="M22" s="2">
        <v>200000</v>
      </c>
      <c r="N22" s="2" t="s">
        <v>25</v>
      </c>
      <c r="O22" s="15">
        <f>Tabla2456[[#This Row],[Columna1]]-Tabla2456[[#This Row],[MONTO DE COMPRA]]</f>
        <v>40000</v>
      </c>
    </row>
    <row r="23" spans="1:15" x14ac:dyDescent="0.25">
      <c r="A23" s="56">
        <v>44685</v>
      </c>
      <c r="C23" s="4"/>
      <c r="E23" s="4" t="s">
        <v>1682</v>
      </c>
      <c r="F23" s="1" t="s">
        <v>10</v>
      </c>
      <c r="G23" s="1" t="s">
        <v>1683</v>
      </c>
      <c r="H23" s="15">
        <v>180000</v>
      </c>
      <c r="I23" s="2">
        <f>Tabla2456[[#This Row],[TOTAL FACTURA]]*0.6</f>
        <v>108000</v>
      </c>
      <c r="J23" s="85">
        <f>Tabla2456[[#This Row],[TOTAL FACTURA]]*0.4</f>
        <v>72000</v>
      </c>
      <c r="K23" s="1" t="s">
        <v>1684</v>
      </c>
      <c r="L23" s="2">
        <v>240000</v>
      </c>
      <c r="M23" s="2">
        <v>300000</v>
      </c>
      <c r="N23" s="2" t="s">
        <v>25</v>
      </c>
      <c r="O23" s="15">
        <f>Tabla2456[[#This Row],[Columna1]]-Tabla2456[[#This Row],[MONTO DE COMPRA]]</f>
        <v>60000</v>
      </c>
    </row>
    <row r="24" spans="1:15" x14ac:dyDescent="0.25">
      <c r="A24" s="9">
        <v>44686</v>
      </c>
      <c r="C24" s="4" t="s">
        <v>1278</v>
      </c>
      <c r="D24" s="1" t="s">
        <v>59</v>
      </c>
      <c r="E24" s="4" t="s">
        <v>380</v>
      </c>
      <c r="F24" s="1" t="s">
        <v>1039</v>
      </c>
      <c r="G24" s="1" t="s">
        <v>1685</v>
      </c>
      <c r="H24" s="15">
        <v>30000</v>
      </c>
      <c r="I24" s="2">
        <f>Tabla2456[[#This Row],[TOTAL FACTURA]]*0.6</f>
        <v>18000</v>
      </c>
      <c r="J24" s="85">
        <f>Tabla2456[[#This Row],[TOTAL FACTURA]]*0.4</f>
        <v>12000</v>
      </c>
      <c r="L24" s="2"/>
      <c r="M24" s="2"/>
      <c r="N24" s="2" t="s">
        <v>25</v>
      </c>
      <c r="O24" s="15">
        <f>Tabla2456[[#This Row],[Columna1]]-Tabla2456[[#This Row],[MONTO DE COMPRA]]</f>
        <v>0</v>
      </c>
    </row>
    <row r="25" spans="1:15" x14ac:dyDescent="0.25">
      <c r="A25" s="9">
        <v>44686</v>
      </c>
      <c r="B25" s="4" t="s">
        <v>1687</v>
      </c>
      <c r="C25" s="4" t="s">
        <v>1399</v>
      </c>
      <c r="D25" s="1" t="s">
        <v>962</v>
      </c>
      <c r="E25" s="4" t="s">
        <v>963</v>
      </c>
      <c r="F25" s="1" t="s">
        <v>30</v>
      </c>
      <c r="G25" s="1" t="s">
        <v>1686</v>
      </c>
      <c r="H25" s="15">
        <v>400000</v>
      </c>
      <c r="I25" s="2">
        <f>Tabla2456[[#This Row],[TOTAL FACTURA]]*0.6</f>
        <v>240000</v>
      </c>
      <c r="J25" s="85">
        <f>Tabla2456[[#This Row],[TOTAL FACTURA]]*0.4</f>
        <v>160000</v>
      </c>
      <c r="L25" s="2"/>
      <c r="M25" s="2"/>
      <c r="N25" s="2" t="s">
        <v>25</v>
      </c>
      <c r="O25" s="15">
        <f>Tabla2456[[#This Row],[Columna1]]-Tabla2456[[#This Row],[MONTO DE COMPRA]]</f>
        <v>0</v>
      </c>
    </row>
    <row r="26" spans="1:15" x14ac:dyDescent="0.25">
      <c r="A26" s="9">
        <v>44686</v>
      </c>
      <c r="B26" s="4" t="s">
        <v>1688</v>
      </c>
      <c r="C26" s="4" t="s">
        <v>598</v>
      </c>
      <c r="D26" s="1" t="s">
        <v>161</v>
      </c>
      <c r="E26" s="4" t="s">
        <v>162</v>
      </c>
      <c r="F26" s="1" t="s">
        <v>30</v>
      </c>
      <c r="G26" s="1" t="s">
        <v>1689</v>
      </c>
      <c r="H26" s="15">
        <v>40000</v>
      </c>
      <c r="I26" s="2">
        <v>40000</v>
      </c>
      <c r="J26" s="85">
        <f>Tabla2456[[#This Row],[TOTAL FACTURA]]*0.4</f>
        <v>16000</v>
      </c>
      <c r="L26" s="2"/>
      <c r="M26" s="2"/>
      <c r="N26" s="2" t="s">
        <v>25</v>
      </c>
      <c r="O26" s="15">
        <f>Tabla2456[[#This Row],[Columna1]]-Tabla2456[[#This Row],[MONTO DE COMPRA]]</f>
        <v>0</v>
      </c>
    </row>
    <row r="27" spans="1:15" x14ac:dyDescent="0.25">
      <c r="A27" s="9">
        <v>44686</v>
      </c>
      <c r="B27" s="4" t="s">
        <v>1690</v>
      </c>
      <c r="C27" s="4" t="s">
        <v>1502</v>
      </c>
      <c r="D27" s="1" t="s">
        <v>385</v>
      </c>
      <c r="E27" s="4" t="s">
        <v>1504</v>
      </c>
      <c r="F27" s="1" t="s">
        <v>408</v>
      </c>
      <c r="G27" s="1" t="s">
        <v>1691</v>
      </c>
      <c r="H27" s="15">
        <v>20000</v>
      </c>
      <c r="I27" s="2">
        <f>Tabla2456[[#This Row],[TOTAL FACTURA]]*0.6</f>
        <v>12000</v>
      </c>
      <c r="J27" s="85">
        <f>Tabla2456[[#This Row],[TOTAL FACTURA]]*0.4</f>
        <v>8000</v>
      </c>
      <c r="K27" s="1" t="s">
        <v>1692</v>
      </c>
      <c r="L27" s="2">
        <v>40500</v>
      </c>
      <c r="M27" s="2">
        <v>76000</v>
      </c>
      <c r="N27" s="2" t="s">
        <v>25</v>
      </c>
      <c r="O27" s="15">
        <f>Tabla2456[[#This Row],[Columna1]]-Tabla2456[[#This Row],[MONTO DE COMPRA]]</f>
        <v>35500</v>
      </c>
    </row>
    <row r="28" spans="1:15" x14ac:dyDescent="0.25">
      <c r="A28" s="9">
        <v>44686</v>
      </c>
      <c r="C28" s="4"/>
      <c r="D28" s="1" t="s">
        <v>540</v>
      </c>
      <c r="E28" s="4" t="s">
        <v>1693</v>
      </c>
      <c r="F28" s="1" t="s">
        <v>19</v>
      </c>
      <c r="G28" s="1" t="s">
        <v>1694</v>
      </c>
      <c r="H28" s="15">
        <v>20000</v>
      </c>
      <c r="I28" s="2">
        <f>Tabla2456[[#This Row],[TOTAL FACTURA]]*0.6</f>
        <v>12000</v>
      </c>
      <c r="J28" s="85">
        <f>Tabla2456[[#This Row],[TOTAL FACTURA]]*0.4</f>
        <v>8000</v>
      </c>
      <c r="L28" s="2"/>
      <c r="M28" s="2"/>
      <c r="N28" s="2" t="s">
        <v>25</v>
      </c>
      <c r="O28" s="15">
        <f>Tabla2456[[#This Row],[Columna1]]-Tabla2456[[#This Row],[MONTO DE COMPRA]]</f>
        <v>0</v>
      </c>
    </row>
    <row r="29" spans="1:15" x14ac:dyDescent="0.25">
      <c r="A29" s="9">
        <v>44686</v>
      </c>
      <c r="B29" s="21"/>
      <c r="C29" s="21"/>
      <c r="D29" s="16" t="s">
        <v>168</v>
      </c>
      <c r="E29" s="21" t="s">
        <v>1695</v>
      </c>
      <c r="F29" s="1" t="s">
        <v>10</v>
      </c>
      <c r="G29" s="1" t="s">
        <v>1696</v>
      </c>
      <c r="I29" s="2">
        <f>Tabla2456[[#This Row],[TOTAL FACTURA]]*0.6</f>
        <v>0</v>
      </c>
      <c r="J29" s="85">
        <f>Tabla2456[[#This Row],[TOTAL FACTURA]]*0.4</f>
        <v>0</v>
      </c>
      <c r="L29" s="2"/>
      <c r="M29" s="2"/>
      <c r="N29" s="2" t="s">
        <v>25</v>
      </c>
      <c r="O29" s="15">
        <f>Tabla2456[[#This Row],[Columna1]]-Tabla2456[[#This Row],[MONTO DE COMPRA]]</f>
        <v>0</v>
      </c>
    </row>
    <row r="30" spans="1:15" x14ac:dyDescent="0.25">
      <c r="A30" s="9">
        <v>44686</v>
      </c>
      <c r="C30" s="21" t="s">
        <v>598</v>
      </c>
      <c r="D30" s="16" t="s">
        <v>151</v>
      </c>
      <c r="E30" s="21" t="s">
        <v>152</v>
      </c>
      <c r="F30" s="1" t="s">
        <v>408</v>
      </c>
      <c r="G30" s="1" t="s">
        <v>1697</v>
      </c>
      <c r="H30" s="15">
        <v>210000</v>
      </c>
      <c r="I30" s="2">
        <f>Tabla2456[[#This Row],[TOTAL FACTURA]]*0.7</f>
        <v>147000</v>
      </c>
      <c r="J30" s="85">
        <f>Tabla2456[[#This Row],[TOTAL FACTURA]]*0.4</f>
        <v>84000</v>
      </c>
      <c r="K30" s="1" t="s">
        <v>1698</v>
      </c>
      <c r="L30" s="2"/>
      <c r="M30" s="2"/>
      <c r="N30" s="2" t="s">
        <v>25</v>
      </c>
      <c r="O30" s="15">
        <f>Tabla2456[[#This Row],[Columna1]]-Tabla2456[[#This Row],[MONTO DE COMPRA]]</f>
        <v>0</v>
      </c>
    </row>
    <row r="31" spans="1:15" x14ac:dyDescent="0.25">
      <c r="A31" s="9">
        <v>44687</v>
      </c>
      <c r="C31" s="4" t="s">
        <v>1699</v>
      </c>
      <c r="D31" s="1" t="s">
        <v>54</v>
      </c>
      <c r="E31" s="4" t="s">
        <v>1700</v>
      </c>
      <c r="F31" s="1" t="s">
        <v>19</v>
      </c>
      <c r="G31" s="1" t="s">
        <v>1701</v>
      </c>
      <c r="H31" s="15">
        <v>40000</v>
      </c>
      <c r="I31" s="2">
        <f>Tabla2456[[#This Row],[TOTAL FACTURA]]*0.6</f>
        <v>24000</v>
      </c>
      <c r="J31" s="85">
        <f>Tabla2456[[#This Row],[TOTAL FACTURA]]*0.4</f>
        <v>16000</v>
      </c>
      <c r="L31" s="2"/>
      <c r="M31" s="2"/>
      <c r="N31" s="2" t="s">
        <v>25</v>
      </c>
      <c r="O31" s="15">
        <f>Tabla2456[[#This Row],[Columna1]]-Tabla2456[[#This Row],[MONTO DE COMPRA]]</f>
        <v>0</v>
      </c>
    </row>
    <row r="32" spans="1:15" x14ac:dyDescent="0.25">
      <c r="A32" s="9">
        <v>44687</v>
      </c>
      <c r="B32" s="4" t="s">
        <v>1703</v>
      </c>
      <c r="C32" s="4" t="s">
        <v>1702</v>
      </c>
      <c r="D32" s="1" t="s">
        <v>231</v>
      </c>
      <c r="E32" s="4" t="s">
        <v>1704</v>
      </c>
      <c r="F32" s="1" t="s">
        <v>408</v>
      </c>
      <c r="G32" s="1" t="s">
        <v>1705</v>
      </c>
      <c r="H32" s="15">
        <v>160000</v>
      </c>
      <c r="I32" s="2">
        <f>Tabla2456[[#This Row],[TOTAL FACTURA]]*0.6</f>
        <v>96000</v>
      </c>
      <c r="J32" s="85">
        <f>Tabla2456[[#This Row],[TOTAL FACTURA]]*0.4</f>
        <v>64000</v>
      </c>
      <c r="K32" s="1" t="s">
        <v>1706</v>
      </c>
      <c r="L32" s="2">
        <f>160000+104000</f>
        <v>264000</v>
      </c>
      <c r="M32" s="2"/>
      <c r="N32" s="2" t="s">
        <v>25</v>
      </c>
      <c r="O32" s="15">
        <f>Tabla2456[[#This Row],[Columna1]]-Tabla2456[[#This Row],[MONTO DE COMPRA]]</f>
        <v>-264000</v>
      </c>
    </row>
    <row r="33" spans="1:15" x14ac:dyDescent="0.25">
      <c r="A33" s="9">
        <v>44687</v>
      </c>
      <c r="B33" s="4" t="s">
        <v>1707</v>
      </c>
      <c r="C33" s="4" t="s">
        <v>1558</v>
      </c>
      <c r="D33" s="1" t="s">
        <v>54</v>
      </c>
      <c r="E33" s="4" t="s">
        <v>1560</v>
      </c>
      <c r="F33" s="1" t="s">
        <v>1039</v>
      </c>
      <c r="G33" s="1" t="s">
        <v>1708</v>
      </c>
      <c r="H33" s="15">
        <v>30000</v>
      </c>
      <c r="I33" s="2">
        <f>Tabla2456[[#This Row],[TOTAL FACTURA]]*0.6</f>
        <v>18000</v>
      </c>
      <c r="J33" s="85">
        <f>Tabla2456[[#This Row],[TOTAL FACTURA]]*0.4</f>
        <v>12000</v>
      </c>
      <c r="L33" s="2"/>
      <c r="M33" s="2"/>
      <c r="N33" s="2" t="s">
        <v>25</v>
      </c>
      <c r="O33" s="15">
        <f>Tabla2456[[#This Row],[Columna1]]-Tabla2456[[#This Row],[MONTO DE COMPRA]]</f>
        <v>0</v>
      </c>
    </row>
    <row r="34" spans="1:15" x14ac:dyDescent="0.25">
      <c r="A34" s="9">
        <v>44687</v>
      </c>
      <c r="C34" s="4"/>
      <c r="E34" s="4" t="s">
        <v>674</v>
      </c>
      <c r="F34" s="1" t="s">
        <v>10</v>
      </c>
      <c r="G34" s="1" t="s">
        <v>1709</v>
      </c>
      <c r="H34" s="15">
        <v>90000</v>
      </c>
      <c r="I34" s="2">
        <f>Tabla2456[[#This Row],[TOTAL FACTURA]]*0.6</f>
        <v>54000</v>
      </c>
      <c r="J34" s="85">
        <f>Tabla2456[[#This Row],[TOTAL FACTURA]]*0.4</f>
        <v>36000</v>
      </c>
      <c r="L34" s="2"/>
      <c r="M34" s="2"/>
      <c r="N34" s="2" t="s">
        <v>25</v>
      </c>
      <c r="O34" s="15">
        <f>Tabla2456[[#This Row],[Columna1]]-Tabla2456[[#This Row],[MONTO DE COMPRA]]</f>
        <v>0</v>
      </c>
    </row>
    <row r="35" spans="1:15" x14ac:dyDescent="0.25">
      <c r="A35" s="9">
        <v>44687</v>
      </c>
      <c r="C35" s="4" t="s">
        <v>1710</v>
      </c>
      <c r="D35" s="1" t="s">
        <v>1711</v>
      </c>
      <c r="E35" s="4" t="s">
        <v>1712</v>
      </c>
      <c r="F35" s="1" t="s">
        <v>1039</v>
      </c>
      <c r="G35" s="1" t="s">
        <v>1713</v>
      </c>
      <c r="H35" s="15">
        <v>50000</v>
      </c>
      <c r="I35" s="2">
        <f>Tabla2456[[#This Row],[TOTAL FACTURA]]*0.6</f>
        <v>30000</v>
      </c>
      <c r="J35" s="85">
        <f>Tabla2456[[#This Row],[TOTAL FACTURA]]*0.4</f>
        <v>20000</v>
      </c>
      <c r="K35" s="1" t="s">
        <v>1714</v>
      </c>
      <c r="L35" s="2">
        <v>60000</v>
      </c>
      <c r="M35" s="2">
        <v>80000</v>
      </c>
      <c r="N35" s="2" t="s">
        <v>25</v>
      </c>
      <c r="O35" s="15">
        <f>Tabla2456[[#This Row],[Columna1]]-Tabla2456[[#This Row],[MONTO DE COMPRA]]</f>
        <v>20000</v>
      </c>
    </row>
    <row r="36" spans="1:15" x14ac:dyDescent="0.25">
      <c r="A36" s="9">
        <v>44690</v>
      </c>
      <c r="D36" s="1" t="s">
        <v>1756</v>
      </c>
      <c r="E36" s="1" t="s">
        <v>1716</v>
      </c>
      <c r="F36" s="1" t="s">
        <v>408</v>
      </c>
      <c r="G36" s="2" t="s">
        <v>744</v>
      </c>
      <c r="H36" s="15">
        <v>50000</v>
      </c>
      <c r="I36" s="2">
        <f>Tabla2456[[#This Row],[TOTAL FACTURA]]*0.6</f>
        <v>30000</v>
      </c>
      <c r="J36" s="85">
        <f>Tabla2456[[#This Row],[TOTAL FACTURA]]*0.4</f>
        <v>20000</v>
      </c>
      <c r="L36" s="2"/>
      <c r="M36" s="2"/>
      <c r="N36" s="2" t="s">
        <v>25</v>
      </c>
      <c r="O36" s="15">
        <f>Tabla2456[[#This Row],[Columna1]]-Tabla2456[[#This Row],[MONTO DE COMPRA]]</f>
        <v>0</v>
      </c>
    </row>
    <row r="37" spans="1:15" x14ac:dyDescent="0.25">
      <c r="A37" s="9">
        <v>44690</v>
      </c>
      <c r="C37" s="88"/>
      <c r="D37" s="1" t="s">
        <v>1756</v>
      </c>
      <c r="E37" s="1" t="s">
        <v>1716</v>
      </c>
      <c r="F37" s="1" t="s">
        <v>408</v>
      </c>
      <c r="G37" s="2" t="s">
        <v>454</v>
      </c>
      <c r="H37" s="15">
        <v>50000</v>
      </c>
      <c r="I37" s="2">
        <f>Tabla2456[[#This Row],[TOTAL FACTURA]]*0.6</f>
        <v>30000</v>
      </c>
      <c r="J37" s="85">
        <f>Tabla2456[[#This Row],[TOTAL FACTURA]]*0.4</f>
        <v>20000</v>
      </c>
      <c r="L37" s="2"/>
      <c r="M37" s="2"/>
      <c r="N37" s="2" t="s">
        <v>25</v>
      </c>
      <c r="O37" s="15">
        <f>Tabla2456[[#This Row],[Columna1]]-Tabla2456[[#This Row],[MONTO DE COMPRA]]</f>
        <v>0</v>
      </c>
    </row>
    <row r="38" spans="1:15" x14ac:dyDescent="0.25">
      <c r="A38" s="9">
        <v>44690</v>
      </c>
      <c r="B38" s="4" t="s">
        <v>1717</v>
      </c>
      <c r="C38" s="4" t="s">
        <v>1718</v>
      </c>
      <c r="D38" s="1" t="s">
        <v>1332</v>
      </c>
      <c r="E38" s="4" t="s">
        <v>1719</v>
      </c>
      <c r="F38" s="1" t="s">
        <v>1039</v>
      </c>
      <c r="G38" s="71" t="s">
        <v>206</v>
      </c>
      <c r="H38" s="15">
        <v>40000</v>
      </c>
      <c r="I38" s="2">
        <f>Tabla2456[[#This Row],[TOTAL FACTURA]]*0.6</f>
        <v>24000</v>
      </c>
      <c r="J38" s="85">
        <f>Tabla2456[[#This Row],[TOTAL FACTURA]]*0.4</f>
        <v>16000</v>
      </c>
      <c r="L38" s="2"/>
      <c r="M38" s="2"/>
      <c r="N38" s="2" t="s">
        <v>25</v>
      </c>
      <c r="O38" s="15">
        <f>Tabla2456[[#This Row],[Columna1]]-Tabla2456[[#This Row],[MONTO DE COMPRA]]</f>
        <v>0</v>
      </c>
    </row>
    <row r="39" spans="1:15" x14ac:dyDescent="0.25">
      <c r="A39" s="9">
        <v>44690</v>
      </c>
      <c r="B39" s="4" t="s">
        <v>1720</v>
      </c>
      <c r="C39" s="4" t="s">
        <v>1721</v>
      </c>
      <c r="D39" s="1" t="s">
        <v>1332</v>
      </c>
      <c r="E39" s="4" t="s">
        <v>1135</v>
      </c>
      <c r="F39" s="1" t="s">
        <v>19</v>
      </c>
      <c r="G39" s="1" t="s">
        <v>1722</v>
      </c>
      <c r="H39" s="15">
        <v>80000</v>
      </c>
      <c r="I39" s="2">
        <f>Tabla2456[[#This Row],[TOTAL FACTURA]]*0.6</f>
        <v>48000</v>
      </c>
      <c r="J39" s="85">
        <f>Tabla2456[[#This Row],[TOTAL FACTURA]]*0.4</f>
        <v>32000</v>
      </c>
      <c r="K39" s="1" t="s">
        <v>1724</v>
      </c>
      <c r="L39" s="2"/>
      <c r="M39" s="2"/>
      <c r="N39" s="2" t="s">
        <v>25</v>
      </c>
      <c r="O39" s="15">
        <f>Tabla2456[[#This Row],[Columna1]]-Tabla2456[[#This Row],[MONTO DE COMPRA]]</f>
        <v>0</v>
      </c>
    </row>
    <row r="40" spans="1:15" x14ac:dyDescent="0.25">
      <c r="A40" s="9">
        <v>44690</v>
      </c>
      <c r="C40" s="21" t="s">
        <v>598</v>
      </c>
      <c r="D40" s="16" t="s">
        <v>151</v>
      </c>
      <c r="E40" s="21" t="s">
        <v>152</v>
      </c>
      <c r="F40" s="1" t="s">
        <v>408</v>
      </c>
      <c r="G40" s="1" t="s">
        <v>329</v>
      </c>
      <c r="H40" s="15">
        <v>50000</v>
      </c>
      <c r="I40" s="2">
        <f>Tabla2456[[#This Row],[TOTAL FACTURA]]*0.6</f>
        <v>30000</v>
      </c>
      <c r="J40" s="85">
        <f>Tabla2456[[#This Row],[TOTAL FACTURA]]*0.4</f>
        <v>20000</v>
      </c>
      <c r="K40" s="1" t="s">
        <v>1723</v>
      </c>
      <c r="L40" s="2"/>
      <c r="M40" s="2"/>
      <c r="N40" s="2" t="s">
        <v>25</v>
      </c>
      <c r="O40" s="15">
        <f>Tabla2456[[#This Row],[Columna1]]-Tabla2456[[#This Row],[MONTO DE COMPRA]]</f>
        <v>0</v>
      </c>
    </row>
    <row r="41" spans="1:15" x14ac:dyDescent="0.25">
      <c r="A41" s="9">
        <v>44691</v>
      </c>
      <c r="B41" s="4" t="s">
        <v>1725</v>
      </c>
      <c r="C41" s="4" t="s">
        <v>1726</v>
      </c>
      <c r="D41" s="1" t="s">
        <v>637</v>
      </c>
      <c r="E41" s="4" t="s">
        <v>1727</v>
      </c>
      <c r="F41" s="1" t="s">
        <v>19</v>
      </c>
      <c r="G41" s="1" t="s">
        <v>1728</v>
      </c>
      <c r="H41" s="15">
        <v>350000</v>
      </c>
      <c r="I41" s="2">
        <f>Tabla2456[[#This Row],[TOTAL FACTURA]]*0.6</f>
        <v>210000</v>
      </c>
      <c r="J41" s="85">
        <f>Tabla2456[[#This Row],[TOTAL FACTURA]]*0.4</f>
        <v>140000</v>
      </c>
      <c r="L41" s="2"/>
      <c r="M41" s="2"/>
      <c r="N41" s="2" t="s">
        <v>25</v>
      </c>
      <c r="O41" s="15">
        <f>Tabla2456[[#This Row],[Columna1]]-Tabla2456[[#This Row],[MONTO DE COMPRA]]</f>
        <v>0</v>
      </c>
    </row>
    <row r="42" spans="1:15" x14ac:dyDescent="0.25">
      <c r="A42" s="9">
        <v>44691</v>
      </c>
      <c r="B42" s="4" t="s">
        <v>1725</v>
      </c>
      <c r="C42" s="4" t="s">
        <v>1726</v>
      </c>
      <c r="D42" s="1" t="s">
        <v>637</v>
      </c>
      <c r="E42" s="4" t="s">
        <v>1727</v>
      </c>
      <c r="F42" s="1" t="s">
        <v>18</v>
      </c>
      <c r="G42" s="1" t="s">
        <v>1729</v>
      </c>
      <c r="H42" s="15">
        <v>30000</v>
      </c>
      <c r="I42" s="2">
        <v>20000</v>
      </c>
      <c r="J42" s="85">
        <f>Tabla2456[[#This Row],[TOTAL FACTURA]]*0.4</f>
        <v>12000</v>
      </c>
      <c r="K42" s="15"/>
      <c r="L42" s="15"/>
      <c r="M42" s="15"/>
      <c r="N42" s="2" t="s">
        <v>25</v>
      </c>
      <c r="O42" s="15">
        <f>Tabla2456[[#This Row],[Columna1]]-Tabla2456[[#This Row],[MONTO DE COMPRA]]</f>
        <v>0</v>
      </c>
    </row>
    <row r="43" spans="1:15" x14ac:dyDescent="0.25">
      <c r="A43" s="9">
        <v>44692</v>
      </c>
      <c r="C43" s="4" t="s">
        <v>1144</v>
      </c>
      <c r="D43" s="1" t="s">
        <v>1034</v>
      </c>
      <c r="E43" s="4" t="s">
        <v>1730</v>
      </c>
      <c r="F43" s="1" t="s">
        <v>10</v>
      </c>
      <c r="G43" s="1" t="s">
        <v>1731</v>
      </c>
      <c r="H43" s="15">
        <v>180000</v>
      </c>
      <c r="I43" s="2">
        <f>Tabla2456[[#This Row],[TOTAL FACTURA]]*0.6</f>
        <v>108000</v>
      </c>
      <c r="J43" s="85">
        <f>Tabla2456[[#This Row],[TOTAL FACTURA]]*0.4</f>
        <v>72000</v>
      </c>
      <c r="L43" s="2"/>
      <c r="M43" s="2"/>
      <c r="N43" s="2" t="s">
        <v>25</v>
      </c>
      <c r="O43" s="15">
        <f>Tabla2456[[#This Row],[Columna1]]-Tabla2456[[#This Row],[MONTO DE COMPRA]]</f>
        <v>0</v>
      </c>
    </row>
    <row r="44" spans="1:15" x14ac:dyDescent="0.25">
      <c r="A44" s="9">
        <v>44692</v>
      </c>
      <c r="C44" s="4" t="s">
        <v>1732</v>
      </c>
      <c r="D44" s="1" t="s">
        <v>303</v>
      </c>
      <c r="E44" s="4" t="s">
        <v>1733</v>
      </c>
      <c r="F44" s="1" t="s">
        <v>30</v>
      </c>
      <c r="G44" s="1" t="s">
        <v>1734</v>
      </c>
      <c r="H44" s="15">
        <v>70000</v>
      </c>
      <c r="I44" s="2">
        <f>Tabla2456[[#This Row],[TOTAL FACTURA]]*0.6</f>
        <v>42000</v>
      </c>
      <c r="J44" s="85">
        <f>Tabla2456[[#This Row],[TOTAL FACTURA]]*0.4</f>
        <v>28000</v>
      </c>
      <c r="L44" s="2"/>
      <c r="M44" s="2"/>
      <c r="N44" s="2" t="s">
        <v>25</v>
      </c>
      <c r="O44" s="15">
        <f>Tabla2456[[#This Row],[Columna1]]-Tabla2456[[#This Row],[MONTO DE COMPRA]]</f>
        <v>0</v>
      </c>
    </row>
    <row r="45" spans="1:15" x14ac:dyDescent="0.25">
      <c r="A45" s="9">
        <v>44692</v>
      </c>
      <c r="B45" s="4" t="s">
        <v>1735</v>
      </c>
      <c r="C45" s="4" t="s">
        <v>1736</v>
      </c>
      <c r="D45" s="1" t="s">
        <v>48</v>
      </c>
      <c r="E45" s="4" t="s">
        <v>1737</v>
      </c>
      <c r="F45" s="1" t="s">
        <v>408</v>
      </c>
      <c r="G45" s="1" t="s">
        <v>1738</v>
      </c>
      <c r="H45" s="15">
        <v>80000</v>
      </c>
      <c r="I45" s="2">
        <v>80000</v>
      </c>
      <c r="J45" s="2" t="s">
        <v>655</v>
      </c>
      <c r="K45" s="1" t="s">
        <v>1739</v>
      </c>
      <c r="L45" s="2">
        <f>239500+15000+40000+12000+30000+290000</f>
        <v>626500</v>
      </c>
      <c r="M45" s="2">
        <v>1013100</v>
      </c>
      <c r="N45" s="2" t="s">
        <v>25</v>
      </c>
      <c r="O45" s="15">
        <f>Tabla2456[[#This Row],[Columna1]]-Tabla2456[[#This Row],[MONTO DE COMPRA]]</f>
        <v>386600</v>
      </c>
    </row>
    <row r="46" spans="1:15" x14ac:dyDescent="0.25">
      <c r="A46" s="9">
        <v>44692</v>
      </c>
      <c r="C46" s="4"/>
      <c r="E46" s="4"/>
      <c r="F46" s="1" t="s">
        <v>18</v>
      </c>
      <c r="G46" s="1" t="s">
        <v>1740</v>
      </c>
      <c r="H46" s="15">
        <v>40000</v>
      </c>
      <c r="I46" s="2">
        <f>Tabla2456[[#This Row],[TOTAL FACTURA]]*0.6</f>
        <v>24000</v>
      </c>
      <c r="J46" s="85">
        <f>Tabla2456[[#This Row],[TOTAL FACTURA]]*0.4</f>
        <v>16000</v>
      </c>
      <c r="L46" s="15"/>
      <c r="M46" s="15"/>
      <c r="N46" s="2" t="s">
        <v>25</v>
      </c>
      <c r="O46" s="15">
        <f>Tabla2456[[#This Row],[Columna1]]-Tabla2456[[#This Row],[MONTO DE COMPRA]]</f>
        <v>0</v>
      </c>
    </row>
    <row r="47" spans="1:15" x14ac:dyDescent="0.25">
      <c r="A47" s="9">
        <v>44693</v>
      </c>
      <c r="B47" s="4" t="s">
        <v>1741</v>
      </c>
      <c r="C47" s="4" t="s">
        <v>1742</v>
      </c>
      <c r="D47" s="1" t="s">
        <v>1743</v>
      </c>
      <c r="E47" s="4" t="s">
        <v>1744</v>
      </c>
      <c r="F47" s="1" t="s">
        <v>408</v>
      </c>
      <c r="G47" s="1" t="s">
        <v>20</v>
      </c>
      <c r="H47" s="15">
        <v>60000</v>
      </c>
      <c r="I47" s="2">
        <f>Tabla2456[[#This Row],[TOTAL FACTURA]]*0.6</f>
        <v>36000</v>
      </c>
      <c r="J47" s="85">
        <f>Tabla2456[[#This Row],[TOTAL FACTURA]]*0.4</f>
        <v>24000</v>
      </c>
      <c r="K47" s="1" t="s">
        <v>71</v>
      </c>
      <c r="L47" s="15">
        <v>140000</v>
      </c>
      <c r="M47" s="15">
        <v>195000</v>
      </c>
      <c r="N47" s="2" t="s">
        <v>25</v>
      </c>
      <c r="O47" s="15">
        <f>Tabla2456[[#This Row],[Columna1]]-Tabla2456[[#This Row],[MONTO DE COMPRA]]</f>
        <v>55000</v>
      </c>
    </row>
    <row r="48" spans="1:15" x14ac:dyDescent="0.25">
      <c r="A48" s="9">
        <v>44693</v>
      </c>
      <c r="B48" s="4" t="s">
        <v>1745</v>
      </c>
      <c r="C48" s="4" t="s">
        <v>739</v>
      </c>
      <c r="D48" s="1" t="s">
        <v>574</v>
      </c>
      <c r="E48" s="4" t="s">
        <v>1746</v>
      </c>
      <c r="F48" s="1" t="s">
        <v>30</v>
      </c>
      <c r="G48" s="1" t="s">
        <v>1747</v>
      </c>
      <c r="H48" s="15">
        <v>180000</v>
      </c>
      <c r="I48" s="2">
        <f>Tabla2456[[#This Row],[TOTAL FACTURA]]*0.6</f>
        <v>108000</v>
      </c>
      <c r="J48" s="85">
        <f>Tabla2456[[#This Row],[TOTAL FACTURA]]*0.4</f>
        <v>72000</v>
      </c>
      <c r="K48" s="1" t="s">
        <v>1748</v>
      </c>
      <c r="L48" s="2">
        <v>50000</v>
      </c>
      <c r="M48" s="2">
        <v>80000</v>
      </c>
      <c r="N48" s="2" t="s">
        <v>25</v>
      </c>
      <c r="O48" s="15">
        <f>Tabla2456[[#This Row],[Columna1]]-Tabla2456[[#This Row],[MONTO DE COMPRA]]</f>
        <v>30000</v>
      </c>
    </row>
    <row r="49" spans="1:15" x14ac:dyDescent="0.25">
      <c r="A49" s="9">
        <v>44694</v>
      </c>
      <c r="C49" s="4"/>
      <c r="D49" s="1" t="s">
        <v>1749</v>
      </c>
      <c r="E49" s="4" t="s">
        <v>1750</v>
      </c>
      <c r="F49" s="1" t="s">
        <v>19</v>
      </c>
      <c r="G49" s="1" t="s">
        <v>21</v>
      </c>
      <c r="H49" s="15">
        <v>5000</v>
      </c>
      <c r="I49" s="2">
        <v>5000</v>
      </c>
      <c r="J49" s="85">
        <f>Tabla2456[[#This Row],[TOTAL FACTURA]]*0.4</f>
        <v>2000</v>
      </c>
      <c r="L49" s="2"/>
      <c r="M49" s="2"/>
      <c r="N49" s="2" t="s">
        <v>25</v>
      </c>
      <c r="O49" s="15">
        <f>Tabla2456[[#This Row],[Columna1]]-Tabla2456[[#This Row],[MONTO DE COMPRA]]</f>
        <v>0</v>
      </c>
    </row>
    <row r="50" spans="1:15" x14ac:dyDescent="0.25">
      <c r="A50" s="56">
        <v>44694</v>
      </c>
      <c r="C50" s="4"/>
      <c r="D50" s="1" t="s">
        <v>1379</v>
      </c>
      <c r="E50" s="1" t="s">
        <v>1751</v>
      </c>
      <c r="F50" s="1" t="s">
        <v>10</v>
      </c>
      <c r="G50" s="71" t="s">
        <v>1752</v>
      </c>
      <c r="H50" s="15">
        <v>730000</v>
      </c>
      <c r="I50" s="2">
        <f>Tabla2456[[#This Row],[TOTAL FACTURA]]*0.6</f>
        <v>438000</v>
      </c>
      <c r="J50" s="85">
        <f>Tabla2456[[#This Row],[TOTAL FACTURA]]*0.4</f>
        <v>292000</v>
      </c>
      <c r="L50" s="2"/>
      <c r="M50" s="2"/>
      <c r="N50" s="2" t="s">
        <v>25</v>
      </c>
      <c r="O50" s="15">
        <f>Tabla2456[[#This Row],[Columna1]]-Tabla2456[[#This Row],[MONTO DE COMPRA]]</f>
        <v>0</v>
      </c>
    </row>
    <row r="51" spans="1:15" x14ac:dyDescent="0.25">
      <c r="A51" s="56">
        <v>44694</v>
      </c>
      <c r="C51" s="4"/>
      <c r="D51" s="1" t="s">
        <v>1379</v>
      </c>
      <c r="E51" s="1" t="s">
        <v>1751</v>
      </c>
      <c r="F51" s="1" t="s">
        <v>1039</v>
      </c>
      <c r="G51" s="71" t="s">
        <v>1753</v>
      </c>
      <c r="H51" s="15">
        <v>60000</v>
      </c>
      <c r="I51" s="2">
        <f>Tabla2456[[#This Row],[TOTAL FACTURA]]*0.6</f>
        <v>36000</v>
      </c>
      <c r="J51" s="85">
        <f>Tabla2456[[#This Row],[TOTAL FACTURA]]*0.4</f>
        <v>24000</v>
      </c>
      <c r="L51" s="2"/>
      <c r="M51" s="2"/>
      <c r="N51" s="2" t="s">
        <v>25</v>
      </c>
      <c r="O51" s="15">
        <f>Tabla2456[[#This Row],[Columna1]]-Tabla2456[[#This Row],[MONTO DE COMPRA]]</f>
        <v>0</v>
      </c>
    </row>
    <row r="52" spans="1:15" x14ac:dyDescent="0.25">
      <c r="A52" s="56">
        <v>44694</v>
      </c>
      <c r="C52" s="4" t="s">
        <v>1757</v>
      </c>
      <c r="D52" s="1" t="s">
        <v>1318</v>
      </c>
      <c r="E52" s="4" t="s">
        <v>1758</v>
      </c>
      <c r="F52" s="1" t="s">
        <v>19</v>
      </c>
      <c r="G52" s="71" t="s">
        <v>560</v>
      </c>
      <c r="H52" s="15">
        <v>60000</v>
      </c>
      <c r="I52" s="2">
        <f>Tabla2456[[#This Row],[TOTAL FACTURA]]*0.6</f>
        <v>36000</v>
      </c>
      <c r="J52" s="85">
        <f>Tabla2456[[#This Row],[TOTAL FACTURA]]*0.4</f>
        <v>24000</v>
      </c>
      <c r="L52" s="2"/>
      <c r="M52" s="2"/>
      <c r="N52" s="2" t="s">
        <v>25</v>
      </c>
      <c r="O52" s="15">
        <f>Tabla2456[[#This Row],[Columna1]]-Tabla2456[[#This Row],[MONTO DE COMPRA]]</f>
        <v>0</v>
      </c>
    </row>
    <row r="53" spans="1:15" x14ac:dyDescent="0.25">
      <c r="A53" s="56">
        <v>44695</v>
      </c>
      <c r="C53" s="4"/>
      <c r="D53" s="1" t="s">
        <v>200</v>
      </c>
      <c r="E53" s="4" t="s">
        <v>1760</v>
      </c>
      <c r="F53" s="1" t="s">
        <v>1039</v>
      </c>
      <c r="G53" s="71" t="s">
        <v>20</v>
      </c>
      <c r="H53" s="15">
        <v>60000</v>
      </c>
      <c r="I53" s="2">
        <f>Tabla2456[[#This Row],[TOTAL FACTURA]]*0.6</f>
        <v>36000</v>
      </c>
      <c r="J53" s="85">
        <f>Tabla2456[[#This Row],[TOTAL FACTURA]]*0.4</f>
        <v>24000</v>
      </c>
      <c r="K53" s="1" t="s">
        <v>1142</v>
      </c>
      <c r="L53" s="2">
        <v>115000</v>
      </c>
      <c r="M53" s="2">
        <v>125000</v>
      </c>
      <c r="O53" s="15">
        <f>Tabla2456[[#This Row],[Columna1]]-Tabla2456[[#This Row],[MONTO DE COMPRA]]</f>
        <v>10000</v>
      </c>
    </row>
    <row r="54" spans="1:15" x14ac:dyDescent="0.25">
      <c r="A54" s="56">
        <v>44695</v>
      </c>
      <c r="C54" s="4"/>
      <c r="D54" s="1" t="s">
        <v>500</v>
      </c>
      <c r="E54" s="4" t="s">
        <v>501</v>
      </c>
      <c r="F54" s="1" t="s">
        <v>30</v>
      </c>
      <c r="G54" s="71" t="s">
        <v>570</v>
      </c>
      <c r="H54" s="15">
        <v>120000</v>
      </c>
      <c r="I54" s="2">
        <f>Tabla2456[[#This Row],[TOTAL FACTURA]]*0.6</f>
        <v>72000</v>
      </c>
      <c r="J54" s="85">
        <f>Tabla2456[[#This Row],[TOTAL FACTURA]]*0.4</f>
        <v>48000</v>
      </c>
      <c r="L54" s="2"/>
      <c r="M54" s="2"/>
      <c r="O54" s="15">
        <f>Tabla2456[[#This Row],[Columna1]]-Tabla2456[[#This Row],[MONTO DE COMPRA]]</f>
        <v>0</v>
      </c>
    </row>
    <row r="55" spans="1:15" x14ac:dyDescent="0.25">
      <c r="A55" s="56">
        <v>44695</v>
      </c>
      <c r="C55" s="4"/>
      <c r="D55" s="1" t="s">
        <v>574</v>
      </c>
      <c r="E55" s="4"/>
      <c r="F55" s="1" t="s">
        <v>10</v>
      </c>
      <c r="G55" s="71" t="s">
        <v>1761</v>
      </c>
      <c r="H55" s="15">
        <v>25000</v>
      </c>
      <c r="I55" s="2">
        <f>Tabla2456[[#This Row],[TOTAL FACTURA]]*0.6</f>
        <v>15000</v>
      </c>
      <c r="J55" s="85">
        <f>Tabla2456[[#This Row],[TOTAL FACTURA]]*0.4</f>
        <v>10000</v>
      </c>
      <c r="L55" s="2"/>
      <c r="M55" s="2"/>
      <c r="N55" s="2" t="s">
        <v>25</v>
      </c>
      <c r="O55" s="15">
        <f>Tabla2456[[#This Row],[Columna1]]-Tabla2456[[#This Row],[MONTO DE COMPRA]]</f>
        <v>0</v>
      </c>
    </row>
    <row r="56" spans="1:15" x14ac:dyDescent="0.25">
      <c r="A56" s="56">
        <v>44695</v>
      </c>
      <c r="C56" s="4"/>
      <c r="D56" s="1" t="s">
        <v>194</v>
      </c>
      <c r="E56" s="4" t="s">
        <v>1762</v>
      </c>
      <c r="F56" s="1" t="s">
        <v>30</v>
      </c>
      <c r="G56" s="71" t="s">
        <v>1763</v>
      </c>
      <c r="H56" s="15">
        <v>40000</v>
      </c>
      <c r="I56" s="2">
        <f>Tabla2456[[#This Row],[TOTAL FACTURA]]*0.6</f>
        <v>24000</v>
      </c>
      <c r="J56" s="85">
        <f>Tabla2456[[#This Row],[TOTAL FACTURA]]*0.4</f>
        <v>16000</v>
      </c>
      <c r="L56" s="2"/>
      <c r="M56" s="2"/>
      <c r="O56" s="15">
        <f>Tabla2456[[#This Row],[Columna1]]-Tabla2456[[#This Row],[MONTO DE COMPRA]]</f>
        <v>0</v>
      </c>
    </row>
    <row r="57" spans="1:15" x14ac:dyDescent="0.25">
      <c r="A57" s="56">
        <v>44695</v>
      </c>
      <c r="C57" s="4"/>
      <c r="D57" s="1" t="s">
        <v>794</v>
      </c>
      <c r="E57" s="4" t="s">
        <v>1764</v>
      </c>
      <c r="F57" s="1" t="s">
        <v>408</v>
      </c>
      <c r="G57" s="71" t="s">
        <v>211</v>
      </c>
      <c r="H57" s="15">
        <v>30000</v>
      </c>
      <c r="I57" s="2">
        <f>Tabla2456[[#This Row],[TOTAL FACTURA]]*0.6</f>
        <v>18000</v>
      </c>
      <c r="J57" s="85">
        <f>Tabla2456[[#This Row],[TOTAL FACTURA]]*0.4</f>
        <v>12000</v>
      </c>
      <c r="L57" s="2"/>
      <c r="M57" s="2"/>
      <c r="O57" s="15">
        <f>Tabla2456[[#This Row],[Columna1]]-Tabla2456[[#This Row],[MONTO DE COMPRA]]</f>
        <v>0</v>
      </c>
    </row>
    <row r="58" spans="1:15" ht="14.25" customHeight="1" x14ac:dyDescent="0.25">
      <c r="A58" s="56">
        <v>44697</v>
      </c>
      <c r="C58" s="4"/>
      <c r="D58" s="1" t="s">
        <v>1749</v>
      </c>
      <c r="E58" s="4" t="s">
        <v>1766</v>
      </c>
      <c r="F58" s="1" t="s">
        <v>18</v>
      </c>
      <c r="G58" s="71" t="s">
        <v>1765</v>
      </c>
      <c r="H58" s="15">
        <v>100000</v>
      </c>
      <c r="I58" s="2">
        <f>Tabla2456[[#This Row],[TOTAL FACTURA]]*0.6</f>
        <v>60000</v>
      </c>
      <c r="J58" s="85">
        <f>Tabla2456[[#This Row],[TOTAL FACTURA]]*0.4</f>
        <v>40000</v>
      </c>
      <c r="L58" s="2"/>
      <c r="M58" s="2"/>
      <c r="O58" s="15">
        <f>Tabla2456[[#This Row],[Columna1]]-Tabla2456[[#This Row],[MONTO DE COMPRA]]</f>
        <v>0</v>
      </c>
    </row>
    <row r="59" spans="1:15" x14ac:dyDescent="0.25">
      <c r="A59" s="56">
        <v>44697</v>
      </c>
      <c r="B59" s="4" t="s">
        <v>1774</v>
      </c>
      <c r="C59" s="4" t="s">
        <v>1767</v>
      </c>
      <c r="E59" s="4" t="s">
        <v>1651</v>
      </c>
      <c r="F59" s="1" t="s">
        <v>1039</v>
      </c>
      <c r="G59" s="71" t="s">
        <v>1768</v>
      </c>
      <c r="H59" s="15">
        <v>60000</v>
      </c>
      <c r="I59" s="2">
        <f>Tabla2456[[#This Row],[TOTAL FACTURA]]*0.6</f>
        <v>36000</v>
      </c>
      <c r="J59" s="85">
        <f>Tabla2456[[#This Row],[TOTAL FACTURA]]*0.4</f>
        <v>24000</v>
      </c>
      <c r="K59" s="1" t="s">
        <v>1769</v>
      </c>
      <c r="L59" s="2">
        <v>45000</v>
      </c>
      <c r="M59" s="2">
        <v>60000</v>
      </c>
      <c r="O59" s="15">
        <f>Tabla2456[[#This Row],[Columna1]]-Tabla2456[[#This Row],[MONTO DE COMPRA]]</f>
        <v>15000</v>
      </c>
    </row>
    <row r="60" spans="1:15" x14ac:dyDescent="0.25">
      <c r="A60" s="56">
        <v>44697</v>
      </c>
      <c r="B60" s="4" t="s">
        <v>1775</v>
      </c>
      <c r="C60" s="4" t="s">
        <v>1770</v>
      </c>
      <c r="D60" s="1" t="s">
        <v>1772</v>
      </c>
      <c r="E60" s="4" t="s">
        <v>1771</v>
      </c>
      <c r="F60" s="1" t="s">
        <v>19</v>
      </c>
      <c r="G60" s="71" t="s">
        <v>1773</v>
      </c>
      <c r="H60" s="15">
        <v>60000</v>
      </c>
      <c r="I60" s="2">
        <f>Tabla2456[[#This Row],[TOTAL FACTURA]]*0.6</f>
        <v>36000</v>
      </c>
      <c r="J60" s="85">
        <f>Tabla2456[[#This Row],[TOTAL FACTURA]]*0.4</f>
        <v>24000</v>
      </c>
      <c r="L60" s="2"/>
      <c r="M60" s="2"/>
      <c r="O60" s="15">
        <f>Tabla2456[[#This Row],[Columna1]]-Tabla2456[[#This Row],[MONTO DE COMPRA]]</f>
        <v>0</v>
      </c>
    </row>
    <row r="61" spans="1:15" x14ac:dyDescent="0.25">
      <c r="A61" s="56">
        <v>44697</v>
      </c>
      <c r="B61" s="4" t="s">
        <v>1776</v>
      </c>
      <c r="C61" s="4" t="s">
        <v>1777</v>
      </c>
      <c r="D61" s="1" t="s">
        <v>1778</v>
      </c>
      <c r="E61" s="4" t="s">
        <v>1779</v>
      </c>
      <c r="F61" s="1" t="s">
        <v>30</v>
      </c>
      <c r="G61" s="71" t="s">
        <v>1780</v>
      </c>
      <c r="H61" s="15">
        <v>40000</v>
      </c>
      <c r="I61" s="2">
        <f>Tabla2456[[#This Row],[TOTAL FACTURA]]*0.6</f>
        <v>24000</v>
      </c>
      <c r="J61" s="85">
        <f>Tabla2456[[#This Row],[TOTAL FACTURA]]*0.4</f>
        <v>16000</v>
      </c>
      <c r="K61" s="1" t="s">
        <v>1781</v>
      </c>
      <c r="L61" s="2"/>
      <c r="M61" s="2"/>
      <c r="O61" s="15">
        <f>Tabla2456[[#This Row],[Columna1]]-Tabla2456[[#This Row],[MONTO DE COMPRA]]</f>
        <v>0</v>
      </c>
    </row>
    <row r="62" spans="1:15" x14ac:dyDescent="0.25">
      <c r="A62" s="56">
        <v>44697</v>
      </c>
      <c r="C62" s="4" t="s">
        <v>1287</v>
      </c>
      <c r="E62" s="4" t="s">
        <v>1288</v>
      </c>
      <c r="F62" s="1" t="s">
        <v>19</v>
      </c>
      <c r="G62" s="71" t="s">
        <v>21</v>
      </c>
      <c r="H62" s="15">
        <v>8000</v>
      </c>
      <c r="I62" s="2">
        <v>8000</v>
      </c>
      <c r="J62" s="85">
        <f>Tabla2456[[#This Row],[TOTAL FACTURA]]*0.4</f>
        <v>3200</v>
      </c>
      <c r="L62" s="2"/>
      <c r="M62" s="2"/>
      <c r="O62" s="15">
        <f>Tabla2456[[#This Row],[Columna1]]-Tabla2456[[#This Row],[MONTO DE COMPRA]]</f>
        <v>0</v>
      </c>
    </row>
    <row r="63" spans="1:15" x14ac:dyDescent="0.25">
      <c r="A63" s="56">
        <v>44698</v>
      </c>
      <c r="C63" s="4" t="s">
        <v>1841</v>
      </c>
      <c r="E63" s="4"/>
      <c r="F63" s="1" t="s">
        <v>408</v>
      </c>
      <c r="G63" s="71" t="s">
        <v>1842</v>
      </c>
      <c r="H63" s="15">
        <v>60000</v>
      </c>
      <c r="I63" s="2">
        <v>8000</v>
      </c>
      <c r="J63" s="102"/>
      <c r="L63" s="2"/>
      <c r="M63" s="2"/>
      <c r="O63" s="15"/>
    </row>
    <row r="64" spans="1:15" x14ac:dyDescent="0.25">
      <c r="A64" s="56">
        <v>44698</v>
      </c>
      <c r="C64" s="4"/>
      <c r="E64" s="4"/>
      <c r="F64" s="1" t="s">
        <v>1039</v>
      </c>
      <c r="G64" s="71" t="s">
        <v>1782</v>
      </c>
      <c r="H64" s="15">
        <v>10000</v>
      </c>
      <c r="I64" s="2">
        <v>10000</v>
      </c>
      <c r="J64" s="85">
        <f>Tabla2456[[#This Row],[TOTAL FACTURA]]*0.4</f>
        <v>4000</v>
      </c>
      <c r="L64" s="2"/>
      <c r="M64" s="2"/>
      <c r="O64" s="15">
        <f>Tabla2456[[#This Row],[Columna1]]-Tabla2456[[#This Row],[MONTO DE COMPRA]]</f>
        <v>0</v>
      </c>
    </row>
    <row r="65" spans="1:15" x14ac:dyDescent="0.25">
      <c r="A65" s="56">
        <v>44698</v>
      </c>
      <c r="B65" s="4" t="s">
        <v>1786</v>
      </c>
      <c r="C65" s="4" t="s">
        <v>1783</v>
      </c>
      <c r="D65" s="1" t="s">
        <v>815</v>
      </c>
      <c r="E65" s="4" t="s">
        <v>1784</v>
      </c>
      <c r="F65" s="1" t="s">
        <v>30</v>
      </c>
      <c r="G65" s="71" t="s">
        <v>1785</v>
      </c>
      <c r="H65" s="15">
        <v>455000</v>
      </c>
      <c r="I65" s="2">
        <f>Tabla2456[[#This Row],[TOTAL FACTURA]]*0.6</f>
        <v>273000</v>
      </c>
      <c r="J65" s="85">
        <f>Tabla2456[[#This Row],[TOTAL FACTURA]]*0.4</f>
        <v>182000</v>
      </c>
      <c r="L65" s="2"/>
      <c r="M65" s="2"/>
      <c r="O65" s="15">
        <f>Tabla2456[[#This Row],[Columna1]]-Tabla2456[[#This Row],[MONTO DE COMPRA]]</f>
        <v>0</v>
      </c>
    </row>
    <row r="66" spans="1:15" ht="15.75" customHeight="1" x14ac:dyDescent="0.25">
      <c r="A66" s="56">
        <v>44696</v>
      </c>
      <c r="B66" s="4" t="s">
        <v>1795</v>
      </c>
      <c r="C66" s="4" t="s">
        <v>1721</v>
      </c>
      <c r="D66" s="1" t="s">
        <v>1332</v>
      </c>
      <c r="E66" s="4" t="s">
        <v>1135</v>
      </c>
      <c r="F66" s="1" t="s">
        <v>10</v>
      </c>
      <c r="G66" s="71" t="s">
        <v>1787</v>
      </c>
      <c r="H66" s="15">
        <v>150000</v>
      </c>
      <c r="I66" s="2">
        <f>Tabla2456[[#This Row],[TOTAL FACTURA]]*0.6</f>
        <v>90000</v>
      </c>
      <c r="J66" s="85">
        <f>Tabla2456[[#This Row],[TOTAL FACTURA]]*0.4</f>
        <v>60000</v>
      </c>
      <c r="L66" s="2"/>
      <c r="M66" s="2"/>
      <c r="N66" s="2" t="s">
        <v>25</v>
      </c>
      <c r="O66" s="15">
        <f>Tabla2456[[#This Row],[Columna1]]-Tabla2456[[#This Row],[MONTO DE COMPRA]]</f>
        <v>0</v>
      </c>
    </row>
    <row r="67" spans="1:15" x14ac:dyDescent="0.25">
      <c r="A67" s="56">
        <v>44698</v>
      </c>
      <c r="C67" s="100"/>
      <c r="D67" s="1" t="s">
        <v>122</v>
      </c>
      <c r="E67" s="4"/>
      <c r="F67" s="1" t="s">
        <v>408</v>
      </c>
      <c r="G67" s="71" t="s">
        <v>211</v>
      </c>
      <c r="H67" s="15">
        <v>30000</v>
      </c>
      <c r="I67" s="2">
        <f>Tabla2456[[#This Row],[TOTAL FACTURA]]*0.6</f>
        <v>18000</v>
      </c>
      <c r="J67" s="102"/>
      <c r="L67" s="2"/>
      <c r="M67" s="2"/>
      <c r="O67" s="15"/>
    </row>
    <row r="68" spans="1:15" x14ac:dyDescent="0.25">
      <c r="A68" s="56">
        <v>44698</v>
      </c>
      <c r="C68" s="4"/>
      <c r="D68" s="1" t="s">
        <v>637</v>
      </c>
      <c r="E68" s="4" t="s">
        <v>1788</v>
      </c>
      <c r="F68" s="1" t="s">
        <v>19</v>
      </c>
      <c r="G68" s="71" t="s">
        <v>140</v>
      </c>
      <c r="H68" s="15">
        <v>60000</v>
      </c>
      <c r="I68" s="2">
        <v>50000</v>
      </c>
      <c r="J68" s="85">
        <f>Tabla2456[[#This Row],[TOTAL FACTURA]]*0.4</f>
        <v>24000</v>
      </c>
      <c r="L68" s="2"/>
      <c r="M68" s="2"/>
      <c r="O68" s="15">
        <f>Tabla2456[[#This Row],[Columna1]]-Tabla2456[[#This Row],[MONTO DE COMPRA]]</f>
        <v>0</v>
      </c>
    </row>
    <row r="69" spans="1:15" x14ac:dyDescent="0.25">
      <c r="A69" s="56">
        <v>44698</v>
      </c>
      <c r="B69" s="4" t="s">
        <v>1789</v>
      </c>
      <c r="C69" s="4" t="s">
        <v>1790</v>
      </c>
      <c r="D69" s="1" t="s">
        <v>48</v>
      </c>
      <c r="E69" s="4" t="s">
        <v>1791</v>
      </c>
      <c r="F69" s="1" t="s">
        <v>1039</v>
      </c>
      <c r="G69" s="71" t="s">
        <v>1792</v>
      </c>
      <c r="H69" s="15">
        <v>50000</v>
      </c>
      <c r="I69" s="15">
        <v>40000</v>
      </c>
      <c r="J69" s="85">
        <f>Tabla2456[[#This Row],[TOTAL FACTURA]]*0.4</f>
        <v>20000</v>
      </c>
      <c r="L69" s="2"/>
      <c r="M69" s="2"/>
      <c r="O69" s="15">
        <f>Tabla2456[[#This Row],[Columna1]]-Tabla2456[[#This Row],[MONTO DE COMPRA]]</f>
        <v>0</v>
      </c>
    </row>
    <row r="70" spans="1:15" ht="15.75" customHeight="1" x14ac:dyDescent="0.25">
      <c r="A70" s="56">
        <v>44698</v>
      </c>
      <c r="C70" s="4" t="s">
        <v>1793</v>
      </c>
      <c r="D70" s="1" t="s">
        <v>22</v>
      </c>
      <c r="E70" s="4" t="s">
        <v>1088</v>
      </c>
      <c r="F70" s="1" t="s">
        <v>18</v>
      </c>
      <c r="G70" s="71" t="s">
        <v>1794</v>
      </c>
      <c r="H70" s="15">
        <v>60000</v>
      </c>
      <c r="I70" s="2">
        <f>Tabla2456[[#This Row],[TOTAL FACTURA]]*0.6</f>
        <v>36000</v>
      </c>
      <c r="J70" s="85">
        <f>Tabla2456[[#This Row],[TOTAL FACTURA]]*0.4</f>
        <v>24000</v>
      </c>
      <c r="L70" s="2"/>
      <c r="M70" s="2"/>
      <c r="O70" s="15">
        <f>Tabla2456[[#This Row],[Columna1]]-Tabla2456[[#This Row],[MONTO DE COMPRA]]</f>
        <v>0</v>
      </c>
    </row>
    <row r="71" spans="1:15" ht="15.75" customHeight="1" x14ac:dyDescent="0.25">
      <c r="A71" s="56">
        <v>44698</v>
      </c>
      <c r="C71" s="4" t="s">
        <v>1796</v>
      </c>
      <c r="D71" s="1" t="s">
        <v>500</v>
      </c>
      <c r="E71" s="4" t="s">
        <v>1797</v>
      </c>
      <c r="F71" s="1" t="s">
        <v>408</v>
      </c>
      <c r="G71" s="71" t="s">
        <v>20</v>
      </c>
      <c r="H71" s="15">
        <v>30000</v>
      </c>
      <c r="I71" s="2">
        <f>Tabla2456[[#This Row],[TOTAL FACTURA]]*0.6</f>
        <v>18000</v>
      </c>
      <c r="J71" s="85">
        <f>Tabla2456[[#This Row],[TOTAL FACTURA]]*0.4</f>
        <v>12000</v>
      </c>
      <c r="L71" s="2"/>
      <c r="M71" s="2"/>
      <c r="O71" s="15">
        <f>Tabla2456[[#This Row],[Columna1]]-Tabla2456[[#This Row],[MONTO DE COMPRA]]</f>
        <v>0</v>
      </c>
    </row>
    <row r="72" spans="1:15" ht="15.75" customHeight="1" x14ac:dyDescent="0.25">
      <c r="A72" s="56">
        <v>44698</v>
      </c>
      <c r="B72" s="4" t="s">
        <v>1801</v>
      </c>
      <c r="C72" s="4" t="s">
        <v>1798</v>
      </c>
      <c r="D72" s="1" t="s">
        <v>1799</v>
      </c>
      <c r="E72" s="4" t="s">
        <v>261</v>
      </c>
      <c r="F72" s="1" t="s">
        <v>19</v>
      </c>
      <c r="G72" s="71" t="s">
        <v>1800</v>
      </c>
      <c r="H72" s="15">
        <v>70000</v>
      </c>
      <c r="I72" s="2">
        <v>70000</v>
      </c>
      <c r="J72" s="85">
        <f>Tabla2456[[#This Row],[TOTAL FACTURA]]*0.4</f>
        <v>28000</v>
      </c>
      <c r="L72" s="2"/>
      <c r="M72" s="2"/>
      <c r="O72" s="15">
        <f>Tabla2456[[#This Row],[Columna1]]-Tabla2456[[#This Row],[MONTO DE COMPRA]]</f>
        <v>0</v>
      </c>
    </row>
    <row r="73" spans="1:15" x14ac:dyDescent="0.25">
      <c r="A73" s="56">
        <v>44699</v>
      </c>
      <c r="B73" s="4" t="s">
        <v>1802</v>
      </c>
      <c r="C73" s="4" t="s">
        <v>1803</v>
      </c>
      <c r="D73" s="1" t="s">
        <v>122</v>
      </c>
      <c r="E73" s="4" t="s">
        <v>1804</v>
      </c>
      <c r="F73" s="1" t="s">
        <v>10</v>
      </c>
      <c r="G73" s="71" t="s">
        <v>1805</v>
      </c>
      <c r="H73" s="15">
        <v>50000</v>
      </c>
      <c r="I73" s="2">
        <f>Tabla2456[[#This Row],[TOTAL FACTURA]]*0.6</f>
        <v>30000</v>
      </c>
      <c r="J73" s="85">
        <f>Tabla2456[[#This Row],[TOTAL FACTURA]]*0.4</f>
        <v>20000</v>
      </c>
      <c r="L73" s="2"/>
      <c r="M73" s="2"/>
      <c r="N73" s="2" t="s">
        <v>25</v>
      </c>
      <c r="O73" s="15">
        <f>Tabla2456[[#This Row],[Columna1]]-Tabla2456[[#This Row],[MONTO DE COMPRA]]</f>
        <v>0</v>
      </c>
    </row>
    <row r="74" spans="1:15" x14ac:dyDescent="0.25">
      <c r="A74" s="56">
        <v>44699</v>
      </c>
      <c r="B74" s="4" t="s">
        <v>1806</v>
      </c>
      <c r="C74" s="4" t="s">
        <v>1807</v>
      </c>
      <c r="D74" s="1" t="s">
        <v>439</v>
      </c>
      <c r="E74" s="4" t="s">
        <v>1808</v>
      </c>
      <c r="F74" s="1" t="s">
        <v>1039</v>
      </c>
      <c r="G74" s="71" t="s">
        <v>1809</v>
      </c>
      <c r="H74" s="15">
        <v>100000</v>
      </c>
      <c r="I74" s="2">
        <f>Tabla2456[[#This Row],[TOTAL FACTURA]]*0.6</f>
        <v>60000</v>
      </c>
      <c r="J74" s="85">
        <f>Tabla2456[[#This Row],[TOTAL FACTURA]]*0.4</f>
        <v>40000</v>
      </c>
      <c r="L74" s="2"/>
      <c r="M74" s="2"/>
      <c r="O74" s="15">
        <f>Tabla2456[[#This Row],[Columna1]]-Tabla2456[[#This Row],[MONTO DE COMPRA]]</f>
        <v>0</v>
      </c>
    </row>
    <row r="75" spans="1:15" x14ac:dyDescent="0.25">
      <c r="A75" s="56">
        <v>44699</v>
      </c>
      <c r="B75" s="4" t="s">
        <v>1806</v>
      </c>
      <c r="C75" s="4" t="s">
        <v>1807</v>
      </c>
      <c r="D75" s="1" t="s">
        <v>439</v>
      </c>
      <c r="E75" s="4" t="s">
        <v>1808</v>
      </c>
      <c r="F75" s="1" t="s">
        <v>19</v>
      </c>
      <c r="G75" s="71" t="s">
        <v>1809</v>
      </c>
      <c r="H75" s="15">
        <v>50000</v>
      </c>
      <c r="I75" s="2">
        <f>Tabla2456[[#This Row],[TOTAL FACTURA]]*0.6</f>
        <v>30000</v>
      </c>
      <c r="J75" s="85">
        <f>Tabla2456[[#This Row],[TOTAL FACTURA]]*0.4</f>
        <v>20000</v>
      </c>
      <c r="L75" s="2"/>
      <c r="M75" s="2"/>
      <c r="O75" s="15">
        <f>Tabla2456[[#This Row],[Columna1]]-Tabla2456[[#This Row],[MONTO DE COMPRA]]</f>
        <v>0</v>
      </c>
    </row>
    <row r="76" spans="1:15" x14ac:dyDescent="0.25">
      <c r="A76" s="56">
        <v>44699</v>
      </c>
      <c r="C76" s="4" t="s">
        <v>1394</v>
      </c>
      <c r="D76" s="1" t="s">
        <v>240</v>
      </c>
      <c r="E76" s="4" t="s">
        <v>1395</v>
      </c>
      <c r="F76" s="1" t="s">
        <v>30</v>
      </c>
      <c r="G76" s="71" t="s">
        <v>1810</v>
      </c>
      <c r="H76" s="15">
        <v>10000</v>
      </c>
      <c r="I76" s="2">
        <f>Tabla2456[[#This Row],[TOTAL FACTURA]]*0.6</f>
        <v>6000</v>
      </c>
      <c r="J76" s="85">
        <f>Tabla2456[[#This Row],[TOTAL FACTURA]]*0.4</f>
        <v>4000</v>
      </c>
      <c r="L76" s="2"/>
      <c r="M76" s="2"/>
      <c r="O76" s="15">
        <f>Tabla2456[[#This Row],[Columna1]]-Tabla2456[[#This Row],[MONTO DE COMPRA]]</f>
        <v>0</v>
      </c>
    </row>
    <row r="77" spans="1:15" x14ac:dyDescent="0.25">
      <c r="A77" s="56">
        <v>44699</v>
      </c>
      <c r="C77" s="100"/>
      <c r="E77" s="4" t="s">
        <v>1812</v>
      </c>
      <c r="F77" s="1" t="s">
        <v>10</v>
      </c>
      <c r="G77" s="71" t="s">
        <v>1811</v>
      </c>
      <c r="H77" s="15">
        <v>70000</v>
      </c>
      <c r="I77" s="2">
        <f>Tabla2456[[#This Row],[TOTAL FACTURA]]*0.6</f>
        <v>42000</v>
      </c>
      <c r="J77" s="85">
        <f>Tabla2456[[#This Row],[TOTAL FACTURA]]*0.4</f>
        <v>28000</v>
      </c>
      <c r="L77" s="2"/>
      <c r="M77" s="2"/>
      <c r="N77" s="2" t="s">
        <v>25</v>
      </c>
      <c r="O77" s="15">
        <f>Tabla2456[[#This Row],[Columna1]]-Tabla2456[[#This Row],[MONTO DE COMPRA]]</f>
        <v>0</v>
      </c>
    </row>
    <row r="78" spans="1:15" x14ac:dyDescent="0.25">
      <c r="A78" s="56">
        <v>44699</v>
      </c>
      <c r="B78" s="4" t="s">
        <v>1813</v>
      </c>
      <c r="C78" s="4" t="s">
        <v>1814</v>
      </c>
      <c r="D78" s="1" t="s">
        <v>48</v>
      </c>
      <c r="E78" s="4" t="s">
        <v>1815</v>
      </c>
      <c r="F78" s="1" t="s">
        <v>30</v>
      </c>
      <c r="G78" s="71" t="s">
        <v>1816</v>
      </c>
      <c r="H78" s="15">
        <v>150000</v>
      </c>
      <c r="I78" s="2">
        <f>Tabla2456[[#This Row],[TOTAL FACTURA]]*0.6</f>
        <v>90000</v>
      </c>
      <c r="J78" s="85">
        <f>Tabla2456[[#This Row],[TOTAL FACTURA]]*0.4</f>
        <v>60000</v>
      </c>
      <c r="L78" s="2"/>
      <c r="M78" s="2"/>
      <c r="O78" s="15">
        <f>Tabla2456[[#This Row],[Columna1]]-Tabla2456[[#This Row],[MONTO DE COMPRA]]</f>
        <v>0</v>
      </c>
    </row>
    <row r="79" spans="1:15" x14ac:dyDescent="0.25">
      <c r="A79" s="56">
        <v>44699</v>
      </c>
      <c r="B79" s="4" t="s">
        <v>1813</v>
      </c>
      <c r="C79" s="4" t="s">
        <v>1814</v>
      </c>
      <c r="D79" s="1" t="s">
        <v>48</v>
      </c>
      <c r="E79" s="4" t="s">
        <v>1815</v>
      </c>
      <c r="F79" s="1" t="s">
        <v>408</v>
      </c>
      <c r="G79" s="71" t="s">
        <v>1817</v>
      </c>
      <c r="H79" s="15">
        <v>100000</v>
      </c>
      <c r="I79" s="2">
        <v>80000</v>
      </c>
      <c r="J79" s="85">
        <f>Tabla2456[[#This Row],[TOTAL FACTURA]]*0.4</f>
        <v>40000</v>
      </c>
      <c r="L79" s="2"/>
      <c r="M79" s="2"/>
      <c r="O79" s="15">
        <f>Tabla2456[[#This Row],[Columna1]]-Tabla2456[[#This Row],[MONTO DE COMPRA]]</f>
        <v>0</v>
      </c>
    </row>
    <row r="80" spans="1:15" x14ac:dyDescent="0.25">
      <c r="A80" s="56">
        <v>44699</v>
      </c>
      <c r="B80" s="4" t="s">
        <v>1818</v>
      </c>
      <c r="C80" s="4" t="s">
        <v>1819</v>
      </c>
      <c r="D80" s="1" t="s">
        <v>240</v>
      </c>
      <c r="E80" s="4" t="s">
        <v>1820</v>
      </c>
      <c r="F80" s="1" t="s">
        <v>1039</v>
      </c>
      <c r="G80" s="71" t="s">
        <v>1821</v>
      </c>
      <c r="H80" s="15">
        <v>120000</v>
      </c>
      <c r="I80" s="2">
        <f>Tabla2456[[#This Row],[TOTAL FACTURA]]*0.6</f>
        <v>72000</v>
      </c>
      <c r="J80" s="85">
        <f>Tabla2456[[#This Row],[TOTAL FACTURA]]*0.4</f>
        <v>48000</v>
      </c>
      <c r="L80" s="2"/>
      <c r="M80" s="2"/>
      <c r="O80" s="15">
        <f>Tabla2456[[#This Row],[Columna1]]-Tabla2456[[#This Row],[MONTO DE COMPRA]]</f>
        <v>0</v>
      </c>
    </row>
    <row r="81" spans="1:15" x14ac:dyDescent="0.25">
      <c r="A81" s="56">
        <v>44700</v>
      </c>
      <c r="B81" s="4" t="s">
        <v>1822</v>
      </c>
      <c r="C81" s="4" t="s">
        <v>1823</v>
      </c>
      <c r="D81" s="1" t="s">
        <v>303</v>
      </c>
      <c r="E81" s="4" t="s">
        <v>1824</v>
      </c>
      <c r="F81" s="1" t="s">
        <v>30</v>
      </c>
      <c r="G81" s="71" t="s">
        <v>1825</v>
      </c>
      <c r="H81" s="15">
        <v>40000</v>
      </c>
      <c r="I81" s="2">
        <f>Tabla2456[[#This Row],[TOTAL FACTURA]]*0.6</f>
        <v>24000</v>
      </c>
      <c r="J81" s="85">
        <f>Tabla2456[[#This Row],[TOTAL FACTURA]]*0.4</f>
        <v>16000</v>
      </c>
      <c r="L81" s="2"/>
      <c r="M81" s="2"/>
      <c r="O81" s="15">
        <f>Tabla2456[[#This Row],[Columna1]]-Tabla2456[[#This Row],[MONTO DE COMPRA]]</f>
        <v>0</v>
      </c>
    </row>
    <row r="82" spans="1:15" x14ac:dyDescent="0.25">
      <c r="A82" s="56">
        <v>44700</v>
      </c>
      <c r="B82" s="4" t="s">
        <v>1826</v>
      </c>
      <c r="C82" s="4" t="s">
        <v>1827</v>
      </c>
      <c r="D82" s="1" t="s">
        <v>1828</v>
      </c>
      <c r="E82" s="4" t="s">
        <v>1829</v>
      </c>
      <c r="F82" s="1" t="s">
        <v>408</v>
      </c>
      <c r="G82" s="66" t="s">
        <v>1830</v>
      </c>
      <c r="H82" s="15">
        <v>190000</v>
      </c>
      <c r="I82" s="2">
        <v>190000</v>
      </c>
      <c r="J82" s="85">
        <v>90000</v>
      </c>
      <c r="L82" s="15"/>
      <c r="M82" s="15"/>
      <c r="N82" s="15"/>
      <c r="O82" s="15">
        <f>Tabla2456[[#This Row],[Columna1]]-Tabla2456[[#This Row],[MONTO DE COMPRA]]</f>
        <v>0</v>
      </c>
    </row>
    <row r="83" spans="1:15" ht="20.25" customHeight="1" x14ac:dyDescent="0.25">
      <c r="A83" s="56">
        <v>44700</v>
      </c>
      <c r="C83" s="4" t="s">
        <v>598</v>
      </c>
      <c r="D83" s="1" t="s">
        <v>162</v>
      </c>
      <c r="E83" s="4" t="s">
        <v>161</v>
      </c>
      <c r="F83" s="1" t="s">
        <v>19</v>
      </c>
      <c r="G83" s="66" t="s">
        <v>341</v>
      </c>
      <c r="H83" s="15">
        <v>10000</v>
      </c>
      <c r="I83" s="2">
        <f>Tabla2456[[#This Row],[TOTAL FACTURA]]*0.6</f>
        <v>6000</v>
      </c>
      <c r="J83" s="85">
        <f>Tabla2456[[#This Row],[TOTAL FACTURA]]*0.4</f>
        <v>4000</v>
      </c>
      <c r="L83" s="15"/>
      <c r="M83" s="15"/>
      <c r="N83" s="15"/>
      <c r="O83" s="15">
        <f>Tabla2456[[#This Row],[Columna1]]-Tabla2456[[#This Row],[MONTO DE COMPRA]]</f>
        <v>0</v>
      </c>
    </row>
    <row r="84" spans="1:15" x14ac:dyDescent="0.25">
      <c r="A84" s="56">
        <v>44700</v>
      </c>
      <c r="B84" s="4" t="s">
        <v>1831</v>
      </c>
      <c r="C84" s="4" t="s">
        <v>1833</v>
      </c>
      <c r="D84" s="1" t="s">
        <v>1832</v>
      </c>
      <c r="E84" s="4" t="s">
        <v>268</v>
      </c>
      <c r="F84" s="1" t="s">
        <v>408</v>
      </c>
      <c r="G84" s="71" t="s">
        <v>1834</v>
      </c>
      <c r="H84" s="15">
        <v>40000</v>
      </c>
      <c r="I84" s="2">
        <f>Tabla2456[[#This Row],[TOTAL FACTURA]]*0.6</f>
        <v>24000</v>
      </c>
      <c r="J84" s="85">
        <f>Tabla2456[[#This Row],[TOTAL FACTURA]]*0.4</f>
        <v>16000</v>
      </c>
      <c r="L84" s="2"/>
      <c r="M84" s="2"/>
      <c r="O84" s="15">
        <f>Tabla2456[[#This Row],[Columna1]]-Tabla2456[[#This Row],[MONTO DE COMPRA]]</f>
        <v>0</v>
      </c>
    </row>
    <row r="85" spans="1:15" x14ac:dyDescent="0.25">
      <c r="A85" s="56">
        <v>44700</v>
      </c>
      <c r="C85" s="4" t="s">
        <v>1835</v>
      </c>
      <c r="D85" s="4" t="s">
        <v>1837</v>
      </c>
      <c r="E85" s="1" t="s">
        <v>1836</v>
      </c>
      <c r="F85" s="1" t="s">
        <v>408</v>
      </c>
      <c r="G85" s="71" t="s">
        <v>1838</v>
      </c>
      <c r="H85" s="15">
        <v>50000</v>
      </c>
      <c r="I85" s="2">
        <v>50000</v>
      </c>
      <c r="J85" s="85">
        <v>10000</v>
      </c>
      <c r="L85" s="2"/>
      <c r="M85" s="2"/>
      <c r="O85" s="15">
        <f>Tabla2456[[#This Row],[Columna1]]-Tabla2456[[#This Row],[MONTO DE COMPRA]]</f>
        <v>0</v>
      </c>
    </row>
    <row r="86" spans="1:15" ht="18.75" customHeight="1" x14ac:dyDescent="0.25">
      <c r="A86" s="56">
        <v>44700</v>
      </c>
      <c r="C86" s="4"/>
      <c r="D86" s="4" t="s">
        <v>559</v>
      </c>
      <c r="E86" s="4" t="s">
        <v>1839</v>
      </c>
      <c r="F86" s="1" t="s">
        <v>1039</v>
      </c>
      <c r="G86" s="66" t="s">
        <v>1840</v>
      </c>
      <c r="H86" s="15">
        <v>20000</v>
      </c>
      <c r="I86" s="2">
        <v>20000</v>
      </c>
      <c r="J86" s="85">
        <v>10000</v>
      </c>
      <c r="L86" s="15"/>
      <c r="M86" s="15"/>
      <c r="N86" s="15"/>
      <c r="O86" s="15">
        <f>Tabla2456[[#This Row],[Columna1]]-Tabla2456[[#This Row],[MONTO DE COMPRA]]</f>
        <v>0</v>
      </c>
    </row>
    <row r="87" spans="1:15" x14ac:dyDescent="0.25">
      <c r="A87" s="56">
        <v>44702</v>
      </c>
      <c r="B87" s="4" t="s">
        <v>1845</v>
      </c>
      <c r="C87" s="4" t="s">
        <v>1846</v>
      </c>
      <c r="D87" s="1" t="s">
        <v>1847</v>
      </c>
      <c r="E87" s="4" t="s">
        <v>1848</v>
      </c>
      <c r="F87" s="1" t="s">
        <v>19</v>
      </c>
      <c r="G87" s="71" t="s">
        <v>1849</v>
      </c>
      <c r="H87" s="15">
        <v>380000</v>
      </c>
      <c r="I87" s="2">
        <f>Tabla2456[[#This Row],[TOTAL FACTURA]]*0.7</f>
        <v>266000</v>
      </c>
      <c r="J87" s="85">
        <f>Tabla2456[[#This Row],[TOTAL FACTURA]]*0.3</f>
        <v>114000</v>
      </c>
      <c r="L87" s="2"/>
      <c r="M87" s="2"/>
      <c r="O87" s="15">
        <f>Tabla2456[[#This Row],[Columna1]]-Tabla2456[[#This Row],[MONTO DE COMPRA]]</f>
        <v>0</v>
      </c>
    </row>
    <row r="88" spans="1:15" x14ac:dyDescent="0.25">
      <c r="A88" s="56">
        <v>44702</v>
      </c>
      <c r="C88" s="4"/>
      <c r="D88" s="1" t="s">
        <v>1907</v>
      </c>
      <c r="E88" s="4"/>
      <c r="F88" s="1" t="s">
        <v>19</v>
      </c>
      <c r="G88" s="71" t="s">
        <v>20</v>
      </c>
      <c r="H88" s="15">
        <v>30000</v>
      </c>
      <c r="I88" s="2">
        <f>Tabla2456[[#This Row],[TOTAL FACTURA]]*0.6</f>
        <v>18000</v>
      </c>
      <c r="J88" s="2"/>
      <c r="L88" s="2"/>
      <c r="M88" s="2"/>
      <c r="O88" s="15"/>
    </row>
    <row r="89" spans="1:15" x14ac:dyDescent="0.25">
      <c r="A89" s="56">
        <v>44702</v>
      </c>
      <c r="B89" s="4" t="s">
        <v>1850</v>
      </c>
      <c r="C89" s="4" t="s">
        <v>1851</v>
      </c>
      <c r="D89" s="1" t="s">
        <v>311</v>
      </c>
      <c r="E89" s="4" t="s">
        <v>1852</v>
      </c>
      <c r="F89" s="1" t="s">
        <v>19</v>
      </c>
      <c r="G89" s="71" t="s">
        <v>1853</v>
      </c>
      <c r="H89" s="15">
        <v>450000</v>
      </c>
      <c r="I89" s="2">
        <f>Tabla2456[[#This Row],[TOTAL FACTURA]]*0.8</f>
        <v>360000</v>
      </c>
      <c r="J89" s="85">
        <f>Tabla2456[[#This Row],[TOTAL FACTURA]]*0.3</f>
        <v>135000</v>
      </c>
      <c r="L89" s="2"/>
      <c r="M89" s="2"/>
      <c r="O89" s="15">
        <f>Tabla2456[[#This Row],[Columna1]]-Tabla2456[[#This Row],[MONTO DE COMPRA]]</f>
        <v>0</v>
      </c>
    </row>
    <row r="90" spans="1:15" x14ac:dyDescent="0.25">
      <c r="A90" s="56">
        <v>44702</v>
      </c>
      <c r="B90" s="4" t="s">
        <v>1854</v>
      </c>
      <c r="C90" s="4" t="s">
        <v>1855</v>
      </c>
      <c r="D90" s="1" t="s">
        <v>1332</v>
      </c>
      <c r="E90" s="4" t="s">
        <v>1750</v>
      </c>
      <c r="F90" s="1" t="s">
        <v>19</v>
      </c>
      <c r="G90" s="71" t="s">
        <v>1821</v>
      </c>
      <c r="H90" s="15">
        <v>40000</v>
      </c>
      <c r="I90" s="2">
        <f>Tabla2456[[#This Row],[TOTAL FACTURA]]*0.6</f>
        <v>24000</v>
      </c>
      <c r="J90" s="85">
        <f>Tabla2456[[#This Row],[TOTAL FACTURA]]*0.4</f>
        <v>16000</v>
      </c>
      <c r="L90" s="2"/>
      <c r="M90" s="2"/>
      <c r="O90" s="15">
        <f>Tabla2456[[#This Row],[Columna1]]-Tabla2456[[#This Row],[MONTO DE COMPRA]]</f>
        <v>0</v>
      </c>
    </row>
    <row r="91" spans="1:15" ht="15.75" customHeight="1" x14ac:dyDescent="0.25">
      <c r="A91" s="56">
        <v>44702</v>
      </c>
      <c r="B91" s="4" t="s">
        <v>1856</v>
      </c>
      <c r="C91" s="4" t="s">
        <v>1857</v>
      </c>
      <c r="D91" s="1" t="s">
        <v>200</v>
      </c>
      <c r="E91" s="1" t="s">
        <v>1858</v>
      </c>
      <c r="F91" s="1" t="s">
        <v>19</v>
      </c>
      <c r="G91" s="66" t="s">
        <v>1532</v>
      </c>
      <c r="H91" s="15">
        <v>45000</v>
      </c>
      <c r="I91" s="2">
        <f>Tabla2456[[#This Row],[TOTAL FACTURA]]*0.6</f>
        <v>27000</v>
      </c>
      <c r="J91" s="85">
        <f>Tabla2456[[#This Row],[TOTAL FACTURA]]*0.4</f>
        <v>18000</v>
      </c>
      <c r="L91" s="15"/>
      <c r="M91" s="15"/>
      <c r="N91" s="15"/>
      <c r="O91" s="15">
        <f>Tabla2456[[#This Row],[Columna1]]-Tabla2456[[#This Row],[MONTO DE COMPRA]]</f>
        <v>0</v>
      </c>
    </row>
    <row r="92" spans="1:15" ht="15.75" customHeight="1" x14ac:dyDescent="0.25">
      <c r="A92" s="56">
        <v>44704</v>
      </c>
      <c r="B92" s="4" t="s">
        <v>1859</v>
      </c>
      <c r="C92" s="4" t="s">
        <v>1860</v>
      </c>
      <c r="D92" s="1" t="s">
        <v>96</v>
      </c>
      <c r="E92" s="4" t="s">
        <v>1861</v>
      </c>
      <c r="F92" s="1" t="s">
        <v>408</v>
      </c>
      <c r="G92" s="71" t="s">
        <v>1862</v>
      </c>
      <c r="H92" s="15">
        <v>150000</v>
      </c>
      <c r="I92" s="2">
        <f>Tabla2456[[#This Row],[TOTAL FACTURA]]*0.6</f>
        <v>90000</v>
      </c>
      <c r="J92" s="85">
        <f>Tabla2456[[#This Row],[TOTAL FACTURA]]*0.4</f>
        <v>60000</v>
      </c>
      <c r="L92" s="2"/>
      <c r="M92" s="2"/>
      <c r="O92" s="15">
        <f>Tabla2456[[#This Row],[Columna1]]-Tabla2456[[#This Row],[MONTO DE COMPRA]]</f>
        <v>0</v>
      </c>
    </row>
    <row r="93" spans="1:15" x14ac:dyDescent="0.25">
      <c r="A93" s="56">
        <v>44704</v>
      </c>
      <c r="B93" s="4" t="s">
        <v>1863</v>
      </c>
      <c r="C93" s="4" t="s">
        <v>129</v>
      </c>
      <c r="D93" s="1" t="s">
        <v>202</v>
      </c>
      <c r="E93" s="4" t="s">
        <v>125</v>
      </c>
      <c r="F93" s="1" t="s">
        <v>10</v>
      </c>
      <c r="G93" s="71" t="s">
        <v>1001</v>
      </c>
      <c r="H93" s="15">
        <v>250000</v>
      </c>
      <c r="I93" s="2">
        <f>Tabla2456[[#This Row],[TOTAL FACTURA]]*0.6</f>
        <v>150000</v>
      </c>
      <c r="J93" s="85">
        <f>Tabla2456[[#This Row],[TOTAL FACTURA]]*0.4</f>
        <v>100000</v>
      </c>
      <c r="L93" s="2"/>
      <c r="M93" s="2"/>
      <c r="N93" s="2" t="s">
        <v>25</v>
      </c>
      <c r="O93" s="15">
        <f>Tabla2456[[#This Row],[Columna1]]-Tabla2456[[#This Row],[MONTO DE COMPRA]]</f>
        <v>0</v>
      </c>
    </row>
    <row r="94" spans="1:15" x14ac:dyDescent="0.25">
      <c r="A94" s="56">
        <v>44704</v>
      </c>
      <c r="B94" s="4" t="s">
        <v>1863</v>
      </c>
      <c r="C94" s="4" t="s">
        <v>129</v>
      </c>
      <c r="D94" s="1" t="s">
        <v>202</v>
      </c>
      <c r="E94" s="4" t="s">
        <v>125</v>
      </c>
      <c r="F94" s="1" t="s">
        <v>408</v>
      </c>
      <c r="G94" s="71" t="s">
        <v>140</v>
      </c>
      <c r="H94" s="15">
        <v>200000</v>
      </c>
      <c r="I94" s="2">
        <f>Tabla2456[[#This Row],[TOTAL FACTURA]]*0.6</f>
        <v>120000</v>
      </c>
      <c r="J94" s="85">
        <f>Tabla2456[[#This Row],[TOTAL FACTURA]]*0.4</f>
        <v>80000</v>
      </c>
      <c r="L94" s="2"/>
      <c r="M94" s="2"/>
      <c r="O94" s="15">
        <f>Tabla2456[[#This Row],[Columna1]]-Tabla2456[[#This Row],[MONTO DE COMPRA]]</f>
        <v>0</v>
      </c>
    </row>
    <row r="95" spans="1:15" x14ac:dyDescent="0.25">
      <c r="A95" s="56">
        <v>44704</v>
      </c>
      <c r="B95" s="4" t="s">
        <v>1864</v>
      </c>
      <c r="C95" s="4" t="s">
        <v>922</v>
      </c>
      <c r="D95" s="1" t="s">
        <v>1865</v>
      </c>
      <c r="E95" s="4" t="s">
        <v>924</v>
      </c>
      <c r="F95" s="1" t="s">
        <v>1039</v>
      </c>
      <c r="G95" s="71" t="s">
        <v>1866</v>
      </c>
      <c r="H95" s="15">
        <v>30000</v>
      </c>
      <c r="I95" s="2">
        <f>Tabla2456[[#This Row],[TOTAL FACTURA]]*0.6</f>
        <v>18000</v>
      </c>
      <c r="J95" s="85">
        <f>Tabla2456[[#This Row],[TOTAL FACTURA]]*0.4</f>
        <v>12000</v>
      </c>
      <c r="L95" s="2"/>
      <c r="M95" s="2"/>
      <c r="O95" s="15">
        <f>Tabla2456[[#This Row],[Columna1]]-Tabla2456[[#This Row],[MONTO DE COMPRA]]</f>
        <v>0</v>
      </c>
    </row>
    <row r="96" spans="1:15" x14ac:dyDescent="0.25">
      <c r="A96" s="56">
        <v>44705</v>
      </c>
      <c r="B96" s="4" t="s">
        <v>1867</v>
      </c>
      <c r="C96" s="4" t="s">
        <v>1868</v>
      </c>
      <c r="D96" s="1" t="s">
        <v>84</v>
      </c>
      <c r="E96" s="4" t="s">
        <v>1869</v>
      </c>
      <c r="F96" s="1" t="s">
        <v>30</v>
      </c>
      <c r="G96" s="71" t="s">
        <v>1870</v>
      </c>
      <c r="H96" s="15">
        <v>80000</v>
      </c>
      <c r="I96" s="2">
        <f>Tabla2456[[#This Row],[TOTAL FACTURA]]*0.6</f>
        <v>48000</v>
      </c>
      <c r="J96" s="85">
        <f>Tabla2456[[#This Row],[TOTAL FACTURA]]*0.4</f>
        <v>32000</v>
      </c>
      <c r="L96" s="2"/>
      <c r="M96" s="2"/>
      <c r="O96" s="15">
        <f>Tabla2456[[#This Row],[Columna1]]-Tabla2456[[#This Row],[MONTO DE COMPRA]]</f>
        <v>0</v>
      </c>
    </row>
    <row r="97" spans="1:15" x14ac:dyDescent="0.25">
      <c r="A97" s="56">
        <v>44705</v>
      </c>
      <c r="B97" s="4" t="s">
        <v>1871</v>
      </c>
      <c r="C97" s="4" t="s">
        <v>1868</v>
      </c>
      <c r="D97" s="1" t="s">
        <v>1872</v>
      </c>
      <c r="E97" s="4" t="s">
        <v>1873</v>
      </c>
      <c r="F97" s="1" t="s">
        <v>19</v>
      </c>
      <c r="G97" s="66" t="s">
        <v>1874</v>
      </c>
      <c r="H97" s="15">
        <v>70000</v>
      </c>
      <c r="I97" s="2">
        <f>Tabla2456[[#This Row],[TOTAL FACTURA]]*0.6</f>
        <v>42000</v>
      </c>
      <c r="J97" s="85">
        <f>Tabla2456[[#This Row],[TOTAL FACTURA]]*0.4</f>
        <v>28000</v>
      </c>
      <c r="L97" s="15"/>
      <c r="M97" s="15"/>
      <c r="N97" s="15"/>
      <c r="O97" s="15">
        <f>Tabla2456[[#This Row],[Columna1]]-Tabla2456[[#This Row],[MONTO DE COMPRA]]</f>
        <v>0</v>
      </c>
    </row>
    <row r="98" spans="1:15" x14ac:dyDescent="0.25">
      <c r="A98" s="56">
        <v>44705</v>
      </c>
      <c r="C98" s="93"/>
      <c r="D98" s="1" t="s">
        <v>65</v>
      </c>
      <c r="E98" s="4"/>
      <c r="F98" s="1" t="s">
        <v>1039</v>
      </c>
      <c r="G98" s="71" t="s">
        <v>21</v>
      </c>
      <c r="H98" s="15">
        <v>15000</v>
      </c>
      <c r="I98" s="2">
        <v>15000</v>
      </c>
      <c r="J98" s="85">
        <v>5000</v>
      </c>
      <c r="L98" s="2"/>
      <c r="M98" s="2"/>
      <c r="O98" s="15">
        <f>Tabla2456[[#This Row],[Columna1]]-Tabla2456[[#This Row],[MONTO DE COMPRA]]</f>
        <v>0</v>
      </c>
    </row>
    <row r="99" spans="1:15" x14ac:dyDescent="0.25">
      <c r="A99" s="56">
        <v>44705</v>
      </c>
      <c r="B99" s="4" t="s">
        <v>2081</v>
      </c>
      <c r="C99" s="4" t="s">
        <v>1097</v>
      </c>
      <c r="D99" s="1" t="s">
        <v>540</v>
      </c>
      <c r="E99" s="4" t="s">
        <v>1875</v>
      </c>
      <c r="F99" s="1" t="s">
        <v>1039</v>
      </c>
      <c r="G99" s="71" t="s">
        <v>1876</v>
      </c>
      <c r="H99" s="15">
        <v>40000</v>
      </c>
      <c r="I99" s="2">
        <f>Tabla2456[[#This Row],[TOTAL FACTURA]]*0.6</f>
        <v>24000</v>
      </c>
      <c r="J99" s="85">
        <f>Tabla2456[[#This Row],[TOTAL FACTURA]]*0.4</f>
        <v>16000</v>
      </c>
      <c r="L99" s="2"/>
      <c r="M99" s="2"/>
      <c r="O99" s="15">
        <f>Tabla2456[[#This Row],[Columna1]]-Tabla2456[[#This Row],[MONTO DE COMPRA]]</f>
        <v>0</v>
      </c>
    </row>
    <row r="100" spans="1:15" x14ac:dyDescent="0.25">
      <c r="A100" s="56">
        <v>44705</v>
      </c>
      <c r="B100" s="4" t="s">
        <v>1877</v>
      </c>
      <c r="C100" s="4" t="s">
        <v>1878</v>
      </c>
      <c r="D100" s="1" t="s">
        <v>1879</v>
      </c>
      <c r="E100" s="4" t="s">
        <v>1880</v>
      </c>
      <c r="F100" s="1" t="s">
        <v>10</v>
      </c>
      <c r="G100" s="71" t="s">
        <v>1881</v>
      </c>
      <c r="H100" s="15">
        <v>350000</v>
      </c>
      <c r="I100" s="2">
        <f>Tabla2456[[#This Row],[TOTAL FACTURA]]*0.6</f>
        <v>210000</v>
      </c>
      <c r="J100" s="85">
        <f>Tabla2456[[#This Row],[TOTAL FACTURA]]*0.4</f>
        <v>140000</v>
      </c>
      <c r="L100" s="2"/>
      <c r="M100" s="2"/>
      <c r="N100" s="2" t="s">
        <v>25</v>
      </c>
      <c r="O100" s="15">
        <f>Tabla2456[[#This Row],[Columna1]]-Tabla2456[[#This Row],[MONTO DE COMPRA]]</f>
        <v>0</v>
      </c>
    </row>
    <row r="101" spans="1:15" x14ac:dyDescent="0.25">
      <c r="A101" s="56">
        <v>44706</v>
      </c>
      <c r="B101" s="4" t="s">
        <v>1882</v>
      </c>
      <c r="C101" s="4" t="s">
        <v>1883</v>
      </c>
      <c r="D101" s="1" t="s">
        <v>1884</v>
      </c>
      <c r="E101" s="4" t="s">
        <v>1885</v>
      </c>
      <c r="F101" s="1" t="s">
        <v>1039</v>
      </c>
      <c r="G101" s="66" t="s">
        <v>1886</v>
      </c>
      <c r="H101" s="15">
        <v>200000</v>
      </c>
      <c r="I101" s="2">
        <f>Tabla2456[[#This Row],[TOTAL FACTURA]]*0.6</f>
        <v>120000</v>
      </c>
      <c r="J101" s="85">
        <f>Tabla2456[[#This Row],[TOTAL FACTURA]]*0.4</f>
        <v>80000</v>
      </c>
      <c r="L101" s="15"/>
      <c r="M101" s="15"/>
      <c r="N101" s="15"/>
      <c r="O101" s="15">
        <f>Tabla2456[[#This Row],[Columna1]]-Tabla2456[[#This Row],[MONTO DE COMPRA]]</f>
        <v>0</v>
      </c>
    </row>
    <row r="102" spans="1:15" x14ac:dyDescent="0.25">
      <c r="A102" s="56">
        <v>44706</v>
      </c>
      <c r="B102" s="4" t="s">
        <v>1882</v>
      </c>
      <c r="C102" s="4" t="s">
        <v>1883</v>
      </c>
      <c r="D102" s="1" t="s">
        <v>1884</v>
      </c>
      <c r="E102" s="4" t="s">
        <v>1885</v>
      </c>
      <c r="F102" s="1" t="s">
        <v>18</v>
      </c>
      <c r="G102" s="66" t="s">
        <v>1896</v>
      </c>
      <c r="H102" s="15">
        <v>20000</v>
      </c>
      <c r="I102" s="2">
        <v>20000</v>
      </c>
      <c r="J102" s="104"/>
      <c r="L102" s="15"/>
      <c r="M102" s="15"/>
      <c r="N102" s="15"/>
      <c r="O102" s="15"/>
    </row>
    <row r="103" spans="1:15" x14ac:dyDescent="0.25">
      <c r="A103" s="56">
        <v>44706</v>
      </c>
      <c r="B103" s="4" t="s">
        <v>1882</v>
      </c>
      <c r="C103" s="4" t="s">
        <v>1883</v>
      </c>
      <c r="D103" s="1" t="s">
        <v>1884</v>
      </c>
      <c r="E103" s="4" t="s">
        <v>1885</v>
      </c>
      <c r="F103" s="1" t="s">
        <v>10</v>
      </c>
      <c r="G103" s="71" t="s">
        <v>1887</v>
      </c>
      <c r="H103" s="15">
        <v>160000</v>
      </c>
      <c r="I103" s="2">
        <f>Tabla2456[[#This Row],[TOTAL FACTURA]]*0.6</f>
        <v>96000</v>
      </c>
      <c r="J103" s="85">
        <f>Tabla2456[[#This Row],[TOTAL FACTURA]]*0.4</f>
        <v>64000</v>
      </c>
      <c r="L103" s="2"/>
      <c r="M103" s="2"/>
      <c r="N103" s="2" t="s">
        <v>25</v>
      </c>
      <c r="O103" s="15">
        <f>Tabla2456[[#This Row],[Columna1]]-Tabla2456[[#This Row],[MONTO DE COMPRA]]</f>
        <v>0</v>
      </c>
    </row>
    <row r="104" spans="1:15" x14ac:dyDescent="0.25">
      <c r="A104" s="56">
        <v>44706</v>
      </c>
      <c r="B104" s="4" t="s">
        <v>1888</v>
      </c>
      <c r="C104" s="4" t="s">
        <v>1097</v>
      </c>
      <c r="D104" s="1" t="s">
        <v>240</v>
      </c>
      <c r="E104" s="4" t="s">
        <v>1889</v>
      </c>
      <c r="F104" s="1" t="s">
        <v>19</v>
      </c>
      <c r="G104" s="71" t="s">
        <v>1890</v>
      </c>
      <c r="H104" s="15">
        <v>30000</v>
      </c>
      <c r="I104" s="2">
        <v>20000</v>
      </c>
      <c r="J104" s="85">
        <f>Tabla2456[[#This Row],[TOTAL FACTURA]]*0.4</f>
        <v>12000</v>
      </c>
      <c r="L104" s="2"/>
      <c r="M104" s="2"/>
      <c r="O104" s="15">
        <f>Tabla2456[[#This Row],[Columna1]]-Tabla2456[[#This Row],[MONTO DE COMPRA]]</f>
        <v>0</v>
      </c>
    </row>
    <row r="105" spans="1:15" x14ac:dyDescent="0.25">
      <c r="A105" s="56">
        <v>44706</v>
      </c>
      <c r="B105" s="4" t="s">
        <v>1892</v>
      </c>
      <c r="C105" s="4" t="s">
        <v>1059</v>
      </c>
      <c r="D105" s="1" t="s">
        <v>864</v>
      </c>
      <c r="E105" s="4" t="s">
        <v>1061</v>
      </c>
      <c r="F105" s="1" t="s">
        <v>1039</v>
      </c>
      <c r="G105" s="71" t="s">
        <v>114</v>
      </c>
      <c r="H105" s="15">
        <v>30000</v>
      </c>
      <c r="I105" s="2">
        <f>Tabla2456[[#This Row],[TOTAL FACTURA]]*0.6</f>
        <v>18000</v>
      </c>
      <c r="J105" s="85">
        <f>Tabla2456[[#This Row],[TOTAL FACTURA]]*0.4</f>
        <v>12000</v>
      </c>
      <c r="L105" s="2"/>
      <c r="M105" s="2"/>
      <c r="O105" s="15">
        <f>Tabla2456[[#This Row],[Columna1]]-Tabla2456[[#This Row],[MONTO DE COMPRA]]</f>
        <v>0</v>
      </c>
    </row>
    <row r="106" spans="1:15" ht="14.25" customHeight="1" x14ac:dyDescent="0.25">
      <c r="A106" s="56">
        <v>44706</v>
      </c>
      <c r="C106" s="4"/>
      <c r="D106" s="1" t="s">
        <v>439</v>
      </c>
      <c r="E106" s="4" t="s">
        <v>1893</v>
      </c>
      <c r="F106" s="1" t="s">
        <v>408</v>
      </c>
      <c r="G106" s="71" t="s">
        <v>1894</v>
      </c>
      <c r="H106" s="15">
        <v>150000</v>
      </c>
      <c r="I106" s="2">
        <f>Tabla2456[[#This Row],[TOTAL FACTURA]]*0.6</f>
        <v>90000</v>
      </c>
      <c r="J106" s="85">
        <f>Tabla2456[[#This Row],[TOTAL FACTURA]]*0.4</f>
        <v>60000</v>
      </c>
      <c r="L106" s="2"/>
      <c r="M106" s="2"/>
      <c r="O106" s="15">
        <f>Tabla2456[[#This Row],[Columna1]]-Tabla2456[[#This Row],[MONTO DE COMPRA]]</f>
        <v>0</v>
      </c>
    </row>
    <row r="107" spans="1:15" ht="16.5" customHeight="1" x14ac:dyDescent="0.25">
      <c r="A107" s="56">
        <v>44706</v>
      </c>
      <c r="C107" s="4"/>
      <c r="D107" s="1" t="s">
        <v>439</v>
      </c>
      <c r="E107" s="4" t="s">
        <v>1891</v>
      </c>
      <c r="F107" s="1" t="s">
        <v>19</v>
      </c>
      <c r="G107" s="71" t="s">
        <v>1895</v>
      </c>
      <c r="H107" s="15">
        <v>60000</v>
      </c>
      <c r="I107" s="2">
        <f>Tabla2456[[#This Row],[TOTAL FACTURA]]*0.6</f>
        <v>36000</v>
      </c>
      <c r="J107" s="85">
        <f>Tabla2456[[#This Row],[TOTAL FACTURA]]*0.4</f>
        <v>24000</v>
      </c>
      <c r="L107" s="2"/>
      <c r="M107" s="2"/>
      <c r="O107" s="15">
        <f>Tabla2456[[#This Row],[Columna1]]-Tabla2456[[#This Row],[MONTO DE COMPRA]]</f>
        <v>0</v>
      </c>
    </row>
    <row r="108" spans="1:15" ht="15" customHeight="1" x14ac:dyDescent="0.25">
      <c r="A108" s="56">
        <v>44707</v>
      </c>
      <c r="C108" s="4"/>
      <c r="D108" s="1" t="s">
        <v>65</v>
      </c>
      <c r="E108" s="4" t="s">
        <v>1897</v>
      </c>
      <c r="F108" s="1" t="s">
        <v>19</v>
      </c>
      <c r="G108" s="71" t="s">
        <v>1898</v>
      </c>
      <c r="H108" s="15">
        <v>80000</v>
      </c>
      <c r="I108" s="2">
        <v>80000</v>
      </c>
      <c r="J108" s="104">
        <v>20000</v>
      </c>
      <c r="L108" s="2"/>
      <c r="M108" s="2"/>
      <c r="O108" s="15">
        <f>Tabla2456[[#This Row],[Columna1]]-Tabla2456[[#This Row],[MONTO DE COMPRA]]</f>
        <v>0</v>
      </c>
    </row>
    <row r="109" spans="1:15" ht="15.75" customHeight="1" x14ac:dyDescent="0.25">
      <c r="A109" s="56">
        <v>44707</v>
      </c>
      <c r="C109" s="4"/>
      <c r="D109" s="1" t="s">
        <v>213</v>
      </c>
      <c r="E109" s="4" t="s">
        <v>1668</v>
      </c>
      <c r="F109" s="1" t="s">
        <v>1039</v>
      </c>
      <c r="G109" s="71" t="s">
        <v>1899</v>
      </c>
      <c r="H109" s="15">
        <v>30000</v>
      </c>
      <c r="I109" s="2">
        <v>30000</v>
      </c>
      <c r="J109" s="2">
        <v>10000</v>
      </c>
      <c r="L109" s="2"/>
      <c r="M109" s="2"/>
      <c r="O109" s="15">
        <f>Tabla2456[[#This Row],[Columna1]]-Tabla2456[[#This Row],[MONTO DE COMPRA]]</f>
        <v>0</v>
      </c>
    </row>
    <row r="110" spans="1:15" ht="15" customHeight="1" x14ac:dyDescent="0.25">
      <c r="A110" s="56">
        <v>44707</v>
      </c>
      <c r="C110" s="93"/>
      <c r="D110" s="1" t="s">
        <v>213</v>
      </c>
      <c r="E110" s="4" t="s">
        <v>1668</v>
      </c>
      <c r="F110" s="1" t="s">
        <v>18</v>
      </c>
      <c r="G110" s="71" t="s">
        <v>1900</v>
      </c>
      <c r="H110" s="15">
        <v>30000</v>
      </c>
      <c r="I110" s="2">
        <v>30000</v>
      </c>
      <c r="J110" s="2">
        <v>10000</v>
      </c>
      <c r="L110" s="11"/>
      <c r="M110" s="11"/>
      <c r="O110" s="15">
        <f>Tabla2456[[#This Row],[Columna1]]-Tabla2456[[#This Row],[MONTO DE COMPRA]]</f>
        <v>0</v>
      </c>
    </row>
    <row r="111" spans="1:15" ht="15" customHeight="1" x14ac:dyDescent="0.25">
      <c r="A111" s="56">
        <v>44708</v>
      </c>
      <c r="B111" s="4" t="s">
        <v>1901</v>
      </c>
      <c r="C111" s="4" t="s">
        <v>1502</v>
      </c>
      <c r="D111" s="1" t="s">
        <v>385</v>
      </c>
      <c r="E111" s="4" t="s">
        <v>1504</v>
      </c>
      <c r="F111" s="1" t="s">
        <v>10</v>
      </c>
      <c r="G111" s="71" t="s">
        <v>1902</v>
      </c>
      <c r="H111" s="15">
        <v>250000</v>
      </c>
      <c r="I111" s="2">
        <f>Tabla2456[[#This Row],[TOTAL FACTURA]]*0.6</f>
        <v>150000</v>
      </c>
      <c r="J111" s="94">
        <f>Tabla2456[[#This Row],[TOTAL FACTURA]]*0.4</f>
        <v>100000</v>
      </c>
      <c r="L111" s="11"/>
      <c r="M111" s="11"/>
      <c r="N111" s="2" t="s">
        <v>25</v>
      </c>
      <c r="O111" s="15">
        <f>Tabla2456[[#This Row],[Columna1]]-Tabla2456[[#This Row],[MONTO DE COMPRA]]</f>
        <v>0</v>
      </c>
    </row>
    <row r="112" spans="1:15" ht="15" customHeight="1" x14ac:dyDescent="0.25">
      <c r="A112" s="56">
        <v>44708</v>
      </c>
      <c r="C112" s="4" t="s">
        <v>1903</v>
      </c>
      <c r="D112" s="1" t="s">
        <v>200</v>
      </c>
      <c r="E112" s="4" t="s">
        <v>1904</v>
      </c>
      <c r="F112" s="1" t="s">
        <v>408</v>
      </c>
      <c r="G112" s="71" t="s">
        <v>1905</v>
      </c>
      <c r="H112" s="15">
        <v>10000</v>
      </c>
      <c r="I112" s="2">
        <f>Tabla2456[[#This Row],[TOTAL FACTURA]]*0.6</f>
        <v>6000</v>
      </c>
      <c r="J112" s="94">
        <f>Tabla2456[[#This Row],[TOTAL FACTURA]]*0.4</f>
        <v>4000</v>
      </c>
      <c r="L112" s="11"/>
      <c r="M112" s="11"/>
      <c r="O112" s="15">
        <f>Tabla2456[[#This Row],[Columna1]]-Tabla2456[[#This Row],[MONTO DE COMPRA]]</f>
        <v>0</v>
      </c>
    </row>
    <row r="113" spans="1:15" ht="15" customHeight="1" x14ac:dyDescent="0.25">
      <c r="A113" s="56">
        <v>44708</v>
      </c>
      <c r="C113" s="4" t="s">
        <v>1908</v>
      </c>
      <c r="D113" s="1" t="s">
        <v>899</v>
      </c>
      <c r="E113" s="4" t="s">
        <v>900</v>
      </c>
      <c r="F113" s="1" t="s">
        <v>408</v>
      </c>
      <c r="G113" s="71" t="s">
        <v>1909</v>
      </c>
      <c r="H113" s="15">
        <v>230000</v>
      </c>
      <c r="I113" s="2">
        <f>Tabla2456[[#This Row],[TOTAL FACTURA]]*0.6</f>
        <v>138000</v>
      </c>
      <c r="J113" s="94">
        <f>Tabla2456[[#This Row],[TOTAL FACTURA]]*0.4</f>
        <v>92000</v>
      </c>
      <c r="L113" s="11"/>
      <c r="M113" s="11"/>
      <c r="O113" s="15"/>
    </row>
    <row r="114" spans="1:15" ht="15" customHeight="1" x14ac:dyDescent="0.25">
      <c r="A114" s="56">
        <v>44708</v>
      </c>
      <c r="C114" s="93"/>
      <c r="E114" s="4"/>
      <c r="F114" s="1" t="s">
        <v>408</v>
      </c>
      <c r="G114" s="71" t="s">
        <v>1911</v>
      </c>
      <c r="H114" s="15">
        <v>30000</v>
      </c>
      <c r="I114" s="2">
        <v>30000</v>
      </c>
      <c r="J114" s="94">
        <f>Tabla2456[[#This Row],[TOTAL FACTURA]]*0.4</f>
        <v>12000</v>
      </c>
      <c r="L114" s="11"/>
      <c r="M114" s="11"/>
      <c r="O114" s="15">
        <f>Tabla2456[[#This Row],[Columna1]]-Tabla2456[[#This Row],[MONTO DE COMPRA]]</f>
        <v>0</v>
      </c>
    </row>
    <row r="115" spans="1:15" ht="15" customHeight="1" x14ac:dyDescent="0.25">
      <c r="A115" s="56">
        <v>44709</v>
      </c>
      <c r="B115" s="4" t="s">
        <v>1912</v>
      </c>
      <c r="C115" s="4" t="s">
        <v>1913</v>
      </c>
      <c r="D115" s="1" t="s">
        <v>1914</v>
      </c>
      <c r="E115" s="4" t="s">
        <v>1915</v>
      </c>
      <c r="F115" s="1" t="s">
        <v>19</v>
      </c>
      <c r="G115" s="71" t="s">
        <v>1916</v>
      </c>
      <c r="H115" s="15">
        <v>90000</v>
      </c>
      <c r="I115" s="2">
        <f>Tabla2456[[#This Row],[TOTAL FACTURA]]*0.7</f>
        <v>62999.999999999993</v>
      </c>
      <c r="J115" s="94">
        <f>Tabla2456[[#This Row],[TOTAL FACTURA]]*0.4</f>
        <v>36000</v>
      </c>
      <c r="L115" s="11"/>
      <c r="M115" s="11"/>
      <c r="O115" s="15">
        <f>Tabla2456[[#This Row],[Columna1]]-Tabla2456[[#This Row],[MONTO DE COMPRA]]</f>
        <v>0</v>
      </c>
    </row>
    <row r="116" spans="1:15" ht="15" customHeight="1" x14ac:dyDescent="0.25">
      <c r="A116" s="56">
        <v>44709</v>
      </c>
      <c r="B116" s="4" t="s">
        <v>1917</v>
      </c>
      <c r="C116" s="4" t="s">
        <v>1918</v>
      </c>
      <c r="E116" s="4" t="s">
        <v>1668</v>
      </c>
      <c r="F116" s="1" t="s">
        <v>1919</v>
      </c>
      <c r="G116" s="71" t="s">
        <v>1920</v>
      </c>
      <c r="I116" s="2">
        <f>Tabla2456[[#This Row],[TOTAL FACTURA]]*0.6</f>
        <v>0</v>
      </c>
      <c r="J116" s="94">
        <f>Tabla2456[[#This Row],[TOTAL FACTURA]]*0.4</f>
        <v>0</v>
      </c>
      <c r="L116" s="11"/>
      <c r="M116" s="11"/>
      <c r="O116" s="15">
        <f>Tabla2456[[#This Row],[Columna1]]-Tabla2456[[#This Row],[MONTO DE COMPRA]]</f>
        <v>0</v>
      </c>
    </row>
    <row r="117" spans="1:15" ht="15" customHeight="1" x14ac:dyDescent="0.25">
      <c r="A117" s="56">
        <v>44709</v>
      </c>
      <c r="C117" s="93"/>
      <c r="D117" s="1" t="s">
        <v>122</v>
      </c>
      <c r="E117" s="4"/>
      <c r="F117" s="1" t="s">
        <v>1039</v>
      </c>
      <c r="G117" s="71" t="s">
        <v>434</v>
      </c>
      <c r="H117" s="15">
        <v>50000</v>
      </c>
      <c r="I117" s="2">
        <f>Tabla2456[[#This Row],[TOTAL FACTURA]]*0.6</f>
        <v>30000</v>
      </c>
      <c r="J117" s="94">
        <f>Tabla2456[[#This Row],[TOTAL FACTURA]]*0.4</f>
        <v>20000</v>
      </c>
      <c r="L117" s="11"/>
      <c r="M117" s="11"/>
      <c r="O117" s="15">
        <f>Tabla2456[[#This Row],[Columna1]]-Tabla2456[[#This Row],[MONTO DE COMPRA]]</f>
        <v>0</v>
      </c>
    </row>
    <row r="118" spans="1:15" ht="15" customHeight="1" x14ac:dyDescent="0.25">
      <c r="A118" s="56">
        <v>44709</v>
      </c>
      <c r="C118" s="4" t="s">
        <v>1757</v>
      </c>
      <c r="D118" s="1" t="s">
        <v>65</v>
      </c>
      <c r="E118" s="4" t="s">
        <v>1468</v>
      </c>
      <c r="F118" s="1" t="s">
        <v>10</v>
      </c>
      <c r="G118" s="71" t="s">
        <v>1921</v>
      </c>
      <c r="H118" s="15">
        <v>150000</v>
      </c>
      <c r="I118" s="2">
        <f>Tabla2456[[#This Row],[TOTAL FACTURA]]*0.7</f>
        <v>105000</v>
      </c>
      <c r="J118" s="94">
        <f>Tabla2456[[#This Row],[TOTAL FACTURA]]*0.4</f>
        <v>60000</v>
      </c>
      <c r="L118" s="11"/>
      <c r="M118" s="11"/>
      <c r="N118" s="2" t="s">
        <v>25</v>
      </c>
      <c r="O118" s="15">
        <f>Tabla2456[[#This Row],[Columna1]]-Tabla2456[[#This Row],[MONTO DE COMPRA]]</f>
        <v>0</v>
      </c>
    </row>
    <row r="119" spans="1:15" ht="15" customHeight="1" x14ac:dyDescent="0.25">
      <c r="A119" s="56">
        <v>44709</v>
      </c>
      <c r="B119" s="4" t="s">
        <v>1924</v>
      </c>
      <c r="C119" s="93"/>
      <c r="D119" s="1" t="s">
        <v>1922</v>
      </c>
      <c r="E119" s="4" t="s">
        <v>1923</v>
      </c>
      <c r="F119" s="1" t="s">
        <v>1039</v>
      </c>
      <c r="G119" s="1" t="s">
        <v>423</v>
      </c>
      <c r="H119" s="15">
        <v>40000</v>
      </c>
      <c r="I119" s="2">
        <f>Tabla2456[[#This Row],[TOTAL FACTURA]]*0.6</f>
        <v>24000</v>
      </c>
      <c r="J119" s="94">
        <f>Tabla2456[[#This Row],[TOTAL FACTURA]]*0.4</f>
        <v>16000</v>
      </c>
      <c r="L119" s="11"/>
      <c r="M119" s="11"/>
      <c r="O119" s="15">
        <f>Tabla2456[[#This Row],[Columna1]]-Tabla2456[[#This Row],[MONTO DE COMPRA]]</f>
        <v>0</v>
      </c>
    </row>
    <row r="120" spans="1:15" ht="15" customHeight="1" x14ac:dyDescent="0.25">
      <c r="A120" s="56">
        <v>44712</v>
      </c>
      <c r="C120" s="4" t="s">
        <v>1278</v>
      </c>
      <c r="D120" s="1" t="s">
        <v>1925</v>
      </c>
      <c r="E120" s="4" t="s">
        <v>1926</v>
      </c>
      <c r="F120" s="1" t="s">
        <v>408</v>
      </c>
      <c r="G120" s="71" t="s">
        <v>1961</v>
      </c>
      <c r="H120" s="15">
        <v>40000</v>
      </c>
      <c r="I120" s="2">
        <f>Tabla2456[[#This Row],[TOTAL FACTURA]]*0.7</f>
        <v>28000</v>
      </c>
      <c r="J120" s="94">
        <f>Tabla2456[[#This Row],[TOTAL FACTURA]]*0.4</f>
        <v>16000</v>
      </c>
      <c r="L120" s="11"/>
      <c r="M120" s="11"/>
      <c r="O120" s="15">
        <f>Tabla2456[[#This Row],[Columna1]]-Tabla2456[[#This Row],[MONTO DE COMPRA]]</f>
        <v>0</v>
      </c>
    </row>
    <row r="121" spans="1:15" ht="15" customHeight="1" x14ac:dyDescent="0.25">
      <c r="A121" s="56">
        <v>44712</v>
      </c>
      <c r="C121" s="93"/>
      <c r="D121" s="1" t="s">
        <v>54</v>
      </c>
      <c r="E121" s="4" t="s">
        <v>1927</v>
      </c>
      <c r="F121" s="1" t="s">
        <v>30</v>
      </c>
      <c r="G121" s="71" t="s">
        <v>1928</v>
      </c>
      <c r="H121" s="15">
        <v>40000</v>
      </c>
      <c r="I121" s="2">
        <f>Tabla2456[[#This Row],[TOTAL FACTURA]]*0.6</f>
        <v>24000</v>
      </c>
      <c r="J121" s="94">
        <f>Tabla2456[[#This Row],[TOTAL FACTURA]]*0.4</f>
        <v>16000</v>
      </c>
      <c r="L121" s="11"/>
      <c r="M121" s="11"/>
      <c r="O121" s="15">
        <f>Tabla2456[[#This Row],[Columna1]]-Tabla2456[[#This Row],[MONTO DE COMPRA]]</f>
        <v>0</v>
      </c>
    </row>
    <row r="122" spans="1:15" ht="15" customHeight="1" x14ac:dyDescent="0.25">
      <c r="A122" s="56">
        <v>44712</v>
      </c>
      <c r="B122" s="4" t="s">
        <v>1929</v>
      </c>
      <c r="C122" s="4" t="s">
        <v>1930</v>
      </c>
      <c r="D122" s="1" t="s">
        <v>1931</v>
      </c>
      <c r="E122" s="4" t="s">
        <v>1932</v>
      </c>
      <c r="F122" s="1" t="s">
        <v>30</v>
      </c>
      <c r="G122" s="71" t="s">
        <v>1933</v>
      </c>
      <c r="H122" s="15">
        <v>60000</v>
      </c>
      <c r="I122" s="2">
        <f>Tabla2456[[#This Row],[TOTAL FACTURA]]*0.6</f>
        <v>36000</v>
      </c>
      <c r="J122" s="94">
        <f>Tabla2456[[#This Row],[TOTAL FACTURA]]*0.4</f>
        <v>24000</v>
      </c>
      <c r="L122" s="11"/>
      <c r="M122" s="11"/>
      <c r="O122" s="15">
        <f>Tabla2456[[#This Row],[Columna1]]-Tabla2456[[#This Row],[MONTO DE COMPRA]]</f>
        <v>0</v>
      </c>
    </row>
    <row r="123" spans="1:15" ht="15" customHeight="1" x14ac:dyDescent="0.25">
      <c r="A123" s="56">
        <v>44712</v>
      </c>
      <c r="C123" s="4" t="s">
        <v>1483</v>
      </c>
      <c r="D123" s="1" t="s">
        <v>815</v>
      </c>
      <c r="E123" s="4" t="s">
        <v>1484</v>
      </c>
      <c r="F123" s="1" t="s">
        <v>1039</v>
      </c>
      <c r="G123" s="71" t="s">
        <v>1934</v>
      </c>
      <c r="H123" s="15">
        <v>20000</v>
      </c>
      <c r="I123" s="2">
        <v>20000</v>
      </c>
      <c r="J123" s="94">
        <f>Tabla2456[[#This Row],[TOTAL FACTURA]]*0.4</f>
        <v>8000</v>
      </c>
      <c r="L123" s="11"/>
      <c r="M123" s="11"/>
      <c r="O123" s="15">
        <f>Tabla2456[[#This Row],[Columna1]]-Tabla2456[[#This Row],[MONTO DE COMPRA]]</f>
        <v>0</v>
      </c>
    </row>
    <row r="124" spans="1:15" ht="15" customHeight="1" x14ac:dyDescent="0.25">
      <c r="A124" s="56">
        <v>44713</v>
      </c>
      <c r="B124" s="4" t="s">
        <v>1935</v>
      </c>
      <c r="C124" s="4" t="s">
        <v>1860</v>
      </c>
      <c r="D124" s="1" t="s">
        <v>688</v>
      </c>
      <c r="E124" s="4" t="s">
        <v>1861</v>
      </c>
      <c r="F124" s="1" t="s">
        <v>408</v>
      </c>
      <c r="G124" s="71" t="s">
        <v>1936</v>
      </c>
      <c r="H124" s="15">
        <v>180000</v>
      </c>
      <c r="I124" s="2">
        <f>Tabla2456[[#This Row],[TOTAL FACTURA]]*0.7</f>
        <v>125999.99999999999</v>
      </c>
      <c r="J124" s="94">
        <f>Tabla2456[[#This Row],[TOTAL FACTURA]]*0.4</f>
        <v>72000</v>
      </c>
      <c r="L124" s="11"/>
      <c r="M124" s="11"/>
      <c r="O124" s="15">
        <f>Tabla2456[[#This Row],[Columna1]]-Tabla2456[[#This Row],[MONTO DE COMPRA]]</f>
        <v>0</v>
      </c>
    </row>
    <row r="125" spans="1:15" ht="15" customHeight="1" x14ac:dyDescent="0.25">
      <c r="A125" s="56">
        <v>44713</v>
      </c>
      <c r="C125" s="4" t="s">
        <v>1937</v>
      </c>
      <c r="D125" s="1" t="s">
        <v>1318</v>
      </c>
      <c r="E125" s="4" t="s">
        <v>1938</v>
      </c>
      <c r="F125" s="1" t="s">
        <v>34</v>
      </c>
      <c r="G125" s="71" t="s">
        <v>138</v>
      </c>
      <c r="H125" s="15">
        <v>60000</v>
      </c>
      <c r="I125" s="2">
        <f>Tabla2456[[#This Row],[TOTAL FACTURA]]*0.6</f>
        <v>36000</v>
      </c>
      <c r="J125" s="94">
        <f>Tabla2456[[#This Row],[TOTAL FACTURA]]*0.4</f>
        <v>24000</v>
      </c>
      <c r="L125" s="11"/>
      <c r="M125" s="11"/>
      <c r="O125" s="15">
        <f>Tabla2456[[#This Row],[Columna1]]-Tabla2456[[#This Row],[MONTO DE COMPRA]]</f>
        <v>0</v>
      </c>
    </row>
    <row r="126" spans="1:15" ht="15" customHeight="1" x14ac:dyDescent="0.25">
      <c r="A126" s="56">
        <v>44714</v>
      </c>
      <c r="C126" s="93"/>
      <c r="E126" s="4" t="s">
        <v>1939</v>
      </c>
      <c r="F126" s="1" t="s">
        <v>408</v>
      </c>
      <c r="G126" s="71" t="s">
        <v>1940</v>
      </c>
      <c r="H126" s="15">
        <v>80000</v>
      </c>
      <c r="I126" s="2">
        <f>Tabla2456[[#This Row],[TOTAL FACTURA]]*0.7</f>
        <v>56000</v>
      </c>
      <c r="J126" s="94">
        <f>Tabla2456[[#This Row],[TOTAL FACTURA]]*0.4</f>
        <v>32000</v>
      </c>
      <c r="L126" s="11"/>
      <c r="M126" s="11"/>
      <c r="O126" s="15">
        <f>Tabla2456[[#This Row],[Columna1]]-Tabla2456[[#This Row],[MONTO DE COMPRA]]</f>
        <v>0</v>
      </c>
    </row>
    <row r="127" spans="1:15" ht="15" customHeight="1" x14ac:dyDescent="0.25">
      <c r="A127" s="56">
        <v>44714</v>
      </c>
      <c r="B127" s="4" t="s">
        <v>1941</v>
      </c>
      <c r="C127" s="4" t="s">
        <v>1942</v>
      </c>
      <c r="D127" s="1" t="s">
        <v>1944</v>
      </c>
      <c r="E127" s="1" t="s">
        <v>1943</v>
      </c>
      <c r="F127" s="1" t="s">
        <v>408</v>
      </c>
      <c r="G127" s="71" t="s">
        <v>20</v>
      </c>
      <c r="H127" s="15">
        <v>30000</v>
      </c>
      <c r="I127" s="2">
        <f>Tabla2456[[#This Row],[TOTAL FACTURA]]*0.7</f>
        <v>21000</v>
      </c>
      <c r="J127" s="94">
        <f>Tabla2456[[#This Row],[TOTAL FACTURA]]*0.4</f>
        <v>12000</v>
      </c>
      <c r="L127" s="11"/>
      <c r="M127" s="11"/>
      <c r="O127" s="15">
        <f>Tabla2456[[#This Row],[Columna1]]-Tabla2456[[#This Row],[MONTO DE COMPRA]]</f>
        <v>0</v>
      </c>
    </row>
    <row r="128" spans="1:15" ht="15" customHeight="1" x14ac:dyDescent="0.25">
      <c r="A128" s="56">
        <v>44714</v>
      </c>
      <c r="C128" s="93"/>
      <c r="D128" s="1" t="s">
        <v>107</v>
      </c>
      <c r="E128" s="4" t="s">
        <v>1945</v>
      </c>
      <c r="F128" s="1" t="s">
        <v>408</v>
      </c>
      <c r="G128" s="71" t="s">
        <v>341</v>
      </c>
      <c r="H128" s="15">
        <v>10000</v>
      </c>
      <c r="I128" s="2">
        <f>Tabla2456[[#This Row],[TOTAL FACTURA]]*0.7</f>
        <v>7000</v>
      </c>
      <c r="J128" s="94">
        <f>Tabla2456[[#This Row],[TOTAL FACTURA]]*0.4</f>
        <v>4000</v>
      </c>
      <c r="L128" s="11"/>
      <c r="M128" s="11"/>
      <c r="O128" s="15">
        <f>Tabla2456[[#This Row],[Columna1]]-Tabla2456[[#This Row],[MONTO DE COMPRA]]</f>
        <v>0</v>
      </c>
    </row>
    <row r="129" spans="1:15" ht="15" customHeight="1" x14ac:dyDescent="0.25">
      <c r="A129" s="56">
        <v>44714</v>
      </c>
      <c r="C129" s="4" t="s">
        <v>1946</v>
      </c>
      <c r="D129" s="1" t="s">
        <v>1947</v>
      </c>
      <c r="E129" s="4" t="s">
        <v>1948</v>
      </c>
      <c r="F129" s="1" t="s">
        <v>1039</v>
      </c>
      <c r="G129" s="71" t="s">
        <v>1949</v>
      </c>
      <c r="H129" s="15">
        <v>100000</v>
      </c>
      <c r="I129" s="2">
        <f>Tabla2456[[#This Row],[TOTAL FACTURA]]*0.7</f>
        <v>70000</v>
      </c>
      <c r="J129" s="94">
        <f>Tabla2456[[#This Row],[TOTAL FACTURA]]*0.4</f>
        <v>40000</v>
      </c>
      <c r="L129" s="11"/>
      <c r="M129" s="11"/>
      <c r="O129" s="15">
        <f>Tabla2456[[#This Row],[Columna1]]-Tabla2456[[#This Row],[MONTO DE COMPRA]]</f>
        <v>0</v>
      </c>
    </row>
    <row r="130" spans="1:15" x14ac:dyDescent="0.25">
      <c r="A130" s="56">
        <v>44714</v>
      </c>
      <c r="C130" s="4" t="s">
        <v>1946</v>
      </c>
      <c r="D130" s="1" t="s">
        <v>1947</v>
      </c>
      <c r="E130" s="4" t="s">
        <v>1948</v>
      </c>
      <c r="F130" s="1" t="s">
        <v>1039</v>
      </c>
      <c r="G130" s="71" t="s">
        <v>1962</v>
      </c>
      <c r="H130" s="15">
        <v>10000</v>
      </c>
      <c r="I130" s="2">
        <f>Tabla2456[[#This Row],[TOTAL FACTURA]]*0.6</f>
        <v>6000</v>
      </c>
      <c r="J130" s="85">
        <f>Tabla2456[[#This Row],[TOTAL FACTURA]]*0.4</f>
        <v>4000</v>
      </c>
      <c r="L130" s="2"/>
      <c r="M130" s="2"/>
      <c r="O130" s="15">
        <f>Tabla2456[[#This Row],[Columna1]]-Tabla2456[[#This Row],[MONTO DE COMPRA]]</f>
        <v>0</v>
      </c>
    </row>
    <row r="131" spans="1:15" ht="20.25" customHeight="1" x14ac:dyDescent="0.25">
      <c r="A131" s="56">
        <v>44714</v>
      </c>
      <c r="C131" s="95"/>
      <c r="D131" s="1" t="s">
        <v>59</v>
      </c>
      <c r="E131" s="4" t="s">
        <v>380</v>
      </c>
      <c r="F131" s="1" t="s">
        <v>19</v>
      </c>
      <c r="G131" s="71" t="s">
        <v>341</v>
      </c>
      <c r="H131" s="15">
        <v>10000</v>
      </c>
      <c r="I131" s="2">
        <f>Tabla2456[[#This Row],[TOTAL FACTURA]]*0.7</f>
        <v>7000</v>
      </c>
      <c r="J131" s="85">
        <f>Tabla2456[[#This Row],[TOTAL FACTURA]]*0.4</f>
        <v>4000</v>
      </c>
      <c r="L131" s="2"/>
      <c r="M131" s="2"/>
      <c r="O131" s="15">
        <f>Tabla2456[[#This Row],[Columna1]]-Tabla2456[[#This Row],[MONTO DE COMPRA]]</f>
        <v>0</v>
      </c>
    </row>
    <row r="132" spans="1:15" ht="14.25" customHeight="1" x14ac:dyDescent="0.25">
      <c r="A132" s="56">
        <v>44715</v>
      </c>
      <c r="B132" s="4" t="s">
        <v>1950</v>
      </c>
      <c r="C132" s="4" t="s">
        <v>1951</v>
      </c>
      <c r="D132" s="1" t="s">
        <v>389</v>
      </c>
      <c r="E132" s="4" t="s">
        <v>1952</v>
      </c>
      <c r="F132" s="1" t="s">
        <v>408</v>
      </c>
      <c r="G132" s="71" t="s">
        <v>1953</v>
      </c>
      <c r="H132" s="15">
        <v>180000</v>
      </c>
      <c r="I132" s="2">
        <f>Tabla2456[[#This Row],[TOTAL FACTURA]]*0.7</f>
        <v>125999.99999999999</v>
      </c>
      <c r="J132" s="85">
        <f>Tabla2456[[#This Row],[TOTAL FACTURA]]*0.4</f>
        <v>72000</v>
      </c>
      <c r="L132" s="2"/>
      <c r="M132" s="2"/>
      <c r="O132" s="15">
        <f>Tabla2456[[#This Row],[Columna1]]-Tabla2456[[#This Row],[MONTO DE COMPRA]]</f>
        <v>0</v>
      </c>
    </row>
    <row r="133" spans="1:15" x14ac:dyDescent="0.25">
      <c r="A133" s="56">
        <v>44715</v>
      </c>
      <c r="C133" s="4" t="s">
        <v>1954</v>
      </c>
      <c r="D133" s="1" t="s">
        <v>54</v>
      </c>
      <c r="E133" s="4" t="s">
        <v>1955</v>
      </c>
      <c r="F133" s="1" t="s">
        <v>19</v>
      </c>
      <c r="G133" s="71" t="s">
        <v>1956</v>
      </c>
      <c r="H133" s="15">
        <v>15000</v>
      </c>
      <c r="I133" s="2">
        <f>Tabla2456[[#This Row],[TOTAL FACTURA]]*0.7</f>
        <v>10500</v>
      </c>
      <c r="J133" s="85">
        <f>Tabla2456[[#This Row],[TOTAL FACTURA]]*0.4</f>
        <v>6000</v>
      </c>
      <c r="L133" s="2"/>
      <c r="M133" s="2"/>
      <c r="O133" s="15">
        <f>Tabla2456[[#This Row],[Columna1]]-Tabla2456[[#This Row],[MONTO DE COMPRA]]</f>
        <v>0</v>
      </c>
    </row>
    <row r="134" spans="1:15" x14ac:dyDescent="0.25">
      <c r="A134" s="56">
        <v>44715</v>
      </c>
      <c r="C134" s="4" t="s">
        <v>1958</v>
      </c>
      <c r="D134" s="1" t="s">
        <v>521</v>
      </c>
      <c r="E134" s="4" t="s">
        <v>1959</v>
      </c>
      <c r="F134" s="1" t="s">
        <v>10</v>
      </c>
      <c r="G134" s="71" t="s">
        <v>956</v>
      </c>
      <c r="H134" s="15">
        <v>1200000</v>
      </c>
      <c r="I134" s="2">
        <f>Tabla2456[[#This Row],[TOTAL FACTURA]]*0.7</f>
        <v>840000</v>
      </c>
      <c r="J134" s="85">
        <f>Tabla2456[[#This Row],[TOTAL FACTURA]]*0.4</f>
        <v>480000</v>
      </c>
      <c r="L134" s="2"/>
      <c r="M134" s="2"/>
      <c r="N134" s="2" t="s">
        <v>25</v>
      </c>
      <c r="O134" s="15">
        <f>Tabla2456[[#This Row],[Columna1]]-Tabla2456[[#This Row],[MONTO DE COMPRA]]</f>
        <v>0</v>
      </c>
    </row>
    <row r="135" spans="1:15" ht="14.25" customHeight="1" x14ac:dyDescent="0.25">
      <c r="A135" s="56">
        <v>44715</v>
      </c>
      <c r="C135" s="4" t="s">
        <v>1958</v>
      </c>
      <c r="D135" s="1" t="s">
        <v>521</v>
      </c>
      <c r="E135" s="4" t="s">
        <v>1959</v>
      </c>
      <c r="F135" s="1" t="s">
        <v>1039</v>
      </c>
      <c r="G135" s="71" t="s">
        <v>1960</v>
      </c>
      <c r="H135" s="15">
        <v>70000</v>
      </c>
      <c r="I135" s="2">
        <v>70000</v>
      </c>
      <c r="J135" s="85"/>
      <c r="L135" s="2"/>
      <c r="M135" s="2"/>
      <c r="O135" s="15">
        <f>Tabla2456[[#This Row],[Columna1]]-Tabla2456[[#This Row],[MONTO DE COMPRA]]</f>
        <v>0</v>
      </c>
    </row>
    <row r="136" spans="1:15" x14ac:dyDescent="0.25">
      <c r="A136" s="56">
        <v>44715</v>
      </c>
      <c r="C136" s="4" t="s">
        <v>1908</v>
      </c>
      <c r="D136" s="1" t="s">
        <v>899</v>
      </c>
      <c r="E136" s="4" t="s">
        <v>900</v>
      </c>
      <c r="F136" s="1" t="s">
        <v>10</v>
      </c>
      <c r="G136" s="71" t="s">
        <v>12</v>
      </c>
      <c r="H136" s="15">
        <v>200000</v>
      </c>
      <c r="I136" s="2">
        <v>200000</v>
      </c>
      <c r="J136" s="2" t="s">
        <v>655</v>
      </c>
      <c r="L136" s="2"/>
      <c r="M136" s="2"/>
      <c r="N136" s="2" t="s">
        <v>25</v>
      </c>
      <c r="O136" s="15">
        <f>Tabla2456[[#This Row],[Columna1]]-Tabla2456[[#This Row],[MONTO DE COMPRA]]</f>
        <v>0</v>
      </c>
    </row>
    <row r="137" spans="1:15" x14ac:dyDescent="0.25">
      <c r="A137" s="56">
        <v>44716</v>
      </c>
      <c r="C137" s="4" t="s">
        <v>1860</v>
      </c>
      <c r="D137" s="1" t="s">
        <v>96</v>
      </c>
      <c r="E137" s="4" t="s">
        <v>1861</v>
      </c>
      <c r="F137" s="1" t="s">
        <v>408</v>
      </c>
      <c r="G137" s="71" t="s">
        <v>2047</v>
      </c>
      <c r="H137" s="15">
        <v>50000</v>
      </c>
      <c r="I137" s="2">
        <f>Tabla2456[[#This Row],[TOTAL FACTURA]]*0.7</f>
        <v>35000</v>
      </c>
      <c r="J137" s="85">
        <f>Tabla2456[[#This Row],[TOTAL FACTURA]]*0.4</f>
        <v>20000</v>
      </c>
      <c r="L137" s="2"/>
      <c r="M137" s="2"/>
      <c r="N137" s="2" t="s">
        <v>25</v>
      </c>
      <c r="O137" s="15">
        <f>Tabla2456[[#This Row],[Columna1]]-Tabla2456[[#This Row],[MONTO DE COMPRA]]</f>
        <v>0</v>
      </c>
    </row>
    <row r="138" spans="1:15" ht="20.25" customHeight="1" x14ac:dyDescent="0.25">
      <c r="A138" s="56">
        <v>44716</v>
      </c>
      <c r="C138" s="4" t="s">
        <v>1963</v>
      </c>
      <c r="D138" s="1" t="s">
        <v>1964</v>
      </c>
      <c r="E138" s="4" t="s">
        <v>1965</v>
      </c>
      <c r="F138" s="1" t="s">
        <v>10</v>
      </c>
      <c r="G138" s="71" t="s">
        <v>639</v>
      </c>
      <c r="H138" s="15">
        <v>60000</v>
      </c>
      <c r="I138" s="2">
        <f>Tabla2456[[#This Row],[TOTAL FACTURA]]*0.7</f>
        <v>42000</v>
      </c>
      <c r="J138" s="85">
        <f>Tabla2456[[#This Row],[TOTAL FACTURA]]*0.4</f>
        <v>24000</v>
      </c>
      <c r="L138" s="2"/>
      <c r="M138" s="2"/>
      <c r="N138" s="2" t="s">
        <v>25</v>
      </c>
      <c r="O138" s="15">
        <f>Tabla2456[[#This Row],[Columna1]]-Tabla2456[[#This Row],[MONTO DE COMPRA]]</f>
        <v>0</v>
      </c>
    </row>
    <row r="139" spans="1:15" x14ac:dyDescent="0.25">
      <c r="A139" s="56">
        <v>44716</v>
      </c>
      <c r="C139" s="4" t="s">
        <v>1966</v>
      </c>
      <c r="D139" s="1" t="s">
        <v>580</v>
      </c>
      <c r="E139" s="4" t="s">
        <v>1968</v>
      </c>
      <c r="F139" s="1" t="s">
        <v>408</v>
      </c>
      <c r="G139" s="71" t="s">
        <v>1967</v>
      </c>
      <c r="H139" s="15">
        <v>45000</v>
      </c>
      <c r="I139" s="2">
        <f>Tabla2456[[#This Row],[TOTAL FACTURA]]*0.7</f>
        <v>31499.999999999996</v>
      </c>
      <c r="J139" s="85">
        <f>Tabla2456[[#This Row],[TOTAL FACTURA]]*0.4</f>
        <v>18000</v>
      </c>
      <c r="L139" s="2"/>
      <c r="M139" s="2"/>
      <c r="N139" s="2" t="s">
        <v>25</v>
      </c>
      <c r="O139" s="15">
        <f>Tabla2456[[#This Row],[Columna1]]-Tabla2456[[#This Row],[MONTO DE COMPRA]]</f>
        <v>0</v>
      </c>
    </row>
    <row r="140" spans="1:15" x14ac:dyDescent="0.25">
      <c r="A140" s="56">
        <v>44716</v>
      </c>
      <c r="C140" s="4"/>
      <c r="D140" s="1" t="s">
        <v>1749</v>
      </c>
      <c r="E140" s="4"/>
      <c r="F140" s="1" t="s">
        <v>18</v>
      </c>
      <c r="G140" s="71" t="s">
        <v>1969</v>
      </c>
      <c r="H140" s="15">
        <v>70000</v>
      </c>
      <c r="I140" s="2">
        <f>Tabla2456[[#This Row],[TOTAL FACTURA]]*0.6</f>
        <v>42000</v>
      </c>
      <c r="J140" s="85">
        <f>Tabla2456[[#This Row],[TOTAL FACTURA]]*0.4</f>
        <v>28000</v>
      </c>
      <c r="L140" s="2"/>
      <c r="M140" s="2"/>
      <c r="N140" s="2" t="s">
        <v>25</v>
      </c>
      <c r="O140" s="15">
        <f>Tabla2456[[#This Row],[Columna1]]-Tabla2456[[#This Row],[MONTO DE COMPRA]]</f>
        <v>0</v>
      </c>
    </row>
    <row r="141" spans="1:15" x14ac:dyDescent="0.25">
      <c r="A141" s="56">
        <v>44716</v>
      </c>
      <c r="C141" s="4"/>
      <c r="D141" s="1" t="s">
        <v>1970</v>
      </c>
      <c r="E141" s="4" t="s">
        <v>1971</v>
      </c>
      <c r="F141" s="1" t="s">
        <v>408</v>
      </c>
      <c r="G141" s="71" t="s">
        <v>1972</v>
      </c>
      <c r="H141" s="15">
        <v>40000</v>
      </c>
      <c r="I141" s="2">
        <f>Tabla2456[[#This Row],[TOTAL FACTURA]]*0.7</f>
        <v>28000</v>
      </c>
      <c r="J141" s="85">
        <f>Tabla2456[[#This Row],[TOTAL FACTURA]]*0.4</f>
        <v>16000</v>
      </c>
      <c r="L141" s="2"/>
      <c r="M141" s="2"/>
      <c r="N141" s="2" t="s">
        <v>25</v>
      </c>
      <c r="O141" s="15">
        <f>Tabla2456[[#This Row],[Columna1]]-Tabla2456[[#This Row],[MONTO DE COMPRA]]</f>
        <v>0</v>
      </c>
    </row>
    <row r="142" spans="1:15" x14ac:dyDescent="0.25">
      <c r="A142" s="56">
        <v>44718</v>
      </c>
      <c r="C142" s="4"/>
      <c r="D142" s="1" t="s">
        <v>1503</v>
      </c>
      <c r="E142" s="4" t="s">
        <v>1973</v>
      </c>
      <c r="F142" s="1" t="s">
        <v>10</v>
      </c>
      <c r="G142" s="71" t="s">
        <v>639</v>
      </c>
      <c r="H142" s="15">
        <v>40000</v>
      </c>
      <c r="I142" s="2">
        <f>Tabla2456[[#This Row],[TOTAL FACTURA]]*0.7</f>
        <v>28000</v>
      </c>
      <c r="J142" s="85">
        <f>Tabla2456[[#This Row],[TOTAL FACTURA]]*0.4</f>
        <v>16000</v>
      </c>
      <c r="L142" s="2"/>
      <c r="M142" s="2"/>
      <c r="N142" s="2" t="s">
        <v>25</v>
      </c>
      <c r="O142" s="15">
        <f>Tabla2456[[#This Row],[Columna1]]-Tabla2456[[#This Row],[MONTO DE COMPRA]]</f>
        <v>0</v>
      </c>
    </row>
    <row r="143" spans="1:15" x14ac:dyDescent="0.25">
      <c r="A143" s="56">
        <v>44718</v>
      </c>
      <c r="C143" s="4" t="s">
        <v>1978</v>
      </c>
      <c r="D143" s="1" t="s">
        <v>201</v>
      </c>
      <c r="E143" s="4" t="s">
        <v>1979</v>
      </c>
      <c r="F143" s="1" t="s">
        <v>408</v>
      </c>
      <c r="G143" s="71" t="s">
        <v>1993</v>
      </c>
      <c r="H143" s="15">
        <v>70000</v>
      </c>
      <c r="I143" s="2">
        <f>Tabla2456[[#This Row],[TOTAL FACTURA]]*0.7</f>
        <v>49000</v>
      </c>
      <c r="J143" s="85">
        <f>Tabla2456[[#This Row],[TOTAL FACTURA]]*0.4</f>
        <v>28000</v>
      </c>
      <c r="L143" s="2"/>
      <c r="M143" s="2"/>
      <c r="N143" s="2" t="s">
        <v>25</v>
      </c>
      <c r="O143" s="15">
        <f>Tabla2456[[#This Row],[Columna1]]-Tabla2456[[#This Row],[MONTO DE COMPRA]]</f>
        <v>0</v>
      </c>
    </row>
    <row r="144" spans="1:15" x14ac:dyDescent="0.25">
      <c r="A144" s="56">
        <v>44718</v>
      </c>
      <c r="B144" s="4">
        <v>320</v>
      </c>
      <c r="C144" s="4" t="s">
        <v>1974</v>
      </c>
      <c r="D144" s="1" t="s">
        <v>975</v>
      </c>
      <c r="E144" s="4" t="s">
        <v>1975</v>
      </c>
      <c r="F144" s="1" t="s">
        <v>408</v>
      </c>
      <c r="G144" s="71" t="s">
        <v>2048</v>
      </c>
      <c r="H144" s="15">
        <v>100000</v>
      </c>
      <c r="I144" s="2">
        <f>Tabla2456[[#This Row],[TOTAL FACTURA]]*0.7</f>
        <v>70000</v>
      </c>
      <c r="J144" s="2"/>
      <c r="L144" s="2"/>
      <c r="M144" s="2"/>
      <c r="N144" s="2" t="s">
        <v>25</v>
      </c>
      <c r="O144" s="15"/>
    </row>
    <row r="145" spans="1:15" x14ac:dyDescent="0.25">
      <c r="A145" s="56">
        <v>44718</v>
      </c>
      <c r="B145" s="4">
        <v>324</v>
      </c>
      <c r="C145" s="4" t="s">
        <v>2051</v>
      </c>
      <c r="D145" s="1" t="s">
        <v>204</v>
      </c>
      <c r="E145" s="4" t="s">
        <v>1284</v>
      </c>
      <c r="F145" s="1" t="s">
        <v>10</v>
      </c>
      <c r="G145" s="71" t="s">
        <v>2052</v>
      </c>
      <c r="H145" s="15">
        <v>350000</v>
      </c>
      <c r="I145" s="2">
        <f>Tabla2456[[#This Row],[TOTAL FACTURA]]*0.7</f>
        <v>244999.99999999997</v>
      </c>
      <c r="J145" s="2"/>
      <c r="L145" s="2"/>
      <c r="M145" s="2"/>
      <c r="N145" s="2" t="s">
        <v>25</v>
      </c>
      <c r="O145" s="15"/>
    </row>
    <row r="146" spans="1:15" x14ac:dyDescent="0.25">
      <c r="A146" s="56">
        <v>44718</v>
      </c>
      <c r="B146" s="4">
        <v>320</v>
      </c>
      <c r="C146" s="4" t="s">
        <v>1974</v>
      </c>
      <c r="D146" s="1" t="s">
        <v>975</v>
      </c>
      <c r="E146" s="4" t="s">
        <v>1975</v>
      </c>
      <c r="F146" s="1" t="s">
        <v>2011</v>
      </c>
      <c r="G146" s="71" t="s">
        <v>2049</v>
      </c>
      <c r="H146" s="15">
        <v>150000</v>
      </c>
      <c r="I146" s="2">
        <f>Tabla2456[[#This Row],[TOTAL FACTURA]]*0.6</f>
        <v>90000</v>
      </c>
      <c r="J146" s="2"/>
      <c r="L146" s="2"/>
      <c r="M146" s="2"/>
      <c r="N146" s="2" t="s">
        <v>25</v>
      </c>
      <c r="O146" s="15"/>
    </row>
    <row r="147" spans="1:15" x14ac:dyDescent="0.25">
      <c r="A147" s="56">
        <v>44719</v>
      </c>
      <c r="C147" s="4" t="s">
        <v>1980</v>
      </c>
      <c r="D147" s="1" t="s">
        <v>1994</v>
      </c>
      <c r="E147" s="4" t="s">
        <v>1981</v>
      </c>
      <c r="F147" s="1" t="s">
        <v>30</v>
      </c>
      <c r="G147" s="71" t="s">
        <v>1995</v>
      </c>
      <c r="H147" s="15">
        <v>70000</v>
      </c>
      <c r="I147" s="2">
        <f>Tabla2456[[#This Row],[TOTAL FACTURA]]*0.6</f>
        <v>42000</v>
      </c>
      <c r="J147" s="85">
        <f>Tabla2456[[#This Row],[TOTAL FACTURA]]*0.4</f>
        <v>28000</v>
      </c>
      <c r="L147" s="2"/>
      <c r="M147" s="2"/>
      <c r="N147" s="2" t="s">
        <v>25</v>
      </c>
      <c r="O147" s="15">
        <f>Tabla2456[[#This Row],[Columna1]]-Tabla2456[[#This Row],[MONTO DE COMPRA]]</f>
        <v>0</v>
      </c>
    </row>
    <row r="148" spans="1:15" x14ac:dyDescent="0.25">
      <c r="A148" s="56">
        <v>44719</v>
      </c>
      <c r="C148" s="4"/>
      <c r="D148" s="1" t="s">
        <v>311</v>
      </c>
      <c r="E148" s="4" t="s">
        <v>839</v>
      </c>
      <c r="F148" s="1" t="s">
        <v>1039</v>
      </c>
      <c r="G148" s="71" t="s">
        <v>1996</v>
      </c>
      <c r="H148" s="15">
        <v>50000</v>
      </c>
      <c r="I148" s="2">
        <f>Tabla2456[[#This Row],[TOTAL FACTURA]]*0.6</f>
        <v>30000</v>
      </c>
      <c r="J148" s="85">
        <f>Tabla2456[[#This Row],[TOTAL FACTURA]]*0.4</f>
        <v>20000</v>
      </c>
      <c r="L148" s="2"/>
      <c r="M148" s="2"/>
      <c r="N148" s="2" t="s">
        <v>25</v>
      </c>
      <c r="O148" s="15">
        <f>Tabla2456[[#This Row],[Columna1]]-Tabla2456[[#This Row],[MONTO DE COMPRA]]</f>
        <v>0</v>
      </c>
    </row>
    <row r="149" spans="1:15" x14ac:dyDescent="0.25">
      <c r="A149" s="56">
        <v>44719</v>
      </c>
      <c r="B149" s="4" t="s">
        <v>1982</v>
      </c>
      <c r="C149" s="4" t="s">
        <v>1983</v>
      </c>
      <c r="D149" s="1" t="s">
        <v>385</v>
      </c>
      <c r="E149" s="4" t="s">
        <v>1984</v>
      </c>
      <c r="F149" s="1" t="s">
        <v>30</v>
      </c>
      <c r="G149" s="71" t="s">
        <v>1997</v>
      </c>
      <c r="H149" s="15">
        <v>40000</v>
      </c>
      <c r="I149" s="2">
        <f>Tabla2456[[#This Row],[TOTAL FACTURA]]*0.6</f>
        <v>24000</v>
      </c>
      <c r="J149" s="85">
        <f>Tabla2456[[#This Row],[TOTAL FACTURA]]*0.4</f>
        <v>16000</v>
      </c>
      <c r="L149" s="2"/>
      <c r="M149" s="2"/>
      <c r="N149" s="2" t="s">
        <v>25</v>
      </c>
      <c r="O149" s="15">
        <f>Tabla2456[[#This Row],[Columna1]]-Tabla2456[[#This Row],[MONTO DE COMPRA]]</f>
        <v>0</v>
      </c>
    </row>
    <row r="150" spans="1:15" x14ac:dyDescent="0.25">
      <c r="A150" s="56">
        <v>44719</v>
      </c>
      <c r="C150" s="95"/>
      <c r="D150" s="1" t="s">
        <v>1985</v>
      </c>
      <c r="E150" s="4" t="s">
        <v>1986</v>
      </c>
      <c r="F150" s="1" t="s">
        <v>10</v>
      </c>
      <c r="G150" s="71" t="s">
        <v>1998</v>
      </c>
      <c r="H150" s="15">
        <v>30000</v>
      </c>
      <c r="I150" s="2">
        <f>Tabla2456[[#This Row],[TOTAL FACTURA]]*0.7</f>
        <v>21000</v>
      </c>
      <c r="J150" s="85">
        <f>Tabla2456[[#This Row],[TOTAL FACTURA]]*0.4</f>
        <v>12000</v>
      </c>
      <c r="L150" s="2"/>
      <c r="M150" s="2"/>
      <c r="N150" s="2" t="s">
        <v>25</v>
      </c>
      <c r="O150" s="15">
        <f>Tabla2456[[#This Row],[Columna1]]-Tabla2456[[#This Row],[MONTO DE COMPRA]]</f>
        <v>0</v>
      </c>
    </row>
    <row r="151" spans="1:15" x14ac:dyDescent="0.25">
      <c r="A151" s="56">
        <v>44719</v>
      </c>
      <c r="C151" s="4" t="s">
        <v>1402</v>
      </c>
      <c r="D151" s="1" t="s">
        <v>955</v>
      </c>
      <c r="E151" s="4" t="s">
        <v>1403</v>
      </c>
      <c r="F151" s="1" t="s">
        <v>408</v>
      </c>
      <c r="G151" s="71" t="s">
        <v>1999</v>
      </c>
      <c r="H151" s="15">
        <v>140000</v>
      </c>
      <c r="I151" s="2">
        <f>Tabla2456[[#This Row],[TOTAL FACTURA]]*0.7</f>
        <v>98000</v>
      </c>
      <c r="J151" s="85">
        <f>Tabla2456[[#This Row],[TOTAL FACTURA]]*0.4</f>
        <v>56000</v>
      </c>
      <c r="L151" s="2"/>
      <c r="M151" s="2"/>
      <c r="N151" s="2" t="s">
        <v>25</v>
      </c>
      <c r="O151" s="15">
        <f>Tabla2456[[#This Row],[Columna1]]-Tabla2456[[#This Row],[MONTO DE COMPRA]]</f>
        <v>0</v>
      </c>
    </row>
    <row r="152" spans="1:15" x14ac:dyDescent="0.25">
      <c r="A152" s="56">
        <v>44719</v>
      </c>
      <c r="C152" s="4" t="s">
        <v>1988</v>
      </c>
      <c r="D152" s="1" t="s">
        <v>452</v>
      </c>
      <c r="E152" s="4" t="s">
        <v>1987</v>
      </c>
      <c r="F152" s="1" t="s">
        <v>19</v>
      </c>
      <c r="G152" s="71" t="s">
        <v>2000</v>
      </c>
      <c r="H152" s="15">
        <v>300000</v>
      </c>
      <c r="I152" s="2">
        <f>Tabla2456[[#This Row],[TOTAL FACTURA]]*0.7</f>
        <v>210000</v>
      </c>
      <c r="J152" s="85">
        <f>Tabla2456[[#This Row],[TOTAL FACTURA]]*0.4</f>
        <v>120000</v>
      </c>
      <c r="L152" s="2"/>
      <c r="M152" s="2"/>
      <c r="N152" s="2" t="s">
        <v>25</v>
      </c>
      <c r="O152" s="15">
        <f>Tabla2456[[#This Row],[Columna1]]-Tabla2456[[#This Row],[MONTO DE COMPRA]]</f>
        <v>0</v>
      </c>
    </row>
    <row r="153" spans="1:15" x14ac:dyDescent="0.25">
      <c r="A153" s="56">
        <v>44720</v>
      </c>
      <c r="C153" s="4" t="s">
        <v>2001</v>
      </c>
      <c r="D153" s="1" t="s">
        <v>1970</v>
      </c>
      <c r="E153" s="4" t="s">
        <v>1990</v>
      </c>
      <c r="F153" s="1" t="s">
        <v>30</v>
      </c>
      <c r="G153" s="71" t="s">
        <v>2002</v>
      </c>
      <c r="H153" s="15">
        <v>260000</v>
      </c>
      <c r="I153" s="2">
        <f>Tabla2456[[#This Row],[TOTAL FACTURA]]*0.6</f>
        <v>156000</v>
      </c>
      <c r="J153" s="85">
        <f>Tabla2456[[#This Row],[TOTAL FACTURA]]*0.4</f>
        <v>104000</v>
      </c>
      <c r="L153" s="2"/>
      <c r="M153" s="2"/>
      <c r="N153" s="2" t="s">
        <v>25</v>
      </c>
      <c r="O153" s="15">
        <f>Tabla2456[[#This Row],[Columna1]]-Tabla2456[[#This Row],[MONTO DE COMPRA]]</f>
        <v>0</v>
      </c>
    </row>
    <row r="154" spans="1:15" x14ac:dyDescent="0.25">
      <c r="A154" s="56">
        <v>44720</v>
      </c>
      <c r="B154" s="4" t="s">
        <v>2003</v>
      </c>
      <c r="C154" s="4" t="s">
        <v>1991</v>
      </c>
      <c r="D154" s="1" t="s">
        <v>1992</v>
      </c>
      <c r="E154" s="4" t="s">
        <v>1760</v>
      </c>
      <c r="F154" s="1" t="s">
        <v>19</v>
      </c>
      <c r="G154" s="71" t="s">
        <v>2004</v>
      </c>
      <c r="H154" s="15">
        <v>180000</v>
      </c>
      <c r="I154" s="2">
        <f>Tabla2456[[#This Row],[TOTAL FACTURA]]*0.7</f>
        <v>125999.99999999999</v>
      </c>
      <c r="J154" s="85">
        <f>Tabla2456[[#This Row],[TOTAL FACTURA]]*0.4</f>
        <v>72000</v>
      </c>
      <c r="L154" s="2"/>
      <c r="M154" s="2"/>
      <c r="N154" s="2" t="s">
        <v>25</v>
      </c>
      <c r="O154" s="15">
        <f>Tabla2456[[#This Row],[Columna1]]-Tabla2456[[#This Row],[MONTO DE COMPRA]]</f>
        <v>0</v>
      </c>
    </row>
    <row r="155" spans="1:15" x14ac:dyDescent="0.25">
      <c r="A155" s="56">
        <v>44720</v>
      </c>
      <c r="C155" s="4" t="s">
        <v>894</v>
      </c>
      <c r="D155" s="1" t="s">
        <v>439</v>
      </c>
      <c r="E155" s="4" t="s">
        <v>395</v>
      </c>
      <c r="F155" s="1" t="s">
        <v>408</v>
      </c>
      <c r="G155" s="71" t="s">
        <v>2005</v>
      </c>
      <c r="H155" s="15">
        <v>500000</v>
      </c>
      <c r="I155" s="15">
        <f>Tabla2456[[#This Row],[TOTAL FACTURA]]*0.7</f>
        <v>350000</v>
      </c>
      <c r="J155" s="96"/>
      <c r="L155" s="2"/>
      <c r="M155" s="2"/>
      <c r="N155" s="2" t="s">
        <v>25</v>
      </c>
      <c r="O155" s="15">
        <f>Tabla2456[[#This Row],[Columna1]]-Tabla2456[[#This Row],[MONTO DE COMPRA]]</f>
        <v>0</v>
      </c>
    </row>
    <row r="156" spans="1:15" ht="20.25" customHeight="1" x14ac:dyDescent="0.25">
      <c r="A156" s="56">
        <v>44721</v>
      </c>
      <c r="C156" s="4" t="s">
        <v>1963</v>
      </c>
      <c r="D156" s="1" t="s">
        <v>2006</v>
      </c>
      <c r="E156" s="4" t="s">
        <v>1965</v>
      </c>
      <c r="F156" s="1" t="s">
        <v>10</v>
      </c>
      <c r="G156" s="71" t="s">
        <v>2050</v>
      </c>
      <c r="H156" s="15">
        <v>40000</v>
      </c>
      <c r="I156" s="2">
        <f>Tabla2456[[#This Row],[TOTAL FACTURA]]*0.7</f>
        <v>28000</v>
      </c>
      <c r="J156" s="2"/>
      <c r="L156" s="11"/>
      <c r="M156" s="2"/>
      <c r="N156" s="2" t="s">
        <v>25</v>
      </c>
      <c r="O156" s="15"/>
    </row>
    <row r="157" spans="1:15" x14ac:dyDescent="0.25">
      <c r="A157" s="56">
        <v>44721</v>
      </c>
      <c r="B157" s="4" t="s">
        <v>2007</v>
      </c>
      <c r="C157" s="4" t="s">
        <v>2008</v>
      </c>
      <c r="D157" s="1" t="s">
        <v>84</v>
      </c>
      <c r="E157" s="4" t="s">
        <v>2009</v>
      </c>
      <c r="F157" s="1" t="s">
        <v>408</v>
      </c>
      <c r="G157" s="71" t="s">
        <v>2010</v>
      </c>
      <c r="H157" s="15">
        <v>20000</v>
      </c>
      <c r="I157" s="2">
        <f>Tabla2456[[#This Row],[TOTAL FACTURA]]*0.7</f>
        <v>14000</v>
      </c>
      <c r="J157" s="104"/>
      <c r="L157" s="11"/>
      <c r="M157" s="2"/>
      <c r="N157" s="2" t="s">
        <v>25</v>
      </c>
      <c r="O157" s="15"/>
    </row>
    <row r="158" spans="1:15" x14ac:dyDescent="0.25">
      <c r="A158" s="56">
        <v>44721</v>
      </c>
      <c r="C158" s="4" t="s">
        <v>1070</v>
      </c>
      <c r="D158" s="1" t="s">
        <v>1071</v>
      </c>
      <c r="E158" s="4" t="s">
        <v>385</v>
      </c>
      <c r="F158" s="1" t="s">
        <v>2011</v>
      </c>
      <c r="G158" s="71" t="s">
        <v>2012</v>
      </c>
      <c r="H158" s="15">
        <v>70000</v>
      </c>
      <c r="I158" s="2">
        <f>Tabla2456[[#This Row],[TOTAL FACTURA]]*0.6</f>
        <v>42000</v>
      </c>
      <c r="J158" s="104"/>
      <c r="L158" s="11"/>
      <c r="M158" s="2"/>
      <c r="N158" s="2" t="s">
        <v>25</v>
      </c>
      <c r="O158" s="15"/>
    </row>
    <row r="159" spans="1:15" x14ac:dyDescent="0.25">
      <c r="A159" s="56">
        <v>44721</v>
      </c>
      <c r="C159" s="4" t="s">
        <v>598</v>
      </c>
      <c r="D159" s="1" t="s">
        <v>162</v>
      </c>
      <c r="E159" s="4" t="s">
        <v>161</v>
      </c>
      <c r="F159" s="1" t="s">
        <v>2011</v>
      </c>
      <c r="G159" s="71" t="s">
        <v>2013</v>
      </c>
      <c r="H159" s="15">
        <v>40000</v>
      </c>
      <c r="I159" s="2">
        <f>Tabla2456[[#This Row],[TOTAL FACTURA]]*0.6</f>
        <v>24000</v>
      </c>
      <c r="J159" s="104"/>
      <c r="L159" s="11"/>
      <c r="M159" s="2"/>
      <c r="N159" s="2" t="s">
        <v>25</v>
      </c>
      <c r="O159" s="15"/>
    </row>
    <row r="160" spans="1:15" ht="18.75" customHeight="1" x14ac:dyDescent="0.25">
      <c r="A160" s="56">
        <v>44721</v>
      </c>
      <c r="C160" s="4" t="s">
        <v>598</v>
      </c>
      <c r="D160" s="1" t="s">
        <v>162</v>
      </c>
      <c r="E160" s="4" t="s">
        <v>161</v>
      </c>
      <c r="F160" s="1" t="s">
        <v>18</v>
      </c>
      <c r="G160" s="71" t="s">
        <v>2014</v>
      </c>
      <c r="H160" s="15">
        <v>130000</v>
      </c>
      <c r="I160" s="2">
        <f>Tabla2456[[#This Row],[TOTAL FACTURA]]*0.6</f>
        <v>78000</v>
      </c>
      <c r="J160" s="104"/>
      <c r="L160" s="11"/>
      <c r="M160" s="2"/>
      <c r="N160" s="2" t="s">
        <v>25</v>
      </c>
      <c r="O160" s="15"/>
    </row>
    <row r="161" spans="1:15" x14ac:dyDescent="0.25">
      <c r="A161" s="56">
        <v>44721</v>
      </c>
      <c r="C161" s="4" t="s">
        <v>598</v>
      </c>
      <c r="D161" s="1" t="s">
        <v>152</v>
      </c>
      <c r="E161" s="4" t="s">
        <v>151</v>
      </c>
      <c r="F161" s="1" t="s">
        <v>18</v>
      </c>
      <c r="G161" s="71" t="s">
        <v>2015</v>
      </c>
      <c r="H161" s="15">
        <v>20000</v>
      </c>
      <c r="I161" s="2">
        <f>Tabla2456[[#This Row],[TOTAL FACTURA]]*0.6</f>
        <v>12000</v>
      </c>
      <c r="J161" s="104"/>
      <c r="L161" s="11"/>
      <c r="M161" s="2"/>
      <c r="N161" s="2" t="s">
        <v>25</v>
      </c>
      <c r="O161" s="15"/>
    </row>
    <row r="162" spans="1:15" x14ac:dyDescent="0.25">
      <c r="A162" s="56">
        <v>44721</v>
      </c>
      <c r="B162" s="4" t="s">
        <v>2016</v>
      </c>
      <c r="C162" s="4" t="s">
        <v>2017</v>
      </c>
      <c r="D162" s="1" t="s">
        <v>1948</v>
      </c>
      <c r="E162" s="4" t="s">
        <v>1947</v>
      </c>
      <c r="F162" s="1" t="s">
        <v>19</v>
      </c>
      <c r="G162" s="71" t="s">
        <v>2018</v>
      </c>
      <c r="H162" s="15">
        <v>110000</v>
      </c>
      <c r="I162" s="2">
        <f>Tabla2456[[#This Row],[TOTAL FACTURA]]*0.7</f>
        <v>77000</v>
      </c>
      <c r="J162" s="104"/>
      <c r="L162" s="11"/>
      <c r="M162" s="2"/>
      <c r="N162" s="2" t="s">
        <v>25</v>
      </c>
      <c r="O162" s="15"/>
    </row>
    <row r="163" spans="1:15" x14ac:dyDescent="0.25">
      <c r="A163" s="56">
        <v>44722</v>
      </c>
      <c r="B163" s="4" t="s">
        <v>2019</v>
      </c>
      <c r="C163" s="4" t="s">
        <v>2020</v>
      </c>
      <c r="D163" s="1" t="s">
        <v>2021</v>
      </c>
      <c r="E163" s="4" t="s">
        <v>2022</v>
      </c>
      <c r="F163" s="1" t="s">
        <v>19</v>
      </c>
      <c r="G163" s="71" t="s">
        <v>2023</v>
      </c>
      <c r="H163" s="15">
        <v>30000</v>
      </c>
      <c r="I163" s="2">
        <f>Tabla2456[[#This Row],[TOTAL FACTURA]]*0.7</f>
        <v>21000</v>
      </c>
      <c r="J163" s="104"/>
      <c r="L163" s="11"/>
      <c r="M163" s="2"/>
      <c r="N163" s="2" t="s">
        <v>25</v>
      </c>
      <c r="O163" s="15"/>
    </row>
    <row r="164" spans="1:15" x14ac:dyDescent="0.25">
      <c r="A164" s="56">
        <v>44722</v>
      </c>
      <c r="C164" s="4" t="s">
        <v>2024</v>
      </c>
      <c r="D164" s="1" t="s">
        <v>2025</v>
      </c>
      <c r="E164" s="4" t="s">
        <v>59</v>
      </c>
      <c r="F164" s="1" t="s">
        <v>19</v>
      </c>
      <c r="G164" s="71" t="s">
        <v>1956</v>
      </c>
      <c r="H164" s="15">
        <v>15000</v>
      </c>
      <c r="I164" s="2">
        <f>Tabla2456[[#This Row],[TOTAL FACTURA]]*0.7</f>
        <v>10500</v>
      </c>
      <c r="J164" s="104"/>
      <c r="L164" s="11"/>
      <c r="M164" s="2"/>
      <c r="N164" s="2" t="s">
        <v>25</v>
      </c>
      <c r="O164" s="15"/>
    </row>
    <row r="165" spans="1:15" x14ac:dyDescent="0.25">
      <c r="A165" s="56">
        <v>44722</v>
      </c>
      <c r="C165" s="4" t="s">
        <v>2026</v>
      </c>
      <c r="D165" s="1" t="s">
        <v>2027</v>
      </c>
      <c r="E165" s="4" t="s">
        <v>48</v>
      </c>
      <c r="F165" s="1" t="s">
        <v>19</v>
      </c>
      <c r="G165" s="71" t="s">
        <v>21</v>
      </c>
      <c r="H165" s="15">
        <v>10000</v>
      </c>
      <c r="I165" s="2">
        <f>Tabla2456[[#This Row],[TOTAL FACTURA]]*0.7</f>
        <v>7000</v>
      </c>
      <c r="J165" s="104"/>
      <c r="L165" s="11"/>
      <c r="M165" s="2"/>
      <c r="N165" s="2" t="s">
        <v>25</v>
      </c>
      <c r="O165" s="15"/>
    </row>
    <row r="166" spans="1:15" x14ac:dyDescent="0.25">
      <c r="A166" s="56">
        <v>44722</v>
      </c>
      <c r="C166" s="4" t="s">
        <v>2028</v>
      </c>
      <c r="D166" s="1" t="s">
        <v>2030</v>
      </c>
      <c r="E166" s="1" t="s">
        <v>2029</v>
      </c>
      <c r="F166" s="1" t="s">
        <v>2011</v>
      </c>
      <c r="G166" s="71" t="s">
        <v>2031</v>
      </c>
      <c r="H166" s="15">
        <v>15000</v>
      </c>
      <c r="I166" s="2">
        <f>Tabla2456[[#This Row],[TOTAL FACTURA]]*0.6</f>
        <v>9000</v>
      </c>
      <c r="J166" s="104"/>
      <c r="L166" s="11"/>
      <c r="M166" s="2"/>
      <c r="N166" s="2" t="s">
        <v>25</v>
      </c>
      <c r="O166" s="15"/>
    </row>
    <row r="167" spans="1:15" x14ac:dyDescent="0.25">
      <c r="A167" s="56">
        <v>44722</v>
      </c>
      <c r="C167" s="4" t="s">
        <v>2032</v>
      </c>
      <c r="D167" s="1" t="s">
        <v>54</v>
      </c>
      <c r="E167" s="1" t="s">
        <v>1357</v>
      </c>
      <c r="F167" s="1" t="s">
        <v>10</v>
      </c>
      <c r="G167" s="71" t="s">
        <v>2033</v>
      </c>
      <c r="H167" s="15">
        <v>20000</v>
      </c>
      <c r="I167" s="2">
        <f>Tabla2456[[#This Row],[TOTAL FACTURA]]*0.7</f>
        <v>14000</v>
      </c>
      <c r="J167" s="104"/>
      <c r="L167" s="11"/>
      <c r="M167" s="2"/>
      <c r="N167" s="2" t="s">
        <v>25</v>
      </c>
      <c r="O167" s="15"/>
    </row>
    <row r="168" spans="1:15" x14ac:dyDescent="0.25">
      <c r="A168" s="56">
        <v>44722</v>
      </c>
      <c r="C168" s="110"/>
      <c r="D168" s="1" t="s">
        <v>2035</v>
      </c>
      <c r="E168" s="1" t="s">
        <v>2034</v>
      </c>
      <c r="F168" s="1" t="s">
        <v>408</v>
      </c>
      <c r="G168" s="71" t="s">
        <v>2036</v>
      </c>
      <c r="H168" s="15">
        <v>100000</v>
      </c>
      <c r="I168" s="2">
        <f>Tabla2456[[#This Row],[TOTAL FACTURA]]*0.7</f>
        <v>70000</v>
      </c>
      <c r="J168" s="104"/>
      <c r="L168" s="11"/>
      <c r="M168" s="2"/>
      <c r="N168" s="2" t="s">
        <v>25</v>
      </c>
      <c r="O168" s="15"/>
    </row>
    <row r="169" spans="1:15" x14ac:dyDescent="0.25">
      <c r="A169" s="56">
        <v>44722</v>
      </c>
      <c r="C169" s="4" t="s">
        <v>2037</v>
      </c>
      <c r="D169" s="1" t="s">
        <v>194</v>
      </c>
      <c r="E169" s="1" t="s">
        <v>2038</v>
      </c>
      <c r="F169" s="1" t="s">
        <v>19</v>
      </c>
      <c r="G169" s="71" t="s">
        <v>2039</v>
      </c>
      <c r="H169" s="15">
        <v>140000</v>
      </c>
      <c r="I169" s="2">
        <f>Tabla2456[[#This Row],[TOTAL FACTURA]]*0.7</f>
        <v>98000</v>
      </c>
      <c r="J169" s="104"/>
      <c r="L169" s="11"/>
      <c r="M169" s="2"/>
      <c r="N169" s="2" t="s">
        <v>25</v>
      </c>
      <c r="O169" s="15"/>
    </row>
    <row r="170" spans="1:15" x14ac:dyDescent="0.25">
      <c r="A170" s="56">
        <v>44722</v>
      </c>
      <c r="C170" s="4" t="s">
        <v>2040</v>
      </c>
      <c r="D170" s="1" t="s">
        <v>815</v>
      </c>
      <c r="E170" s="1" t="s">
        <v>2041</v>
      </c>
      <c r="F170" s="1" t="s">
        <v>408</v>
      </c>
      <c r="G170" s="71" t="s">
        <v>343</v>
      </c>
      <c r="H170" s="15">
        <v>120000</v>
      </c>
      <c r="I170" s="2">
        <f>Tabla2456[[#This Row],[TOTAL FACTURA]]*0.7</f>
        <v>84000</v>
      </c>
      <c r="J170" s="104"/>
      <c r="L170" s="11"/>
      <c r="M170" s="2"/>
      <c r="N170" s="2" t="s">
        <v>25</v>
      </c>
      <c r="O170" s="15"/>
    </row>
    <row r="171" spans="1:15" x14ac:dyDescent="0.25">
      <c r="A171" s="56">
        <v>44722</v>
      </c>
      <c r="C171" s="4" t="s">
        <v>2040</v>
      </c>
      <c r="D171" s="1" t="s">
        <v>815</v>
      </c>
      <c r="E171" s="1" t="s">
        <v>2041</v>
      </c>
      <c r="F171" s="1" t="s">
        <v>18</v>
      </c>
      <c r="G171" s="71" t="s">
        <v>2042</v>
      </c>
      <c r="H171" s="15">
        <v>40000</v>
      </c>
      <c r="I171" s="2">
        <f>Tabla2456[[#This Row],[TOTAL FACTURA]]*0.6</f>
        <v>24000</v>
      </c>
      <c r="J171" s="104"/>
      <c r="L171" s="11"/>
      <c r="M171" s="2"/>
      <c r="N171" s="2" t="s">
        <v>25</v>
      </c>
      <c r="O171" s="15"/>
    </row>
    <row r="172" spans="1:15" x14ac:dyDescent="0.25">
      <c r="A172" s="56">
        <v>44722</v>
      </c>
      <c r="C172" s="4" t="s">
        <v>2040</v>
      </c>
      <c r="D172" s="1" t="s">
        <v>815</v>
      </c>
      <c r="E172" s="1" t="s">
        <v>2041</v>
      </c>
      <c r="F172" s="1" t="s">
        <v>1039</v>
      </c>
      <c r="G172" s="71" t="s">
        <v>2043</v>
      </c>
      <c r="H172" s="15">
        <v>100000</v>
      </c>
      <c r="I172" s="2">
        <f>Tabla2456[[#This Row],[TOTAL FACTURA]]*0.6</f>
        <v>60000</v>
      </c>
      <c r="J172" s="104"/>
      <c r="L172" s="11"/>
      <c r="M172" s="2"/>
      <c r="N172" s="2" t="s">
        <v>25</v>
      </c>
      <c r="O172" s="15"/>
    </row>
    <row r="173" spans="1:15" x14ac:dyDescent="0.25">
      <c r="A173" s="56">
        <v>44722</v>
      </c>
      <c r="C173" s="4" t="s">
        <v>2040</v>
      </c>
      <c r="D173" s="1" t="s">
        <v>815</v>
      </c>
      <c r="E173" s="1" t="s">
        <v>2041</v>
      </c>
      <c r="F173" s="1" t="s">
        <v>19</v>
      </c>
      <c r="G173" s="71" t="s">
        <v>744</v>
      </c>
      <c r="H173" s="15">
        <v>40000</v>
      </c>
      <c r="I173" s="2">
        <f>Tabla2456[[#This Row],[TOTAL FACTURA]]*0.7</f>
        <v>28000</v>
      </c>
      <c r="J173" s="104"/>
      <c r="L173" s="11"/>
      <c r="M173" s="2"/>
      <c r="N173" s="2" t="s">
        <v>25</v>
      </c>
      <c r="O173" s="15"/>
    </row>
    <row r="174" spans="1:15" x14ac:dyDescent="0.25">
      <c r="A174" s="56">
        <v>44722</v>
      </c>
      <c r="C174" s="4" t="s">
        <v>2044</v>
      </c>
      <c r="D174" s="1" t="s">
        <v>962</v>
      </c>
      <c r="E174" s="1" t="s">
        <v>2045</v>
      </c>
      <c r="F174" s="1" t="s">
        <v>10</v>
      </c>
      <c r="G174" s="71" t="s">
        <v>2046</v>
      </c>
      <c r="H174" s="15">
        <v>150000</v>
      </c>
      <c r="I174" s="2">
        <f>Tabla2456[[#This Row],[TOTAL FACTURA]]*0.7</f>
        <v>105000</v>
      </c>
      <c r="J174" s="104"/>
      <c r="L174" s="11"/>
      <c r="M174" s="2"/>
      <c r="N174" s="2" t="s">
        <v>25</v>
      </c>
      <c r="O174" s="15"/>
    </row>
    <row r="175" spans="1:15" x14ac:dyDescent="0.25">
      <c r="A175" s="56">
        <v>44722</v>
      </c>
      <c r="C175" s="4" t="s">
        <v>2054</v>
      </c>
      <c r="D175" s="1" t="s">
        <v>1970</v>
      </c>
      <c r="E175" s="4"/>
      <c r="F175" s="1" t="s">
        <v>10</v>
      </c>
      <c r="G175" s="71" t="s">
        <v>343</v>
      </c>
      <c r="H175" s="15">
        <v>70000</v>
      </c>
      <c r="I175" s="2">
        <f>Tabla2456[[#This Row],[TOTAL FACTURA]]*0.7</f>
        <v>49000</v>
      </c>
      <c r="J175" s="104"/>
      <c r="L175" s="11"/>
      <c r="M175" s="2"/>
      <c r="N175" s="2" t="s">
        <v>25</v>
      </c>
      <c r="O175" s="15"/>
    </row>
    <row r="176" spans="1:15" x14ac:dyDescent="0.25">
      <c r="A176" s="56">
        <v>44722</v>
      </c>
      <c r="B176" s="4" t="s">
        <v>2087</v>
      </c>
      <c r="C176" s="4" t="s">
        <v>2055</v>
      </c>
      <c r="E176" s="4" t="s">
        <v>2086</v>
      </c>
      <c r="F176" s="1" t="s">
        <v>1039</v>
      </c>
      <c r="G176" s="71" t="s">
        <v>2056</v>
      </c>
      <c r="H176" s="15">
        <v>90000</v>
      </c>
      <c r="I176" s="2">
        <v>60000</v>
      </c>
      <c r="J176" s="104"/>
      <c r="L176" s="11"/>
      <c r="M176" s="2"/>
      <c r="N176" s="2" t="s">
        <v>25</v>
      </c>
      <c r="O176" s="15"/>
    </row>
    <row r="177" spans="1:15" x14ac:dyDescent="0.25">
      <c r="A177" s="56">
        <v>44722</v>
      </c>
      <c r="C177" s="4" t="s">
        <v>129</v>
      </c>
      <c r="D177" s="1" t="s">
        <v>952</v>
      </c>
      <c r="E177" s="4" t="s">
        <v>953</v>
      </c>
      <c r="F177" s="1" t="s">
        <v>1039</v>
      </c>
      <c r="G177" s="71" t="s">
        <v>206</v>
      </c>
      <c r="H177" s="15">
        <v>100000</v>
      </c>
      <c r="I177" s="2">
        <v>80000</v>
      </c>
      <c r="J177" s="104"/>
      <c r="L177" s="11"/>
      <c r="M177" s="2"/>
      <c r="N177" s="2" t="s">
        <v>25</v>
      </c>
      <c r="O177" s="15"/>
    </row>
    <row r="178" spans="1:15" x14ac:dyDescent="0.25">
      <c r="A178" s="56">
        <v>44722</v>
      </c>
      <c r="B178" s="4" t="s">
        <v>2076</v>
      </c>
      <c r="C178" s="4" t="s">
        <v>2059</v>
      </c>
      <c r="D178" s="1" t="s">
        <v>2060</v>
      </c>
      <c r="E178" s="4" t="s">
        <v>2061</v>
      </c>
      <c r="F178" s="1" t="s">
        <v>10</v>
      </c>
      <c r="G178" s="71" t="s">
        <v>2062</v>
      </c>
      <c r="H178" s="15">
        <v>350000</v>
      </c>
      <c r="I178" s="2">
        <f>Tabla2456[[#This Row],[TOTAL FACTURA]]*0.7</f>
        <v>244999.99999999997</v>
      </c>
      <c r="J178" s="104"/>
      <c r="L178" s="11"/>
      <c r="M178" s="2"/>
      <c r="N178" s="2" t="s">
        <v>25</v>
      </c>
      <c r="O178" s="15"/>
    </row>
    <row r="179" spans="1:15" x14ac:dyDescent="0.25">
      <c r="A179" s="56">
        <v>44723</v>
      </c>
      <c r="C179" s="110"/>
      <c r="D179" s="1" t="s">
        <v>142</v>
      </c>
      <c r="E179" s="4" t="s">
        <v>2063</v>
      </c>
      <c r="F179" s="1" t="s">
        <v>2011</v>
      </c>
      <c r="G179" s="71" t="s">
        <v>2064</v>
      </c>
      <c r="H179" s="15">
        <v>30000</v>
      </c>
      <c r="I179" s="2">
        <f>Tabla2456[[#This Row],[TOTAL FACTURA]]*0.6</f>
        <v>18000</v>
      </c>
      <c r="J179" s="104"/>
      <c r="L179" s="11"/>
      <c r="M179" s="11"/>
      <c r="O179" s="15"/>
    </row>
    <row r="180" spans="1:15" x14ac:dyDescent="0.25">
      <c r="A180" s="56">
        <v>44723</v>
      </c>
      <c r="B180" s="4" t="s">
        <v>2066</v>
      </c>
      <c r="C180" s="4" t="s">
        <v>2067</v>
      </c>
      <c r="D180" s="1" t="s">
        <v>201</v>
      </c>
      <c r="E180" s="4" t="s">
        <v>2068</v>
      </c>
      <c r="F180" s="1" t="s">
        <v>408</v>
      </c>
      <c r="G180" s="71" t="s">
        <v>138</v>
      </c>
      <c r="H180" s="15">
        <v>50000</v>
      </c>
      <c r="I180" s="2">
        <f>Tabla2456[[#This Row],[TOTAL FACTURA]]*0.7</f>
        <v>35000</v>
      </c>
      <c r="J180" s="104"/>
      <c r="L180" s="11"/>
      <c r="M180" s="11"/>
      <c r="O180" s="15"/>
    </row>
    <row r="181" spans="1:15" x14ac:dyDescent="0.25">
      <c r="A181" s="56">
        <v>44723</v>
      </c>
      <c r="C181" s="4" t="s">
        <v>734</v>
      </c>
      <c r="D181" s="1" t="s">
        <v>76</v>
      </c>
      <c r="E181" s="4" t="s">
        <v>735</v>
      </c>
      <c r="F181" s="1" t="s">
        <v>30</v>
      </c>
      <c r="G181" s="71" t="s">
        <v>2069</v>
      </c>
      <c r="H181" s="15">
        <v>200000</v>
      </c>
      <c r="I181" s="2">
        <f>Tabla2456[[#This Row],[TOTAL FACTURA]]*0.6</f>
        <v>120000</v>
      </c>
      <c r="J181" s="104"/>
      <c r="L181" s="11"/>
      <c r="M181" s="11"/>
      <c r="O181" s="15"/>
    </row>
    <row r="182" spans="1:15" x14ac:dyDescent="0.25">
      <c r="A182" s="56">
        <v>44723</v>
      </c>
      <c r="B182" s="4" t="s">
        <v>2070</v>
      </c>
      <c r="C182" s="4" t="s">
        <v>129</v>
      </c>
      <c r="D182" s="1" t="s">
        <v>202</v>
      </c>
      <c r="E182" s="4" t="s">
        <v>125</v>
      </c>
      <c r="F182" s="1" t="s">
        <v>408</v>
      </c>
      <c r="G182" s="71" t="s">
        <v>329</v>
      </c>
      <c r="H182" s="15">
        <v>80000</v>
      </c>
      <c r="I182" s="2">
        <f>Tabla2456[[#This Row],[TOTAL FACTURA]]*0.7</f>
        <v>56000</v>
      </c>
      <c r="J182" s="104"/>
      <c r="L182" s="11"/>
      <c r="M182" s="11"/>
      <c r="O182" s="15"/>
    </row>
    <row r="183" spans="1:15" x14ac:dyDescent="0.25">
      <c r="A183" s="56">
        <v>44723</v>
      </c>
      <c r="B183" s="4" t="s">
        <v>2070</v>
      </c>
      <c r="C183" s="4" t="s">
        <v>129</v>
      </c>
      <c r="D183" s="1" t="s">
        <v>202</v>
      </c>
      <c r="E183" s="4" t="s">
        <v>125</v>
      </c>
      <c r="F183" s="1" t="s">
        <v>1039</v>
      </c>
      <c r="G183" s="71" t="s">
        <v>2071</v>
      </c>
      <c r="H183" s="15">
        <v>50000</v>
      </c>
      <c r="I183" s="2">
        <v>50000</v>
      </c>
      <c r="J183" s="104"/>
      <c r="L183" s="11"/>
      <c r="M183" s="11"/>
      <c r="O183" s="15"/>
    </row>
    <row r="184" spans="1:15" x14ac:dyDescent="0.25">
      <c r="A184" s="56">
        <v>44723</v>
      </c>
      <c r="C184" s="110"/>
      <c r="D184" s="1" t="s">
        <v>385</v>
      </c>
      <c r="E184" s="4"/>
      <c r="F184" s="1" t="s">
        <v>10</v>
      </c>
      <c r="G184" s="71" t="s">
        <v>2072</v>
      </c>
      <c r="H184" s="15">
        <v>35000</v>
      </c>
      <c r="I184" s="2">
        <f>Tabla2456[[#This Row],[TOTAL FACTURA]]*0.7</f>
        <v>24500</v>
      </c>
      <c r="J184" s="104"/>
      <c r="L184" s="11"/>
      <c r="M184" s="11"/>
      <c r="N184" s="2" t="s">
        <v>25</v>
      </c>
      <c r="O184" s="15"/>
    </row>
    <row r="185" spans="1:15" x14ac:dyDescent="0.25">
      <c r="A185" s="56">
        <v>44723</v>
      </c>
      <c r="B185" s="4" t="s">
        <v>2073</v>
      </c>
      <c r="C185" s="4" t="s">
        <v>922</v>
      </c>
      <c r="D185" s="1" t="s">
        <v>2074</v>
      </c>
      <c r="E185" s="4" t="s">
        <v>924</v>
      </c>
      <c r="F185" s="1" t="s">
        <v>408</v>
      </c>
      <c r="G185" s="71" t="s">
        <v>2075</v>
      </c>
      <c r="H185" s="15">
        <v>200000</v>
      </c>
      <c r="I185" s="2">
        <f>Tabla2456[[#This Row],[TOTAL FACTURA]]*0.7</f>
        <v>140000</v>
      </c>
      <c r="J185" s="104"/>
      <c r="L185" s="11"/>
      <c r="M185" s="11"/>
      <c r="O185" s="15"/>
    </row>
    <row r="186" spans="1:15" x14ac:dyDescent="0.25">
      <c r="A186" s="56">
        <v>44724</v>
      </c>
      <c r="B186" s="4" t="s">
        <v>2080</v>
      </c>
      <c r="C186" s="4" t="s">
        <v>2077</v>
      </c>
      <c r="D186" s="1" t="s">
        <v>76</v>
      </c>
      <c r="E186" s="4" t="s">
        <v>2078</v>
      </c>
      <c r="F186" s="1" t="s">
        <v>34</v>
      </c>
      <c r="G186" s="71" t="s">
        <v>2079</v>
      </c>
      <c r="H186" s="15">
        <v>40000</v>
      </c>
      <c r="I186" s="2">
        <f>Tabla2456[[#This Row],[TOTAL FACTURA]]*0.6</f>
        <v>24000</v>
      </c>
      <c r="J186" s="104"/>
      <c r="L186" s="11"/>
      <c r="M186" s="11"/>
      <c r="O186" s="15"/>
    </row>
    <row r="187" spans="1:15" x14ac:dyDescent="0.25">
      <c r="A187" s="56">
        <v>44724</v>
      </c>
      <c r="B187" s="4" t="s">
        <v>2082</v>
      </c>
      <c r="C187" s="1" t="s">
        <v>598</v>
      </c>
      <c r="D187" s="1" t="s">
        <v>2083</v>
      </c>
      <c r="E187" s="4" t="s">
        <v>1333</v>
      </c>
      <c r="F187" s="1" t="s">
        <v>1039</v>
      </c>
      <c r="G187" s="71" t="s">
        <v>2084</v>
      </c>
      <c r="H187" s="15">
        <v>100000</v>
      </c>
      <c r="I187" s="2">
        <f>Tabla2456[[#This Row],[TOTAL FACTURA]]*0.6</f>
        <v>60000</v>
      </c>
      <c r="J187" s="104"/>
      <c r="L187" s="11"/>
      <c r="M187" s="11"/>
      <c r="O187" s="15"/>
    </row>
    <row r="188" spans="1:15" x14ac:dyDescent="0.25">
      <c r="A188" s="56">
        <v>44723</v>
      </c>
      <c r="B188" s="4" t="s">
        <v>2085</v>
      </c>
      <c r="C188" s="4" t="s">
        <v>129</v>
      </c>
      <c r="D188" s="1" t="s">
        <v>952</v>
      </c>
      <c r="E188" s="4" t="s">
        <v>953</v>
      </c>
      <c r="F188" s="1" t="s">
        <v>408</v>
      </c>
      <c r="G188" s="71" t="s">
        <v>1518</v>
      </c>
      <c r="H188" s="15">
        <v>60000</v>
      </c>
      <c r="I188" s="2">
        <f>Tabla2456[[#This Row],[TOTAL FACTURA]]*0.7</f>
        <v>42000</v>
      </c>
      <c r="J188" s="104"/>
      <c r="L188" s="11"/>
      <c r="M188" s="11"/>
      <c r="O188" s="15"/>
    </row>
    <row r="189" spans="1:15" x14ac:dyDescent="0.25">
      <c r="A189" s="56">
        <v>44725</v>
      </c>
      <c r="C189" s="4" t="s">
        <v>598</v>
      </c>
      <c r="E189" s="4" t="s">
        <v>152</v>
      </c>
      <c r="F189" s="1" t="s">
        <v>18</v>
      </c>
      <c r="G189" s="71" t="s">
        <v>2088</v>
      </c>
      <c r="H189" s="15">
        <v>300000</v>
      </c>
      <c r="I189" s="2">
        <f>Tabla2456[[#This Row],[TOTAL FACTURA]]*0.6</f>
        <v>180000</v>
      </c>
      <c r="J189" s="104"/>
      <c r="L189" s="11"/>
      <c r="M189" s="11"/>
      <c r="O189" s="15"/>
    </row>
    <row r="190" spans="1:15" x14ac:dyDescent="0.25">
      <c r="A190" s="56">
        <v>44725</v>
      </c>
      <c r="B190" s="4" t="s">
        <v>2089</v>
      </c>
      <c r="C190" s="4" t="s">
        <v>2090</v>
      </c>
      <c r="D190" s="1" t="s">
        <v>54</v>
      </c>
      <c r="E190" s="4" t="s">
        <v>424</v>
      </c>
      <c r="F190" s="1" t="s">
        <v>19</v>
      </c>
      <c r="G190" s="71" t="s">
        <v>2091</v>
      </c>
      <c r="H190" s="15">
        <v>30000</v>
      </c>
      <c r="I190" s="2">
        <f>Tabla2456[[#This Row],[TOTAL FACTURA]]*0.7</f>
        <v>21000</v>
      </c>
      <c r="J190" s="104"/>
      <c r="L190" s="11"/>
      <c r="M190" s="11"/>
      <c r="O190" s="15"/>
    </row>
    <row r="191" spans="1:15" x14ac:dyDescent="0.25">
      <c r="A191" s="56">
        <v>44725</v>
      </c>
      <c r="C191" s="4" t="s">
        <v>2092</v>
      </c>
      <c r="E191" s="4"/>
      <c r="F191" s="1" t="s">
        <v>1039</v>
      </c>
      <c r="G191" s="71" t="s">
        <v>869</v>
      </c>
      <c r="H191" s="15">
        <v>10000</v>
      </c>
      <c r="I191" s="2">
        <f>Tabla2456[[#This Row],[TOTAL FACTURA]]*0.6</f>
        <v>6000</v>
      </c>
      <c r="J191" s="104"/>
      <c r="L191" s="11"/>
      <c r="M191" s="11"/>
      <c r="O191" s="15"/>
    </row>
    <row r="192" spans="1:15" x14ac:dyDescent="0.25">
      <c r="A192" s="56">
        <v>44725</v>
      </c>
      <c r="C192" s="4" t="s">
        <v>2093</v>
      </c>
      <c r="D192" s="1" t="s">
        <v>54</v>
      </c>
      <c r="E192" s="4" t="s">
        <v>2094</v>
      </c>
      <c r="F192" s="1" t="s">
        <v>408</v>
      </c>
      <c r="G192" s="71" t="s">
        <v>744</v>
      </c>
      <c r="H192" s="15">
        <v>50000</v>
      </c>
      <c r="I192" s="2">
        <f>Tabla2456[[#This Row],[TOTAL FACTURA]]*0.7</f>
        <v>35000</v>
      </c>
      <c r="J192" s="104"/>
      <c r="L192" s="11"/>
      <c r="M192" s="11"/>
      <c r="O192" s="15"/>
    </row>
    <row r="193" spans="1:15" x14ac:dyDescent="0.25">
      <c r="A193" s="56">
        <v>44725</v>
      </c>
      <c r="C193" s="4" t="s">
        <v>2095</v>
      </c>
      <c r="D193" s="1" t="s">
        <v>59</v>
      </c>
      <c r="E193" s="4" t="s">
        <v>2096</v>
      </c>
      <c r="F193" s="1" t="s">
        <v>19</v>
      </c>
      <c r="G193" s="71" t="s">
        <v>2097</v>
      </c>
      <c r="H193" s="15">
        <v>10000</v>
      </c>
      <c r="I193" s="2">
        <f>Tabla2456[[#This Row],[TOTAL FACTURA]]*0.7</f>
        <v>7000</v>
      </c>
      <c r="J193" s="104"/>
      <c r="L193" s="11"/>
      <c r="M193" s="11"/>
      <c r="O193" s="15"/>
    </row>
    <row r="194" spans="1:15" x14ac:dyDescent="0.25">
      <c r="A194" s="56">
        <v>44725</v>
      </c>
      <c r="C194" s="4" t="s">
        <v>2098</v>
      </c>
      <c r="D194" s="1" t="s">
        <v>200</v>
      </c>
      <c r="E194" s="4" t="s">
        <v>2099</v>
      </c>
      <c r="F194" s="1" t="s">
        <v>408</v>
      </c>
      <c r="G194" s="71" t="s">
        <v>2100</v>
      </c>
      <c r="H194" s="15">
        <v>15000</v>
      </c>
      <c r="I194" s="2">
        <f>Tabla2456[[#This Row],[TOTAL FACTURA]]*0.7</f>
        <v>10500</v>
      </c>
      <c r="J194" s="104"/>
      <c r="L194" s="11"/>
      <c r="M194" s="11"/>
      <c r="O194" s="15"/>
    </row>
    <row r="195" spans="1:15" x14ac:dyDescent="0.25">
      <c r="A195" s="56">
        <v>44725</v>
      </c>
      <c r="C195" s="4" t="s">
        <v>2101</v>
      </c>
      <c r="D195" s="1" t="s">
        <v>2102</v>
      </c>
      <c r="E195" s="4" t="s">
        <v>2103</v>
      </c>
      <c r="F195" s="1" t="s">
        <v>1039</v>
      </c>
      <c r="G195" s="71" t="s">
        <v>2100</v>
      </c>
      <c r="H195" s="15">
        <v>15000</v>
      </c>
      <c r="I195" s="2">
        <f>Tabla2456[[#This Row],[TOTAL FACTURA]]*0.6</f>
        <v>9000</v>
      </c>
      <c r="J195" s="104"/>
      <c r="L195" s="11"/>
      <c r="M195" s="11"/>
      <c r="O195" s="15"/>
    </row>
    <row r="196" spans="1:15" x14ac:dyDescent="0.25">
      <c r="A196" s="56">
        <v>44725</v>
      </c>
      <c r="C196" s="4" t="s">
        <v>2104</v>
      </c>
      <c r="D196" s="1" t="s">
        <v>637</v>
      </c>
      <c r="E196" s="4" t="s">
        <v>2105</v>
      </c>
      <c r="F196" s="1" t="s">
        <v>1039</v>
      </c>
      <c r="G196" s="71" t="s">
        <v>2106</v>
      </c>
      <c r="H196" s="15">
        <v>20000</v>
      </c>
      <c r="I196" s="2">
        <f>Tabla2456[[#This Row],[TOTAL FACTURA]]*0.6</f>
        <v>12000</v>
      </c>
      <c r="J196" s="104"/>
      <c r="L196" s="11"/>
      <c r="M196" s="11"/>
      <c r="O196" s="15"/>
    </row>
    <row r="197" spans="1:15" x14ac:dyDescent="0.25">
      <c r="A197" s="56">
        <v>44726</v>
      </c>
      <c r="C197" s="4" t="s">
        <v>2108</v>
      </c>
      <c r="D197" s="1" t="s">
        <v>2109</v>
      </c>
      <c r="E197" s="4" t="s">
        <v>2110</v>
      </c>
      <c r="F197" s="1" t="s">
        <v>408</v>
      </c>
      <c r="G197" s="71" t="s">
        <v>2111</v>
      </c>
      <c r="H197" s="15">
        <v>30000</v>
      </c>
      <c r="I197" s="2">
        <f>Tabla2456[[#This Row],[TOTAL FACTURA]]*0.7</f>
        <v>21000</v>
      </c>
      <c r="J197" s="104"/>
      <c r="L197" s="11"/>
      <c r="M197" s="11"/>
      <c r="O197" s="15"/>
    </row>
    <row r="198" spans="1:15" x14ac:dyDescent="0.25">
      <c r="A198" s="56"/>
      <c r="C198" s="111"/>
      <c r="D198" s="1" t="s">
        <v>1077</v>
      </c>
      <c r="E198" s="4"/>
      <c r="F198" s="1" t="s">
        <v>10</v>
      </c>
      <c r="G198" s="71" t="s">
        <v>2147</v>
      </c>
      <c r="H198" s="15">
        <v>20000</v>
      </c>
      <c r="I198" s="2">
        <f>Tabla2456[[#This Row],[TOTAL FACTURA]]*0.7</f>
        <v>14000</v>
      </c>
      <c r="J198" s="112"/>
      <c r="L198" s="11"/>
      <c r="M198" s="11"/>
      <c r="N198" s="2" t="s">
        <v>25</v>
      </c>
      <c r="O198" s="15"/>
    </row>
    <row r="199" spans="1:15" x14ac:dyDescent="0.25">
      <c r="A199" s="56">
        <v>44726</v>
      </c>
      <c r="C199" s="4" t="s">
        <v>1097</v>
      </c>
      <c r="D199" s="1" t="s">
        <v>240</v>
      </c>
      <c r="E199" s="4" t="s">
        <v>1625</v>
      </c>
      <c r="F199" s="1" t="s">
        <v>10</v>
      </c>
      <c r="G199" s="71" t="s">
        <v>2112</v>
      </c>
      <c r="H199" s="15">
        <v>150000</v>
      </c>
      <c r="I199" s="2">
        <f>Tabla2456[[#This Row],[TOTAL FACTURA]]*0.7</f>
        <v>105000</v>
      </c>
      <c r="J199" s="104"/>
      <c r="L199" s="11"/>
      <c r="M199" s="11"/>
      <c r="N199" s="2" t="s">
        <v>25</v>
      </c>
      <c r="O199" s="15"/>
    </row>
    <row r="200" spans="1:15" x14ac:dyDescent="0.25">
      <c r="A200" s="56">
        <v>44726</v>
      </c>
      <c r="C200" s="4" t="s">
        <v>2113</v>
      </c>
      <c r="D200" s="1" t="s">
        <v>201</v>
      </c>
      <c r="E200" s="4" t="s">
        <v>2114</v>
      </c>
      <c r="F200" s="1" t="s">
        <v>1039</v>
      </c>
      <c r="G200" s="71" t="s">
        <v>2115</v>
      </c>
      <c r="H200" s="15">
        <v>20000</v>
      </c>
      <c r="I200" s="2">
        <f>Tabla2456[[#This Row],[TOTAL FACTURA]]*0.6</f>
        <v>12000</v>
      </c>
      <c r="J200" s="104"/>
      <c r="L200" s="11"/>
      <c r="M200" s="11"/>
      <c r="O200" s="15"/>
    </row>
    <row r="201" spans="1:15" x14ac:dyDescent="0.25">
      <c r="A201" s="56">
        <v>44727</v>
      </c>
      <c r="C201" s="4" t="s">
        <v>1399</v>
      </c>
      <c r="D201" s="1" t="s">
        <v>59</v>
      </c>
      <c r="E201" s="4" t="s">
        <v>1397</v>
      </c>
      <c r="F201" s="1" t="s">
        <v>19</v>
      </c>
      <c r="G201" s="71" t="s">
        <v>2116</v>
      </c>
      <c r="H201" s="15">
        <v>60000</v>
      </c>
      <c r="I201" s="2">
        <f>Tabla2456[[#This Row],[TOTAL FACTURA]]*0.7</f>
        <v>42000</v>
      </c>
      <c r="J201" s="104"/>
      <c r="L201" s="11"/>
      <c r="M201" s="11"/>
      <c r="O201" s="15"/>
    </row>
    <row r="202" spans="1:15" x14ac:dyDescent="0.25">
      <c r="A202" s="56">
        <v>44727</v>
      </c>
      <c r="C202" s="4" t="s">
        <v>1399</v>
      </c>
      <c r="D202" s="1" t="s">
        <v>59</v>
      </c>
      <c r="E202" s="4" t="s">
        <v>1397</v>
      </c>
      <c r="F202" s="1" t="s">
        <v>10</v>
      </c>
      <c r="G202" s="71" t="s">
        <v>2117</v>
      </c>
      <c r="H202" s="15">
        <v>200000</v>
      </c>
      <c r="I202" s="2">
        <f>Tabla2456[[#This Row],[TOTAL FACTURA]]*0.7</f>
        <v>140000</v>
      </c>
      <c r="J202" s="104"/>
      <c r="L202" s="11"/>
      <c r="M202" s="11"/>
      <c r="N202" s="2" t="s">
        <v>25</v>
      </c>
      <c r="O202" s="15"/>
    </row>
    <row r="203" spans="1:15" x14ac:dyDescent="0.25">
      <c r="A203" s="56">
        <v>44728</v>
      </c>
      <c r="C203" s="4" t="s">
        <v>2118</v>
      </c>
      <c r="D203" s="1" t="s">
        <v>59</v>
      </c>
      <c r="E203" s="4" t="s">
        <v>2119</v>
      </c>
      <c r="F203" s="1" t="s">
        <v>19</v>
      </c>
      <c r="G203" s="71" t="s">
        <v>1518</v>
      </c>
      <c r="H203" s="15">
        <v>50000</v>
      </c>
      <c r="I203" s="2">
        <f>Tabla2456[[#This Row],[TOTAL FACTURA]]*0.7</f>
        <v>35000</v>
      </c>
      <c r="J203" s="104"/>
      <c r="L203" s="11"/>
      <c r="M203" s="11"/>
      <c r="O203" s="15"/>
    </row>
    <row r="204" spans="1:15" x14ac:dyDescent="0.25">
      <c r="A204" s="56">
        <v>44728</v>
      </c>
      <c r="C204" s="4" t="s">
        <v>598</v>
      </c>
      <c r="D204" s="1" t="s">
        <v>151</v>
      </c>
      <c r="E204" s="4" t="s">
        <v>152</v>
      </c>
      <c r="F204" s="1" t="s">
        <v>408</v>
      </c>
      <c r="G204" s="71" t="s">
        <v>2120</v>
      </c>
      <c r="H204" s="15">
        <v>120000</v>
      </c>
      <c r="I204" s="2">
        <f>Tabla2456[[#This Row],[TOTAL FACTURA]]*0.7</f>
        <v>84000</v>
      </c>
      <c r="J204" s="104"/>
      <c r="L204" s="11"/>
      <c r="M204" s="11"/>
      <c r="O204" s="15"/>
    </row>
    <row r="205" spans="1:15" x14ac:dyDescent="0.25">
      <c r="A205" s="56">
        <v>44726</v>
      </c>
      <c r="C205" s="4" t="s">
        <v>1263</v>
      </c>
      <c r="D205" s="1" t="s">
        <v>1305</v>
      </c>
      <c r="E205" s="4" t="s">
        <v>2121</v>
      </c>
      <c r="F205" s="1" t="s">
        <v>408</v>
      </c>
      <c r="G205" s="71" t="s">
        <v>2122</v>
      </c>
      <c r="H205" s="15">
        <v>300000</v>
      </c>
      <c r="I205" s="2">
        <f>Tabla2456[[#This Row],[TOTAL FACTURA]]*0.7</f>
        <v>210000</v>
      </c>
      <c r="J205" s="104"/>
      <c r="L205" s="11"/>
      <c r="M205" s="11"/>
      <c r="O205" s="15"/>
    </row>
    <row r="206" spans="1:15" x14ac:dyDescent="0.25">
      <c r="A206" s="56">
        <v>44728</v>
      </c>
      <c r="C206" s="4" t="s">
        <v>2123</v>
      </c>
      <c r="D206" s="1" t="s">
        <v>2124</v>
      </c>
      <c r="E206" s="4" t="s">
        <v>2125</v>
      </c>
      <c r="F206" s="1" t="s">
        <v>30</v>
      </c>
      <c r="G206" s="71" t="s">
        <v>2126</v>
      </c>
      <c r="H206" s="15">
        <v>150000</v>
      </c>
      <c r="I206" s="2">
        <f>Tabla2456[[#This Row],[TOTAL FACTURA]]*0.6</f>
        <v>90000</v>
      </c>
      <c r="J206" s="104"/>
      <c r="L206" s="11"/>
      <c r="M206" s="11"/>
      <c r="O206" s="15"/>
    </row>
    <row r="207" spans="1:15" x14ac:dyDescent="0.25">
      <c r="A207" s="56">
        <v>44728</v>
      </c>
      <c r="C207" s="4" t="s">
        <v>1823</v>
      </c>
      <c r="D207" s="1" t="s">
        <v>412</v>
      </c>
      <c r="E207" s="4" t="s">
        <v>1824</v>
      </c>
      <c r="F207" s="1" t="s">
        <v>19</v>
      </c>
      <c r="G207" s="71" t="s">
        <v>2127</v>
      </c>
      <c r="H207" s="15">
        <v>100000</v>
      </c>
      <c r="I207" s="2">
        <f>Tabla2456[[#This Row],[TOTAL FACTURA]]*0.7</f>
        <v>70000</v>
      </c>
      <c r="J207" s="104"/>
      <c r="L207" s="11"/>
      <c r="M207" s="11"/>
      <c r="O207" s="15"/>
    </row>
    <row r="208" spans="1:15" x14ac:dyDescent="0.25">
      <c r="A208" s="56">
        <v>44728</v>
      </c>
      <c r="B208" s="4" t="s">
        <v>2159</v>
      </c>
      <c r="C208" s="4" t="s">
        <v>2128</v>
      </c>
      <c r="D208" s="1" t="s">
        <v>2129</v>
      </c>
      <c r="E208" s="4" t="s">
        <v>442</v>
      </c>
      <c r="F208" s="1" t="s">
        <v>10</v>
      </c>
      <c r="G208" s="71" t="s">
        <v>2130</v>
      </c>
      <c r="H208" s="15">
        <v>600000</v>
      </c>
      <c r="I208" s="2">
        <f>Tabla2456[[#This Row],[TOTAL FACTURA]]*0.7</f>
        <v>420000</v>
      </c>
      <c r="J208" s="104"/>
      <c r="L208" s="11"/>
      <c r="M208" s="11"/>
      <c r="N208" s="2" t="s">
        <v>25</v>
      </c>
      <c r="O208" s="15"/>
    </row>
    <row r="209" spans="1:15" x14ac:dyDescent="0.25">
      <c r="A209" s="56">
        <v>44729</v>
      </c>
      <c r="C209" s="4" t="s">
        <v>2131</v>
      </c>
      <c r="D209" s="1" t="s">
        <v>1434</v>
      </c>
      <c r="E209" s="4" t="s">
        <v>1435</v>
      </c>
      <c r="F209" s="1" t="s">
        <v>19</v>
      </c>
      <c r="G209" s="71" t="s">
        <v>2132</v>
      </c>
      <c r="H209" s="15">
        <v>100000</v>
      </c>
      <c r="I209" s="2">
        <f>Tabla2456[[#This Row],[TOTAL FACTURA]]*0.7</f>
        <v>70000</v>
      </c>
      <c r="J209" s="104"/>
      <c r="L209" s="11"/>
      <c r="M209" s="11"/>
      <c r="O209" s="15"/>
    </row>
    <row r="210" spans="1:15" x14ac:dyDescent="0.25">
      <c r="A210" s="56">
        <v>44729</v>
      </c>
      <c r="C210" s="4" t="s">
        <v>2131</v>
      </c>
      <c r="D210" s="1" t="s">
        <v>1434</v>
      </c>
      <c r="E210" s="4" t="s">
        <v>1435</v>
      </c>
      <c r="F210" s="1" t="s">
        <v>18</v>
      </c>
      <c r="G210" s="71" t="s">
        <v>18</v>
      </c>
      <c r="H210" s="15">
        <v>50000</v>
      </c>
      <c r="I210" s="2">
        <f>Tabla2456[[#This Row],[TOTAL FACTURA]]*0.6</f>
        <v>30000</v>
      </c>
      <c r="J210" s="104"/>
      <c r="L210" s="11"/>
      <c r="M210" s="11"/>
      <c r="O210" s="15"/>
    </row>
    <row r="211" spans="1:15" x14ac:dyDescent="0.25">
      <c r="A211" s="56">
        <v>44729</v>
      </c>
      <c r="C211" s="4" t="s">
        <v>734</v>
      </c>
      <c r="D211" s="1" t="s">
        <v>1593</v>
      </c>
      <c r="E211" s="4" t="s">
        <v>735</v>
      </c>
      <c r="F211" s="1" t="s">
        <v>10</v>
      </c>
      <c r="G211" s="71" t="s">
        <v>338</v>
      </c>
      <c r="H211" s="15">
        <v>150000</v>
      </c>
      <c r="I211" s="2">
        <f>Tabla2456[[#This Row],[TOTAL FACTURA]]*0.7</f>
        <v>105000</v>
      </c>
      <c r="J211" s="104"/>
      <c r="L211" s="11"/>
      <c r="M211" s="11"/>
      <c r="N211" s="2" t="s">
        <v>25</v>
      </c>
      <c r="O211" s="15"/>
    </row>
    <row r="212" spans="1:15" x14ac:dyDescent="0.25">
      <c r="A212" s="56">
        <v>44729</v>
      </c>
      <c r="C212" s="4" t="s">
        <v>2133</v>
      </c>
      <c r="D212" s="1" t="s">
        <v>65</v>
      </c>
      <c r="E212" s="1" t="s">
        <v>2134</v>
      </c>
      <c r="F212" s="1" t="s">
        <v>30</v>
      </c>
      <c r="G212" s="71" t="s">
        <v>2135</v>
      </c>
      <c r="H212" s="15">
        <v>450000</v>
      </c>
      <c r="I212" s="2">
        <f>Tabla2456[[#This Row],[TOTAL FACTURA]]*0.6</f>
        <v>270000</v>
      </c>
      <c r="J212" s="104"/>
      <c r="L212" s="11"/>
      <c r="M212" s="11"/>
      <c r="O212" s="15"/>
    </row>
    <row r="213" spans="1:15" x14ac:dyDescent="0.25">
      <c r="A213" s="56">
        <v>44729</v>
      </c>
      <c r="C213" s="4" t="s">
        <v>2136</v>
      </c>
      <c r="D213" s="1" t="s">
        <v>2137</v>
      </c>
      <c r="E213" s="4" t="s">
        <v>1948</v>
      </c>
      <c r="F213" s="1" t="s">
        <v>408</v>
      </c>
      <c r="G213" s="71" t="s">
        <v>2138</v>
      </c>
      <c r="H213" s="15">
        <v>60000</v>
      </c>
      <c r="I213" s="2">
        <f>Tabla2456[[#This Row],[TOTAL FACTURA]]*0.7</f>
        <v>42000</v>
      </c>
      <c r="J213" s="104"/>
      <c r="L213" s="11"/>
      <c r="M213" s="11"/>
      <c r="O213" s="15"/>
    </row>
    <row r="214" spans="1:15" x14ac:dyDescent="0.25">
      <c r="A214" s="56">
        <v>44729</v>
      </c>
      <c r="C214" s="4" t="s">
        <v>2139</v>
      </c>
      <c r="D214" s="1" t="s">
        <v>1077</v>
      </c>
      <c r="E214" s="4" t="s">
        <v>1848</v>
      </c>
      <c r="F214" s="1" t="s">
        <v>19</v>
      </c>
      <c r="G214" s="71" t="s">
        <v>2140</v>
      </c>
      <c r="H214" s="15">
        <v>280000</v>
      </c>
      <c r="I214" s="2">
        <f>Tabla2456[[#This Row],[TOTAL FACTURA]]*0.6</f>
        <v>168000</v>
      </c>
      <c r="J214" s="104"/>
      <c r="L214" s="11"/>
      <c r="M214" s="11"/>
      <c r="O214" s="15"/>
    </row>
    <row r="215" spans="1:15" x14ac:dyDescent="0.25">
      <c r="A215" s="56">
        <v>44729</v>
      </c>
      <c r="B215" s="4" t="s">
        <v>2142</v>
      </c>
      <c r="C215" s="4" t="s">
        <v>2141</v>
      </c>
      <c r="D215" s="1" t="s">
        <v>574</v>
      </c>
      <c r="E215" s="4" t="s">
        <v>546</v>
      </c>
      <c r="F215" s="1" t="s">
        <v>10</v>
      </c>
      <c r="G215" s="71" t="s">
        <v>1407</v>
      </c>
      <c r="H215" s="15">
        <v>300000</v>
      </c>
      <c r="I215" s="2">
        <f>Tabla2456[[#This Row],[TOTAL FACTURA]]*0.6</f>
        <v>180000</v>
      </c>
      <c r="J215" s="104"/>
      <c r="L215" s="11"/>
      <c r="M215" s="11"/>
      <c r="N215" s="2" t="s">
        <v>25</v>
      </c>
      <c r="O215" s="15"/>
    </row>
    <row r="216" spans="1:15" x14ac:dyDescent="0.25">
      <c r="A216" s="56">
        <v>44729</v>
      </c>
      <c r="B216" s="4" t="s">
        <v>2143</v>
      </c>
      <c r="C216" s="4" t="s">
        <v>2144</v>
      </c>
      <c r="D216" s="1" t="s">
        <v>2145</v>
      </c>
      <c r="E216" s="4" t="s">
        <v>2146</v>
      </c>
      <c r="F216" s="1" t="s">
        <v>10</v>
      </c>
      <c r="G216" s="71" t="s">
        <v>174</v>
      </c>
      <c r="H216" s="15">
        <v>50000</v>
      </c>
      <c r="I216" s="2">
        <f>Tabla2456[[#This Row],[TOTAL FACTURA]]*0.6</f>
        <v>30000</v>
      </c>
      <c r="J216" s="104"/>
      <c r="L216" s="11"/>
      <c r="M216" s="11"/>
      <c r="N216" s="2" t="s">
        <v>25</v>
      </c>
      <c r="O216" s="15"/>
    </row>
    <row r="217" spans="1:15" x14ac:dyDescent="0.25">
      <c r="A217" s="56">
        <v>44730</v>
      </c>
      <c r="B217" s="4" t="s">
        <v>2148</v>
      </c>
      <c r="C217" s="4" t="s">
        <v>2149</v>
      </c>
      <c r="D217" s="1" t="s">
        <v>2150</v>
      </c>
      <c r="E217" s="4" t="s">
        <v>2151</v>
      </c>
      <c r="F217" s="1" t="s">
        <v>408</v>
      </c>
      <c r="G217" s="71" t="s">
        <v>2010</v>
      </c>
      <c r="H217" s="15">
        <v>20000</v>
      </c>
      <c r="I217" s="2">
        <f>Tabla2456[[#This Row],[TOTAL FACTURA]]*0.7</f>
        <v>14000</v>
      </c>
      <c r="J217" s="104"/>
      <c r="L217" s="11"/>
      <c r="M217" s="11"/>
      <c r="O217" s="15"/>
    </row>
    <row r="218" spans="1:15" x14ac:dyDescent="0.25">
      <c r="A218" s="56">
        <v>44730</v>
      </c>
      <c r="B218" s="4" t="s">
        <v>2152</v>
      </c>
      <c r="C218" s="4" t="s">
        <v>2153</v>
      </c>
      <c r="D218" s="1" t="s">
        <v>103</v>
      </c>
      <c r="E218" s="4" t="s">
        <v>2154</v>
      </c>
      <c r="F218" s="1" t="s">
        <v>408</v>
      </c>
      <c r="G218" s="71" t="s">
        <v>338</v>
      </c>
      <c r="H218" s="15">
        <v>150000</v>
      </c>
      <c r="I218" s="2">
        <f>Tabla2456[[#This Row],[TOTAL FACTURA]]*0.7</f>
        <v>105000</v>
      </c>
      <c r="J218" s="104"/>
      <c r="L218" s="11"/>
      <c r="M218" s="11"/>
      <c r="O218" s="15"/>
    </row>
    <row r="219" spans="1:15" x14ac:dyDescent="0.25">
      <c r="A219" s="56">
        <v>44730</v>
      </c>
      <c r="C219" s="110"/>
      <c r="D219" s="1" t="s">
        <v>2155</v>
      </c>
      <c r="E219" s="4"/>
      <c r="F219" s="1" t="s">
        <v>1039</v>
      </c>
      <c r="G219" s="71" t="s">
        <v>2156</v>
      </c>
      <c r="H219" s="15">
        <v>80000</v>
      </c>
      <c r="I219" s="2">
        <f>Tabla2456[[#This Row],[TOTAL FACTURA]]*0.6</f>
        <v>48000</v>
      </c>
      <c r="J219" s="104"/>
      <c r="L219" s="11"/>
      <c r="M219" s="11"/>
      <c r="O219" s="15"/>
    </row>
    <row r="220" spans="1:15" x14ac:dyDescent="0.25">
      <c r="A220" s="56">
        <v>44731</v>
      </c>
      <c r="C220" s="4" t="s">
        <v>2157</v>
      </c>
      <c r="D220" s="1" t="s">
        <v>466</v>
      </c>
      <c r="E220" s="4"/>
      <c r="F220" s="1" t="s">
        <v>1039</v>
      </c>
      <c r="G220" s="71" t="s">
        <v>2158</v>
      </c>
      <c r="H220" s="15">
        <v>30000</v>
      </c>
      <c r="I220" s="2">
        <f>Tabla2456[[#This Row],[TOTAL FACTURA]]*0.6</f>
        <v>18000</v>
      </c>
      <c r="J220" s="112"/>
      <c r="L220" s="11"/>
      <c r="M220" s="11"/>
      <c r="O220" s="15"/>
    </row>
    <row r="221" spans="1:15" x14ac:dyDescent="0.25">
      <c r="A221" s="56">
        <v>44732</v>
      </c>
      <c r="C221" s="110"/>
      <c r="D221" s="1" t="s">
        <v>311</v>
      </c>
      <c r="E221" s="4"/>
      <c r="F221" s="1" t="s">
        <v>10</v>
      </c>
      <c r="G221" s="71" t="s">
        <v>2161</v>
      </c>
      <c r="H221" s="15">
        <v>20000</v>
      </c>
      <c r="I221" s="2">
        <f>Tabla2456[[#This Row],[TOTAL FACTURA]]*0.7</f>
        <v>14000</v>
      </c>
      <c r="J221" s="104"/>
      <c r="L221" s="11"/>
      <c r="M221" s="11"/>
      <c r="N221" s="2" t="s">
        <v>25</v>
      </c>
      <c r="O221" s="15"/>
    </row>
    <row r="222" spans="1:15" x14ac:dyDescent="0.25">
      <c r="A222" s="56">
        <v>44729</v>
      </c>
      <c r="C222" s="110"/>
      <c r="E222" s="4"/>
      <c r="F222" s="1" t="s">
        <v>10</v>
      </c>
      <c r="G222" s="71" t="s">
        <v>2147</v>
      </c>
      <c r="H222" s="15">
        <v>30000</v>
      </c>
      <c r="I222" s="2">
        <f>Tabla2456[[#This Row],[TOTAL FACTURA]]*0.6</f>
        <v>18000</v>
      </c>
      <c r="J222" s="104"/>
      <c r="L222" s="11"/>
      <c r="M222" s="11"/>
      <c r="N222" s="2" t="s">
        <v>25</v>
      </c>
      <c r="O222" s="15"/>
    </row>
    <row r="223" spans="1:15" x14ac:dyDescent="0.25">
      <c r="A223" s="56">
        <v>44733</v>
      </c>
      <c r="B223" s="4" t="s">
        <v>2160</v>
      </c>
      <c r="C223" s="4" t="s">
        <v>598</v>
      </c>
      <c r="D223" s="1" t="s">
        <v>1414</v>
      </c>
      <c r="E223" s="4" t="s">
        <v>2162</v>
      </c>
      <c r="F223" s="1" t="s">
        <v>408</v>
      </c>
      <c r="G223" s="71" t="s">
        <v>2163</v>
      </c>
      <c r="H223" s="15">
        <v>130000</v>
      </c>
      <c r="I223" s="2">
        <f>Tabla2456[[#This Row],[TOTAL FACTURA]]*0.7</f>
        <v>91000</v>
      </c>
      <c r="J223" s="104"/>
      <c r="L223" s="11"/>
      <c r="M223" s="11"/>
      <c r="O223" s="15"/>
    </row>
    <row r="224" spans="1:15" x14ac:dyDescent="0.25">
      <c r="A224" s="56">
        <v>44734</v>
      </c>
      <c r="C224" s="4" t="s">
        <v>2201</v>
      </c>
      <c r="D224" s="1" t="s">
        <v>2202</v>
      </c>
      <c r="E224" s="4" t="s">
        <v>2203</v>
      </c>
      <c r="F224" s="1" t="s">
        <v>30</v>
      </c>
      <c r="G224" s="71" t="s">
        <v>2204</v>
      </c>
      <c r="H224" s="15">
        <v>40000</v>
      </c>
      <c r="I224" s="2">
        <f>Tabla2456[[#This Row],[TOTAL FACTURA]]*0.6</f>
        <v>24000</v>
      </c>
      <c r="J224" s="113"/>
      <c r="L224" s="11"/>
      <c r="M224" s="11"/>
      <c r="O224" s="15"/>
    </row>
    <row r="225" spans="1:15" x14ac:dyDescent="0.25">
      <c r="A225" s="56">
        <v>44734</v>
      </c>
      <c r="B225" s="4" t="s">
        <v>2164</v>
      </c>
      <c r="C225" s="4" t="s">
        <v>2165</v>
      </c>
      <c r="D225" s="1" t="s">
        <v>1414</v>
      </c>
      <c r="E225" s="4" t="s">
        <v>2166</v>
      </c>
      <c r="F225" s="1" t="s">
        <v>10</v>
      </c>
      <c r="G225" s="71" t="s">
        <v>338</v>
      </c>
      <c r="H225" s="15">
        <v>150000</v>
      </c>
      <c r="I225" s="2">
        <f>Tabla2456[[#This Row],[TOTAL FACTURA]]*0.7</f>
        <v>105000</v>
      </c>
      <c r="J225" s="104"/>
      <c r="L225" s="11"/>
      <c r="M225" s="11"/>
      <c r="N225" s="2" t="s">
        <v>25</v>
      </c>
      <c r="O225" s="15"/>
    </row>
    <row r="226" spans="1:15" x14ac:dyDescent="0.25">
      <c r="A226" s="56">
        <v>44734</v>
      </c>
      <c r="B226" s="4" t="s">
        <v>2167</v>
      </c>
      <c r="C226" s="4" t="s">
        <v>1699</v>
      </c>
      <c r="D226" s="1" t="s">
        <v>2168</v>
      </c>
      <c r="E226" s="4" t="s">
        <v>2169</v>
      </c>
      <c r="F226" s="1" t="s">
        <v>19</v>
      </c>
      <c r="G226" s="71" t="s">
        <v>2170</v>
      </c>
      <c r="H226" s="15">
        <v>50000</v>
      </c>
      <c r="I226" s="2">
        <f>Tabla2456[[#This Row],[TOTAL FACTURA]]*0.7</f>
        <v>35000</v>
      </c>
      <c r="J226" s="104"/>
      <c r="L226" s="11"/>
      <c r="M226" s="11"/>
      <c r="O226" s="15"/>
    </row>
    <row r="227" spans="1:15" x14ac:dyDescent="0.25">
      <c r="A227" s="56">
        <v>44734</v>
      </c>
      <c r="B227" s="4" t="s">
        <v>2171</v>
      </c>
      <c r="C227" s="4" t="s">
        <v>2172</v>
      </c>
      <c r="D227" s="1" t="s">
        <v>566</v>
      </c>
      <c r="E227" s="4" t="s">
        <v>2173</v>
      </c>
      <c r="F227" s="1" t="s">
        <v>1039</v>
      </c>
      <c r="G227" s="71" t="s">
        <v>2174</v>
      </c>
      <c r="H227" s="15">
        <v>120000</v>
      </c>
      <c r="I227" s="2">
        <f>Tabla2456[[#This Row],[TOTAL FACTURA]]*0.6</f>
        <v>72000</v>
      </c>
      <c r="J227" s="104"/>
      <c r="L227" s="11"/>
      <c r="M227" s="11"/>
      <c r="O227" s="15"/>
    </row>
    <row r="228" spans="1:15" x14ac:dyDescent="0.25">
      <c r="A228" s="56">
        <v>44734</v>
      </c>
      <c r="C228" s="4" t="s">
        <v>2175</v>
      </c>
      <c r="D228" s="1" t="s">
        <v>2176</v>
      </c>
      <c r="E228" s="4" t="s">
        <v>2177</v>
      </c>
      <c r="F228" s="1" t="s">
        <v>1039</v>
      </c>
      <c r="G228" s="71" t="s">
        <v>1573</v>
      </c>
      <c r="H228" s="15">
        <v>15000</v>
      </c>
      <c r="I228" s="2">
        <f>Tabla2456[[#This Row],[TOTAL FACTURA]]*0.6</f>
        <v>9000</v>
      </c>
      <c r="J228" s="104"/>
      <c r="L228" s="11"/>
      <c r="M228" s="11"/>
      <c r="O228" s="15"/>
    </row>
    <row r="229" spans="1:15" x14ac:dyDescent="0.25">
      <c r="A229" s="56">
        <v>44734</v>
      </c>
      <c r="C229" s="110"/>
      <c r="D229" s="1" t="s">
        <v>22</v>
      </c>
      <c r="E229" s="4" t="s">
        <v>2178</v>
      </c>
      <c r="F229" s="1" t="s">
        <v>1039</v>
      </c>
      <c r="G229" s="71" t="s">
        <v>2179</v>
      </c>
      <c r="H229" s="15">
        <v>30000</v>
      </c>
      <c r="I229" s="2">
        <f>Tabla2456[[#This Row],[TOTAL FACTURA]]*0.6</f>
        <v>18000</v>
      </c>
      <c r="J229" s="104"/>
      <c r="L229" s="11"/>
      <c r="M229" s="11"/>
      <c r="O229" s="15"/>
    </row>
    <row r="230" spans="1:15" x14ac:dyDescent="0.25">
      <c r="A230" s="56">
        <v>44735</v>
      </c>
      <c r="B230" s="4" t="s">
        <v>2181</v>
      </c>
      <c r="C230" s="4" t="s">
        <v>2180</v>
      </c>
      <c r="E230" s="4" t="s">
        <v>2182</v>
      </c>
      <c r="F230" s="1" t="s">
        <v>10</v>
      </c>
      <c r="G230" s="71" t="s">
        <v>2183</v>
      </c>
      <c r="H230" s="15">
        <v>800000</v>
      </c>
      <c r="I230" s="2">
        <f>Tabla2456[[#This Row],[TOTAL FACTURA]]*0.7</f>
        <v>560000</v>
      </c>
      <c r="J230" s="104"/>
      <c r="L230" s="11"/>
      <c r="M230" s="11"/>
      <c r="N230" s="2" t="s">
        <v>25</v>
      </c>
      <c r="O230" s="15"/>
    </row>
    <row r="231" spans="1:15" x14ac:dyDescent="0.25">
      <c r="A231" s="56">
        <v>44735</v>
      </c>
      <c r="B231" s="4" t="s">
        <v>2181</v>
      </c>
      <c r="C231" s="4" t="s">
        <v>2180</v>
      </c>
      <c r="E231" s="4" t="s">
        <v>2182</v>
      </c>
      <c r="F231" s="1" t="s">
        <v>1039</v>
      </c>
      <c r="G231" s="71" t="s">
        <v>206</v>
      </c>
      <c r="H231" s="15">
        <v>180000</v>
      </c>
      <c r="I231" s="2">
        <f>Tabla2456[[#This Row],[TOTAL FACTURA]]*0.6</f>
        <v>108000</v>
      </c>
      <c r="J231" s="104"/>
      <c r="L231" s="11"/>
      <c r="M231" s="11"/>
      <c r="O231" s="15"/>
    </row>
    <row r="232" spans="1:15" x14ac:dyDescent="0.25">
      <c r="A232" s="56">
        <v>44735</v>
      </c>
      <c r="C232" s="110"/>
      <c r="D232" s="1" t="s">
        <v>385</v>
      </c>
      <c r="E232" s="4" t="s">
        <v>2184</v>
      </c>
      <c r="F232" s="1" t="s">
        <v>10</v>
      </c>
      <c r="G232" s="71" t="s">
        <v>1407</v>
      </c>
      <c r="H232" s="15">
        <v>150000</v>
      </c>
      <c r="I232" s="2">
        <f>Tabla2456[[#This Row],[TOTAL FACTURA]]*0.7</f>
        <v>105000</v>
      </c>
      <c r="J232" s="104"/>
      <c r="L232" s="11"/>
      <c r="M232" s="11"/>
      <c r="N232" s="2" t="s">
        <v>25</v>
      </c>
      <c r="O232" s="15"/>
    </row>
    <row r="233" spans="1:15" x14ac:dyDescent="0.25">
      <c r="A233" s="56">
        <v>44735</v>
      </c>
      <c r="C233" s="110"/>
      <c r="D233" s="1" t="s">
        <v>1203</v>
      </c>
      <c r="E233" s="4"/>
      <c r="F233" s="1" t="s">
        <v>408</v>
      </c>
      <c r="G233" s="71" t="s">
        <v>2185</v>
      </c>
      <c r="H233" s="15">
        <v>120000</v>
      </c>
      <c r="I233" s="2">
        <f>Tabla2456[[#This Row],[TOTAL FACTURA]]*0.7</f>
        <v>84000</v>
      </c>
      <c r="J233" s="104"/>
      <c r="L233" s="11"/>
      <c r="M233" s="11"/>
      <c r="O233" s="15"/>
    </row>
    <row r="234" spans="1:15" x14ac:dyDescent="0.25">
      <c r="A234" s="56">
        <v>44736</v>
      </c>
      <c r="C234" s="4" t="s">
        <v>598</v>
      </c>
      <c r="D234" s="1" t="s">
        <v>151</v>
      </c>
      <c r="E234" s="4" t="s">
        <v>152</v>
      </c>
      <c r="F234" s="1" t="s">
        <v>2011</v>
      </c>
      <c r="G234" s="71" t="s">
        <v>2186</v>
      </c>
      <c r="H234" s="15">
        <v>30000</v>
      </c>
      <c r="I234" s="2">
        <f>Tabla2456[[#This Row],[TOTAL FACTURA]]*0.6</f>
        <v>18000</v>
      </c>
      <c r="J234" s="104"/>
      <c r="L234" s="11"/>
      <c r="M234" s="11"/>
      <c r="O234" s="15"/>
    </row>
    <row r="235" spans="1:15" x14ac:dyDescent="0.25">
      <c r="A235" s="56">
        <v>44736</v>
      </c>
      <c r="C235" s="4" t="s">
        <v>2187</v>
      </c>
      <c r="D235" s="1" t="s">
        <v>200</v>
      </c>
      <c r="E235" s="4" t="s">
        <v>1103</v>
      </c>
      <c r="F235" s="1" t="s">
        <v>408</v>
      </c>
      <c r="G235" s="71" t="s">
        <v>2209</v>
      </c>
      <c r="H235" s="15">
        <v>200000</v>
      </c>
      <c r="I235" s="2">
        <f>Tabla2456[[#This Row],[TOTAL FACTURA]]*0.7</f>
        <v>140000</v>
      </c>
      <c r="J235" s="104"/>
      <c r="L235" s="11"/>
      <c r="M235" s="11"/>
      <c r="O235" s="15"/>
    </row>
    <row r="236" spans="1:15" x14ac:dyDescent="0.25">
      <c r="A236" s="56">
        <v>44736</v>
      </c>
      <c r="B236" s="4" t="s">
        <v>2191</v>
      </c>
      <c r="C236" s="4" t="s">
        <v>2188</v>
      </c>
      <c r="D236" s="1" t="s">
        <v>2190</v>
      </c>
      <c r="E236" s="4" t="s">
        <v>2189</v>
      </c>
      <c r="F236" s="1" t="s">
        <v>408</v>
      </c>
      <c r="G236" s="71" t="s">
        <v>206</v>
      </c>
      <c r="H236" s="15">
        <v>70000</v>
      </c>
      <c r="I236" s="2">
        <f>Tabla2456[[#This Row],[TOTAL FACTURA]]*0.7</f>
        <v>49000</v>
      </c>
      <c r="J236" s="104"/>
      <c r="L236" s="11"/>
      <c r="M236" s="11"/>
      <c r="O236" s="15"/>
    </row>
    <row r="237" spans="1:15" x14ac:dyDescent="0.25">
      <c r="A237" s="56">
        <v>44736</v>
      </c>
      <c r="C237" s="4" t="s">
        <v>2192</v>
      </c>
      <c r="D237" s="1" t="s">
        <v>2193</v>
      </c>
      <c r="E237" s="4" t="s">
        <v>2194</v>
      </c>
      <c r="F237" s="1" t="s">
        <v>1039</v>
      </c>
      <c r="G237" s="71" t="s">
        <v>2195</v>
      </c>
      <c r="H237" s="15">
        <v>80000</v>
      </c>
      <c r="I237" s="2">
        <f>Tabla2456[[#This Row],[TOTAL FACTURA]]*0.6</f>
        <v>48000</v>
      </c>
      <c r="J237" s="104"/>
      <c r="L237" s="11"/>
      <c r="M237" s="11"/>
      <c r="O237" s="15"/>
    </row>
    <row r="238" spans="1:15" x14ac:dyDescent="0.25">
      <c r="A238" s="56">
        <v>44736</v>
      </c>
      <c r="C238" s="110"/>
      <c r="D238" s="1" t="s">
        <v>194</v>
      </c>
      <c r="E238" s="4" t="s">
        <v>2196</v>
      </c>
      <c r="F238" s="1" t="s">
        <v>408</v>
      </c>
      <c r="G238" s="71" t="s">
        <v>2197</v>
      </c>
      <c r="H238" s="15">
        <v>40000</v>
      </c>
      <c r="I238" s="2">
        <f>Tabla2456[[#This Row],[TOTAL FACTURA]]*0.7</f>
        <v>28000</v>
      </c>
      <c r="J238" s="104"/>
      <c r="L238" s="11"/>
      <c r="M238" s="11"/>
      <c r="O238" s="15"/>
    </row>
    <row r="239" spans="1:15" x14ac:dyDescent="0.25">
      <c r="A239" s="56">
        <v>44736</v>
      </c>
      <c r="C239" s="4" t="s">
        <v>2198</v>
      </c>
      <c r="D239" s="1" t="s">
        <v>54</v>
      </c>
      <c r="E239" s="4" t="s">
        <v>2199</v>
      </c>
      <c r="F239" s="1" t="s">
        <v>408</v>
      </c>
      <c r="G239" s="71" t="s">
        <v>341</v>
      </c>
      <c r="H239" s="15">
        <v>15000</v>
      </c>
      <c r="I239" s="2">
        <f>Tabla2456[[#This Row],[TOTAL FACTURA]]*0.7</f>
        <v>10500</v>
      </c>
      <c r="J239" s="104"/>
      <c r="L239" s="11"/>
      <c r="M239" s="11"/>
      <c r="O239" s="15"/>
    </row>
    <row r="240" spans="1:15" x14ac:dyDescent="0.25">
      <c r="A240" s="56">
        <v>44736</v>
      </c>
      <c r="C240" s="4" t="s">
        <v>2207</v>
      </c>
      <c r="D240" s="1" t="s">
        <v>2206</v>
      </c>
      <c r="E240" s="4" t="s">
        <v>2205</v>
      </c>
      <c r="F240" s="1" t="s">
        <v>408</v>
      </c>
      <c r="G240" s="71" t="s">
        <v>2208</v>
      </c>
      <c r="H240" s="15">
        <v>700000</v>
      </c>
      <c r="I240" s="2">
        <f>Tabla2456[[#This Row],[TOTAL FACTURA]]*0.7</f>
        <v>489999.99999999994</v>
      </c>
      <c r="J240" s="104"/>
      <c r="L240" s="11"/>
      <c r="M240" s="11"/>
      <c r="O240" s="15"/>
    </row>
    <row r="241" spans="1:15" x14ac:dyDescent="0.25">
      <c r="A241" s="56">
        <v>44736</v>
      </c>
      <c r="C241" s="110"/>
      <c r="D241" s="1" t="s">
        <v>168</v>
      </c>
      <c r="E241" s="4" t="s">
        <v>2210</v>
      </c>
      <c r="F241" s="1" t="s">
        <v>30</v>
      </c>
      <c r="G241" s="71" t="s">
        <v>2211</v>
      </c>
      <c r="H241" s="15">
        <v>150000</v>
      </c>
      <c r="I241" s="2">
        <f>Tabla2456[[#This Row],[TOTAL FACTURA]]*0.6</f>
        <v>90000</v>
      </c>
      <c r="J241" s="104"/>
      <c r="L241" s="11"/>
      <c r="M241" s="11"/>
      <c r="O241" s="15"/>
    </row>
    <row r="242" spans="1:15" x14ac:dyDescent="0.25">
      <c r="A242" s="56">
        <v>44737</v>
      </c>
      <c r="B242" s="4" t="s">
        <v>2212</v>
      </c>
      <c r="C242" s="4" t="s">
        <v>2213</v>
      </c>
      <c r="D242" s="1" t="s">
        <v>1305</v>
      </c>
      <c r="E242" s="4" t="s">
        <v>2214</v>
      </c>
      <c r="F242" s="1" t="s">
        <v>408</v>
      </c>
      <c r="G242" s="71" t="s">
        <v>2215</v>
      </c>
      <c r="H242" s="15">
        <v>160000</v>
      </c>
      <c r="I242" s="2">
        <f>Tabla2456[[#This Row],[TOTAL FACTURA]]*0.7</f>
        <v>112000</v>
      </c>
      <c r="J242" s="104"/>
      <c r="L242" s="11"/>
      <c r="M242" s="11"/>
      <c r="O242" s="15"/>
    </row>
    <row r="243" spans="1:15" x14ac:dyDescent="0.25">
      <c r="A243" s="56">
        <v>44737</v>
      </c>
      <c r="C243" s="4" t="s">
        <v>2216</v>
      </c>
      <c r="D243" s="1" t="s">
        <v>202</v>
      </c>
      <c r="E243" s="4" t="s">
        <v>2217</v>
      </c>
      <c r="F243" s="1" t="s">
        <v>1039</v>
      </c>
      <c r="G243" s="71" t="s">
        <v>2218</v>
      </c>
      <c r="H243" s="15">
        <v>40000</v>
      </c>
      <c r="I243" s="2">
        <f>Tabla2456[[#This Row],[TOTAL FACTURA]]*0.6</f>
        <v>24000</v>
      </c>
      <c r="J243" s="104"/>
      <c r="L243" s="11"/>
      <c r="M243" s="11"/>
      <c r="O243" s="15"/>
    </row>
    <row r="244" spans="1:15" x14ac:dyDescent="0.25">
      <c r="A244" s="56">
        <v>44737</v>
      </c>
      <c r="C244" s="110"/>
      <c r="D244" s="1" t="s">
        <v>1196</v>
      </c>
      <c r="E244" s="4" t="s">
        <v>2219</v>
      </c>
      <c r="F244" s="1" t="s">
        <v>1039</v>
      </c>
      <c r="G244" s="71" t="s">
        <v>560</v>
      </c>
      <c r="H244" s="115">
        <v>40000</v>
      </c>
      <c r="I244" s="2">
        <f>Tabla2456[[#This Row],[TOTAL FACTURA]]*0.6</f>
        <v>24000</v>
      </c>
      <c r="J244" s="104"/>
      <c r="L244" s="11"/>
      <c r="M244" s="11"/>
      <c r="O244" s="15"/>
    </row>
    <row r="245" spans="1:15" x14ac:dyDescent="0.25">
      <c r="A245" s="56">
        <v>44737</v>
      </c>
      <c r="B245" s="4" t="s">
        <v>2220</v>
      </c>
      <c r="C245" s="4" t="s">
        <v>2221</v>
      </c>
      <c r="D245" s="1" t="s">
        <v>2226</v>
      </c>
      <c r="E245" s="4" t="s">
        <v>2222</v>
      </c>
      <c r="F245" s="1" t="s">
        <v>1039</v>
      </c>
      <c r="G245" s="71" t="s">
        <v>2223</v>
      </c>
      <c r="H245" s="115">
        <v>80000</v>
      </c>
      <c r="I245" s="2">
        <f>Tabla2456[[#This Row],[TOTAL FACTURA]]*0.6</f>
        <v>48000</v>
      </c>
      <c r="J245" s="104"/>
      <c r="L245" s="11"/>
      <c r="M245" s="11"/>
      <c r="O245" s="15"/>
    </row>
    <row r="246" spans="1:15" x14ac:dyDescent="0.25">
      <c r="A246" s="56">
        <v>44737</v>
      </c>
      <c r="C246" s="110"/>
      <c r="D246" s="1" t="s">
        <v>2227</v>
      </c>
      <c r="E246" s="4" t="s">
        <v>2224</v>
      </c>
      <c r="F246" s="1" t="s">
        <v>10</v>
      </c>
      <c r="G246" s="1" t="s">
        <v>2289</v>
      </c>
      <c r="H246" s="15">
        <v>30000</v>
      </c>
      <c r="I246" s="2">
        <f>Tabla2456[[#This Row],[TOTAL FACTURA]]*0.7</f>
        <v>21000</v>
      </c>
      <c r="J246" s="104"/>
      <c r="L246" s="11"/>
      <c r="M246" s="11"/>
      <c r="N246" s="2" t="s">
        <v>25</v>
      </c>
      <c r="O246" s="15"/>
    </row>
    <row r="247" spans="1:15" x14ac:dyDescent="0.25">
      <c r="A247" s="56">
        <v>44737</v>
      </c>
      <c r="C247" s="110"/>
      <c r="D247" s="1" t="s">
        <v>2227</v>
      </c>
      <c r="E247" s="4" t="s">
        <v>2224</v>
      </c>
      <c r="F247" s="1" t="s">
        <v>19</v>
      </c>
      <c r="G247" s="1" t="s">
        <v>2225</v>
      </c>
      <c r="H247" s="15">
        <v>30000</v>
      </c>
      <c r="I247" s="2">
        <f>Tabla2456[[#This Row],[TOTAL FACTURA]]*0.7</f>
        <v>21000</v>
      </c>
      <c r="J247" s="104"/>
      <c r="L247" s="11"/>
      <c r="M247" s="11"/>
      <c r="O247" s="15"/>
    </row>
    <row r="248" spans="1:15" x14ac:dyDescent="0.25">
      <c r="A248" s="56">
        <v>44737</v>
      </c>
      <c r="C248" s="4" t="s">
        <v>2228</v>
      </c>
      <c r="D248" s="1" t="s">
        <v>2229</v>
      </c>
      <c r="E248" s="4" t="s">
        <v>2230</v>
      </c>
      <c r="F248" s="1" t="s">
        <v>408</v>
      </c>
      <c r="G248" s="71" t="s">
        <v>2231</v>
      </c>
      <c r="H248" s="15">
        <v>30000</v>
      </c>
      <c r="I248" s="2">
        <f>Tabla2456[[#This Row],[TOTAL FACTURA]]*0.7</f>
        <v>21000</v>
      </c>
      <c r="J248" s="104"/>
      <c r="L248" s="11"/>
      <c r="M248" s="11"/>
      <c r="O248" s="15"/>
    </row>
    <row r="249" spans="1:15" x14ac:dyDescent="0.25">
      <c r="A249" s="56">
        <v>44737</v>
      </c>
      <c r="C249" s="4" t="s">
        <v>129</v>
      </c>
      <c r="D249" s="1" t="s">
        <v>952</v>
      </c>
      <c r="E249" s="4" t="s">
        <v>953</v>
      </c>
      <c r="G249" s="71" t="s">
        <v>2232</v>
      </c>
      <c r="H249" s="15">
        <v>150000</v>
      </c>
      <c r="I249" s="2">
        <f>Tabla2456[[#This Row],[TOTAL FACTURA]]*0.6</f>
        <v>90000</v>
      </c>
      <c r="J249" s="104"/>
      <c r="L249" s="11"/>
      <c r="M249" s="11"/>
      <c r="O249" s="15"/>
    </row>
    <row r="250" spans="1:15" s="119" customFormat="1" x14ac:dyDescent="0.25">
      <c r="A250" s="116">
        <v>44739</v>
      </c>
      <c r="B250" s="117"/>
      <c r="C250" s="118"/>
      <c r="D250" s="119" t="s">
        <v>59</v>
      </c>
      <c r="E250" s="117"/>
      <c r="F250" s="119" t="s">
        <v>1039</v>
      </c>
      <c r="G250" s="120" t="s">
        <v>869</v>
      </c>
      <c r="H250" s="115"/>
      <c r="I250" s="115">
        <v>25000</v>
      </c>
      <c r="J250" s="121"/>
      <c r="L250" s="122"/>
      <c r="M250" s="122"/>
      <c r="N250" s="115"/>
      <c r="O250" s="115"/>
    </row>
    <row r="251" spans="1:15" s="119" customFormat="1" x14ac:dyDescent="0.25">
      <c r="A251" s="116">
        <v>44739</v>
      </c>
      <c r="B251" s="117"/>
      <c r="C251" s="118"/>
      <c r="E251" s="117" t="s">
        <v>2176</v>
      </c>
      <c r="F251" s="119" t="s">
        <v>1039</v>
      </c>
      <c r="G251" s="120" t="s">
        <v>174</v>
      </c>
      <c r="H251" s="15"/>
      <c r="I251" s="115"/>
      <c r="J251" s="121"/>
      <c r="L251" s="122"/>
      <c r="M251" s="122"/>
      <c r="N251" s="115"/>
      <c r="O251" s="15"/>
    </row>
    <row r="252" spans="1:15" x14ac:dyDescent="0.25">
      <c r="A252" s="56">
        <v>44740</v>
      </c>
      <c r="C252" s="110"/>
      <c r="E252" s="4" t="s">
        <v>148</v>
      </c>
      <c r="F252" s="1" t="s">
        <v>1039</v>
      </c>
      <c r="G252" s="71" t="s">
        <v>2233</v>
      </c>
      <c r="H252" s="15">
        <v>10000</v>
      </c>
      <c r="I252" s="2">
        <f>Tabla2456[[#This Row],[TOTAL FACTURA]]*0.6</f>
        <v>6000</v>
      </c>
      <c r="J252" s="104"/>
      <c r="L252" s="11"/>
      <c r="M252" s="11"/>
      <c r="O252" s="15"/>
    </row>
    <row r="253" spans="1:15" x14ac:dyDescent="0.25">
      <c r="A253" s="56">
        <v>44740</v>
      </c>
      <c r="C253" s="4" t="s">
        <v>2234</v>
      </c>
      <c r="D253" s="1" t="s">
        <v>213</v>
      </c>
      <c r="E253" s="4" t="s">
        <v>2235</v>
      </c>
      <c r="F253" s="1" t="s">
        <v>1039</v>
      </c>
      <c r="G253" s="71" t="s">
        <v>2236</v>
      </c>
      <c r="H253" s="115">
        <v>70000</v>
      </c>
      <c r="I253" s="2">
        <f>Tabla2456[[#This Row],[TOTAL FACTURA]]*0.6</f>
        <v>42000</v>
      </c>
      <c r="J253" s="104"/>
      <c r="L253" s="11"/>
      <c r="M253" s="11"/>
      <c r="O253" s="15"/>
    </row>
    <row r="254" spans="1:15" x14ac:dyDescent="0.25">
      <c r="A254" s="56">
        <v>44740</v>
      </c>
      <c r="C254" s="4" t="s">
        <v>2237</v>
      </c>
      <c r="D254" s="1" t="s">
        <v>392</v>
      </c>
      <c r="E254" s="4" t="s">
        <v>2238</v>
      </c>
      <c r="F254" s="1" t="s">
        <v>408</v>
      </c>
      <c r="G254" s="71" t="s">
        <v>2239</v>
      </c>
      <c r="H254" s="15">
        <v>30000</v>
      </c>
      <c r="I254" s="2">
        <f>Tabla2456[[#This Row],[TOTAL FACTURA]]*0.7</f>
        <v>21000</v>
      </c>
      <c r="J254" s="104"/>
      <c r="L254" s="11"/>
      <c r="M254" s="11"/>
      <c r="O254" s="15"/>
    </row>
    <row r="255" spans="1:15" x14ac:dyDescent="0.25">
      <c r="A255" s="56">
        <v>44741</v>
      </c>
      <c r="C255" s="4" t="s">
        <v>2240</v>
      </c>
      <c r="D255" s="1" t="s">
        <v>889</v>
      </c>
      <c r="E255" s="4" t="s">
        <v>1088</v>
      </c>
      <c r="F255" s="1" t="s">
        <v>408</v>
      </c>
      <c r="G255" s="71" t="s">
        <v>140</v>
      </c>
      <c r="H255" s="15">
        <v>60000</v>
      </c>
      <c r="I255" s="2">
        <f>Tabla2456[[#This Row],[TOTAL FACTURA]]*0.7</f>
        <v>42000</v>
      </c>
      <c r="J255" s="104"/>
      <c r="L255" s="11"/>
      <c r="M255" s="11"/>
      <c r="O255" s="15"/>
    </row>
    <row r="256" spans="1:15" x14ac:dyDescent="0.25">
      <c r="A256" s="56"/>
      <c r="C256" s="114"/>
      <c r="D256" s="1" t="s">
        <v>64</v>
      </c>
      <c r="E256" s="4"/>
      <c r="G256" s="71" t="s">
        <v>2291</v>
      </c>
      <c r="H256" s="15">
        <v>50000</v>
      </c>
      <c r="I256" s="2">
        <f>Tabla2456[[#This Row],[TOTAL FACTURA]]*0.6</f>
        <v>30000</v>
      </c>
      <c r="J256" s="113"/>
      <c r="L256" s="11"/>
      <c r="M256" s="11"/>
      <c r="O256" s="15"/>
    </row>
    <row r="257" spans="1:15" x14ac:dyDescent="0.25">
      <c r="A257" s="56">
        <v>44741</v>
      </c>
      <c r="C257" s="4" t="s">
        <v>1144</v>
      </c>
      <c r="D257" s="1" t="s">
        <v>54</v>
      </c>
      <c r="E257" s="4" t="s">
        <v>1730</v>
      </c>
      <c r="F257" s="1" t="s">
        <v>30</v>
      </c>
      <c r="G257" s="71" t="s">
        <v>101</v>
      </c>
      <c r="H257" s="15">
        <v>180000</v>
      </c>
      <c r="I257" s="2">
        <f>Tabla2456[[#This Row],[TOTAL FACTURA]]*0.6</f>
        <v>108000</v>
      </c>
      <c r="J257" s="104"/>
      <c r="L257" s="11"/>
      <c r="M257" s="11"/>
      <c r="O257" s="15"/>
    </row>
    <row r="258" spans="1:15" x14ac:dyDescent="0.25">
      <c r="A258" s="56">
        <v>44741</v>
      </c>
      <c r="C258" s="110"/>
      <c r="D258" s="1" t="s">
        <v>2241</v>
      </c>
      <c r="E258" s="4" t="s">
        <v>1596</v>
      </c>
      <c r="F258" s="1" t="s">
        <v>1039</v>
      </c>
      <c r="G258" s="71" t="s">
        <v>2242</v>
      </c>
      <c r="H258" s="15">
        <v>45000</v>
      </c>
      <c r="I258" s="2">
        <f>Tabla2456[[#This Row],[TOTAL FACTURA]]*0.6</f>
        <v>27000</v>
      </c>
      <c r="J258" s="104"/>
      <c r="L258" s="11"/>
      <c r="M258" s="11"/>
      <c r="O258" s="15"/>
    </row>
    <row r="259" spans="1:15" x14ac:dyDescent="0.25">
      <c r="A259" s="56">
        <v>44741</v>
      </c>
      <c r="B259" s="4" t="s">
        <v>622</v>
      </c>
      <c r="C259" s="4" t="s">
        <v>2243</v>
      </c>
      <c r="D259" s="1" t="s">
        <v>168</v>
      </c>
      <c r="E259" s="4" t="s">
        <v>2244</v>
      </c>
      <c r="F259" s="1" t="s">
        <v>408</v>
      </c>
      <c r="G259" s="71" t="s">
        <v>2245</v>
      </c>
      <c r="H259" s="15">
        <v>100000</v>
      </c>
      <c r="I259" s="2">
        <f>Tabla2456[[#This Row],[TOTAL FACTURA]]*0.7</f>
        <v>70000</v>
      </c>
      <c r="J259" s="104"/>
      <c r="L259" s="11"/>
      <c r="M259" s="11"/>
      <c r="O259" s="15"/>
    </row>
    <row r="260" spans="1:15" x14ac:dyDescent="0.25">
      <c r="A260" s="56">
        <v>44741</v>
      </c>
      <c r="B260" s="4" t="s">
        <v>614</v>
      </c>
      <c r="C260" s="4" t="s">
        <v>2246</v>
      </c>
      <c r="D260" s="1" t="s">
        <v>2247</v>
      </c>
      <c r="E260" s="4" t="s">
        <v>2248</v>
      </c>
      <c r="F260" s="1" t="s">
        <v>408</v>
      </c>
      <c r="G260" s="71" t="s">
        <v>2249</v>
      </c>
      <c r="H260" s="15">
        <v>30000</v>
      </c>
      <c r="I260" s="2">
        <f>Tabla2456[[#This Row],[TOTAL FACTURA]]*0.7</f>
        <v>21000</v>
      </c>
      <c r="J260" s="104"/>
      <c r="L260" s="11"/>
      <c r="M260" s="11"/>
      <c r="O260" s="15"/>
    </row>
    <row r="261" spans="1:15" x14ac:dyDescent="0.25">
      <c r="A261" s="56">
        <v>44741</v>
      </c>
      <c r="C261" s="110"/>
      <c r="E261" s="4" t="s">
        <v>2250</v>
      </c>
      <c r="F261" s="1" t="s">
        <v>1039</v>
      </c>
      <c r="G261" s="71" t="s">
        <v>1734</v>
      </c>
      <c r="H261" s="115">
        <v>30000</v>
      </c>
      <c r="I261" s="2">
        <f>Tabla2456[[#This Row],[TOTAL FACTURA]]*0.6</f>
        <v>18000</v>
      </c>
      <c r="J261" s="104"/>
      <c r="L261" s="11"/>
      <c r="M261" s="11"/>
      <c r="O261" s="15"/>
    </row>
    <row r="262" spans="1:15" x14ac:dyDescent="0.25">
      <c r="A262" s="56">
        <v>44742</v>
      </c>
      <c r="C262" s="4" t="s">
        <v>2251</v>
      </c>
      <c r="D262" s="1" t="s">
        <v>46</v>
      </c>
      <c r="E262" s="4" t="s">
        <v>2252</v>
      </c>
      <c r="F262" s="1" t="s">
        <v>408</v>
      </c>
      <c r="G262" s="71" t="s">
        <v>2253</v>
      </c>
      <c r="H262" s="15">
        <v>100000</v>
      </c>
      <c r="I262" s="2">
        <f>Tabla2456[[#This Row],[TOTAL FACTURA]]*0.7</f>
        <v>70000</v>
      </c>
      <c r="J262" s="104"/>
      <c r="L262" s="11"/>
      <c r="M262" s="11"/>
      <c r="O262" s="15"/>
    </row>
    <row r="263" spans="1:15" x14ac:dyDescent="0.25">
      <c r="A263" s="56">
        <v>44742</v>
      </c>
      <c r="C263" s="4" t="s">
        <v>1394</v>
      </c>
      <c r="D263" s="1" t="s">
        <v>240</v>
      </c>
      <c r="E263" s="4" t="s">
        <v>1395</v>
      </c>
      <c r="F263" s="1" t="s">
        <v>19</v>
      </c>
      <c r="G263" s="71" t="s">
        <v>2254</v>
      </c>
      <c r="H263" s="15">
        <v>30000</v>
      </c>
      <c r="I263" s="2">
        <f>Tabla2456[[#This Row],[TOTAL FACTURA]]*0.7</f>
        <v>21000</v>
      </c>
      <c r="J263" s="104"/>
      <c r="L263" s="11"/>
      <c r="M263" s="11"/>
      <c r="O263" s="15"/>
    </row>
    <row r="264" spans="1:15" x14ac:dyDescent="0.25">
      <c r="A264" s="56">
        <v>44742</v>
      </c>
      <c r="C264" s="4" t="s">
        <v>2255</v>
      </c>
      <c r="D264" s="1" t="s">
        <v>96</v>
      </c>
      <c r="E264" s="4" t="s">
        <v>619</v>
      </c>
      <c r="F264" s="1" t="s">
        <v>19</v>
      </c>
      <c r="G264" s="71" t="s">
        <v>2256</v>
      </c>
      <c r="H264" s="15">
        <v>100000</v>
      </c>
      <c r="I264" s="2">
        <f>Tabla2456[[#This Row],[TOTAL FACTURA]]*0.7</f>
        <v>70000</v>
      </c>
      <c r="J264" s="104"/>
      <c r="L264" s="11"/>
      <c r="M264" s="11"/>
      <c r="O264" s="15"/>
    </row>
    <row r="265" spans="1:15" x14ac:dyDescent="0.25">
      <c r="A265" s="56">
        <v>44742</v>
      </c>
      <c r="C265" s="4" t="s">
        <v>2257</v>
      </c>
      <c r="D265" s="1" t="s">
        <v>2258</v>
      </c>
      <c r="E265" s="4" t="s">
        <v>2259</v>
      </c>
      <c r="F265" s="1" t="s">
        <v>10</v>
      </c>
      <c r="G265" s="71" t="s">
        <v>2260</v>
      </c>
      <c r="H265" s="15">
        <v>450000</v>
      </c>
      <c r="I265" s="2">
        <f>Tabla2456[[#This Row],[TOTAL FACTURA]]*0.7</f>
        <v>315000</v>
      </c>
      <c r="J265" s="104"/>
      <c r="L265" s="11"/>
      <c r="M265" s="11"/>
      <c r="N265" s="2" t="s">
        <v>25</v>
      </c>
      <c r="O265" s="15"/>
    </row>
    <row r="266" spans="1:15" x14ac:dyDescent="0.25">
      <c r="A266" s="56">
        <v>44742</v>
      </c>
      <c r="C266" s="4" t="s">
        <v>1527</v>
      </c>
      <c r="D266" s="1" t="s">
        <v>2261</v>
      </c>
      <c r="E266" s="4" t="s">
        <v>1528</v>
      </c>
      <c r="F266" s="1" t="s">
        <v>30</v>
      </c>
      <c r="G266" s="71" t="s">
        <v>2262</v>
      </c>
      <c r="H266" s="15">
        <v>400000</v>
      </c>
      <c r="I266" s="2">
        <f>Tabla2456[[#This Row],[TOTAL FACTURA]]*0.6</f>
        <v>240000</v>
      </c>
      <c r="J266" s="104"/>
      <c r="L266" s="11"/>
      <c r="M266" s="11"/>
      <c r="O266" s="15"/>
    </row>
    <row r="267" spans="1:15" x14ac:dyDescent="0.25">
      <c r="A267" s="56">
        <v>44743</v>
      </c>
      <c r="C267" s="4" t="s">
        <v>1263</v>
      </c>
      <c r="D267" s="1" t="s">
        <v>2168</v>
      </c>
      <c r="E267" s="4" t="s">
        <v>2263</v>
      </c>
      <c r="F267" s="1" t="s">
        <v>30</v>
      </c>
      <c r="G267" s="71" t="s">
        <v>2264</v>
      </c>
      <c r="H267" s="15">
        <v>800000</v>
      </c>
      <c r="I267" s="2">
        <f>Tabla2456[[#This Row],[TOTAL FACTURA]]*0.6</f>
        <v>480000</v>
      </c>
      <c r="J267" s="104"/>
      <c r="L267" s="11"/>
      <c r="M267" s="11"/>
      <c r="O267" s="15"/>
    </row>
    <row r="268" spans="1:15" x14ac:dyDescent="0.25">
      <c r="A268" s="56">
        <v>44743</v>
      </c>
      <c r="B268" s="4" t="s">
        <v>2265</v>
      </c>
      <c r="C268" s="4" t="s">
        <v>2266</v>
      </c>
      <c r="D268" s="1" t="s">
        <v>989</v>
      </c>
      <c r="E268" s="4" t="s">
        <v>2267</v>
      </c>
      <c r="F268" s="1" t="s">
        <v>1039</v>
      </c>
      <c r="G268" s="71" t="s">
        <v>2268</v>
      </c>
      <c r="H268" s="15">
        <v>40000</v>
      </c>
      <c r="I268" s="2">
        <f>Tabla2456[[#This Row],[TOTAL FACTURA]]*0.6</f>
        <v>24000</v>
      </c>
      <c r="J268" s="104"/>
      <c r="L268" s="11"/>
      <c r="M268" s="11"/>
      <c r="O268" s="15"/>
    </row>
    <row r="269" spans="1:15" x14ac:dyDescent="0.25">
      <c r="A269" s="56">
        <v>44743</v>
      </c>
      <c r="B269" s="4" t="s">
        <v>2265</v>
      </c>
      <c r="C269" s="4" t="s">
        <v>2266</v>
      </c>
      <c r="D269" s="1" t="s">
        <v>989</v>
      </c>
      <c r="E269" s="4" t="s">
        <v>2267</v>
      </c>
      <c r="F269" s="15" t="s">
        <v>19</v>
      </c>
      <c r="G269" s="71" t="s">
        <v>2269</v>
      </c>
      <c r="H269" s="15">
        <v>30000</v>
      </c>
      <c r="I269" s="2">
        <f>Tabla2456[[#This Row],[TOTAL FACTURA]]*0.7</f>
        <v>21000</v>
      </c>
      <c r="J269" s="104"/>
      <c r="L269" s="11"/>
      <c r="M269" s="11"/>
      <c r="O269" s="15"/>
    </row>
    <row r="270" spans="1:15" x14ac:dyDescent="0.25">
      <c r="A270" s="56">
        <v>44743</v>
      </c>
      <c r="B270" s="4" t="s">
        <v>2270</v>
      </c>
      <c r="C270" s="4" t="s">
        <v>2271</v>
      </c>
      <c r="D270" s="4" t="s">
        <v>242</v>
      </c>
      <c r="E270" s="4" t="s">
        <v>2272</v>
      </c>
      <c r="F270" s="1" t="s">
        <v>19</v>
      </c>
      <c r="G270" s="71" t="s">
        <v>2284</v>
      </c>
      <c r="H270" s="15">
        <v>110000</v>
      </c>
      <c r="I270" s="2">
        <f>Tabla2456[[#This Row],[TOTAL FACTURA]]*0.7</f>
        <v>77000</v>
      </c>
      <c r="J270" s="104"/>
      <c r="L270" s="11"/>
      <c r="M270" s="11"/>
      <c r="O270" s="15"/>
    </row>
    <row r="271" spans="1:15" x14ac:dyDescent="0.25">
      <c r="A271" s="56">
        <v>44743</v>
      </c>
      <c r="C271" s="4" t="s">
        <v>2273</v>
      </c>
      <c r="D271" s="1" t="s">
        <v>84</v>
      </c>
      <c r="E271" s="4" t="s">
        <v>2274</v>
      </c>
      <c r="F271" s="1" t="s">
        <v>19</v>
      </c>
      <c r="G271" s="71" t="s">
        <v>2275</v>
      </c>
      <c r="H271" s="15">
        <v>100000</v>
      </c>
      <c r="I271" s="2">
        <f>Tabla2456[[#This Row],[TOTAL FACTURA]]*0.7</f>
        <v>70000</v>
      </c>
      <c r="J271" s="104"/>
      <c r="L271" s="11"/>
      <c r="M271" s="11"/>
      <c r="O271" s="15"/>
    </row>
    <row r="272" spans="1:15" x14ac:dyDescent="0.25">
      <c r="A272" s="56">
        <v>44743</v>
      </c>
      <c r="B272" s="4" t="s">
        <v>2276</v>
      </c>
      <c r="C272" s="4" t="s">
        <v>2277</v>
      </c>
      <c r="D272" s="1" t="s">
        <v>76</v>
      </c>
      <c r="E272" s="4" t="s">
        <v>2278</v>
      </c>
      <c r="F272" s="1" t="s">
        <v>408</v>
      </c>
      <c r="G272" s="71" t="s">
        <v>20</v>
      </c>
      <c r="H272" s="15">
        <v>30000</v>
      </c>
      <c r="I272" s="2">
        <f>Tabla2456[[#This Row],[TOTAL FACTURA]]*0.7</f>
        <v>21000</v>
      </c>
      <c r="J272" s="104"/>
      <c r="L272" s="11"/>
      <c r="M272" s="11"/>
      <c r="O272" s="15"/>
    </row>
    <row r="273" spans="1:15" x14ac:dyDescent="0.25">
      <c r="A273" s="56">
        <v>44743</v>
      </c>
      <c r="C273" s="4" t="s">
        <v>2279</v>
      </c>
      <c r="D273" s="1" t="s">
        <v>2285</v>
      </c>
      <c r="E273" s="4" t="s">
        <v>2280</v>
      </c>
      <c r="F273" s="1" t="s">
        <v>408</v>
      </c>
      <c r="G273" s="71" t="s">
        <v>21</v>
      </c>
      <c r="H273" s="15">
        <v>20000</v>
      </c>
      <c r="I273" s="2">
        <f>Tabla2456[[#This Row],[TOTAL FACTURA]]*0.7</f>
        <v>14000</v>
      </c>
      <c r="J273" s="104"/>
      <c r="L273" s="11"/>
      <c r="M273" s="11"/>
      <c r="O273" s="15"/>
    </row>
    <row r="274" spans="1:15" x14ac:dyDescent="0.25">
      <c r="A274" s="56">
        <v>44743</v>
      </c>
      <c r="C274" s="4" t="s">
        <v>2281</v>
      </c>
      <c r="D274" s="1" t="s">
        <v>2282</v>
      </c>
      <c r="E274" s="4" t="s">
        <v>2283</v>
      </c>
      <c r="F274" s="1" t="s">
        <v>1039</v>
      </c>
      <c r="G274" s="71" t="s">
        <v>21</v>
      </c>
      <c r="H274" s="15">
        <v>10000</v>
      </c>
      <c r="I274" s="2">
        <f>Tabla2456[[#This Row],[TOTAL FACTURA]]*0.6</f>
        <v>6000</v>
      </c>
      <c r="J274" s="104"/>
      <c r="L274" s="11"/>
      <c r="M274" s="11"/>
      <c r="O274" s="15"/>
    </row>
    <row r="275" spans="1:15" x14ac:dyDescent="0.25">
      <c r="A275" s="56">
        <v>44743</v>
      </c>
      <c r="C275" s="4" t="s">
        <v>215</v>
      </c>
      <c r="E275" s="4"/>
      <c r="F275" s="1" t="s">
        <v>408</v>
      </c>
      <c r="G275" s="71" t="s">
        <v>21</v>
      </c>
      <c r="H275" s="15">
        <v>8000</v>
      </c>
      <c r="I275" s="2">
        <f>Tabla2456[[#This Row],[TOTAL FACTURA]]*0.7</f>
        <v>5600</v>
      </c>
      <c r="J275" s="113"/>
      <c r="L275" s="11"/>
      <c r="M275" s="11"/>
      <c r="O275" s="15"/>
    </row>
    <row r="276" spans="1:15" x14ac:dyDescent="0.25">
      <c r="A276" s="56">
        <v>44743</v>
      </c>
      <c r="C276" s="114"/>
      <c r="D276" s="1" t="s">
        <v>204</v>
      </c>
      <c r="E276" s="4"/>
      <c r="F276" s="1" t="s">
        <v>408</v>
      </c>
      <c r="G276" s="71" t="s">
        <v>2286</v>
      </c>
      <c r="J276" s="113"/>
      <c r="L276" s="11"/>
      <c r="M276" s="11"/>
      <c r="O276" s="15"/>
    </row>
    <row r="277" spans="1:15" x14ac:dyDescent="0.25">
      <c r="A277" s="56">
        <v>44743</v>
      </c>
      <c r="C277" s="4" t="s">
        <v>2287</v>
      </c>
      <c r="D277" s="1" t="s">
        <v>54</v>
      </c>
      <c r="E277" s="4" t="s">
        <v>2288</v>
      </c>
      <c r="F277" s="1" t="s">
        <v>10</v>
      </c>
      <c r="G277" s="71" t="s">
        <v>1151</v>
      </c>
      <c r="H277" s="15">
        <v>700000</v>
      </c>
      <c r="I277" s="2">
        <v>500000</v>
      </c>
      <c r="J277" s="113"/>
      <c r="L277" s="11"/>
      <c r="M277" s="11"/>
      <c r="N277" s="2" t="s">
        <v>25</v>
      </c>
      <c r="O277" s="15"/>
    </row>
    <row r="278" spans="1:15" x14ac:dyDescent="0.25">
      <c r="A278" s="56">
        <v>44743</v>
      </c>
      <c r="C278" s="114"/>
      <c r="E278" s="4"/>
      <c r="F278" s="1" t="s">
        <v>10</v>
      </c>
      <c r="G278" s="71" t="s">
        <v>434</v>
      </c>
      <c r="H278" s="15">
        <v>80000</v>
      </c>
      <c r="I278" s="2">
        <f>Tabla2456[[#This Row],[TOTAL FACTURA]]*0.7</f>
        <v>56000</v>
      </c>
      <c r="J278" s="113"/>
      <c r="L278" s="11"/>
      <c r="M278" s="11"/>
      <c r="N278" s="2" t="s">
        <v>25</v>
      </c>
      <c r="O278" s="15"/>
    </row>
    <row r="279" spans="1:15" x14ac:dyDescent="0.25">
      <c r="A279" s="56">
        <v>44744</v>
      </c>
      <c r="C279" s="4" t="s">
        <v>2221</v>
      </c>
      <c r="D279" s="1" t="s">
        <v>65</v>
      </c>
      <c r="E279" s="4" t="s">
        <v>2222</v>
      </c>
      <c r="F279" s="1" t="s">
        <v>10</v>
      </c>
      <c r="G279" s="71" t="s">
        <v>2293</v>
      </c>
      <c r="H279" s="15">
        <v>35000</v>
      </c>
      <c r="I279" s="2">
        <f>Tabla2456[[#This Row],[TOTAL FACTURA]]*0.7</f>
        <v>24500</v>
      </c>
      <c r="J279" s="113"/>
      <c r="L279" s="11"/>
      <c r="M279" s="11"/>
      <c r="N279" s="2" t="s">
        <v>25</v>
      </c>
      <c r="O279" s="15"/>
    </row>
    <row r="280" spans="1:15" x14ac:dyDescent="0.25">
      <c r="A280" s="56">
        <v>44744</v>
      </c>
      <c r="B280" s="4" t="s">
        <v>2341</v>
      </c>
      <c r="C280" s="4" t="s">
        <v>2342</v>
      </c>
      <c r="D280" s="1" t="s">
        <v>389</v>
      </c>
      <c r="E280" s="4" t="s">
        <v>2343</v>
      </c>
      <c r="F280" s="1" t="s">
        <v>408</v>
      </c>
      <c r="G280" s="71" t="s">
        <v>2344</v>
      </c>
      <c r="H280" s="15">
        <v>190000</v>
      </c>
      <c r="I280" s="2">
        <f>Tabla2456[[#This Row],[TOTAL FACTURA]]*0.7</f>
        <v>133000</v>
      </c>
      <c r="J280" s="113"/>
      <c r="L280" s="11"/>
      <c r="M280" s="11"/>
      <c r="O280" s="15"/>
    </row>
    <row r="281" spans="1:15" x14ac:dyDescent="0.25">
      <c r="A281" s="56">
        <v>44744</v>
      </c>
      <c r="B281" s="4" t="s">
        <v>2295</v>
      </c>
      <c r="C281" s="4" t="s">
        <v>2294</v>
      </c>
      <c r="D281" s="1" t="s">
        <v>540</v>
      </c>
      <c r="E281" s="4" t="s">
        <v>2296</v>
      </c>
      <c r="F281" s="1" t="s">
        <v>1039</v>
      </c>
      <c r="G281" s="71" t="s">
        <v>2297</v>
      </c>
      <c r="H281" s="15">
        <v>150000</v>
      </c>
      <c r="I281" s="2">
        <f>Tabla2456[[#This Row],[TOTAL FACTURA]]*0.7</f>
        <v>105000</v>
      </c>
      <c r="J281" s="113"/>
      <c r="L281" s="11"/>
      <c r="M281" s="11"/>
      <c r="O281" s="15"/>
    </row>
    <row r="282" spans="1:15" x14ac:dyDescent="0.25">
      <c r="A282" s="56">
        <v>44747</v>
      </c>
      <c r="B282" s="4" t="s">
        <v>2298</v>
      </c>
      <c r="C282" s="4" t="s">
        <v>2299</v>
      </c>
      <c r="D282" s="1" t="s">
        <v>311</v>
      </c>
      <c r="E282" s="4" t="s">
        <v>2300</v>
      </c>
      <c r="F282" s="1" t="s">
        <v>19</v>
      </c>
      <c r="G282" s="71" t="s">
        <v>744</v>
      </c>
      <c r="H282" s="15">
        <v>40000</v>
      </c>
      <c r="I282" s="2">
        <f>Tabla2456[[#This Row],[TOTAL FACTURA]]*0.7</f>
        <v>28000</v>
      </c>
      <c r="J282" s="113"/>
      <c r="L282" s="11"/>
      <c r="M282" s="11"/>
      <c r="O282" s="15"/>
    </row>
    <row r="283" spans="1:15" x14ac:dyDescent="0.25">
      <c r="A283" s="56">
        <v>44747</v>
      </c>
      <c r="C283" s="4" t="s">
        <v>2301</v>
      </c>
      <c r="D283" s="1" t="s">
        <v>2302</v>
      </c>
      <c r="E283" s="4" t="s">
        <v>1103</v>
      </c>
      <c r="F283" s="1" t="s">
        <v>19</v>
      </c>
      <c r="G283" s="71" t="s">
        <v>2303</v>
      </c>
      <c r="H283" s="15">
        <v>30000</v>
      </c>
      <c r="I283" s="2">
        <f>Tabla2456[[#This Row],[TOTAL FACTURA]]*0.7</f>
        <v>21000</v>
      </c>
      <c r="J283" s="113"/>
      <c r="L283" s="11"/>
      <c r="M283" s="11"/>
      <c r="O283" s="15"/>
    </row>
    <row r="284" spans="1:15" x14ac:dyDescent="0.25">
      <c r="A284" s="56">
        <v>44747</v>
      </c>
      <c r="B284" s="4" t="s">
        <v>2304</v>
      </c>
      <c r="C284" s="4" t="s">
        <v>827</v>
      </c>
      <c r="D284" s="1" t="s">
        <v>2305</v>
      </c>
      <c r="E284" s="4" t="s">
        <v>829</v>
      </c>
      <c r="F284" s="1" t="s">
        <v>19</v>
      </c>
      <c r="G284" s="71" t="s">
        <v>2306</v>
      </c>
      <c r="H284" s="15">
        <v>120000</v>
      </c>
      <c r="I284" s="2">
        <f>Tabla2456[[#This Row],[TOTAL FACTURA]]*0.7</f>
        <v>84000</v>
      </c>
      <c r="J284" s="113"/>
      <c r="L284" s="11"/>
      <c r="M284" s="11"/>
      <c r="O284" s="15"/>
    </row>
    <row r="285" spans="1:15" x14ac:dyDescent="0.25">
      <c r="A285" s="56">
        <v>44748</v>
      </c>
      <c r="C285" s="114"/>
      <c r="D285" s="1" t="s">
        <v>1077</v>
      </c>
      <c r="E285" s="1" t="s">
        <v>2307</v>
      </c>
      <c r="F285" s="1" t="s">
        <v>19</v>
      </c>
      <c r="G285" s="71" t="s">
        <v>50</v>
      </c>
      <c r="H285" s="15">
        <v>60000</v>
      </c>
      <c r="I285" s="2">
        <f>Tabla2456[[#This Row],[TOTAL FACTURA]]*0.7</f>
        <v>42000</v>
      </c>
      <c r="J285" s="113"/>
      <c r="L285" s="11"/>
      <c r="M285" s="11"/>
      <c r="O285" s="15"/>
    </row>
    <row r="286" spans="1:15" x14ac:dyDescent="0.25">
      <c r="A286" s="56">
        <v>44748</v>
      </c>
      <c r="B286" s="4" t="s">
        <v>2308</v>
      </c>
      <c r="C286" s="4" t="s">
        <v>1320</v>
      </c>
      <c r="D286" s="1" t="s">
        <v>52</v>
      </c>
      <c r="E286" s="1" t="s">
        <v>1321</v>
      </c>
      <c r="F286" s="1" t="s">
        <v>1039</v>
      </c>
      <c r="G286" s="71" t="s">
        <v>2309</v>
      </c>
      <c r="H286" s="15">
        <v>60000</v>
      </c>
      <c r="I286" s="2">
        <f>Tabla2456[[#This Row],[TOTAL FACTURA]]*0.6</f>
        <v>36000</v>
      </c>
      <c r="J286" s="113"/>
      <c r="L286" s="11"/>
      <c r="M286" s="11"/>
      <c r="O286" s="15"/>
    </row>
    <row r="287" spans="1:15" x14ac:dyDescent="0.25">
      <c r="A287" s="56">
        <v>44748</v>
      </c>
      <c r="B287" s="4" t="s">
        <v>2310</v>
      </c>
      <c r="C287" s="4" t="s">
        <v>2311</v>
      </c>
      <c r="D287" s="1" t="s">
        <v>242</v>
      </c>
      <c r="E287" s="1" t="s">
        <v>2312</v>
      </c>
      <c r="F287" s="1" t="s">
        <v>19</v>
      </c>
      <c r="G287" s="71" t="s">
        <v>1976</v>
      </c>
      <c r="H287" s="15">
        <v>100000</v>
      </c>
      <c r="I287" s="2">
        <f>Tabla2456[[#This Row],[TOTAL FACTURA]]*0.7</f>
        <v>70000</v>
      </c>
      <c r="J287" s="113"/>
      <c r="L287" s="11"/>
      <c r="M287" s="11"/>
      <c r="O287" s="15"/>
    </row>
    <row r="288" spans="1:15" x14ac:dyDescent="0.25">
      <c r="A288" s="56">
        <v>44748</v>
      </c>
      <c r="B288" s="4" t="s">
        <v>2313</v>
      </c>
      <c r="C288" s="4" t="s">
        <v>2314</v>
      </c>
      <c r="D288" s="1" t="s">
        <v>2315</v>
      </c>
      <c r="E288" s="4" t="s">
        <v>2125</v>
      </c>
      <c r="F288" s="1" t="s">
        <v>30</v>
      </c>
      <c r="G288" s="71" t="s">
        <v>20</v>
      </c>
      <c r="H288" s="15">
        <v>40000</v>
      </c>
      <c r="I288" s="2">
        <f>Tabla2456[[#This Row],[TOTAL FACTURA]]*0.6</f>
        <v>24000</v>
      </c>
      <c r="J288" s="113"/>
      <c r="L288" s="11"/>
      <c r="M288" s="11"/>
      <c r="O288" s="15"/>
    </row>
    <row r="289" spans="1:15" x14ac:dyDescent="0.25">
      <c r="A289" s="56">
        <v>44748</v>
      </c>
      <c r="C289" s="114" t="s">
        <v>2316</v>
      </c>
      <c r="D289" s="1" t="s">
        <v>2318</v>
      </c>
      <c r="E289" s="4" t="s">
        <v>2317</v>
      </c>
      <c r="F289" s="1" t="s">
        <v>408</v>
      </c>
      <c r="G289" s="71" t="s">
        <v>2345</v>
      </c>
      <c r="H289" s="15">
        <v>150000</v>
      </c>
      <c r="I289" s="2">
        <f>Tabla2456[[#This Row],[TOTAL FACTURA]]*0.7</f>
        <v>105000</v>
      </c>
      <c r="J289" s="113"/>
      <c r="L289" s="11"/>
      <c r="M289" s="11"/>
      <c r="O289" s="15"/>
    </row>
    <row r="290" spans="1:15" x14ac:dyDescent="0.25">
      <c r="A290" s="56">
        <v>44748</v>
      </c>
      <c r="B290" s="4" t="s">
        <v>2319</v>
      </c>
      <c r="C290" s="4" t="s">
        <v>2294</v>
      </c>
      <c r="D290" s="1" t="s">
        <v>122</v>
      </c>
      <c r="E290" s="4" t="s">
        <v>2320</v>
      </c>
      <c r="F290" s="1" t="s">
        <v>19</v>
      </c>
      <c r="G290" s="71" t="s">
        <v>2321</v>
      </c>
      <c r="H290" s="15">
        <v>250000</v>
      </c>
      <c r="I290" s="2">
        <f>Tabla2456[[#This Row],[TOTAL FACTURA]]*0.7</f>
        <v>175000</v>
      </c>
      <c r="J290" s="113"/>
      <c r="L290" s="11"/>
      <c r="M290" s="11"/>
      <c r="O290" s="15"/>
    </row>
    <row r="291" spans="1:15" x14ac:dyDescent="0.25">
      <c r="A291" s="56">
        <v>44749</v>
      </c>
      <c r="C291" s="4" t="s">
        <v>2322</v>
      </c>
      <c r="D291" s="1" t="s">
        <v>22</v>
      </c>
      <c r="E291" s="4" t="s">
        <v>2323</v>
      </c>
      <c r="F291" s="1" t="s">
        <v>19</v>
      </c>
      <c r="G291" s="71" t="s">
        <v>2324</v>
      </c>
      <c r="H291" s="15">
        <v>30000</v>
      </c>
      <c r="I291" s="2">
        <f>Tabla2456[[#This Row],[TOTAL FACTURA]]*0.7</f>
        <v>21000</v>
      </c>
      <c r="J291" s="113"/>
      <c r="L291" s="11"/>
      <c r="M291" s="11"/>
      <c r="O291" s="15"/>
    </row>
    <row r="292" spans="1:15" x14ac:dyDescent="0.25">
      <c r="A292" s="56">
        <v>44749</v>
      </c>
      <c r="C292" s="4" t="s">
        <v>2325</v>
      </c>
      <c r="D292" s="1" t="s">
        <v>122</v>
      </c>
      <c r="E292" s="4" t="s">
        <v>228</v>
      </c>
      <c r="F292" s="1" t="s">
        <v>408</v>
      </c>
      <c r="G292" s="71" t="s">
        <v>2326</v>
      </c>
      <c r="H292" s="15">
        <v>60000</v>
      </c>
      <c r="I292" s="2">
        <f>Tabla2456[[#This Row],[TOTAL FACTURA]]*0.7</f>
        <v>42000</v>
      </c>
      <c r="J292" s="113"/>
      <c r="L292" s="11"/>
      <c r="M292" s="11"/>
      <c r="O292" s="15"/>
    </row>
    <row r="293" spans="1:15" x14ac:dyDescent="0.25">
      <c r="A293" s="56">
        <v>44749</v>
      </c>
      <c r="C293" s="114"/>
      <c r="D293" s="1" t="s">
        <v>54</v>
      </c>
      <c r="E293" s="4" t="s">
        <v>2327</v>
      </c>
      <c r="F293" s="1" t="s">
        <v>19</v>
      </c>
      <c r="G293" s="71" t="s">
        <v>1515</v>
      </c>
      <c r="H293" s="15">
        <v>30000</v>
      </c>
      <c r="I293" s="2">
        <f>Tabla2456[[#This Row],[TOTAL FACTURA]]*0.7</f>
        <v>21000</v>
      </c>
      <c r="J293" s="113"/>
      <c r="L293" s="11"/>
      <c r="M293" s="11"/>
      <c r="O293" s="15"/>
    </row>
    <row r="294" spans="1:15" x14ac:dyDescent="0.25">
      <c r="A294" s="56">
        <v>44749</v>
      </c>
      <c r="C294" s="4" t="s">
        <v>2328</v>
      </c>
      <c r="D294" s="1" t="s">
        <v>1044</v>
      </c>
      <c r="E294" s="4" t="s">
        <v>2329</v>
      </c>
      <c r="F294" s="1" t="s">
        <v>1039</v>
      </c>
      <c r="G294" s="71" t="s">
        <v>2330</v>
      </c>
      <c r="H294" s="15">
        <v>40000</v>
      </c>
      <c r="I294" s="2">
        <f>Tabla2456[[#This Row],[TOTAL FACTURA]]*0.6</f>
        <v>24000</v>
      </c>
      <c r="J294" s="113"/>
      <c r="L294" s="11"/>
      <c r="M294" s="11"/>
      <c r="O294" s="15"/>
    </row>
    <row r="295" spans="1:15" x14ac:dyDescent="0.25">
      <c r="A295" s="56">
        <v>44749</v>
      </c>
      <c r="C295" s="114" t="s">
        <v>2331</v>
      </c>
      <c r="D295" s="1" t="s">
        <v>576</v>
      </c>
      <c r="E295" s="4" t="s">
        <v>577</v>
      </c>
      <c r="F295" s="1" t="s">
        <v>19</v>
      </c>
      <c r="G295" s="71" t="s">
        <v>2332</v>
      </c>
      <c r="H295" s="15">
        <v>30000</v>
      </c>
      <c r="I295" s="2">
        <f>Tabla2456[[#This Row],[TOTAL FACTURA]]*0.7</f>
        <v>21000</v>
      </c>
      <c r="J295" s="113"/>
      <c r="L295" s="11"/>
      <c r="M295" s="11"/>
      <c r="O295" s="15"/>
    </row>
    <row r="296" spans="1:15" x14ac:dyDescent="0.25">
      <c r="A296" s="56">
        <v>44749</v>
      </c>
      <c r="B296" s="4" t="s">
        <v>2333</v>
      </c>
      <c r="C296" s="4" t="s">
        <v>2334</v>
      </c>
      <c r="D296" s="1" t="s">
        <v>1414</v>
      </c>
      <c r="E296" s="4" t="s">
        <v>2335</v>
      </c>
      <c r="F296" s="1" t="s">
        <v>10</v>
      </c>
      <c r="G296" s="71" t="s">
        <v>956</v>
      </c>
      <c r="H296" s="15">
        <v>1000000</v>
      </c>
      <c r="I296" s="15">
        <f>Tabla2456[[#This Row],[TOTAL FACTURA]]*0.7</f>
        <v>700000</v>
      </c>
      <c r="J296" s="113"/>
      <c r="L296" s="11"/>
      <c r="M296" s="11"/>
      <c r="N296" s="2" t="s">
        <v>25</v>
      </c>
      <c r="O296" s="15"/>
    </row>
    <row r="297" spans="1:15" x14ac:dyDescent="0.25">
      <c r="A297" s="56">
        <v>44750</v>
      </c>
      <c r="C297" s="114" t="s">
        <v>2336</v>
      </c>
      <c r="D297" s="1" t="s">
        <v>566</v>
      </c>
      <c r="E297" s="4" t="s">
        <v>2337</v>
      </c>
      <c r="F297" s="1" t="s">
        <v>19</v>
      </c>
      <c r="G297" s="71" t="s">
        <v>2338</v>
      </c>
      <c r="H297" s="15">
        <v>80000</v>
      </c>
      <c r="I297" s="2">
        <f>Tabla2456[[#This Row],[TOTAL FACTURA]]*0.7</f>
        <v>56000</v>
      </c>
      <c r="J297" s="113"/>
      <c r="L297" s="11"/>
      <c r="M297" s="11"/>
      <c r="O297" s="15"/>
    </row>
    <row r="298" spans="1:15" x14ac:dyDescent="0.25">
      <c r="A298" s="56">
        <v>44750</v>
      </c>
      <c r="C298" s="114"/>
      <c r="D298" s="1" t="s">
        <v>76</v>
      </c>
      <c r="E298" s="4" t="s">
        <v>2339</v>
      </c>
      <c r="F298" s="1" t="s">
        <v>408</v>
      </c>
      <c r="G298" s="71" t="s">
        <v>2340</v>
      </c>
      <c r="H298" s="15">
        <v>14000</v>
      </c>
      <c r="I298" s="2">
        <f>Tabla2456[[#This Row],[TOTAL FACTURA]]*0.7</f>
        <v>9800</v>
      </c>
      <c r="J298" s="113"/>
      <c r="L298" s="11"/>
      <c r="M298" s="11"/>
      <c r="O298" s="15"/>
    </row>
    <row r="299" spans="1:15" x14ac:dyDescent="0.25">
      <c r="A299" s="56">
        <v>44750</v>
      </c>
      <c r="C299" s="114" t="s">
        <v>2287</v>
      </c>
      <c r="D299" s="1" t="s">
        <v>54</v>
      </c>
      <c r="E299" s="4" t="s">
        <v>2288</v>
      </c>
      <c r="F299" s="1" t="s">
        <v>10</v>
      </c>
      <c r="G299" s="71" t="s">
        <v>1151</v>
      </c>
      <c r="H299" s="15">
        <v>700000</v>
      </c>
      <c r="I299" s="15">
        <v>200000</v>
      </c>
      <c r="J299" s="113"/>
      <c r="L299" s="11"/>
      <c r="M299" s="11"/>
      <c r="N299" s="2" t="s">
        <v>25</v>
      </c>
      <c r="O299" s="15"/>
    </row>
    <row r="300" spans="1:15" x14ac:dyDescent="0.25">
      <c r="A300" s="56">
        <v>44744</v>
      </c>
      <c r="C300" s="114"/>
      <c r="D300" s="1" t="s">
        <v>2285</v>
      </c>
      <c r="E300" s="4"/>
      <c r="F300" s="1" t="s">
        <v>10</v>
      </c>
      <c r="G300" s="71" t="s">
        <v>437</v>
      </c>
      <c r="H300" s="15">
        <v>20000</v>
      </c>
      <c r="I300" s="2">
        <f>Tabla2456[[#This Row],[TOTAL FACTURA]]*0.7</f>
        <v>14000</v>
      </c>
      <c r="J300" s="113"/>
      <c r="L300" s="11"/>
      <c r="M300" s="11"/>
      <c r="N300" s="2" t="s">
        <v>25</v>
      </c>
      <c r="O300" s="15"/>
    </row>
    <row r="301" spans="1:15" x14ac:dyDescent="0.25">
      <c r="A301" s="56">
        <v>44744</v>
      </c>
      <c r="C301" s="114"/>
      <c r="E301" s="4"/>
      <c r="F301" s="1" t="s">
        <v>1039</v>
      </c>
      <c r="G301" s="71" t="s">
        <v>1448</v>
      </c>
      <c r="H301" s="15">
        <v>30000</v>
      </c>
      <c r="I301" s="2">
        <f>Tabla2456[[#This Row],[TOTAL FACTURA]]*0.6</f>
        <v>18000</v>
      </c>
      <c r="J301" s="113"/>
      <c r="L301" s="11"/>
      <c r="M301" s="11"/>
      <c r="O301" s="15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36328EF-A450-424C-B3D5-25E6076C3DD9}">
          <x14:formula1>
            <xm:f>DETALLES!$A$1:$A$2</xm:f>
          </x14:formula1>
          <xm:sqref>N1:N52 N55 N66 N73 N77 N93 N100 N103 N111 N118 N134 N136 N138 N142 N145 N150 N156 N167 N174:N175 N178 N184 N198:N199 N202 N208 N211 N215:N216 N221:N222 N225 N230 N232 N246 N265 N277:N279 N296 N299:N300</xm:sqref>
        </x14:dataValidation>
        <x14:dataValidation type="list" allowBlank="1" showInputMessage="1" showErrorMessage="1" xr:uid="{FFEC27DB-D5D5-4D1C-A97B-5590D3AD9E52}">
          <x14:formula1>
            <xm:f>AREA!$A$2:$A$12</xm:f>
          </x14:formula1>
          <xm:sqref>E354:E1048576 F39:F49 F2:F35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78F0-9D36-4E1C-87E0-B7D2C62196D7}">
  <sheetPr>
    <tabColor rgb="FFFFC000"/>
  </sheetPr>
  <dimension ref="A1:T121"/>
  <sheetViews>
    <sheetView topLeftCell="A13" zoomScale="93" zoomScaleNormal="93" workbookViewId="0">
      <selection activeCell="K23" sqref="K23"/>
    </sheetView>
  </sheetViews>
  <sheetFormatPr baseColWidth="10" defaultRowHeight="15" x14ac:dyDescent="0.25"/>
  <cols>
    <col min="1" max="1" width="12.85546875" style="9" customWidth="1"/>
    <col min="2" max="2" width="16.5703125" style="4" customWidth="1"/>
    <col min="3" max="3" width="21.28515625" style="1" customWidth="1"/>
    <col min="4" max="4" width="18.42578125" style="1" customWidth="1"/>
    <col min="5" max="5" width="13.5703125" style="1" customWidth="1"/>
    <col min="6" max="6" width="30.85546875" style="1" customWidth="1"/>
    <col min="7" max="7" width="56.42578125" style="22" customWidth="1"/>
    <col min="8" max="8" width="17.28515625" style="15" customWidth="1"/>
    <col min="9" max="9" width="16.28515625" style="2" customWidth="1"/>
    <col min="10" max="10" width="14.5703125" style="1" customWidth="1"/>
    <col min="11" max="11" width="48.28515625" style="1" customWidth="1"/>
    <col min="12" max="12" width="15.42578125" style="1" customWidth="1"/>
    <col min="13" max="14" width="23.7109375" style="1" customWidth="1"/>
    <col min="15" max="15" width="15" style="1" customWidth="1"/>
    <col min="16" max="16" width="23.7109375" style="1" customWidth="1"/>
    <col min="17" max="18" width="22.5703125" style="1" customWidth="1"/>
    <col min="19" max="19" width="15.7109375" style="1" customWidth="1"/>
    <col min="20" max="20" width="25.140625" style="2" customWidth="1"/>
    <col min="21" max="16384" width="11.42578125" style="1"/>
  </cols>
  <sheetData>
    <row r="1" spans="1:20" ht="30" x14ac:dyDescent="0.25">
      <c r="A1" s="9" t="s">
        <v>0</v>
      </c>
      <c r="B1" s="4" t="s">
        <v>1</v>
      </c>
      <c r="C1" s="4" t="s">
        <v>597</v>
      </c>
      <c r="D1" s="1" t="s">
        <v>2</v>
      </c>
      <c r="E1" s="1" t="s">
        <v>3</v>
      </c>
      <c r="F1" s="1" t="s">
        <v>15</v>
      </c>
      <c r="G1" s="10" t="s">
        <v>4</v>
      </c>
      <c r="H1" s="15" t="s">
        <v>5</v>
      </c>
      <c r="I1" s="2" t="s">
        <v>6</v>
      </c>
      <c r="J1" s="22" t="s">
        <v>130</v>
      </c>
      <c r="K1" s="1" t="s">
        <v>7</v>
      </c>
      <c r="L1" s="10" t="s">
        <v>8</v>
      </c>
      <c r="M1" s="1" t="s">
        <v>2065</v>
      </c>
      <c r="N1" s="1" t="s">
        <v>2432</v>
      </c>
      <c r="O1" s="1" t="s">
        <v>2433</v>
      </c>
      <c r="P1" s="1" t="s">
        <v>2474</v>
      </c>
      <c r="Q1" s="1" t="s">
        <v>2434</v>
      </c>
      <c r="R1" s="1" t="s">
        <v>2431</v>
      </c>
      <c r="S1" s="22" t="s">
        <v>2435</v>
      </c>
      <c r="T1" s="1" t="s">
        <v>24</v>
      </c>
    </row>
    <row r="2" spans="1:20" x14ac:dyDescent="0.25">
      <c r="A2" s="56">
        <v>44743</v>
      </c>
      <c r="C2" s="4" t="s">
        <v>1263</v>
      </c>
      <c r="D2" s="1" t="s">
        <v>2168</v>
      </c>
      <c r="E2" s="4" t="s">
        <v>2263</v>
      </c>
      <c r="F2" s="1" t="s">
        <v>30</v>
      </c>
      <c r="G2" s="134" t="s">
        <v>2264</v>
      </c>
      <c r="H2" s="15">
        <v>800000</v>
      </c>
      <c r="I2" s="2">
        <f>Tabla24567[[#This Row],[TOTAL FACTURA]]*0.6</f>
        <v>480000</v>
      </c>
      <c r="J2" s="104">
        <f>Tabla24567[[#This Row],[TOTAL FACTURA]]-Tabla24567[[#This Row],[PORCENTAJE A CANCELAR]]</f>
        <v>320000</v>
      </c>
      <c r="L2" s="11">
        <v>38000</v>
      </c>
      <c r="M2" s="11">
        <f>Tabla24567[[#This Row],[MONTO DE COMPRA]]/1.19</f>
        <v>31932.773109243699</v>
      </c>
      <c r="N2" s="11">
        <f>Tabla24567[[#This Row],[Columna1]]*19%</f>
        <v>6067.226890756303</v>
      </c>
      <c r="O2" s="11">
        <v>50000</v>
      </c>
      <c r="P2" s="11">
        <f>Tabla24567[[#This Row],[VENTA ]]/1.19</f>
        <v>42016.806722689078</v>
      </c>
      <c r="Q2" s="11">
        <f>Tabla24567[[#This Row],[Columna2]]*19%</f>
        <v>7983.1932773109247</v>
      </c>
      <c r="R2" s="11">
        <f>Tabla24567[[#This Row],[IVA VENTA ]]-Tabla24567[[#This Row],[IV COMPRA]]</f>
        <v>1915.9663865546217</v>
      </c>
      <c r="S2" s="11">
        <f>(Tabla24567[[#This Row],[VENTA ]]-(Tabla24567[[#This Row],[MONTO DE COMPRA]]-Tabla24567[[#This Row],[DIFERENCIA IVA ]]))</f>
        <v>13915.966386554624</v>
      </c>
    </row>
    <row r="3" spans="1:20" x14ac:dyDescent="0.25">
      <c r="A3" s="56">
        <v>44743</v>
      </c>
      <c r="B3" s="4" t="s">
        <v>2265</v>
      </c>
      <c r="C3" s="4" t="s">
        <v>2266</v>
      </c>
      <c r="D3" s="1" t="s">
        <v>989</v>
      </c>
      <c r="E3" s="4" t="s">
        <v>2267</v>
      </c>
      <c r="F3" s="1" t="s">
        <v>1039</v>
      </c>
      <c r="G3" s="134" t="s">
        <v>2268</v>
      </c>
      <c r="H3" s="15">
        <v>40000</v>
      </c>
      <c r="I3" s="2">
        <f>Tabla24567[[#This Row],[TOTAL FACTURA]]*0.6</f>
        <v>24000</v>
      </c>
      <c r="J3" s="104">
        <f>Tabla24567[[#This Row],[TOTAL FACTURA]]-Tabla24567[[#This Row],[PORCENTAJE A CANCELAR]]</f>
        <v>16000</v>
      </c>
      <c r="L3" s="11"/>
      <c r="M3" s="11">
        <f>Tabla24567[[#This Row],[MONTO DE COMPRA]]/1.19</f>
        <v>0</v>
      </c>
      <c r="N3" s="11">
        <f>Tabla24567[[#This Row],[Columna1]]*19%</f>
        <v>0</v>
      </c>
      <c r="O3" s="11"/>
      <c r="P3" s="11">
        <f>Tabla24567[[#This Row],[VENTA ]]/1.19</f>
        <v>0</v>
      </c>
      <c r="Q3" s="11">
        <f>Tabla24567[[#This Row],[Columna2]]*19%</f>
        <v>0</v>
      </c>
      <c r="R3" s="11">
        <f>Tabla24567[[#This Row],[IVA VENTA ]]-Tabla24567[[#This Row],[IV COMPRA]]</f>
        <v>0</v>
      </c>
      <c r="S3" s="11">
        <f>(Tabla24567[[#This Row],[VENTA ]]-(Tabla24567[[#This Row],[MONTO DE COMPRA]]-Tabla24567[[#This Row],[DIFERENCIA IVA ]]))</f>
        <v>0</v>
      </c>
    </row>
    <row r="4" spans="1:20" x14ac:dyDescent="0.25">
      <c r="A4" s="56">
        <v>44743</v>
      </c>
      <c r="B4" s="4" t="s">
        <v>2265</v>
      </c>
      <c r="C4" s="4" t="s">
        <v>2266</v>
      </c>
      <c r="D4" s="1" t="s">
        <v>989</v>
      </c>
      <c r="E4" s="4" t="s">
        <v>2267</v>
      </c>
      <c r="F4" s="15" t="s">
        <v>19</v>
      </c>
      <c r="G4" s="134" t="s">
        <v>2269</v>
      </c>
      <c r="H4" s="15">
        <v>30000</v>
      </c>
      <c r="I4" s="2">
        <f>Tabla24567[[#This Row],[TOTAL FACTURA]]*0.7</f>
        <v>21000</v>
      </c>
      <c r="J4" s="104">
        <f>Tabla24567[[#This Row],[TOTAL FACTURA]]-Tabla24567[[#This Row],[PORCENTAJE A CANCELAR]]</f>
        <v>9000</v>
      </c>
      <c r="L4" s="11"/>
      <c r="M4" s="11">
        <f>Tabla24567[[#This Row],[MONTO DE COMPRA]]/1.19</f>
        <v>0</v>
      </c>
      <c r="N4" s="11">
        <f>Tabla24567[[#This Row],[Columna1]]*19%</f>
        <v>0</v>
      </c>
      <c r="O4" s="11"/>
      <c r="P4" s="11">
        <f>Tabla24567[[#This Row],[VENTA ]]/1.19</f>
        <v>0</v>
      </c>
      <c r="Q4" s="11">
        <f>Tabla24567[[#This Row],[Columna2]]*19%</f>
        <v>0</v>
      </c>
      <c r="R4" s="11">
        <f>Tabla24567[[#This Row],[IVA VENTA ]]-Tabla24567[[#This Row],[IV COMPRA]]</f>
        <v>0</v>
      </c>
      <c r="S4" s="11">
        <f>(Tabla24567[[#This Row],[VENTA ]]-(Tabla24567[[#This Row],[MONTO DE COMPRA]]-Tabla24567[[#This Row],[DIFERENCIA IVA ]]))</f>
        <v>0</v>
      </c>
    </row>
    <row r="5" spans="1:20" ht="30" x14ac:dyDescent="0.25">
      <c r="A5" s="56">
        <v>44743</v>
      </c>
      <c r="B5" s="4" t="s">
        <v>2270</v>
      </c>
      <c r="C5" s="4" t="s">
        <v>2271</v>
      </c>
      <c r="D5" s="4" t="s">
        <v>242</v>
      </c>
      <c r="E5" s="4" t="s">
        <v>2272</v>
      </c>
      <c r="F5" s="1" t="s">
        <v>19</v>
      </c>
      <c r="G5" s="134" t="s">
        <v>2284</v>
      </c>
      <c r="H5" s="15">
        <v>110000</v>
      </c>
      <c r="I5" s="2">
        <f>Tabla24567[[#This Row],[TOTAL FACTURA]]*0.7</f>
        <v>77000</v>
      </c>
      <c r="J5" s="104">
        <f>Tabla24567[[#This Row],[TOTAL FACTURA]]-Tabla24567[[#This Row],[PORCENTAJE A CANCELAR]]</f>
        <v>33000</v>
      </c>
      <c r="L5" s="11"/>
      <c r="M5" s="11">
        <f>Tabla24567[[#This Row],[MONTO DE COMPRA]]/1.19</f>
        <v>0</v>
      </c>
      <c r="N5" s="11">
        <f>Tabla24567[[#This Row],[Columna1]]*19%</f>
        <v>0</v>
      </c>
      <c r="O5" s="11"/>
      <c r="P5" s="11">
        <f>Tabla24567[[#This Row],[VENTA ]]/1.19</f>
        <v>0</v>
      </c>
      <c r="Q5" s="11">
        <f>Tabla24567[[#This Row],[Columna2]]*19%</f>
        <v>0</v>
      </c>
      <c r="R5" s="11">
        <f>Tabla24567[[#This Row],[IVA VENTA ]]-Tabla24567[[#This Row],[IV COMPRA]]</f>
        <v>0</v>
      </c>
      <c r="S5" s="11">
        <f>(Tabla24567[[#This Row],[VENTA ]]-(Tabla24567[[#This Row],[MONTO DE COMPRA]]-Tabla24567[[#This Row],[DIFERENCIA IVA ]]))</f>
        <v>0</v>
      </c>
    </row>
    <row r="6" spans="1:20" x14ac:dyDescent="0.25">
      <c r="A6" s="56">
        <v>44743</v>
      </c>
      <c r="C6" s="4" t="s">
        <v>2273</v>
      </c>
      <c r="D6" s="1" t="s">
        <v>84</v>
      </c>
      <c r="E6" s="4" t="s">
        <v>2274</v>
      </c>
      <c r="F6" s="1" t="s">
        <v>19</v>
      </c>
      <c r="G6" s="134" t="s">
        <v>2275</v>
      </c>
      <c r="H6" s="15">
        <v>100000</v>
      </c>
      <c r="I6" s="2">
        <f>Tabla24567[[#This Row],[TOTAL FACTURA]]*0.7</f>
        <v>70000</v>
      </c>
      <c r="J6" s="104">
        <f>Tabla24567[[#This Row],[TOTAL FACTURA]]-Tabla24567[[#This Row],[PORCENTAJE A CANCELAR]]</f>
        <v>30000</v>
      </c>
      <c r="L6" s="11"/>
      <c r="M6" s="11">
        <f>Tabla24567[[#This Row],[MONTO DE COMPRA]]/1.19</f>
        <v>0</v>
      </c>
      <c r="N6" s="11">
        <f>Tabla24567[[#This Row],[Columna1]]*19%</f>
        <v>0</v>
      </c>
      <c r="O6" s="11"/>
      <c r="P6" s="11">
        <f>Tabla24567[[#This Row],[VENTA ]]/1.19</f>
        <v>0</v>
      </c>
      <c r="Q6" s="11">
        <f>Tabla24567[[#This Row],[Columna2]]*19%</f>
        <v>0</v>
      </c>
      <c r="R6" s="11">
        <f>Tabla24567[[#This Row],[IVA VENTA ]]-Tabla24567[[#This Row],[IV COMPRA]]</f>
        <v>0</v>
      </c>
      <c r="S6" s="11">
        <f>(Tabla24567[[#This Row],[VENTA ]]-(Tabla24567[[#This Row],[MONTO DE COMPRA]]-Tabla24567[[#This Row],[DIFERENCIA IVA ]]))</f>
        <v>0</v>
      </c>
    </row>
    <row r="7" spans="1:20" x14ac:dyDescent="0.25">
      <c r="A7" s="56">
        <v>44743</v>
      </c>
      <c r="B7" s="4" t="s">
        <v>2276</v>
      </c>
      <c r="C7" s="4" t="s">
        <v>2277</v>
      </c>
      <c r="D7" s="1" t="s">
        <v>76</v>
      </c>
      <c r="E7" s="4" t="s">
        <v>2278</v>
      </c>
      <c r="F7" s="1" t="s">
        <v>408</v>
      </c>
      <c r="G7" s="134" t="s">
        <v>20</v>
      </c>
      <c r="H7" s="15">
        <v>30000</v>
      </c>
      <c r="I7" s="2">
        <f>Tabla24567[[#This Row],[TOTAL FACTURA]]*0.7</f>
        <v>21000</v>
      </c>
      <c r="J7" s="104">
        <f>Tabla24567[[#This Row],[TOTAL FACTURA]]-Tabla24567[[#This Row],[PORCENTAJE A CANCELAR]]</f>
        <v>9000</v>
      </c>
      <c r="L7" s="11"/>
      <c r="M7" s="11">
        <f>Tabla24567[[#This Row],[MONTO DE COMPRA]]/1.19</f>
        <v>0</v>
      </c>
      <c r="N7" s="11">
        <f>Tabla24567[[#This Row],[Columna1]]*19%</f>
        <v>0</v>
      </c>
      <c r="O7" s="11"/>
      <c r="P7" s="11">
        <f>Tabla24567[[#This Row],[VENTA ]]/1.19</f>
        <v>0</v>
      </c>
      <c r="Q7" s="11">
        <f>Tabla24567[[#This Row],[Columna2]]*19%</f>
        <v>0</v>
      </c>
      <c r="R7" s="11">
        <f>Tabla24567[[#This Row],[IVA VENTA ]]-Tabla24567[[#This Row],[IV COMPRA]]</f>
        <v>0</v>
      </c>
      <c r="S7" s="11">
        <f>(Tabla24567[[#This Row],[VENTA ]]-(Tabla24567[[#This Row],[MONTO DE COMPRA]]-Tabla24567[[#This Row],[DIFERENCIA IVA ]]))</f>
        <v>0</v>
      </c>
    </row>
    <row r="8" spans="1:20" x14ac:dyDescent="0.25">
      <c r="A8" s="56">
        <v>44743</v>
      </c>
      <c r="C8" s="4" t="s">
        <v>2279</v>
      </c>
      <c r="D8" s="1" t="s">
        <v>2285</v>
      </c>
      <c r="E8" s="4" t="s">
        <v>2280</v>
      </c>
      <c r="F8" s="1" t="s">
        <v>408</v>
      </c>
      <c r="G8" s="134" t="s">
        <v>21</v>
      </c>
      <c r="H8" s="15">
        <v>20000</v>
      </c>
      <c r="I8" s="2">
        <f>Tabla24567[[#This Row],[TOTAL FACTURA]]*0.7</f>
        <v>14000</v>
      </c>
      <c r="J8" s="104">
        <f>Tabla24567[[#This Row],[TOTAL FACTURA]]-Tabla24567[[#This Row],[PORCENTAJE A CANCELAR]]</f>
        <v>6000</v>
      </c>
      <c r="L8" s="11"/>
      <c r="M8" s="11">
        <f>Tabla24567[[#This Row],[MONTO DE COMPRA]]/1.19</f>
        <v>0</v>
      </c>
      <c r="N8" s="11">
        <f>Tabla24567[[#This Row],[Columna1]]*19%</f>
        <v>0</v>
      </c>
      <c r="O8" s="11"/>
      <c r="P8" s="11">
        <f>Tabla24567[[#This Row],[VENTA ]]/1.19</f>
        <v>0</v>
      </c>
      <c r="Q8" s="11">
        <f>Tabla24567[[#This Row],[Columna2]]*19%</f>
        <v>0</v>
      </c>
      <c r="R8" s="11">
        <f>Tabla24567[[#This Row],[IVA VENTA ]]-Tabla24567[[#This Row],[IV COMPRA]]</f>
        <v>0</v>
      </c>
      <c r="S8" s="11">
        <f>(Tabla24567[[#This Row],[VENTA ]]-(Tabla24567[[#This Row],[MONTO DE COMPRA]]-Tabla24567[[#This Row],[DIFERENCIA IVA ]]))</f>
        <v>0</v>
      </c>
    </row>
    <row r="9" spans="1:20" x14ac:dyDescent="0.25">
      <c r="A9" s="56">
        <v>44743</v>
      </c>
      <c r="C9" s="4" t="s">
        <v>2281</v>
      </c>
      <c r="D9" s="1" t="s">
        <v>2282</v>
      </c>
      <c r="E9" s="4" t="s">
        <v>2283</v>
      </c>
      <c r="F9" s="1" t="s">
        <v>1039</v>
      </c>
      <c r="G9" s="134" t="s">
        <v>21</v>
      </c>
      <c r="H9" s="15">
        <v>10000</v>
      </c>
      <c r="I9" s="2">
        <f>Tabla24567[[#This Row],[TOTAL FACTURA]]*0.6</f>
        <v>6000</v>
      </c>
      <c r="J9" s="104">
        <f>Tabla24567[[#This Row],[TOTAL FACTURA]]-Tabla24567[[#This Row],[PORCENTAJE A CANCELAR]]</f>
        <v>4000</v>
      </c>
      <c r="L9" s="11"/>
      <c r="M9" s="11">
        <f>Tabla24567[[#This Row],[MONTO DE COMPRA]]/1.19</f>
        <v>0</v>
      </c>
      <c r="N9" s="11">
        <f>Tabla24567[[#This Row],[Columna1]]*19%</f>
        <v>0</v>
      </c>
      <c r="O9" s="11"/>
      <c r="P9" s="11">
        <f>Tabla24567[[#This Row],[VENTA ]]/1.19</f>
        <v>0</v>
      </c>
      <c r="Q9" s="11">
        <f>Tabla24567[[#This Row],[Columna2]]*19%</f>
        <v>0</v>
      </c>
      <c r="R9" s="11">
        <f>Tabla24567[[#This Row],[IVA VENTA ]]-Tabla24567[[#This Row],[IV COMPRA]]</f>
        <v>0</v>
      </c>
      <c r="S9" s="11">
        <f>(Tabla24567[[#This Row],[VENTA ]]-(Tabla24567[[#This Row],[MONTO DE COMPRA]]-Tabla24567[[#This Row],[DIFERENCIA IVA ]]))</f>
        <v>0</v>
      </c>
    </row>
    <row r="10" spans="1:20" x14ac:dyDescent="0.25">
      <c r="A10" s="56">
        <v>44743</v>
      </c>
      <c r="C10" s="4" t="s">
        <v>215</v>
      </c>
      <c r="E10" s="4"/>
      <c r="F10" s="1" t="s">
        <v>408</v>
      </c>
      <c r="G10" s="134" t="s">
        <v>21</v>
      </c>
      <c r="H10" s="15">
        <v>8000</v>
      </c>
      <c r="I10" s="2">
        <f>Tabla24567[[#This Row],[TOTAL FACTURA]]*0.7</f>
        <v>5600</v>
      </c>
      <c r="J10" s="113">
        <f>Tabla24567[[#This Row],[TOTAL FACTURA]]-Tabla24567[[#This Row],[PORCENTAJE A CANCELAR]]</f>
        <v>2400</v>
      </c>
      <c r="L10" s="11"/>
      <c r="M10" s="11">
        <f>Tabla24567[[#This Row],[MONTO DE COMPRA]]/1.19</f>
        <v>0</v>
      </c>
      <c r="N10" s="11">
        <f>Tabla24567[[#This Row],[Columna1]]*19%</f>
        <v>0</v>
      </c>
      <c r="O10" s="11"/>
      <c r="P10" s="11">
        <f>Tabla24567[[#This Row],[VENTA ]]/1.19</f>
        <v>0</v>
      </c>
      <c r="Q10" s="11">
        <f>Tabla24567[[#This Row],[Columna2]]*19%</f>
        <v>0</v>
      </c>
      <c r="R10" s="11">
        <f>Tabla24567[[#This Row],[IVA VENTA ]]-Tabla24567[[#This Row],[IV COMPRA]]</f>
        <v>0</v>
      </c>
      <c r="S10" s="11">
        <f>(Tabla24567[[#This Row],[VENTA ]]-(Tabla24567[[#This Row],[MONTO DE COMPRA]]-Tabla24567[[#This Row],[DIFERENCIA IVA ]]))</f>
        <v>0</v>
      </c>
    </row>
    <row r="11" spans="1:20" x14ac:dyDescent="0.25">
      <c r="A11" s="56">
        <v>44743</v>
      </c>
      <c r="C11" s="114"/>
      <c r="D11" s="1" t="s">
        <v>204</v>
      </c>
      <c r="E11" s="4"/>
      <c r="F11" s="1" t="s">
        <v>408</v>
      </c>
      <c r="G11" s="134" t="s">
        <v>2286</v>
      </c>
      <c r="J11" s="113">
        <f>Tabla24567[[#This Row],[TOTAL FACTURA]]-Tabla24567[[#This Row],[PORCENTAJE A CANCELAR]]</f>
        <v>0</v>
      </c>
      <c r="L11" s="11"/>
      <c r="M11" s="11">
        <f>Tabla24567[[#This Row],[MONTO DE COMPRA]]/1.19</f>
        <v>0</v>
      </c>
      <c r="N11" s="11">
        <f>Tabla24567[[#This Row],[Columna1]]*19%</f>
        <v>0</v>
      </c>
      <c r="O11" s="11"/>
      <c r="P11" s="11">
        <f>Tabla24567[[#This Row],[VENTA ]]/1.19</f>
        <v>0</v>
      </c>
      <c r="Q11" s="11">
        <f>Tabla24567[[#This Row],[Columna2]]*19%</f>
        <v>0</v>
      </c>
      <c r="R11" s="11">
        <f>Tabla24567[[#This Row],[IVA VENTA ]]-Tabla24567[[#This Row],[IV COMPRA]]</f>
        <v>0</v>
      </c>
      <c r="S11" s="11">
        <f>(Tabla24567[[#This Row],[VENTA ]]-(Tabla24567[[#This Row],[MONTO DE COMPRA]]-Tabla24567[[#This Row],[DIFERENCIA IVA ]]))</f>
        <v>0</v>
      </c>
    </row>
    <row r="12" spans="1:20" x14ac:dyDescent="0.25">
      <c r="A12" s="56">
        <v>44743</v>
      </c>
      <c r="C12" s="4" t="s">
        <v>2287</v>
      </c>
      <c r="D12" s="1" t="s">
        <v>54</v>
      </c>
      <c r="E12" s="4" t="s">
        <v>2288</v>
      </c>
      <c r="F12" s="1" t="s">
        <v>10</v>
      </c>
      <c r="G12" s="134" t="s">
        <v>1151</v>
      </c>
      <c r="H12" s="15">
        <v>700000</v>
      </c>
      <c r="I12" s="2">
        <v>500000</v>
      </c>
      <c r="J12" s="113">
        <f>Tabla24567[[#This Row],[TOTAL FACTURA]]-Tabla24567[[#This Row],[PORCENTAJE A CANCELAR]]</f>
        <v>200000</v>
      </c>
      <c r="L12" s="11"/>
      <c r="M12" s="11">
        <f>Tabla24567[[#This Row],[MONTO DE COMPRA]]/1.19</f>
        <v>0</v>
      </c>
      <c r="N12" s="11">
        <f>Tabla24567[[#This Row],[Columna1]]*19%</f>
        <v>0</v>
      </c>
      <c r="O12" s="11"/>
      <c r="P12" s="11">
        <f>Tabla24567[[#This Row],[VENTA ]]/1.19</f>
        <v>0</v>
      </c>
      <c r="Q12" s="11">
        <f>Tabla24567[[#This Row],[Columna2]]*19%</f>
        <v>0</v>
      </c>
      <c r="R12" s="11">
        <f>Tabla24567[[#This Row],[IVA VENTA ]]-Tabla24567[[#This Row],[IV COMPRA]]</f>
        <v>0</v>
      </c>
      <c r="S12" s="11">
        <f>(Tabla24567[[#This Row],[VENTA ]]-(Tabla24567[[#This Row],[MONTO DE COMPRA]]-Tabla24567[[#This Row],[DIFERENCIA IVA ]]))</f>
        <v>0</v>
      </c>
    </row>
    <row r="13" spans="1:20" x14ac:dyDescent="0.25">
      <c r="A13" s="56">
        <v>44743</v>
      </c>
      <c r="C13" s="114"/>
      <c r="E13" s="4"/>
      <c r="F13" s="1" t="s">
        <v>10</v>
      </c>
      <c r="G13" s="134" t="s">
        <v>434</v>
      </c>
      <c r="H13" s="15">
        <v>80000</v>
      </c>
      <c r="I13" s="2">
        <f>Tabla24567[[#This Row],[TOTAL FACTURA]]*0.7</f>
        <v>56000</v>
      </c>
      <c r="J13" s="113">
        <f>Tabla24567[[#This Row],[TOTAL FACTURA]]-Tabla24567[[#This Row],[PORCENTAJE A CANCELAR]]</f>
        <v>24000</v>
      </c>
      <c r="L13" s="11"/>
      <c r="M13" s="11">
        <f>Tabla24567[[#This Row],[MONTO DE COMPRA]]/1.19</f>
        <v>0</v>
      </c>
      <c r="N13" s="11">
        <f>Tabla24567[[#This Row],[Columna1]]*19%</f>
        <v>0</v>
      </c>
      <c r="O13" s="11"/>
      <c r="P13" s="11">
        <f>Tabla24567[[#This Row],[VENTA ]]/1.19</f>
        <v>0</v>
      </c>
      <c r="Q13" s="11">
        <f>Tabla24567[[#This Row],[Columna2]]*19%</f>
        <v>0</v>
      </c>
      <c r="R13" s="11">
        <f>Tabla24567[[#This Row],[IVA VENTA ]]-Tabla24567[[#This Row],[IV COMPRA]]</f>
        <v>0</v>
      </c>
      <c r="S13" s="11">
        <f>(Tabla24567[[#This Row],[VENTA ]]-(Tabla24567[[#This Row],[MONTO DE COMPRA]]-Tabla24567[[#This Row],[DIFERENCIA IVA ]]))</f>
        <v>0</v>
      </c>
    </row>
    <row r="14" spans="1:20" x14ac:dyDescent="0.25">
      <c r="A14" s="56">
        <v>44744</v>
      </c>
      <c r="C14" s="4" t="s">
        <v>2221</v>
      </c>
      <c r="D14" s="1" t="s">
        <v>65</v>
      </c>
      <c r="E14" s="4" t="s">
        <v>2222</v>
      </c>
      <c r="F14" s="1" t="s">
        <v>10</v>
      </c>
      <c r="G14" s="134" t="s">
        <v>2293</v>
      </c>
      <c r="H14" s="15">
        <v>35000</v>
      </c>
      <c r="I14" s="2">
        <f>Tabla24567[[#This Row],[TOTAL FACTURA]]*0.7</f>
        <v>24500</v>
      </c>
      <c r="J14" s="113">
        <f>Tabla24567[[#This Row],[TOTAL FACTURA]]-Tabla24567[[#This Row],[PORCENTAJE A CANCELAR]]</f>
        <v>10500</v>
      </c>
      <c r="L14" s="11"/>
      <c r="M14" s="11">
        <f>Tabla24567[[#This Row],[MONTO DE COMPRA]]/1.19</f>
        <v>0</v>
      </c>
      <c r="N14" s="11">
        <f>Tabla24567[[#This Row],[Columna1]]*19%</f>
        <v>0</v>
      </c>
      <c r="O14" s="11"/>
      <c r="P14" s="11">
        <f>Tabla24567[[#This Row],[VENTA ]]/1.19</f>
        <v>0</v>
      </c>
      <c r="Q14" s="11">
        <f>Tabla24567[[#This Row],[Columna2]]*19%</f>
        <v>0</v>
      </c>
      <c r="R14" s="11">
        <f>Tabla24567[[#This Row],[IVA VENTA ]]-Tabla24567[[#This Row],[IV COMPRA]]</f>
        <v>0</v>
      </c>
      <c r="S14" s="11">
        <f>(Tabla24567[[#This Row],[VENTA ]]-(Tabla24567[[#This Row],[MONTO DE COMPRA]]-Tabla24567[[#This Row],[DIFERENCIA IVA ]]))</f>
        <v>0</v>
      </c>
    </row>
    <row r="15" spans="1:20" x14ac:dyDescent="0.25">
      <c r="A15" s="56">
        <v>44744</v>
      </c>
      <c r="B15" s="4" t="s">
        <v>2341</v>
      </c>
      <c r="C15" s="4" t="s">
        <v>2342</v>
      </c>
      <c r="D15" s="1" t="s">
        <v>389</v>
      </c>
      <c r="E15" s="4" t="s">
        <v>2343</v>
      </c>
      <c r="F15" s="1" t="s">
        <v>408</v>
      </c>
      <c r="G15" s="134" t="s">
        <v>2344</v>
      </c>
      <c r="H15" s="15">
        <v>190000</v>
      </c>
      <c r="I15" s="2">
        <f>Tabla24567[[#This Row],[TOTAL FACTURA]]*0.7</f>
        <v>133000</v>
      </c>
      <c r="J15" s="113">
        <f>Tabla24567[[#This Row],[TOTAL FACTURA]]-Tabla24567[[#This Row],[PORCENTAJE A CANCELAR]]</f>
        <v>57000</v>
      </c>
      <c r="L15" s="11"/>
      <c r="M15" s="11">
        <f>Tabla24567[[#This Row],[MONTO DE COMPRA]]/1.19</f>
        <v>0</v>
      </c>
      <c r="N15" s="11">
        <f>Tabla24567[[#This Row],[Columna1]]*19%</f>
        <v>0</v>
      </c>
      <c r="O15" s="11"/>
      <c r="P15" s="11">
        <f>Tabla24567[[#This Row],[VENTA ]]/1.19</f>
        <v>0</v>
      </c>
      <c r="Q15" s="11">
        <f>Tabla24567[[#This Row],[Columna2]]*19%</f>
        <v>0</v>
      </c>
      <c r="R15" s="11">
        <f>Tabla24567[[#This Row],[IVA VENTA ]]-Tabla24567[[#This Row],[IV COMPRA]]</f>
        <v>0</v>
      </c>
      <c r="S15" s="11">
        <f>(Tabla24567[[#This Row],[VENTA ]]-(Tabla24567[[#This Row],[MONTO DE COMPRA]]-Tabla24567[[#This Row],[DIFERENCIA IVA ]]))</f>
        <v>0</v>
      </c>
    </row>
    <row r="16" spans="1:20" x14ac:dyDescent="0.25">
      <c r="A16" s="56">
        <v>44744</v>
      </c>
      <c r="B16" s="4" t="s">
        <v>2295</v>
      </c>
      <c r="C16" s="4" t="s">
        <v>2294</v>
      </c>
      <c r="D16" s="1" t="s">
        <v>540</v>
      </c>
      <c r="E16" s="4" t="s">
        <v>2296</v>
      </c>
      <c r="F16" s="1" t="s">
        <v>1039</v>
      </c>
      <c r="G16" s="134" t="s">
        <v>2297</v>
      </c>
      <c r="H16" s="15">
        <v>150000</v>
      </c>
      <c r="I16" s="2">
        <f>Tabla24567[[#This Row],[TOTAL FACTURA]]*0.7</f>
        <v>105000</v>
      </c>
      <c r="J16" s="113">
        <f>Tabla24567[[#This Row],[TOTAL FACTURA]]-Tabla24567[[#This Row],[PORCENTAJE A CANCELAR]]</f>
        <v>45000</v>
      </c>
      <c r="L16" s="11"/>
      <c r="M16" s="11">
        <f>Tabla24567[[#This Row],[MONTO DE COMPRA]]/1.19</f>
        <v>0</v>
      </c>
      <c r="N16" s="11">
        <f>Tabla24567[[#This Row],[Columna1]]*19%</f>
        <v>0</v>
      </c>
      <c r="O16" s="11"/>
      <c r="P16" s="11">
        <f>Tabla24567[[#This Row],[VENTA ]]/1.19</f>
        <v>0</v>
      </c>
      <c r="Q16" s="11">
        <f>Tabla24567[[#This Row],[Columna2]]*19%</f>
        <v>0</v>
      </c>
      <c r="R16" s="11">
        <f>Tabla24567[[#This Row],[IVA VENTA ]]-Tabla24567[[#This Row],[IV COMPRA]]</f>
        <v>0</v>
      </c>
      <c r="S16" s="11">
        <f>(Tabla24567[[#This Row],[VENTA ]]-(Tabla24567[[#This Row],[MONTO DE COMPRA]]-Tabla24567[[#This Row],[DIFERENCIA IVA ]]))</f>
        <v>0</v>
      </c>
    </row>
    <row r="17" spans="1:19" x14ac:dyDescent="0.25">
      <c r="A17" s="56">
        <v>44747</v>
      </c>
      <c r="B17" s="4" t="s">
        <v>2298</v>
      </c>
      <c r="C17" s="4" t="s">
        <v>2299</v>
      </c>
      <c r="D17" s="1" t="s">
        <v>311</v>
      </c>
      <c r="E17" s="4" t="s">
        <v>2300</v>
      </c>
      <c r="F17" s="1" t="s">
        <v>19</v>
      </c>
      <c r="G17" s="134" t="s">
        <v>744</v>
      </c>
      <c r="H17" s="15">
        <v>40000</v>
      </c>
      <c r="I17" s="2">
        <f>Tabla24567[[#This Row],[TOTAL FACTURA]]*0.7</f>
        <v>28000</v>
      </c>
      <c r="J17" s="113">
        <f>Tabla24567[[#This Row],[TOTAL FACTURA]]-Tabla24567[[#This Row],[PORCENTAJE A CANCELAR]]</f>
        <v>12000</v>
      </c>
      <c r="L17" s="11"/>
      <c r="M17" s="11">
        <f>Tabla24567[[#This Row],[MONTO DE COMPRA]]/1.19</f>
        <v>0</v>
      </c>
      <c r="N17" s="11">
        <f>Tabla24567[[#This Row],[Columna1]]*19%</f>
        <v>0</v>
      </c>
      <c r="O17" s="11"/>
      <c r="P17" s="11">
        <f>Tabla24567[[#This Row],[VENTA ]]/1.19</f>
        <v>0</v>
      </c>
      <c r="Q17" s="11">
        <f>Tabla24567[[#This Row],[Columna2]]*19%</f>
        <v>0</v>
      </c>
      <c r="R17" s="11">
        <f>Tabla24567[[#This Row],[IVA VENTA ]]-Tabla24567[[#This Row],[IV COMPRA]]</f>
        <v>0</v>
      </c>
      <c r="S17" s="11">
        <f>(Tabla24567[[#This Row],[VENTA ]]-(Tabla24567[[#This Row],[MONTO DE COMPRA]]-Tabla24567[[#This Row],[DIFERENCIA IVA ]]))</f>
        <v>0</v>
      </c>
    </row>
    <row r="18" spans="1:19" x14ac:dyDescent="0.25">
      <c r="A18" s="56">
        <v>44747</v>
      </c>
      <c r="C18" s="4" t="s">
        <v>2301</v>
      </c>
      <c r="D18" s="1" t="s">
        <v>2302</v>
      </c>
      <c r="E18" s="4" t="s">
        <v>1103</v>
      </c>
      <c r="F18" s="1" t="s">
        <v>19</v>
      </c>
      <c r="G18" s="134" t="s">
        <v>2303</v>
      </c>
      <c r="H18" s="15">
        <v>30000</v>
      </c>
      <c r="I18" s="2">
        <f>Tabla24567[[#This Row],[TOTAL FACTURA]]*0.7</f>
        <v>21000</v>
      </c>
      <c r="J18" s="113">
        <f>Tabla24567[[#This Row],[TOTAL FACTURA]]-Tabla24567[[#This Row],[PORCENTAJE A CANCELAR]]</f>
        <v>9000</v>
      </c>
      <c r="L18" s="11"/>
      <c r="M18" s="11">
        <f>Tabla24567[[#This Row],[MONTO DE COMPRA]]/1.19</f>
        <v>0</v>
      </c>
      <c r="N18" s="11">
        <f>Tabla24567[[#This Row],[Columna1]]*19%</f>
        <v>0</v>
      </c>
      <c r="O18" s="11"/>
      <c r="P18" s="11">
        <f>Tabla24567[[#This Row],[VENTA ]]/1.19</f>
        <v>0</v>
      </c>
      <c r="Q18" s="11">
        <f>Tabla24567[[#This Row],[Columna2]]*19%</f>
        <v>0</v>
      </c>
      <c r="R18" s="11">
        <f>Tabla24567[[#This Row],[IVA VENTA ]]-Tabla24567[[#This Row],[IV COMPRA]]</f>
        <v>0</v>
      </c>
      <c r="S18" s="11">
        <f>(Tabla24567[[#This Row],[VENTA ]]-(Tabla24567[[#This Row],[MONTO DE COMPRA]]-Tabla24567[[#This Row],[DIFERENCIA IVA ]]))</f>
        <v>0</v>
      </c>
    </row>
    <row r="19" spans="1:19" x14ac:dyDescent="0.25">
      <c r="A19" s="56">
        <v>44747</v>
      </c>
      <c r="B19" s="4" t="s">
        <v>2304</v>
      </c>
      <c r="C19" s="4" t="s">
        <v>827</v>
      </c>
      <c r="D19" s="1" t="s">
        <v>2305</v>
      </c>
      <c r="E19" s="4" t="s">
        <v>829</v>
      </c>
      <c r="F19" s="1" t="s">
        <v>19</v>
      </c>
      <c r="G19" s="134" t="s">
        <v>2306</v>
      </c>
      <c r="H19" s="15">
        <v>120000</v>
      </c>
      <c r="I19" s="2">
        <f>Tabla24567[[#This Row],[TOTAL FACTURA]]*0.7</f>
        <v>84000</v>
      </c>
      <c r="J19" s="113">
        <f>Tabla24567[[#This Row],[TOTAL FACTURA]]-Tabla24567[[#This Row],[PORCENTAJE A CANCELAR]]</f>
        <v>36000</v>
      </c>
      <c r="L19" s="11"/>
      <c r="M19" s="11">
        <f>Tabla24567[[#This Row],[MONTO DE COMPRA]]/1.19</f>
        <v>0</v>
      </c>
      <c r="N19" s="11">
        <f>Tabla24567[[#This Row],[Columna1]]*19%</f>
        <v>0</v>
      </c>
      <c r="O19" s="11"/>
      <c r="P19" s="11">
        <f>Tabla24567[[#This Row],[VENTA ]]/1.19</f>
        <v>0</v>
      </c>
      <c r="Q19" s="11">
        <f>Tabla24567[[#This Row],[Columna2]]*19%</f>
        <v>0</v>
      </c>
      <c r="R19" s="11">
        <f>Tabla24567[[#This Row],[IVA VENTA ]]-Tabla24567[[#This Row],[IV COMPRA]]</f>
        <v>0</v>
      </c>
      <c r="S19" s="11">
        <f>(Tabla24567[[#This Row],[VENTA ]]-(Tabla24567[[#This Row],[MONTO DE COMPRA]]-Tabla24567[[#This Row],[DIFERENCIA IVA ]]))</f>
        <v>0</v>
      </c>
    </row>
    <row r="20" spans="1:19" x14ac:dyDescent="0.25">
      <c r="A20" s="56">
        <v>44748</v>
      </c>
      <c r="C20" s="114"/>
      <c r="D20" s="1" t="s">
        <v>1077</v>
      </c>
      <c r="E20" s="1" t="s">
        <v>2307</v>
      </c>
      <c r="F20" s="1" t="s">
        <v>19</v>
      </c>
      <c r="G20" s="134" t="s">
        <v>50</v>
      </c>
      <c r="H20" s="15">
        <v>60000</v>
      </c>
      <c r="I20" s="2">
        <f>Tabla24567[[#This Row],[TOTAL FACTURA]]*0.7</f>
        <v>42000</v>
      </c>
      <c r="J20" s="113">
        <f>Tabla24567[[#This Row],[TOTAL FACTURA]]-Tabla24567[[#This Row],[PORCENTAJE A CANCELAR]]</f>
        <v>18000</v>
      </c>
      <c r="L20" s="11"/>
      <c r="M20" s="11">
        <f>Tabla24567[[#This Row],[MONTO DE COMPRA]]/1.19</f>
        <v>0</v>
      </c>
      <c r="N20" s="11">
        <f>Tabla24567[[#This Row],[Columna1]]*19%</f>
        <v>0</v>
      </c>
      <c r="O20" s="11"/>
      <c r="P20" s="11">
        <f>Tabla24567[[#This Row],[VENTA ]]/1.19</f>
        <v>0</v>
      </c>
      <c r="Q20" s="11">
        <f>Tabla24567[[#This Row],[Columna2]]*19%</f>
        <v>0</v>
      </c>
      <c r="R20" s="11">
        <f>Tabla24567[[#This Row],[IVA VENTA ]]-Tabla24567[[#This Row],[IV COMPRA]]</f>
        <v>0</v>
      </c>
      <c r="S20" s="11">
        <f>(Tabla24567[[#This Row],[VENTA ]]-(Tabla24567[[#This Row],[MONTO DE COMPRA]]-Tabla24567[[#This Row],[DIFERENCIA IVA ]]))</f>
        <v>0</v>
      </c>
    </row>
    <row r="21" spans="1:19" x14ac:dyDescent="0.25">
      <c r="A21" s="56">
        <v>44748</v>
      </c>
      <c r="B21" s="4" t="s">
        <v>2308</v>
      </c>
      <c r="C21" s="4" t="s">
        <v>1320</v>
      </c>
      <c r="D21" s="1" t="s">
        <v>52</v>
      </c>
      <c r="E21" s="1" t="s">
        <v>1321</v>
      </c>
      <c r="F21" s="1" t="s">
        <v>1039</v>
      </c>
      <c r="G21" s="134" t="s">
        <v>2309</v>
      </c>
      <c r="H21" s="15">
        <v>60000</v>
      </c>
      <c r="I21" s="2">
        <f>Tabla24567[[#This Row],[TOTAL FACTURA]]*0.6</f>
        <v>36000</v>
      </c>
      <c r="J21" s="113">
        <f>Tabla24567[[#This Row],[TOTAL FACTURA]]-Tabla24567[[#This Row],[PORCENTAJE A CANCELAR]]</f>
        <v>24000</v>
      </c>
      <c r="L21" s="11"/>
      <c r="M21" s="11">
        <f>Tabla24567[[#This Row],[MONTO DE COMPRA]]/1.19</f>
        <v>0</v>
      </c>
      <c r="N21" s="11">
        <f>Tabla24567[[#This Row],[Columna1]]*19%</f>
        <v>0</v>
      </c>
      <c r="O21" s="11"/>
      <c r="P21" s="11">
        <f>Tabla24567[[#This Row],[VENTA ]]/1.19</f>
        <v>0</v>
      </c>
      <c r="Q21" s="11">
        <f>Tabla24567[[#This Row],[Columna2]]*19%</f>
        <v>0</v>
      </c>
      <c r="R21" s="11">
        <f>Tabla24567[[#This Row],[IVA VENTA ]]-Tabla24567[[#This Row],[IV COMPRA]]</f>
        <v>0</v>
      </c>
      <c r="S21" s="11">
        <f>(Tabla24567[[#This Row],[VENTA ]]-(Tabla24567[[#This Row],[MONTO DE COMPRA]]-Tabla24567[[#This Row],[DIFERENCIA IVA ]]))</f>
        <v>0</v>
      </c>
    </row>
    <row r="22" spans="1:19" x14ac:dyDescent="0.25">
      <c r="A22" s="56">
        <v>44748</v>
      </c>
      <c r="B22" s="4" t="s">
        <v>2310</v>
      </c>
      <c r="C22" s="4" t="s">
        <v>2311</v>
      </c>
      <c r="D22" s="1" t="s">
        <v>242</v>
      </c>
      <c r="E22" s="1" t="s">
        <v>2312</v>
      </c>
      <c r="F22" s="1" t="s">
        <v>19</v>
      </c>
      <c r="G22" s="134" t="s">
        <v>1976</v>
      </c>
      <c r="H22" s="15">
        <v>100000</v>
      </c>
      <c r="I22" s="2">
        <f>Tabla24567[[#This Row],[TOTAL FACTURA]]*0.7</f>
        <v>70000</v>
      </c>
      <c r="J22" s="113">
        <f>Tabla24567[[#This Row],[TOTAL FACTURA]]-Tabla24567[[#This Row],[PORCENTAJE A CANCELAR]]</f>
        <v>30000</v>
      </c>
      <c r="L22" s="11"/>
      <c r="M22" s="11">
        <f>Tabla24567[[#This Row],[MONTO DE COMPRA]]/1.19</f>
        <v>0</v>
      </c>
      <c r="N22" s="11">
        <f>Tabla24567[[#This Row],[Columna1]]*19%</f>
        <v>0</v>
      </c>
      <c r="O22" s="11"/>
      <c r="P22" s="11">
        <f>Tabla24567[[#This Row],[VENTA ]]/1.19</f>
        <v>0</v>
      </c>
      <c r="Q22" s="11">
        <f>Tabla24567[[#This Row],[Columna2]]*19%</f>
        <v>0</v>
      </c>
      <c r="R22" s="11">
        <f>Tabla24567[[#This Row],[IVA VENTA ]]-Tabla24567[[#This Row],[IV COMPRA]]</f>
        <v>0</v>
      </c>
      <c r="S22" s="11">
        <f>(Tabla24567[[#This Row],[VENTA ]]-(Tabla24567[[#This Row],[MONTO DE COMPRA]]-Tabla24567[[#This Row],[DIFERENCIA IVA ]]))</f>
        <v>0</v>
      </c>
    </row>
    <row r="23" spans="1:19" x14ac:dyDescent="0.25">
      <c r="A23" s="56">
        <v>44748</v>
      </c>
      <c r="B23" s="4" t="s">
        <v>2313</v>
      </c>
      <c r="C23" s="4" t="s">
        <v>2314</v>
      </c>
      <c r="D23" s="1" t="s">
        <v>2315</v>
      </c>
      <c r="E23" s="4" t="s">
        <v>2125</v>
      </c>
      <c r="F23" s="1" t="s">
        <v>30</v>
      </c>
      <c r="G23" s="134" t="s">
        <v>20</v>
      </c>
      <c r="H23" s="15">
        <v>40000</v>
      </c>
      <c r="I23" s="2">
        <f>Tabla24567[[#This Row],[TOTAL FACTURA]]*0.6</f>
        <v>24000</v>
      </c>
      <c r="J23" s="113">
        <f>Tabla24567[[#This Row],[TOTAL FACTURA]]-Tabla24567[[#This Row],[PORCENTAJE A CANCELAR]]</f>
        <v>16000</v>
      </c>
      <c r="L23" s="11"/>
      <c r="M23" s="11">
        <f>Tabla24567[[#This Row],[MONTO DE COMPRA]]/1.19</f>
        <v>0</v>
      </c>
      <c r="N23" s="11">
        <f>Tabla24567[[#This Row],[Columna1]]*19%</f>
        <v>0</v>
      </c>
      <c r="O23" s="11"/>
      <c r="P23" s="11">
        <f>Tabla24567[[#This Row],[VENTA ]]/1.19</f>
        <v>0</v>
      </c>
      <c r="Q23" s="11">
        <f>Tabla24567[[#This Row],[Columna2]]*19%</f>
        <v>0</v>
      </c>
      <c r="R23" s="11">
        <f>Tabla24567[[#This Row],[IVA VENTA ]]-Tabla24567[[#This Row],[IV COMPRA]]</f>
        <v>0</v>
      </c>
      <c r="S23" s="11">
        <f>(Tabla24567[[#This Row],[VENTA ]]-(Tabla24567[[#This Row],[MONTO DE COMPRA]]-Tabla24567[[#This Row],[DIFERENCIA IVA ]]))</f>
        <v>0</v>
      </c>
    </row>
    <row r="24" spans="1:19" ht="30" x14ac:dyDescent="0.25">
      <c r="A24" s="56">
        <v>44748</v>
      </c>
      <c r="C24" s="114" t="s">
        <v>2316</v>
      </c>
      <c r="D24" s="1" t="s">
        <v>2318</v>
      </c>
      <c r="E24" s="4" t="s">
        <v>2317</v>
      </c>
      <c r="F24" s="1" t="s">
        <v>408</v>
      </c>
      <c r="G24" s="134" t="s">
        <v>2345</v>
      </c>
      <c r="H24" s="15">
        <v>150000</v>
      </c>
      <c r="I24" s="2">
        <f>Tabla24567[[#This Row],[TOTAL FACTURA]]*0.7</f>
        <v>105000</v>
      </c>
      <c r="J24" s="113">
        <f>Tabla24567[[#This Row],[TOTAL FACTURA]]-Tabla24567[[#This Row],[PORCENTAJE A CANCELAR]]</f>
        <v>45000</v>
      </c>
      <c r="L24" s="11"/>
      <c r="M24" s="11">
        <f>Tabla24567[[#This Row],[MONTO DE COMPRA]]/1.19</f>
        <v>0</v>
      </c>
      <c r="N24" s="11">
        <f>Tabla24567[[#This Row],[Columna1]]*19%</f>
        <v>0</v>
      </c>
      <c r="O24" s="11"/>
      <c r="P24" s="11">
        <f>Tabla24567[[#This Row],[VENTA ]]/1.19</f>
        <v>0</v>
      </c>
      <c r="Q24" s="11">
        <f>Tabla24567[[#This Row],[Columna2]]*19%</f>
        <v>0</v>
      </c>
      <c r="R24" s="11">
        <f>Tabla24567[[#This Row],[IVA VENTA ]]-Tabla24567[[#This Row],[IV COMPRA]]</f>
        <v>0</v>
      </c>
      <c r="S24" s="11">
        <f>(Tabla24567[[#This Row],[VENTA ]]-(Tabla24567[[#This Row],[MONTO DE COMPRA]]-Tabla24567[[#This Row],[DIFERENCIA IVA ]]))</f>
        <v>0</v>
      </c>
    </row>
    <row r="25" spans="1:19" ht="30" x14ac:dyDescent="0.25">
      <c r="A25" s="56">
        <v>44748</v>
      </c>
      <c r="B25" s="4" t="s">
        <v>2319</v>
      </c>
      <c r="C25" s="4" t="s">
        <v>2294</v>
      </c>
      <c r="D25" s="1" t="s">
        <v>122</v>
      </c>
      <c r="E25" s="4" t="s">
        <v>2320</v>
      </c>
      <c r="F25" s="1" t="s">
        <v>19</v>
      </c>
      <c r="G25" s="134" t="s">
        <v>2321</v>
      </c>
      <c r="H25" s="15">
        <v>250000</v>
      </c>
      <c r="I25" s="2">
        <f>Tabla24567[[#This Row],[TOTAL FACTURA]]*0.7</f>
        <v>175000</v>
      </c>
      <c r="J25" s="113">
        <f>Tabla24567[[#This Row],[TOTAL FACTURA]]-Tabla24567[[#This Row],[PORCENTAJE A CANCELAR]]</f>
        <v>75000</v>
      </c>
      <c r="L25" s="11"/>
      <c r="M25" s="11">
        <f>Tabla24567[[#This Row],[MONTO DE COMPRA]]/1.19</f>
        <v>0</v>
      </c>
      <c r="N25" s="11">
        <f>Tabla24567[[#This Row],[Columna1]]*19%</f>
        <v>0</v>
      </c>
      <c r="O25" s="11"/>
      <c r="P25" s="11">
        <f>Tabla24567[[#This Row],[VENTA ]]/1.19</f>
        <v>0</v>
      </c>
      <c r="Q25" s="11">
        <f>Tabla24567[[#This Row],[Columna2]]*19%</f>
        <v>0</v>
      </c>
      <c r="R25" s="11">
        <f>Tabla24567[[#This Row],[IVA VENTA ]]-Tabla24567[[#This Row],[IV COMPRA]]</f>
        <v>0</v>
      </c>
      <c r="S25" s="11">
        <f>(Tabla24567[[#This Row],[VENTA ]]-(Tabla24567[[#This Row],[MONTO DE COMPRA]]-Tabla24567[[#This Row],[DIFERENCIA IVA ]]))</f>
        <v>0</v>
      </c>
    </row>
    <row r="26" spans="1:19" x14ac:dyDescent="0.25">
      <c r="A26" s="56">
        <v>44749</v>
      </c>
      <c r="C26" s="4" t="s">
        <v>2322</v>
      </c>
      <c r="D26" s="1" t="s">
        <v>22</v>
      </c>
      <c r="E26" s="4" t="s">
        <v>2323</v>
      </c>
      <c r="F26" s="1" t="s">
        <v>19</v>
      </c>
      <c r="G26" s="134" t="s">
        <v>2324</v>
      </c>
      <c r="H26" s="15">
        <v>30000</v>
      </c>
      <c r="I26" s="2">
        <f>Tabla24567[[#This Row],[TOTAL FACTURA]]*0.7</f>
        <v>21000</v>
      </c>
      <c r="J26" s="113">
        <f>Tabla24567[[#This Row],[TOTAL FACTURA]]-Tabla24567[[#This Row],[PORCENTAJE A CANCELAR]]</f>
        <v>9000</v>
      </c>
      <c r="L26" s="11"/>
      <c r="M26" s="11">
        <f>Tabla24567[[#This Row],[MONTO DE COMPRA]]/1.19</f>
        <v>0</v>
      </c>
      <c r="N26" s="11">
        <f>Tabla24567[[#This Row],[Columna1]]*19%</f>
        <v>0</v>
      </c>
      <c r="O26" s="11"/>
      <c r="P26" s="11">
        <f>Tabla24567[[#This Row],[VENTA ]]/1.19</f>
        <v>0</v>
      </c>
      <c r="Q26" s="11">
        <f>Tabla24567[[#This Row],[Columna2]]*19%</f>
        <v>0</v>
      </c>
      <c r="R26" s="11">
        <f>Tabla24567[[#This Row],[IVA VENTA ]]-Tabla24567[[#This Row],[IV COMPRA]]</f>
        <v>0</v>
      </c>
      <c r="S26" s="11">
        <f>(Tabla24567[[#This Row],[VENTA ]]-(Tabla24567[[#This Row],[MONTO DE COMPRA]]-Tabla24567[[#This Row],[DIFERENCIA IVA ]]))</f>
        <v>0</v>
      </c>
    </row>
    <row r="27" spans="1:19" ht="30" x14ac:dyDescent="0.25">
      <c r="A27" s="56">
        <v>44749</v>
      </c>
      <c r="C27" s="4" t="s">
        <v>2325</v>
      </c>
      <c r="D27" s="1" t="s">
        <v>122</v>
      </c>
      <c r="E27" s="4" t="s">
        <v>228</v>
      </c>
      <c r="F27" s="1" t="s">
        <v>408</v>
      </c>
      <c r="G27" s="134" t="s">
        <v>2326</v>
      </c>
      <c r="H27" s="15">
        <v>60000</v>
      </c>
      <c r="I27" s="2">
        <f>Tabla24567[[#This Row],[TOTAL FACTURA]]*0.7</f>
        <v>42000</v>
      </c>
      <c r="J27" s="113">
        <f>Tabla24567[[#This Row],[TOTAL FACTURA]]-Tabla24567[[#This Row],[PORCENTAJE A CANCELAR]]</f>
        <v>18000</v>
      </c>
      <c r="L27" s="11"/>
      <c r="M27" s="11">
        <f>Tabla24567[[#This Row],[MONTO DE COMPRA]]/1.19</f>
        <v>0</v>
      </c>
      <c r="N27" s="11">
        <f>Tabla24567[[#This Row],[Columna1]]*19%</f>
        <v>0</v>
      </c>
      <c r="O27" s="11"/>
      <c r="P27" s="11">
        <f>Tabla24567[[#This Row],[VENTA ]]/1.19</f>
        <v>0</v>
      </c>
      <c r="Q27" s="11">
        <f>Tabla24567[[#This Row],[Columna2]]*19%</f>
        <v>0</v>
      </c>
      <c r="R27" s="11">
        <f>Tabla24567[[#This Row],[IVA VENTA ]]-Tabla24567[[#This Row],[IV COMPRA]]</f>
        <v>0</v>
      </c>
      <c r="S27" s="11">
        <f>(Tabla24567[[#This Row],[VENTA ]]-(Tabla24567[[#This Row],[MONTO DE COMPRA]]-Tabla24567[[#This Row],[DIFERENCIA IVA ]]))</f>
        <v>0</v>
      </c>
    </row>
    <row r="28" spans="1:19" x14ac:dyDescent="0.25">
      <c r="A28" s="56">
        <v>44749</v>
      </c>
      <c r="C28" s="114"/>
      <c r="D28" s="1" t="s">
        <v>54</v>
      </c>
      <c r="E28" s="4" t="s">
        <v>2327</v>
      </c>
      <c r="F28" s="1" t="s">
        <v>19</v>
      </c>
      <c r="G28" s="134" t="s">
        <v>1515</v>
      </c>
      <c r="H28" s="15">
        <v>30000</v>
      </c>
      <c r="I28" s="2">
        <f>Tabla24567[[#This Row],[TOTAL FACTURA]]*0.7</f>
        <v>21000</v>
      </c>
      <c r="J28" s="113">
        <f>Tabla24567[[#This Row],[TOTAL FACTURA]]-Tabla24567[[#This Row],[PORCENTAJE A CANCELAR]]</f>
        <v>9000</v>
      </c>
      <c r="L28" s="11"/>
      <c r="M28" s="11">
        <f>Tabla24567[[#This Row],[MONTO DE COMPRA]]/1.19</f>
        <v>0</v>
      </c>
      <c r="N28" s="11">
        <f>Tabla24567[[#This Row],[Columna1]]*19%</f>
        <v>0</v>
      </c>
      <c r="O28" s="11"/>
      <c r="P28" s="11">
        <f>Tabla24567[[#This Row],[VENTA ]]/1.19</f>
        <v>0</v>
      </c>
      <c r="Q28" s="11">
        <f>Tabla24567[[#This Row],[Columna2]]*19%</f>
        <v>0</v>
      </c>
      <c r="R28" s="11">
        <f>Tabla24567[[#This Row],[IVA VENTA ]]-Tabla24567[[#This Row],[IV COMPRA]]</f>
        <v>0</v>
      </c>
      <c r="S28" s="11">
        <f>(Tabla24567[[#This Row],[VENTA ]]-(Tabla24567[[#This Row],[MONTO DE COMPRA]]-Tabla24567[[#This Row],[DIFERENCIA IVA ]]))</f>
        <v>0</v>
      </c>
    </row>
    <row r="29" spans="1:19" x14ac:dyDescent="0.25">
      <c r="A29" s="56">
        <v>44749</v>
      </c>
      <c r="C29" s="4" t="s">
        <v>2328</v>
      </c>
      <c r="D29" s="1" t="s">
        <v>1044</v>
      </c>
      <c r="E29" s="4" t="s">
        <v>2329</v>
      </c>
      <c r="F29" s="1" t="s">
        <v>1039</v>
      </c>
      <c r="G29" s="134" t="s">
        <v>2330</v>
      </c>
      <c r="H29" s="15">
        <v>40000</v>
      </c>
      <c r="I29" s="2">
        <f>Tabla24567[[#This Row],[TOTAL FACTURA]]*0.6</f>
        <v>24000</v>
      </c>
      <c r="J29" s="113">
        <f>Tabla24567[[#This Row],[TOTAL FACTURA]]-Tabla24567[[#This Row],[PORCENTAJE A CANCELAR]]</f>
        <v>16000</v>
      </c>
      <c r="L29" s="11"/>
      <c r="M29" s="11">
        <f>Tabla24567[[#This Row],[MONTO DE COMPRA]]/1.19</f>
        <v>0</v>
      </c>
      <c r="N29" s="11">
        <f>Tabla24567[[#This Row],[Columna1]]*19%</f>
        <v>0</v>
      </c>
      <c r="O29" s="11"/>
      <c r="P29" s="11">
        <f>Tabla24567[[#This Row],[VENTA ]]/1.19</f>
        <v>0</v>
      </c>
      <c r="Q29" s="11">
        <f>Tabla24567[[#This Row],[Columna2]]*19%</f>
        <v>0</v>
      </c>
      <c r="R29" s="11">
        <f>Tabla24567[[#This Row],[IVA VENTA ]]-Tabla24567[[#This Row],[IV COMPRA]]</f>
        <v>0</v>
      </c>
      <c r="S29" s="11">
        <f>(Tabla24567[[#This Row],[VENTA ]]-(Tabla24567[[#This Row],[MONTO DE COMPRA]]-Tabla24567[[#This Row],[DIFERENCIA IVA ]]))</f>
        <v>0</v>
      </c>
    </row>
    <row r="30" spans="1:19" x14ac:dyDescent="0.25">
      <c r="A30" s="56">
        <v>44749</v>
      </c>
      <c r="C30" s="114" t="s">
        <v>2331</v>
      </c>
      <c r="D30" s="1" t="s">
        <v>576</v>
      </c>
      <c r="E30" s="4" t="s">
        <v>577</v>
      </c>
      <c r="F30" s="1" t="s">
        <v>19</v>
      </c>
      <c r="G30" s="134" t="s">
        <v>2332</v>
      </c>
      <c r="H30" s="15">
        <v>30000</v>
      </c>
      <c r="I30" s="2">
        <f>Tabla24567[[#This Row],[TOTAL FACTURA]]*0.7</f>
        <v>21000</v>
      </c>
      <c r="J30" s="113">
        <f>Tabla24567[[#This Row],[TOTAL FACTURA]]-Tabla24567[[#This Row],[PORCENTAJE A CANCELAR]]</f>
        <v>9000</v>
      </c>
      <c r="L30" s="11"/>
      <c r="M30" s="11">
        <f>Tabla24567[[#This Row],[MONTO DE COMPRA]]/1.19</f>
        <v>0</v>
      </c>
      <c r="N30" s="11">
        <f>Tabla24567[[#This Row],[Columna1]]*19%</f>
        <v>0</v>
      </c>
      <c r="O30" s="11"/>
      <c r="P30" s="11">
        <f>Tabla24567[[#This Row],[VENTA ]]/1.19</f>
        <v>0</v>
      </c>
      <c r="Q30" s="11">
        <f>Tabla24567[[#This Row],[Columna2]]*19%</f>
        <v>0</v>
      </c>
      <c r="R30" s="11">
        <f>Tabla24567[[#This Row],[IVA VENTA ]]-Tabla24567[[#This Row],[IV COMPRA]]</f>
        <v>0</v>
      </c>
      <c r="S30" s="11">
        <f>(Tabla24567[[#This Row],[VENTA ]]-(Tabla24567[[#This Row],[MONTO DE COMPRA]]-Tabla24567[[#This Row],[DIFERENCIA IVA ]]))</f>
        <v>0</v>
      </c>
    </row>
    <row r="31" spans="1:19" x14ac:dyDescent="0.25">
      <c r="A31" s="56">
        <v>44749</v>
      </c>
      <c r="B31" s="4" t="s">
        <v>2333</v>
      </c>
      <c r="C31" s="4" t="s">
        <v>2334</v>
      </c>
      <c r="D31" s="1" t="s">
        <v>1414</v>
      </c>
      <c r="E31" s="4" t="s">
        <v>2335</v>
      </c>
      <c r="F31" s="1" t="s">
        <v>10</v>
      </c>
      <c r="G31" s="134" t="s">
        <v>956</v>
      </c>
      <c r="H31" s="15">
        <v>1000000</v>
      </c>
      <c r="I31" s="15">
        <f>Tabla24567[[#This Row],[TOTAL FACTURA]]*0.7</f>
        <v>700000</v>
      </c>
      <c r="J31" s="113">
        <f>Tabla24567[[#This Row],[TOTAL FACTURA]]-Tabla24567[[#This Row],[PORCENTAJE A CANCELAR]]</f>
        <v>300000</v>
      </c>
      <c r="L31" s="11"/>
      <c r="M31" s="11">
        <f>Tabla24567[[#This Row],[MONTO DE COMPRA]]/1.19</f>
        <v>0</v>
      </c>
      <c r="N31" s="11">
        <f>Tabla24567[[#This Row],[Columna1]]*19%</f>
        <v>0</v>
      </c>
      <c r="O31" s="11"/>
      <c r="P31" s="11">
        <f>Tabla24567[[#This Row],[VENTA ]]/1.19</f>
        <v>0</v>
      </c>
      <c r="Q31" s="11">
        <f>Tabla24567[[#This Row],[Columna2]]*19%</f>
        <v>0</v>
      </c>
      <c r="R31" s="11">
        <f>Tabla24567[[#This Row],[IVA VENTA ]]-Tabla24567[[#This Row],[IV COMPRA]]</f>
        <v>0</v>
      </c>
      <c r="S31" s="11">
        <f>(Tabla24567[[#This Row],[VENTA ]]-(Tabla24567[[#This Row],[MONTO DE COMPRA]]-Tabla24567[[#This Row],[DIFERENCIA IVA ]]))</f>
        <v>0</v>
      </c>
    </row>
    <row r="32" spans="1:19" ht="30" x14ac:dyDescent="0.25">
      <c r="A32" s="56">
        <v>44750</v>
      </c>
      <c r="C32" s="114" t="s">
        <v>2336</v>
      </c>
      <c r="D32" s="1" t="s">
        <v>566</v>
      </c>
      <c r="E32" s="4" t="s">
        <v>2337</v>
      </c>
      <c r="F32" s="1" t="s">
        <v>19</v>
      </c>
      <c r="G32" s="134" t="s">
        <v>2338</v>
      </c>
      <c r="H32" s="15">
        <v>80000</v>
      </c>
      <c r="I32" s="2">
        <f>Tabla24567[[#This Row],[TOTAL FACTURA]]*0.7</f>
        <v>56000</v>
      </c>
      <c r="J32" s="113">
        <f>Tabla24567[[#This Row],[TOTAL FACTURA]]-Tabla24567[[#This Row],[PORCENTAJE A CANCELAR]]</f>
        <v>24000</v>
      </c>
      <c r="L32" s="11"/>
      <c r="M32" s="11">
        <f>Tabla24567[[#This Row],[MONTO DE COMPRA]]/1.19</f>
        <v>0</v>
      </c>
      <c r="N32" s="11">
        <f>Tabla24567[[#This Row],[Columna1]]*19%</f>
        <v>0</v>
      </c>
      <c r="O32" s="11"/>
      <c r="P32" s="11">
        <f>Tabla24567[[#This Row],[VENTA ]]/1.19</f>
        <v>0</v>
      </c>
      <c r="Q32" s="11">
        <f>Tabla24567[[#This Row],[Columna2]]*19%</f>
        <v>0</v>
      </c>
      <c r="R32" s="11">
        <f>Tabla24567[[#This Row],[IVA VENTA ]]-Tabla24567[[#This Row],[IV COMPRA]]</f>
        <v>0</v>
      </c>
      <c r="S32" s="11">
        <f>(Tabla24567[[#This Row],[VENTA ]]-(Tabla24567[[#This Row],[MONTO DE COMPRA]]-Tabla24567[[#This Row],[DIFERENCIA IVA ]]))</f>
        <v>0</v>
      </c>
    </row>
    <row r="33" spans="1:19" x14ac:dyDescent="0.25">
      <c r="A33" s="56">
        <v>44750</v>
      </c>
      <c r="C33" s="114"/>
      <c r="D33" s="1" t="s">
        <v>76</v>
      </c>
      <c r="E33" s="4" t="s">
        <v>2339</v>
      </c>
      <c r="F33" s="1" t="s">
        <v>408</v>
      </c>
      <c r="G33" s="134" t="s">
        <v>2340</v>
      </c>
      <c r="H33" s="15">
        <v>14000</v>
      </c>
      <c r="I33" s="2">
        <f>Tabla24567[[#This Row],[TOTAL FACTURA]]*0.7</f>
        <v>9800</v>
      </c>
      <c r="J33" s="113">
        <f>Tabla24567[[#This Row],[TOTAL FACTURA]]-Tabla24567[[#This Row],[PORCENTAJE A CANCELAR]]</f>
        <v>4200</v>
      </c>
      <c r="L33" s="11"/>
      <c r="M33" s="11">
        <f>Tabla24567[[#This Row],[MONTO DE COMPRA]]/1.19</f>
        <v>0</v>
      </c>
      <c r="N33" s="11">
        <f>Tabla24567[[#This Row],[Columna1]]*19%</f>
        <v>0</v>
      </c>
      <c r="O33" s="11"/>
      <c r="P33" s="11">
        <f>Tabla24567[[#This Row],[VENTA ]]/1.19</f>
        <v>0</v>
      </c>
      <c r="Q33" s="11">
        <f>Tabla24567[[#This Row],[Columna2]]*19%</f>
        <v>0</v>
      </c>
      <c r="R33" s="11">
        <f>Tabla24567[[#This Row],[IVA VENTA ]]-Tabla24567[[#This Row],[IV COMPRA]]</f>
        <v>0</v>
      </c>
      <c r="S33" s="11">
        <f>(Tabla24567[[#This Row],[VENTA ]]-(Tabla24567[[#This Row],[MONTO DE COMPRA]]-Tabla24567[[#This Row],[DIFERENCIA IVA ]]))</f>
        <v>0</v>
      </c>
    </row>
    <row r="34" spans="1:19" x14ac:dyDescent="0.25">
      <c r="A34" s="56">
        <v>44750</v>
      </c>
      <c r="C34" s="114" t="s">
        <v>2287</v>
      </c>
      <c r="D34" s="1" t="s">
        <v>54</v>
      </c>
      <c r="E34" s="4" t="s">
        <v>2288</v>
      </c>
      <c r="F34" s="1" t="s">
        <v>10</v>
      </c>
      <c r="G34" s="134" t="s">
        <v>1151</v>
      </c>
      <c r="H34" s="15">
        <v>700000</v>
      </c>
      <c r="I34" s="15">
        <v>200000</v>
      </c>
      <c r="J34" s="113">
        <f>Tabla24567[[#This Row],[TOTAL FACTURA]]-Tabla24567[[#This Row],[PORCENTAJE A CANCELAR]]</f>
        <v>500000</v>
      </c>
      <c r="L34" s="11"/>
      <c r="M34" s="11">
        <f>Tabla24567[[#This Row],[MONTO DE COMPRA]]/1.19</f>
        <v>0</v>
      </c>
      <c r="N34" s="11">
        <f>Tabla24567[[#This Row],[Columna1]]*19%</f>
        <v>0</v>
      </c>
      <c r="O34" s="11"/>
      <c r="P34" s="11">
        <f>Tabla24567[[#This Row],[VENTA ]]/1.19</f>
        <v>0</v>
      </c>
      <c r="Q34" s="11">
        <f>Tabla24567[[#This Row],[Columna2]]*19%</f>
        <v>0</v>
      </c>
      <c r="R34" s="11">
        <f>Tabla24567[[#This Row],[IVA VENTA ]]-Tabla24567[[#This Row],[IV COMPRA]]</f>
        <v>0</v>
      </c>
      <c r="S34" s="11">
        <f>(Tabla24567[[#This Row],[VENTA ]]-(Tabla24567[[#This Row],[MONTO DE COMPRA]]-Tabla24567[[#This Row],[DIFERENCIA IVA ]]))</f>
        <v>0</v>
      </c>
    </row>
    <row r="35" spans="1:19" x14ac:dyDescent="0.25">
      <c r="A35" s="56">
        <v>44744</v>
      </c>
      <c r="C35" s="114"/>
      <c r="D35" s="1" t="s">
        <v>2285</v>
      </c>
      <c r="E35" s="4"/>
      <c r="F35" s="1" t="s">
        <v>10</v>
      </c>
      <c r="G35" s="134" t="s">
        <v>437</v>
      </c>
      <c r="H35" s="15">
        <v>20000</v>
      </c>
      <c r="I35" s="2">
        <f>Tabla24567[[#This Row],[TOTAL FACTURA]]*0.7</f>
        <v>14000</v>
      </c>
      <c r="J35" s="113">
        <f>Tabla24567[[#This Row],[TOTAL FACTURA]]-Tabla24567[[#This Row],[PORCENTAJE A CANCELAR]]</f>
        <v>6000</v>
      </c>
      <c r="L35" s="11"/>
      <c r="M35" s="11">
        <f>Tabla24567[[#This Row],[MONTO DE COMPRA]]/1.19</f>
        <v>0</v>
      </c>
      <c r="N35" s="11">
        <f>Tabla24567[[#This Row],[Columna1]]*19%</f>
        <v>0</v>
      </c>
      <c r="O35" s="11"/>
      <c r="P35" s="11">
        <f>Tabla24567[[#This Row],[VENTA ]]/1.19</f>
        <v>0</v>
      </c>
      <c r="Q35" s="11">
        <f>Tabla24567[[#This Row],[Columna2]]*19%</f>
        <v>0</v>
      </c>
      <c r="R35" s="11">
        <f>Tabla24567[[#This Row],[IVA VENTA ]]-Tabla24567[[#This Row],[IV COMPRA]]</f>
        <v>0</v>
      </c>
      <c r="S35" s="11">
        <f>(Tabla24567[[#This Row],[VENTA ]]-(Tabla24567[[#This Row],[MONTO DE COMPRA]]-Tabla24567[[#This Row],[DIFERENCIA IVA ]]))</f>
        <v>0</v>
      </c>
    </row>
    <row r="36" spans="1:19" x14ac:dyDescent="0.25">
      <c r="A36" s="56">
        <v>44744</v>
      </c>
      <c r="C36" s="114"/>
      <c r="E36" s="4"/>
      <c r="F36" s="1" t="s">
        <v>1039</v>
      </c>
      <c r="G36" s="134" t="s">
        <v>1448</v>
      </c>
      <c r="H36" s="15">
        <v>30000</v>
      </c>
      <c r="I36" s="2">
        <f>Tabla24567[[#This Row],[TOTAL FACTURA]]*0.6</f>
        <v>18000</v>
      </c>
      <c r="J36" s="113">
        <f>Tabla24567[[#This Row],[TOTAL FACTURA]]-Tabla24567[[#This Row],[PORCENTAJE A CANCELAR]]</f>
        <v>12000</v>
      </c>
      <c r="L36" s="11"/>
      <c r="M36" s="11">
        <f>Tabla24567[[#This Row],[MONTO DE COMPRA]]/1.19</f>
        <v>0</v>
      </c>
      <c r="N36" s="11">
        <f>Tabla24567[[#This Row],[Columna1]]*19%</f>
        <v>0</v>
      </c>
      <c r="O36" s="11"/>
      <c r="P36" s="11">
        <f>Tabla24567[[#This Row],[VENTA ]]/1.19</f>
        <v>0</v>
      </c>
      <c r="Q36" s="11">
        <f>Tabla24567[[#This Row],[Columna2]]*19%</f>
        <v>0</v>
      </c>
      <c r="R36" s="11">
        <f>Tabla24567[[#This Row],[IVA VENTA ]]-Tabla24567[[#This Row],[IV COMPRA]]</f>
        <v>0</v>
      </c>
      <c r="S36" s="11">
        <f>(Tabla24567[[#This Row],[VENTA ]]-(Tabla24567[[#This Row],[MONTO DE COMPRA]]-Tabla24567[[#This Row],[DIFERENCIA IVA ]]))</f>
        <v>0</v>
      </c>
    </row>
    <row r="37" spans="1:19" x14ac:dyDescent="0.25">
      <c r="A37" s="56">
        <v>44753</v>
      </c>
      <c r="C37" s="4" t="s">
        <v>2347</v>
      </c>
      <c r="D37" s="1" t="s">
        <v>46</v>
      </c>
      <c r="E37" s="4" t="s">
        <v>2348</v>
      </c>
      <c r="F37" s="1" t="s">
        <v>408</v>
      </c>
      <c r="G37" s="134" t="s">
        <v>2349</v>
      </c>
      <c r="H37" s="15">
        <v>15000</v>
      </c>
      <c r="I37" s="2">
        <f>Tabla24567[[#This Row],[TOTAL FACTURA]]*0.7</f>
        <v>10500</v>
      </c>
      <c r="J37" s="113">
        <f>Tabla24567[[#This Row],[TOTAL FACTURA]]-Tabla24567[[#This Row],[PORCENTAJE A CANCELAR]]</f>
        <v>4500</v>
      </c>
      <c r="L37" s="11"/>
      <c r="M37" s="11">
        <f>Tabla24567[[#This Row],[MONTO DE COMPRA]]/1.19</f>
        <v>0</v>
      </c>
      <c r="N37" s="11">
        <f>Tabla24567[[#This Row],[Columna1]]*19%</f>
        <v>0</v>
      </c>
      <c r="O37" s="11"/>
      <c r="P37" s="11">
        <f>Tabla24567[[#This Row],[VENTA ]]/1.19</f>
        <v>0</v>
      </c>
      <c r="Q37" s="11">
        <f>Tabla24567[[#This Row],[Columna2]]*19%</f>
        <v>0</v>
      </c>
      <c r="R37" s="11">
        <f>Tabla24567[[#This Row],[IVA VENTA ]]-Tabla24567[[#This Row],[IV COMPRA]]</f>
        <v>0</v>
      </c>
      <c r="S37" s="11">
        <f>(Tabla24567[[#This Row],[VENTA ]]-(Tabla24567[[#This Row],[MONTO DE COMPRA]]-Tabla24567[[#This Row],[DIFERENCIA IVA ]]))</f>
        <v>0</v>
      </c>
    </row>
    <row r="38" spans="1:19" x14ac:dyDescent="0.25">
      <c r="A38" s="56">
        <v>44753</v>
      </c>
      <c r="C38" s="114"/>
      <c r="D38" s="1" t="s">
        <v>242</v>
      </c>
      <c r="E38" s="4" t="s">
        <v>2272</v>
      </c>
      <c r="F38" s="1" t="s">
        <v>10</v>
      </c>
      <c r="G38" s="134" t="s">
        <v>2424</v>
      </c>
      <c r="H38" s="15">
        <v>100000</v>
      </c>
      <c r="I38" s="2">
        <f>Tabla24567[[#This Row],[TOTAL FACTURA]]*0.7</f>
        <v>70000</v>
      </c>
      <c r="J38" s="113">
        <f>Tabla24567[[#This Row],[TOTAL FACTURA]]-Tabla24567[[#This Row],[PORCENTAJE A CANCELAR]]</f>
        <v>30000</v>
      </c>
      <c r="L38" s="11"/>
      <c r="M38" s="11">
        <f>Tabla24567[[#This Row],[MONTO DE COMPRA]]/1.19</f>
        <v>0</v>
      </c>
      <c r="N38" s="11">
        <f>Tabla24567[[#This Row],[Columna1]]*19%</f>
        <v>0</v>
      </c>
      <c r="O38" s="11"/>
      <c r="P38" s="11">
        <f>Tabla24567[[#This Row],[VENTA ]]/1.19</f>
        <v>0</v>
      </c>
      <c r="Q38" s="11">
        <f>Tabla24567[[#This Row],[Columna2]]*19%</f>
        <v>0</v>
      </c>
      <c r="R38" s="11">
        <f>Tabla24567[[#This Row],[IVA VENTA ]]-Tabla24567[[#This Row],[IV COMPRA]]</f>
        <v>0</v>
      </c>
      <c r="S38" s="11">
        <f>(Tabla24567[[#This Row],[VENTA ]]-(Tabla24567[[#This Row],[MONTO DE COMPRA]]-Tabla24567[[#This Row],[DIFERENCIA IVA ]]))</f>
        <v>0</v>
      </c>
    </row>
    <row r="39" spans="1:19" x14ac:dyDescent="0.25">
      <c r="A39" s="56">
        <v>44753</v>
      </c>
      <c r="B39" s="4" t="s">
        <v>2350</v>
      </c>
      <c r="C39" s="4" t="s">
        <v>2351</v>
      </c>
      <c r="D39" s="1" t="s">
        <v>268</v>
      </c>
      <c r="E39" s="4" t="s">
        <v>2352</v>
      </c>
      <c r="F39" s="1" t="s">
        <v>408</v>
      </c>
      <c r="G39" s="134" t="s">
        <v>2353</v>
      </c>
      <c r="H39" s="15">
        <v>100000</v>
      </c>
      <c r="I39" s="2">
        <f>Tabla24567[[#This Row],[TOTAL FACTURA]]*0.7</f>
        <v>70000</v>
      </c>
      <c r="J39" s="113">
        <f>Tabla24567[[#This Row],[TOTAL FACTURA]]-Tabla24567[[#This Row],[PORCENTAJE A CANCELAR]]</f>
        <v>30000</v>
      </c>
      <c r="L39" s="11"/>
      <c r="M39" s="11">
        <f>Tabla24567[[#This Row],[MONTO DE COMPRA]]/1.19</f>
        <v>0</v>
      </c>
      <c r="N39" s="11">
        <f>Tabla24567[[#This Row],[Columna1]]*19%</f>
        <v>0</v>
      </c>
      <c r="O39" s="11"/>
      <c r="P39" s="11">
        <f>Tabla24567[[#This Row],[VENTA ]]/1.19</f>
        <v>0</v>
      </c>
      <c r="Q39" s="11">
        <f>Tabla24567[[#This Row],[Columna2]]*19%</f>
        <v>0</v>
      </c>
      <c r="R39" s="11">
        <f>Tabla24567[[#This Row],[IVA VENTA ]]-Tabla24567[[#This Row],[IV COMPRA]]</f>
        <v>0</v>
      </c>
      <c r="S39" s="11">
        <f>(Tabla24567[[#This Row],[VENTA ]]-(Tabla24567[[#This Row],[MONTO DE COMPRA]]-Tabla24567[[#This Row],[DIFERENCIA IVA ]]))</f>
        <v>0</v>
      </c>
    </row>
    <row r="40" spans="1:19" ht="30" x14ac:dyDescent="0.25">
      <c r="A40" s="56">
        <v>44753</v>
      </c>
      <c r="C40" s="4" t="s">
        <v>598</v>
      </c>
      <c r="D40" s="1" t="s">
        <v>218</v>
      </c>
      <c r="E40" s="4" t="s">
        <v>1333</v>
      </c>
      <c r="F40" s="1" t="s">
        <v>1039</v>
      </c>
      <c r="G40" s="134" t="s">
        <v>2354</v>
      </c>
      <c r="H40" s="15">
        <v>80000</v>
      </c>
      <c r="I40" s="2">
        <f>Tabla24567[[#This Row],[TOTAL FACTURA]]*0.6</f>
        <v>48000</v>
      </c>
      <c r="J40" s="113">
        <f>Tabla24567[[#This Row],[TOTAL FACTURA]]-Tabla24567[[#This Row],[PORCENTAJE A CANCELAR]]</f>
        <v>32000</v>
      </c>
      <c r="L40" s="11"/>
      <c r="M40" s="11">
        <f>Tabla24567[[#This Row],[MONTO DE COMPRA]]/1.19</f>
        <v>0</v>
      </c>
      <c r="N40" s="11">
        <f>Tabla24567[[#This Row],[Columna1]]*19%</f>
        <v>0</v>
      </c>
      <c r="O40" s="11"/>
      <c r="P40" s="11">
        <f>Tabla24567[[#This Row],[VENTA ]]/1.19</f>
        <v>0</v>
      </c>
      <c r="Q40" s="11">
        <f>Tabla24567[[#This Row],[Columna2]]*19%</f>
        <v>0</v>
      </c>
      <c r="R40" s="11">
        <f>Tabla24567[[#This Row],[IVA VENTA ]]-Tabla24567[[#This Row],[IV COMPRA]]</f>
        <v>0</v>
      </c>
      <c r="S40" s="11">
        <f>(Tabla24567[[#This Row],[VENTA ]]-(Tabla24567[[#This Row],[MONTO DE COMPRA]]-Tabla24567[[#This Row],[DIFERENCIA IVA ]]))</f>
        <v>0</v>
      </c>
    </row>
    <row r="41" spans="1:19" x14ac:dyDescent="0.25">
      <c r="A41" s="56">
        <v>44753</v>
      </c>
      <c r="C41" s="4" t="s">
        <v>2367</v>
      </c>
      <c r="D41" s="1" t="s">
        <v>529</v>
      </c>
      <c r="E41" s="4" t="s">
        <v>2368</v>
      </c>
      <c r="F41" s="1" t="s">
        <v>10</v>
      </c>
      <c r="G41" s="134" t="s">
        <v>2425</v>
      </c>
      <c r="H41" s="15">
        <v>10000</v>
      </c>
      <c r="I41" s="2">
        <f>Tabla24567[[#This Row],[TOTAL FACTURA]]*0.7</f>
        <v>7000</v>
      </c>
      <c r="J41" s="131">
        <f>Tabla24567[[#This Row],[TOTAL FACTURA]]-Tabla24567[[#This Row],[PORCENTAJE A CANCELAR]]</f>
        <v>3000</v>
      </c>
      <c r="L41" s="11"/>
      <c r="M41" s="11">
        <f>Tabla24567[[#This Row],[MONTO DE COMPRA]]/1.19</f>
        <v>0</v>
      </c>
      <c r="N41" s="11">
        <f>Tabla24567[[#This Row],[Columna1]]*19%</f>
        <v>0</v>
      </c>
      <c r="O41" s="11"/>
      <c r="P41" s="11">
        <f>Tabla24567[[#This Row],[VENTA ]]/1.19</f>
        <v>0</v>
      </c>
      <c r="Q41" s="11">
        <f>Tabla24567[[#This Row],[Columna2]]*19%</f>
        <v>0</v>
      </c>
      <c r="R41" s="11">
        <f>Tabla24567[[#This Row],[IVA VENTA ]]-Tabla24567[[#This Row],[IV COMPRA]]</f>
        <v>0</v>
      </c>
      <c r="S41" s="11">
        <f>(Tabla24567[[#This Row],[VENTA ]]-(Tabla24567[[#This Row],[MONTO DE COMPRA]]-Tabla24567[[#This Row],[DIFERENCIA IVA ]]))</f>
        <v>0</v>
      </c>
    </row>
    <row r="42" spans="1:19" x14ac:dyDescent="0.25">
      <c r="A42" s="56">
        <v>44753</v>
      </c>
      <c r="C42" s="4" t="s">
        <v>2358</v>
      </c>
      <c r="D42" s="1" t="s">
        <v>2355</v>
      </c>
      <c r="E42" s="4" t="s">
        <v>2356</v>
      </c>
      <c r="F42" s="1" t="s">
        <v>10</v>
      </c>
      <c r="G42" s="134" t="s">
        <v>2357</v>
      </c>
      <c r="H42" s="15">
        <v>30000</v>
      </c>
      <c r="I42" s="2">
        <f>Tabla24567[[#This Row],[TOTAL FACTURA]]*0.7</f>
        <v>21000</v>
      </c>
      <c r="J42" s="113">
        <f>Tabla24567[[#This Row],[TOTAL FACTURA]]-Tabla24567[[#This Row],[PORCENTAJE A CANCELAR]]</f>
        <v>9000</v>
      </c>
      <c r="L42" s="11"/>
      <c r="M42" s="11">
        <f>Tabla24567[[#This Row],[MONTO DE COMPRA]]/1.19</f>
        <v>0</v>
      </c>
      <c r="N42" s="11">
        <f>Tabla24567[[#This Row],[Columna1]]*19%</f>
        <v>0</v>
      </c>
      <c r="O42" s="11"/>
      <c r="P42" s="11">
        <f>Tabla24567[[#This Row],[VENTA ]]/1.19</f>
        <v>0</v>
      </c>
      <c r="Q42" s="11">
        <f>Tabla24567[[#This Row],[Columna2]]*19%</f>
        <v>0</v>
      </c>
      <c r="R42" s="11">
        <f>Tabla24567[[#This Row],[IVA VENTA ]]-Tabla24567[[#This Row],[IV COMPRA]]</f>
        <v>0</v>
      </c>
      <c r="S42" s="11">
        <f>(Tabla24567[[#This Row],[VENTA ]]-(Tabla24567[[#This Row],[MONTO DE COMPRA]]-Tabla24567[[#This Row],[DIFERENCIA IVA ]]))</f>
        <v>0</v>
      </c>
    </row>
    <row r="43" spans="1:19" x14ac:dyDescent="0.25">
      <c r="A43" s="56">
        <v>44753</v>
      </c>
      <c r="B43" s="4" t="s">
        <v>2359</v>
      </c>
      <c r="C43" s="4" t="s">
        <v>2360</v>
      </c>
      <c r="D43" s="1" t="s">
        <v>540</v>
      </c>
      <c r="E43" s="4" t="s">
        <v>2361</v>
      </c>
      <c r="F43" s="1" t="s">
        <v>1039</v>
      </c>
      <c r="G43" s="134" t="s">
        <v>2362</v>
      </c>
      <c r="H43" s="15">
        <v>100000</v>
      </c>
      <c r="I43" s="2">
        <f>Tabla24567[[#This Row],[TOTAL FACTURA]]*0.6</f>
        <v>60000</v>
      </c>
      <c r="J43" s="113">
        <f>Tabla24567[[#This Row],[TOTAL FACTURA]]-Tabla24567[[#This Row],[PORCENTAJE A CANCELAR]]</f>
        <v>40000</v>
      </c>
      <c r="L43" s="11"/>
      <c r="M43" s="11">
        <f>Tabla24567[[#This Row],[MONTO DE COMPRA]]/1.19</f>
        <v>0</v>
      </c>
      <c r="N43" s="11">
        <f>Tabla24567[[#This Row],[Columna1]]*19%</f>
        <v>0</v>
      </c>
      <c r="O43" s="11"/>
      <c r="P43" s="11">
        <f>Tabla24567[[#This Row],[VENTA ]]/1.19</f>
        <v>0</v>
      </c>
      <c r="Q43" s="11">
        <f>Tabla24567[[#This Row],[Columna2]]*19%</f>
        <v>0</v>
      </c>
      <c r="R43" s="11">
        <f>Tabla24567[[#This Row],[IVA VENTA ]]-Tabla24567[[#This Row],[IV COMPRA]]</f>
        <v>0</v>
      </c>
      <c r="S43" s="11">
        <f>(Tabla24567[[#This Row],[VENTA ]]-(Tabla24567[[#This Row],[MONTO DE COMPRA]]-Tabla24567[[#This Row],[DIFERENCIA IVA ]]))</f>
        <v>0</v>
      </c>
    </row>
    <row r="44" spans="1:19" ht="30" x14ac:dyDescent="0.25">
      <c r="A44" s="56">
        <v>44753</v>
      </c>
      <c r="B44" s="4" t="s">
        <v>2363</v>
      </c>
      <c r="C44" s="4" t="s">
        <v>2364</v>
      </c>
      <c r="D44" s="1" t="s">
        <v>59</v>
      </c>
      <c r="E44" s="4" t="s">
        <v>2365</v>
      </c>
      <c r="F44" s="1" t="s">
        <v>408</v>
      </c>
      <c r="G44" s="134" t="s">
        <v>2366</v>
      </c>
      <c r="H44" s="15">
        <v>160000</v>
      </c>
      <c r="I44" s="2">
        <f>Tabla24567[[#This Row],[TOTAL FACTURA]]*0.7</f>
        <v>112000</v>
      </c>
      <c r="J44" s="113">
        <f>Tabla24567[[#This Row],[TOTAL FACTURA]]-Tabla24567[[#This Row],[PORCENTAJE A CANCELAR]]</f>
        <v>48000</v>
      </c>
      <c r="L44" s="11"/>
      <c r="M44" s="11">
        <f>Tabla24567[[#This Row],[MONTO DE COMPRA]]/1.19</f>
        <v>0</v>
      </c>
      <c r="N44" s="11">
        <f>Tabla24567[[#This Row],[Columna1]]*19%</f>
        <v>0</v>
      </c>
      <c r="O44" s="11"/>
      <c r="P44" s="11">
        <f>Tabla24567[[#This Row],[VENTA ]]/1.19</f>
        <v>0</v>
      </c>
      <c r="Q44" s="11">
        <f>Tabla24567[[#This Row],[Columna2]]*19%</f>
        <v>0</v>
      </c>
      <c r="R44" s="11">
        <f>Tabla24567[[#This Row],[IVA VENTA ]]-Tabla24567[[#This Row],[IV COMPRA]]</f>
        <v>0</v>
      </c>
      <c r="S44" s="11">
        <f>(Tabla24567[[#This Row],[VENTA ]]-(Tabla24567[[#This Row],[MONTO DE COMPRA]]-Tabla24567[[#This Row],[DIFERENCIA IVA ]]))</f>
        <v>0</v>
      </c>
    </row>
    <row r="45" spans="1:19" ht="30" x14ac:dyDescent="0.25">
      <c r="A45" s="56">
        <v>44753</v>
      </c>
      <c r="C45" s="4" t="s">
        <v>2367</v>
      </c>
      <c r="D45" s="1" t="s">
        <v>54</v>
      </c>
      <c r="E45" s="4" t="s">
        <v>2368</v>
      </c>
      <c r="F45" s="1" t="s">
        <v>16</v>
      </c>
      <c r="G45" s="134" t="s">
        <v>2369</v>
      </c>
      <c r="H45" s="15">
        <v>30000</v>
      </c>
      <c r="I45" s="2">
        <f>Tabla24567[[#This Row],[TOTAL FACTURA]]*0.6</f>
        <v>18000</v>
      </c>
      <c r="J45" s="113">
        <f>Tabla24567[[#This Row],[TOTAL FACTURA]]-Tabla24567[[#This Row],[PORCENTAJE A CANCELAR]]</f>
        <v>12000</v>
      </c>
      <c r="L45" s="11"/>
      <c r="M45" s="11">
        <f>Tabla24567[[#This Row],[MONTO DE COMPRA]]/1.19</f>
        <v>0</v>
      </c>
      <c r="N45" s="11">
        <f>Tabla24567[[#This Row],[Columna1]]*19%</f>
        <v>0</v>
      </c>
      <c r="O45" s="11"/>
      <c r="P45" s="11">
        <f>Tabla24567[[#This Row],[VENTA ]]/1.19</f>
        <v>0</v>
      </c>
      <c r="Q45" s="11">
        <f>Tabla24567[[#This Row],[Columna2]]*19%</f>
        <v>0</v>
      </c>
      <c r="R45" s="11">
        <f>Tabla24567[[#This Row],[IVA VENTA ]]-Tabla24567[[#This Row],[IV COMPRA]]</f>
        <v>0</v>
      </c>
      <c r="S45" s="11">
        <f>(Tabla24567[[#This Row],[VENTA ]]-(Tabla24567[[#This Row],[MONTO DE COMPRA]]-Tabla24567[[#This Row],[DIFERENCIA IVA ]]))</f>
        <v>0</v>
      </c>
    </row>
    <row r="46" spans="1:19" x14ac:dyDescent="0.25">
      <c r="A46" s="56">
        <v>44754</v>
      </c>
      <c r="C46" s="4" t="s">
        <v>2370</v>
      </c>
      <c r="D46" s="1" t="s">
        <v>2371</v>
      </c>
      <c r="E46" s="4" t="s">
        <v>2372</v>
      </c>
      <c r="F46" s="1" t="s">
        <v>34</v>
      </c>
      <c r="G46" s="134" t="s">
        <v>2373</v>
      </c>
      <c r="H46" s="15">
        <v>50000</v>
      </c>
      <c r="I46" s="2">
        <f>Tabla24567[[#This Row],[TOTAL FACTURA]]*0.6</f>
        <v>30000</v>
      </c>
      <c r="J46" s="113">
        <f>Tabla24567[[#This Row],[TOTAL FACTURA]]-Tabla24567[[#This Row],[PORCENTAJE A CANCELAR]]</f>
        <v>20000</v>
      </c>
      <c r="L46" s="11"/>
      <c r="M46" s="11">
        <f>Tabla24567[[#This Row],[MONTO DE COMPRA]]/1.19</f>
        <v>0</v>
      </c>
      <c r="N46" s="11">
        <f>Tabla24567[[#This Row],[Columna1]]*19%</f>
        <v>0</v>
      </c>
      <c r="O46" s="11"/>
      <c r="P46" s="11">
        <f>Tabla24567[[#This Row],[VENTA ]]/1.19</f>
        <v>0</v>
      </c>
      <c r="Q46" s="11">
        <f>Tabla24567[[#This Row],[Columna2]]*19%</f>
        <v>0</v>
      </c>
      <c r="R46" s="11">
        <f>Tabla24567[[#This Row],[IVA VENTA ]]-Tabla24567[[#This Row],[IV COMPRA]]</f>
        <v>0</v>
      </c>
      <c r="S46" s="11">
        <f>(Tabla24567[[#This Row],[VENTA ]]-(Tabla24567[[#This Row],[MONTO DE COMPRA]]-Tabla24567[[#This Row],[DIFERENCIA IVA ]]))</f>
        <v>0</v>
      </c>
    </row>
    <row r="47" spans="1:19" ht="60" x14ac:dyDescent="0.25">
      <c r="A47" s="56">
        <v>44754</v>
      </c>
      <c r="C47" s="4" t="s">
        <v>948</v>
      </c>
      <c r="D47" s="1" t="s">
        <v>204</v>
      </c>
      <c r="E47" s="4" t="s">
        <v>2574</v>
      </c>
      <c r="F47" s="1" t="s">
        <v>408</v>
      </c>
      <c r="G47" s="134" t="s">
        <v>2374</v>
      </c>
      <c r="H47" s="15">
        <v>450000</v>
      </c>
      <c r="I47" s="2">
        <f>Tabla24567[[#This Row],[TOTAL FACTURA]]*0.7</f>
        <v>315000</v>
      </c>
      <c r="J47" s="113">
        <f>Tabla24567[[#This Row],[TOTAL FACTURA]]-Tabla24567[[#This Row],[PORCENTAJE A CANCELAR]]</f>
        <v>135000</v>
      </c>
      <c r="L47" s="11"/>
      <c r="M47" s="11">
        <f>Tabla24567[[#This Row],[MONTO DE COMPRA]]/1.19</f>
        <v>0</v>
      </c>
      <c r="N47" s="11">
        <f>Tabla24567[[#This Row],[Columna1]]*19%</f>
        <v>0</v>
      </c>
      <c r="O47" s="11"/>
      <c r="P47" s="11">
        <f>Tabla24567[[#This Row],[VENTA ]]/1.19</f>
        <v>0</v>
      </c>
      <c r="Q47" s="11">
        <f>Tabla24567[[#This Row],[Columna2]]*19%</f>
        <v>0</v>
      </c>
      <c r="R47" s="11">
        <f>Tabla24567[[#This Row],[IVA VENTA ]]-Tabla24567[[#This Row],[IV COMPRA]]</f>
        <v>0</v>
      </c>
      <c r="S47" s="11">
        <f>(Tabla24567[[#This Row],[VENTA ]]-(Tabla24567[[#This Row],[MONTO DE COMPRA]]-Tabla24567[[#This Row],[DIFERENCIA IVA ]]))</f>
        <v>0</v>
      </c>
    </row>
    <row r="48" spans="1:19" x14ac:dyDescent="0.25">
      <c r="A48" s="56">
        <v>44754</v>
      </c>
      <c r="C48" s="4" t="s">
        <v>2375</v>
      </c>
      <c r="D48" s="1" t="s">
        <v>2376</v>
      </c>
      <c r="E48" s="4" t="s">
        <v>2377</v>
      </c>
      <c r="F48" s="1" t="s">
        <v>19</v>
      </c>
      <c r="G48" s="134" t="s">
        <v>2378</v>
      </c>
      <c r="H48" s="15">
        <v>80000</v>
      </c>
      <c r="I48" s="2">
        <f>Tabla24567[[#This Row],[TOTAL FACTURA]]*0.7</f>
        <v>56000</v>
      </c>
      <c r="J48" s="113">
        <f>Tabla24567[[#This Row],[TOTAL FACTURA]]-Tabla24567[[#This Row],[PORCENTAJE A CANCELAR]]</f>
        <v>24000</v>
      </c>
      <c r="L48" s="11"/>
      <c r="M48" s="11">
        <f>Tabla24567[[#This Row],[MONTO DE COMPRA]]/1.19</f>
        <v>0</v>
      </c>
      <c r="N48" s="11">
        <f>Tabla24567[[#This Row],[Columna1]]*19%</f>
        <v>0</v>
      </c>
      <c r="O48" s="11"/>
      <c r="P48" s="11">
        <f>Tabla24567[[#This Row],[VENTA ]]/1.19</f>
        <v>0</v>
      </c>
      <c r="Q48" s="11">
        <f>Tabla24567[[#This Row],[Columna2]]*19%</f>
        <v>0</v>
      </c>
      <c r="R48" s="11">
        <f>Tabla24567[[#This Row],[IVA VENTA ]]-Tabla24567[[#This Row],[IV COMPRA]]</f>
        <v>0</v>
      </c>
      <c r="S48" s="11">
        <f>(Tabla24567[[#This Row],[VENTA ]]-(Tabla24567[[#This Row],[MONTO DE COMPRA]]-Tabla24567[[#This Row],[DIFERENCIA IVA ]]))</f>
        <v>0</v>
      </c>
    </row>
    <row r="49" spans="1:19" ht="30" x14ac:dyDescent="0.25">
      <c r="A49" s="56">
        <v>44754</v>
      </c>
      <c r="B49" s="4" t="s">
        <v>2381</v>
      </c>
      <c r="C49" s="4" t="s">
        <v>2379</v>
      </c>
      <c r="D49" s="1" t="s">
        <v>815</v>
      </c>
      <c r="E49" s="4" t="s">
        <v>2380</v>
      </c>
      <c r="F49" s="1" t="s">
        <v>408</v>
      </c>
      <c r="G49" s="134" t="s">
        <v>2382</v>
      </c>
      <c r="H49" s="15">
        <v>310000</v>
      </c>
      <c r="I49" s="2">
        <f>Tabla24567[[#This Row],[TOTAL FACTURA]]*0.7</f>
        <v>217000</v>
      </c>
      <c r="J49" s="113">
        <f>Tabla24567[[#This Row],[TOTAL FACTURA]]-Tabla24567[[#This Row],[PORCENTAJE A CANCELAR]]</f>
        <v>93000</v>
      </c>
      <c r="L49" s="11"/>
      <c r="M49" s="11">
        <f>Tabla24567[[#This Row],[MONTO DE COMPRA]]/1.19</f>
        <v>0</v>
      </c>
      <c r="N49" s="11">
        <f>Tabla24567[[#This Row],[Columna1]]*19%</f>
        <v>0</v>
      </c>
      <c r="O49" s="11"/>
      <c r="P49" s="11">
        <f>Tabla24567[[#This Row],[VENTA ]]/1.19</f>
        <v>0</v>
      </c>
      <c r="Q49" s="11">
        <f>Tabla24567[[#This Row],[Columna2]]*19%</f>
        <v>0</v>
      </c>
      <c r="R49" s="11">
        <f>Tabla24567[[#This Row],[IVA VENTA ]]-Tabla24567[[#This Row],[IV COMPRA]]</f>
        <v>0</v>
      </c>
      <c r="S49" s="11">
        <f>(Tabla24567[[#This Row],[VENTA ]]-(Tabla24567[[#This Row],[MONTO DE COMPRA]]-Tabla24567[[#This Row],[DIFERENCIA IVA ]]))</f>
        <v>0</v>
      </c>
    </row>
    <row r="50" spans="1:19" x14ac:dyDescent="0.25">
      <c r="A50" s="56">
        <v>44754</v>
      </c>
      <c r="B50" s="4" t="s">
        <v>2383</v>
      </c>
      <c r="C50" s="4" t="s">
        <v>215</v>
      </c>
      <c r="D50" s="1" t="s">
        <v>54</v>
      </c>
      <c r="E50" s="4" t="s">
        <v>148</v>
      </c>
      <c r="F50" s="1" t="s">
        <v>1039</v>
      </c>
      <c r="G50" s="134" t="s">
        <v>2384</v>
      </c>
      <c r="H50" s="15">
        <v>150000</v>
      </c>
      <c r="I50" s="2">
        <f>Tabla24567[[#This Row],[TOTAL FACTURA]]*0.6</f>
        <v>90000</v>
      </c>
      <c r="J50" s="113">
        <f>Tabla24567[[#This Row],[TOTAL FACTURA]]-Tabla24567[[#This Row],[PORCENTAJE A CANCELAR]]</f>
        <v>60000</v>
      </c>
      <c r="L50" s="11"/>
      <c r="M50" s="11">
        <f>Tabla24567[[#This Row],[MONTO DE COMPRA]]/1.19</f>
        <v>0</v>
      </c>
      <c r="N50" s="11">
        <f>Tabla24567[[#This Row],[Columna1]]*19%</f>
        <v>0</v>
      </c>
      <c r="O50" s="11"/>
      <c r="P50" s="11">
        <f>Tabla24567[[#This Row],[VENTA ]]/1.19</f>
        <v>0</v>
      </c>
      <c r="Q50" s="11">
        <f>Tabla24567[[#This Row],[Columna2]]*19%</f>
        <v>0</v>
      </c>
      <c r="R50" s="11">
        <f>Tabla24567[[#This Row],[IVA VENTA ]]-Tabla24567[[#This Row],[IV COMPRA]]</f>
        <v>0</v>
      </c>
      <c r="S50" s="11">
        <f>(Tabla24567[[#This Row],[VENTA ]]-(Tabla24567[[#This Row],[MONTO DE COMPRA]]-Tabla24567[[#This Row],[DIFERENCIA IVA ]]))</f>
        <v>0</v>
      </c>
    </row>
    <row r="51" spans="1:19" x14ac:dyDescent="0.25">
      <c r="A51" s="56">
        <v>44755</v>
      </c>
      <c r="C51" s="4" t="s">
        <v>2385</v>
      </c>
      <c r="D51" s="1" t="s">
        <v>84</v>
      </c>
      <c r="E51" s="4" t="s">
        <v>2386</v>
      </c>
      <c r="F51" s="1" t="s">
        <v>19</v>
      </c>
      <c r="G51" s="134" t="s">
        <v>2387</v>
      </c>
      <c r="H51" s="15">
        <v>80000</v>
      </c>
      <c r="I51" s="2">
        <f>Tabla24567[[#This Row],[TOTAL FACTURA]]*0.7</f>
        <v>56000</v>
      </c>
      <c r="J51" s="113">
        <f>Tabla24567[[#This Row],[TOTAL FACTURA]]-Tabla24567[[#This Row],[PORCENTAJE A CANCELAR]]</f>
        <v>24000</v>
      </c>
      <c r="L51" s="11"/>
      <c r="M51" s="11">
        <f>Tabla24567[[#This Row],[MONTO DE COMPRA]]/1.19</f>
        <v>0</v>
      </c>
      <c r="N51" s="11">
        <f>Tabla24567[[#This Row],[Columna1]]*19%</f>
        <v>0</v>
      </c>
      <c r="O51" s="11"/>
      <c r="P51" s="11">
        <f>Tabla24567[[#This Row],[VENTA ]]/1.19</f>
        <v>0</v>
      </c>
      <c r="Q51" s="11">
        <f>Tabla24567[[#This Row],[Columna2]]*19%</f>
        <v>0</v>
      </c>
      <c r="R51" s="11">
        <f>Tabla24567[[#This Row],[IVA VENTA ]]-Tabla24567[[#This Row],[IV COMPRA]]</f>
        <v>0</v>
      </c>
      <c r="S51" s="11">
        <f>(Tabla24567[[#This Row],[VENTA ]]-(Tabla24567[[#This Row],[MONTO DE COMPRA]]-Tabla24567[[#This Row],[DIFERENCIA IVA ]]))</f>
        <v>0</v>
      </c>
    </row>
    <row r="52" spans="1:19" x14ac:dyDescent="0.25">
      <c r="A52" s="56">
        <v>44755</v>
      </c>
      <c r="C52" s="4" t="s">
        <v>2388</v>
      </c>
      <c r="D52" s="1" t="s">
        <v>1947</v>
      </c>
      <c r="E52" s="4" t="s">
        <v>2389</v>
      </c>
      <c r="F52" s="1" t="s">
        <v>1039</v>
      </c>
      <c r="G52" s="134" t="s">
        <v>2390</v>
      </c>
      <c r="H52" s="15">
        <v>50000</v>
      </c>
      <c r="I52" s="2">
        <f>Tabla24567[[#This Row],[TOTAL FACTURA]]*0.6</f>
        <v>30000</v>
      </c>
      <c r="J52" s="113">
        <f>Tabla24567[[#This Row],[TOTAL FACTURA]]-Tabla24567[[#This Row],[PORCENTAJE A CANCELAR]]</f>
        <v>20000</v>
      </c>
      <c r="L52" s="11"/>
      <c r="M52" s="11">
        <f>Tabla24567[[#This Row],[MONTO DE COMPRA]]/1.19</f>
        <v>0</v>
      </c>
      <c r="N52" s="11">
        <f>Tabla24567[[#This Row],[Columna1]]*19%</f>
        <v>0</v>
      </c>
      <c r="O52" s="11"/>
      <c r="P52" s="11">
        <f>Tabla24567[[#This Row],[VENTA ]]/1.19</f>
        <v>0</v>
      </c>
      <c r="Q52" s="11">
        <f>Tabla24567[[#This Row],[Columna2]]*19%</f>
        <v>0</v>
      </c>
      <c r="R52" s="11">
        <f>Tabla24567[[#This Row],[IVA VENTA ]]-Tabla24567[[#This Row],[IV COMPRA]]</f>
        <v>0</v>
      </c>
      <c r="S52" s="11">
        <f>(Tabla24567[[#This Row],[VENTA ]]-(Tabla24567[[#This Row],[MONTO DE COMPRA]]-Tabla24567[[#This Row],[DIFERENCIA IVA ]]))</f>
        <v>0</v>
      </c>
    </row>
    <row r="53" spans="1:19" x14ac:dyDescent="0.25">
      <c r="A53" s="56">
        <v>44755</v>
      </c>
      <c r="C53" s="4" t="s">
        <v>2391</v>
      </c>
      <c r="D53" s="1" t="s">
        <v>2392</v>
      </c>
      <c r="E53" s="4" t="s">
        <v>2393</v>
      </c>
      <c r="F53" s="1" t="s">
        <v>19</v>
      </c>
      <c r="G53" s="134" t="s">
        <v>21</v>
      </c>
      <c r="H53" s="15">
        <v>12000</v>
      </c>
      <c r="I53" s="2">
        <f>Tabla24567[[#This Row],[TOTAL FACTURA]]*0.7</f>
        <v>8400</v>
      </c>
      <c r="J53" s="113">
        <f>Tabla24567[[#This Row],[TOTAL FACTURA]]-Tabla24567[[#This Row],[PORCENTAJE A CANCELAR]]</f>
        <v>3600</v>
      </c>
      <c r="L53" s="11"/>
      <c r="M53" s="11">
        <f>Tabla24567[[#This Row],[MONTO DE COMPRA]]/1.19</f>
        <v>0</v>
      </c>
      <c r="N53" s="11">
        <f>Tabla24567[[#This Row],[Columna1]]*19%</f>
        <v>0</v>
      </c>
      <c r="O53" s="11"/>
      <c r="P53" s="11">
        <f>Tabla24567[[#This Row],[VENTA ]]/1.19</f>
        <v>0</v>
      </c>
      <c r="Q53" s="11">
        <f>Tabla24567[[#This Row],[Columna2]]*19%</f>
        <v>0</v>
      </c>
      <c r="R53" s="11">
        <f>Tabla24567[[#This Row],[IVA VENTA ]]-Tabla24567[[#This Row],[IV COMPRA]]</f>
        <v>0</v>
      </c>
      <c r="S53" s="11">
        <f>(Tabla24567[[#This Row],[VENTA ]]-(Tabla24567[[#This Row],[MONTO DE COMPRA]]-Tabla24567[[#This Row],[DIFERENCIA IVA ]]))</f>
        <v>0</v>
      </c>
    </row>
    <row r="54" spans="1:19" x14ac:dyDescent="0.25">
      <c r="A54" s="56">
        <v>44755</v>
      </c>
      <c r="C54" s="4" t="s">
        <v>2394</v>
      </c>
      <c r="D54" s="1" t="s">
        <v>103</v>
      </c>
      <c r="E54" s="4" t="s">
        <v>2395</v>
      </c>
      <c r="F54" s="1" t="s">
        <v>19</v>
      </c>
      <c r="G54" s="134" t="s">
        <v>2396</v>
      </c>
      <c r="H54" s="15">
        <v>50000</v>
      </c>
      <c r="I54" s="2">
        <f>Tabla24567[[#This Row],[TOTAL FACTURA]]*0.7</f>
        <v>35000</v>
      </c>
      <c r="J54" s="113">
        <f>Tabla24567[[#This Row],[TOTAL FACTURA]]-Tabla24567[[#This Row],[PORCENTAJE A CANCELAR]]</f>
        <v>15000</v>
      </c>
      <c r="L54" s="11"/>
      <c r="M54" s="11">
        <f>Tabla24567[[#This Row],[MONTO DE COMPRA]]/1.19</f>
        <v>0</v>
      </c>
      <c r="N54" s="11">
        <f>Tabla24567[[#This Row],[Columna1]]*19%</f>
        <v>0</v>
      </c>
      <c r="O54" s="11"/>
      <c r="P54" s="11">
        <f>Tabla24567[[#This Row],[VENTA ]]/1.19</f>
        <v>0</v>
      </c>
      <c r="Q54" s="11">
        <f>Tabla24567[[#This Row],[Columna2]]*19%</f>
        <v>0</v>
      </c>
      <c r="R54" s="11">
        <f>Tabla24567[[#This Row],[IVA VENTA ]]-Tabla24567[[#This Row],[IV COMPRA]]</f>
        <v>0</v>
      </c>
      <c r="S54" s="11">
        <f>(Tabla24567[[#This Row],[VENTA ]]-(Tabla24567[[#This Row],[MONTO DE COMPRA]]-Tabla24567[[#This Row],[DIFERENCIA IVA ]]))</f>
        <v>0</v>
      </c>
    </row>
    <row r="55" spans="1:19" x14ac:dyDescent="0.25">
      <c r="A55" s="56">
        <v>44755</v>
      </c>
      <c r="C55" s="114"/>
      <c r="E55" s="4"/>
      <c r="F55" s="1" t="s">
        <v>603</v>
      </c>
      <c r="G55" s="134" t="s">
        <v>128</v>
      </c>
      <c r="H55" s="15">
        <v>20000</v>
      </c>
      <c r="I55" s="2">
        <f>Tabla24567[[#This Row],[TOTAL FACTURA]]*0.6</f>
        <v>12000</v>
      </c>
      <c r="J55" s="113">
        <f>Tabla24567[[#This Row],[TOTAL FACTURA]]-Tabla24567[[#This Row],[PORCENTAJE A CANCELAR]]</f>
        <v>8000</v>
      </c>
      <c r="L55" s="11"/>
      <c r="M55" s="11">
        <f>Tabla24567[[#This Row],[MONTO DE COMPRA]]/1.19</f>
        <v>0</v>
      </c>
      <c r="N55" s="11">
        <f>Tabla24567[[#This Row],[Columna1]]*19%</f>
        <v>0</v>
      </c>
      <c r="O55" s="11"/>
      <c r="P55" s="11">
        <f>Tabla24567[[#This Row],[VENTA ]]/1.19</f>
        <v>0</v>
      </c>
      <c r="Q55" s="11">
        <f>Tabla24567[[#This Row],[Columna2]]*19%</f>
        <v>0</v>
      </c>
      <c r="R55" s="11">
        <f>Tabla24567[[#This Row],[IVA VENTA ]]-Tabla24567[[#This Row],[IV COMPRA]]</f>
        <v>0</v>
      </c>
      <c r="S55" s="11">
        <f>(Tabla24567[[#This Row],[VENTA ]]-(Tabla24567[[#This Row],[MONTO DE COMPRA]]-Tabla24567[[#This Row],[DIFERENCIA IVA ]]))</f>
        <v>0</v>
      </c>
    </row>
    <row r="56" spans="1:19" x14ac:dyDescent="0.25">
      <c r="A56" s="56">
        <v>44756</v>
      </c>
      <c r="C56" s="114"/>
      <c r="E56" s="4" t="s">
        <v>2397</v>
      </c>
      <c r="F56" s="1" t="s">
        <v>1039</v>
      </c>
      <c r="G56" s="134" t="s">
        <v>2398</v>
      </c>
      <c r="H56" s="15">
        <v>20000</v>
      </c>
      <c r="I56" s="2">
        <v>20000</v>
      </c>
      <c r="J56" s="113">
        <f>Tabla24567[[#This Row],[TOTAL FACTURA]]-Tabla24567[[#This Row],[PORCENTAJE A CANCELAR]]</f>
        <v>0</v>
      </c>
      <c r="L56" s="11"/>
      <c r="M56" s="11">
        <f>Tabla24567[[#This Row],[MONTO DE COMPRA]]/1.19</f>
        <v>0</v>
      </c>
      <c r="N56" s="11">
        <f>Tabla24567[[#This Row],[Columna1]]*19%</f>
        <v>0</v>
      </c>
      <c r="O56" s="11"/>
      <c r="P56" s="11">
        <f>Tabla24567[[#This Row],[VENTA ]]/1.19</f>
        <v>0</v>
      </c>
      <c r="Q56" s="11">
        <f>Tabla24567[[#This Row],[Columna2]]*19%</f>
        <v>0</v>
      </c>
      <c r="R56" s="11">
        <f>Tabla24567[[#This Row],[IVA VENTA ]]-Tabla24567[[#This Row],[IV COMPRA]]</f>
        <v>0</v>
      </c>
      <c r="S56" s="11">
        <f>(Tabla24567[[#This Row],[VENTA ]]-(Tabla24567[[#This Row],[MONTO DE COMPRA]]-Tabla24567[[#This Row],[DIFERENCIA IVA ]]))</f>
        <v>0</v>
      </c>
    </row>
    <row r="57" spans="1:19" x14ac:dyDescent="0.25">
      <c r="A57" s="56">
        <v>44756</v>
      </c>
      <c r="C57" s="4" t="s">
        <v>2399</v>
      </c>
      <c r="D57" s="1" t="s">
        <v>213</v>
      </c>
      <c r="E57" s="4" t="s">
        <v>2400</v>
      </c>
      <c r="F57" s="1" t="s">
        <v>19</v>
      </c>
      <c r="G57" s="134" t="s">
        <v>2401</v>
      </c>
      <c r="H57" s="15">
        <v>120000</v>
      </c>
      <c r="I57" s="2">
        <f>Tabla24567[[#This Row],[TOTAL FACTURA]]*0.7</f>
        <v>84000</v>
      </c>
      <c r="J57" s="113">
        <f>Tabla24567[[#This Row],[TOTAL FACTURA]]-Tabla24567[[#This Row],[PORCENTAJE A CANCELAR]]</f>
        <v>36000</v>
      </c>
      <c r="L57" s="11"/>
      <c r="M57" s="11">
        <f>Tabla24567[[#This Row],[MONTO DE COMPRA]]/1.19</f>
        <v>0</v>
      </c>
      <c r="N57" s="11">
        <f>Tabla24567[[#This Row],[Columna1]]*19%</f>
        <v>0</v>
      </c>
      <c r="O57" s="11"/>
      <c r="P57" s="11">
        <f>Tabla24567[[#This Row],[VENTA ]]/1.19</f>
        <v>0</v>
      </c>
      <c r="Q57" s="11">
        <f>Tabla24567[[#This Row],[Columna2]]*19%</f>
        <v>0</v>
      </c>
      <c r="R57" s="11">
        <f>Tabla24567[[#This Row],[IVA VENTA ]]-Tabla24567[[#This Row],[IV COMPRA]]</f>
        <v>0</v>
      </c>
      <c r="S57" s="11">
        <f>(Tabla24567[[#This Row],[VENTA ]]-(Tabla24567[[#This Row],[MONTO DE COMPRA]]-Tabla24567[[#This Row],[DIFERENCIA IVA ]]))</f>
        <v>0</v>
      </c>
    </row>
    <row r="58" spans="1:19" x14ac:dyDescent="0.25">
      <c r="A58" s="56">
        <v>44756</v>
      </c>
      <c r="C58" s="4" t="s">
        <v>609</v>
      </c>
      <c r="D58" s="1" t="s">
        <v>59</v>
      </c>
      <c r="E58" s="4" t="s">
        <v>1145</v>
      </c>
      <c r="F58" s="1" t="s">
        <v>1039</v>
      </c>
      <c r="G58" s="134" t="s">
        <v>2402</v>
      </c>
      <c r="H58" s="15">
        <v>90000</v>
      </c>
      <c r="I58" s="2">
        <f>Tabla24567[[#This Row],[TOTAL FACTURA]]*0.6</f>
        <v>54000</v>
      </c>
      <c r="J58" s="113">
        <f>Tabla24567[[#This Row],[TOTAL FACTURA]]-Tabla24567[[#This Row],[PORCENTAJE A CANCELAR]]</f>
        <v>36000</v>
      </c>
      <c r="L58" s="11"/>
      <c r="M58" s="11">
        <f>Tabla24567[[#This Row],[MONTO DE COMPRA]]/1.19</f>
        <v>0</v>
      </c>
      <c r="N58" s="11">
        <f>Tabla24567[[#This Row],[Columna1]]*19%</f>
        <v>0</v>
      </c>
      <c r="O58" s="11"/>
      <c r="P58" s="11">
        <f>Tabla24567[[#This Row],[VENTA ]]/1.19</f>
        <v>0</v>
      </c>
      <c r="Q58" s="11">
        <f>Tabla24567[[#This Row],[Columna2]]*19%</f>
        <v>0</v>
      </c>
      <c r="R58" s="11">
        <f>Tabla24567[[#This Row],[IVA VENTA ]]-Tabla24567[[#This Row],[IV COMPRA]]</f>
        <v>0</v>
      </c>
      <c r="S58" s="11">
        <f>(Tabla24567[[#This Row],[VENTA ]]-(Tabla24567[[#This Row],[MONTO DE COMPRA]]-Tabla24567[[#This Row],[DIFERENCIA IVA ]]))</f>
        <v>0</v>
      </c>
    </row>
    <row r="59" spans="1:19" x14ac:dyDescent="0.25">
      <c r="A59" s="56">
        <v>44756</v>
      </c>
      <c r="C59" s="4" t="s">
        <v>948</v>
      </c>
      <c r="D59" s="1" t="s">
        <v>204</v>
      </c>
      <c r="E59" s="4" t="s">
        <v>2574</v>
      </c>
      <c r="F59" s="1" t="s">
        <v>408</v>
      </c>
      <c r="G59" s="134" t="s">
        <v>2403</v>
      </c>
      <c r="H59" s="15">
        <v>40000</v>
      </c>
      <c r="I59" s="2">
        <f>Tabla24567[[#This Row],[TOTAL FACTURA]]*0.7</f>
        <v>28000</v>
      </c>
      <c r="J59" s="113">
        <f>Tabla24567[[#This Row],[TOTAL FACTURA]]-Tabla24567[[#This Row],[PORCENTAJE A CANCELAR]]</f>
        <v>12000</v>
      </c>
      <c r="L59" s="11"/>
      <c r="M59" s="11">
        <f>Tabla24567[[#This Row],[MONTO DE COMPRA]]/1.19</f>
        <v>0</v>
      </c>
      <c r="N59" s="11">
        <f>Tabla24567[[#This Row],[Columna1]]*19%</f>
        <v>0</v>
      </c>
      <c r="O59" s="11"/>
      <c r="P59" s="11">
        <f>Tabla24567[[#This Row],[VENTA ]]/1.19</f>
        <v>0</v>
      </c>
      <c r="Q59" s="11">
        <f>Tabla24567[[#This Row],[Columna2]]*19%</f>
        <v>0</v>
      </c>
      <c r="R59" s="11">
        <f>Tabla24567[[#This Row],[IVA VENTA ]]-Tabla24567[[#This Row],[IV COMPRA]]</f>
        <v>0</v>
      </c>
      <c r="S59" s="11">
        <f>(Tabla24567[[#This Row],[VENTA ]]-(Tabla24567[[#This Row],[MONTO DE COMPRA]]-Tabla24567[[#This Row],[DIFERENCIA IVA ]]))</f>
        <v>0</v>
      </c>
    </row>
    <row r="60" spans="1:19" x14ac:dyDescent="0.25">
      <c r="A60" s="56">
        <v>44756</v>
      </c>
      <c r="C60" s="4" t="s">
        <v>948</v>
      </c>
      <c r="D60" s="1" t="s">
        <v>204</v>
      </c>
      <c r="E60" s="4" t="s">
        <v>2574</v>
      </c>
      <c r="F60" s="1" t="s">
        <v>30</v>
      </c>
      <c r="G60" s="134" t="s">
        <v>2403</v>
      </c>
      <c r="H60" s="15">
        <v>40000</v>
      </c>
      <c r="I60" s="2">
        <f>Tabla24567[[#This Row],[TOTAL FACTURA]]*0.6</f>
        <v>24000</v>
      </c>
      <c r="J60" s="113">
        <f>Tabla24567[[#This Row],[TOTAL FACTURA]]-Tabla24567[[#This Row],[PORCENTAJE A CANCELAR]]</f>
        <v>16000</v>
      </c>
      <c r="L60" s="11"/>
      <c r="M60" s="11">
        <f>Tabla24567[[#This Row],[MONTO DE COMPRA]]/1.19</f>
        <v>0</v>
      </c>
      <c r="N60" s="11">
        <f>Tabla24567[[#This Row],[Columna1]]*19%</f>
        <v>0</v>
      </c>
      <c r="O60" s="11"/>
      <c r="P60" s="11">
        <f>Tabla24567[[#This Row],[VENTA ]]/1.19</f>
        <v>0</v>
      </c>
      <c r="Q60" s="11">
        <f>Tabla24567[[#This Row],[Columna2]]*19%</f>
        <v>0</v>
      </c>
      <c r="R60" s="11">
        <f>Tabla24567[[#This Row],[IVA VENTA ]]-Tabla24567[[#This Row],[IV COMPRA]]</f>
        <v>0</v>
      </c>
      <c r="S60" s="11">
        <f>(Tabla24567[[#This Row],[VENTA ]]-(Tabla24567[[#This Row],[MONTO DE COMPRA]]-Tabla24567[[#This Row],[DIFERENCIA IVA ]]))</f>
        <v>0</v>
      </c>
    </row>
    <row r="61" spans="1:19" x14ac:dyDescent="0.25">
      <c r="A61" s="56">
        <v>44756</v>
      </c>
      <c r="B61" s="4" t="s">
        <v>2406</v>
      </c>
      <c r="C61" s="4" t="s">
        <v>2404</v>
      </c>
      <c r="D61" s="1" t="s">
        <v>2022</v>
      </c>
      <c r="E61" s="4" t="s">
        <v>2405</v>
      </c>
      <c r="F61" s="1" t="s">
        <v>408</v>
      </c>
      <c r="G61" s="134" t="s">
        <v>114</v>
      </c>
      <c r="H61" s="15">
        <v>80000</v>
      </c>
      <c r="I61" s="2">
        <f>Tabla24567[[#This Row],[TOTAL FACTURA]]*0.7</f>
        <v>56000</v>
      </c>
      <c r="J61" s="113">
        <f>Tabla24567[[#This Row],[TOTAL FACTURA]]-Tabla24567[[#This Row],[PORCENTAJE A CANCELAR]]</f>
        <v>24000</v>
      </c>
      <c r="L61" s="11"/>
      <c r="M61" s="11">
        <f>Tabla24567[[#This Row],[MONTO DE COMPRA]]/1.19</f>
        <v>0</v>
      </c>
      <c r="N61" s="11">
        <f>Tabla24567[[#This Row],[Columna1]]*19%</f>
        <v>0</v>
      </c>
      <c r="O61" s="11"/>
      <c r="P61" s="11">
        <f>Tabla24567[[#This Row],[VENTA ]]/1.19</f>
        <v>0</v>
      </c>
      <c r="Q61" s="11">
        <f>Tabla24567[[#This Row],[Columna2]]*19%</f>
        <v>0</v>
      </c>
      <c r="R61" s="11">
        <f>Tabla24567[[#This Row],[IVA VENTA ]]-Tabla24567[[#This Row],[IV COMPRA]]</f>
        <v>0</v>
      </c>
      <c r="S61" s="11">
        <f>(Tabla24567[[#This Row],[VENTA ]]-(Tabla24567[[#This Row],[MONTO DE COMPRA]]-Tabla24567[[#This Row],[DIFERENCIA IVA ]]))</f>
        <v>0</v>
      </c>
    </row>
    <row r="62" spans="1:19" x14ac:dyDescent="0.25">
      <c r="A62" s="56">
        <v>44756</v>
      </c>
      <c r="C62" s="4" t="s">
        <v>2407</v>
      </c>
      <c r="D62" s="1" t="s">
        <v>142</v>
      </c>
      <c r="E62" s="4" t="s">
        <v>2408</v>
      </c>
      <c r="F62" s="1" t="s">
        <v>408</v>
      </c>
      <c r="G62" s="134" t="s">
        <v>2409</v>
      </c>
      <c r="H62" s="15">
        <v>100000</v>
      </c>
      <c r="I62" s="2">
        <f>Tabla24567[[#This Row],[TOTAL FACTURA]]*0.7</f>
        <v>70000</v>
      </c>
      <c r="J62" s="113">
        <f>Tabla24567[[#This Row],[TOTAL FACTURA]]-Tabla24567[[#This Row],[PORCENTAJE A CANCELAR]]</f>
        <v>30000</v>
      </c>
      <c r="L62" s="11"/>
      <c r="M62" s="11">
        <f>Tabla24567[[#This Row],[MONTO DE COMPRA]]/1.19</f>
        <v>0</v>
      </c>
      <c r="N62" s="11">
        <f>Tabla24567[[#This Row],[Columna1]]*19%</f>
        <v>0</v>
      </c>
      <c r="O62" s="11"/>
      <c r="P62" s="11">
        <f>Tabla24567[[#This Row],[VENTA ]]/1.19</f>
        <v>0</v>
      </c>
      <c r="Q62" s="11">
        <f>Tabla24567[[#This Row],[Columna2]]*19%</f>
        <v>0</v>
      </c>
      <c r="R62" s="11">
        <f>Tabla24567[[#This Row],[IVA VENTA ]]-Tabla24567[[#This Row],[IV COMPRA]]</f>
        <v>0</v>
      </c>
      <c r="S62" s="11">
        <f>(Tabla24567[[#This Row],[VENTA ]]-(Tabla24567[[#This Row],[MONTO DE COMPRA]]-Tabla24567[[#This Row],[DIFERENCIA IVA ]]))</f>
        <v>0</v>
      </c>
    </row>
    <row r="63" spans="1:19" x14ac:dyDescent="0.25">
      <c r="A63" s="56">
        <v>44756</v>
      </c>
      <c r="C63" s="4" t="s">
        <v>2410</v>
      </c>
      <c r="D63" s="1" t="s">
        <v>2411</v>
      </c>
      <c r="E63" s="4" t="s">
        <v>2288</v>
      </c>
      <c r="F63" s="1" t="s">
        <v>10</v>
      </c>
      <c r="G63" s="134" t="s">
        <v>2412</v>
      </c>
      <c r="H63" s="15">
        <v>750000</v>
      </c>
      <c r="I63" s="2">
        <f>Tabla24567[[#This Row],[TOTAL FACTURA]]*0.7</f>
        <v>525000</v>
      </c>
      <c r="J63" s="113">
        <f>Tabla24567[[#This Row],[TOTAL FACTURA]]-Tabla24567[[#This Row],[PORCENTAJE A CANCELAR]]</f>
        <v>225000</v>
      </c>
      <c r="L63" s="11"/>
      <c r="M63" s="11">
        <f>Tabla24567[[#This Row],[MONTO DE COMPRA]]/1.19</f>
        <v>0</v>
      </c>
      <c r="N63" s="11">
        <f>Tabla24567[[#This Row],[Columna1]]*19%</f>
        <v>0</v>
      </c>
      <c r="O63" s="11"/>
      <c r="P63" s="11">
        <f>Tabla24567[[#This Row],[VENTA ]]/1.19</f>
        <v>0</v>
      </c>
      <c r="Q63" s="11">
        <f>Tabla24567[[#This Row],[Columna2]]*19%</f>
        <v>0</v>
      </c>
      <c r="R63" s="11">
        <f>Tabla24567[[#This Row],[IVA VENTA ]]-Tabla24567[[#This Row],[IV COMPRA]]</f>
        <v>0</v>
      </c>
      <c r="S63" s="11">
        <f>(Tabla24567[[#This Row],[VENTA ]]-(Tabla24567[[#This Row],[MONTO DE COMPRA]]-Tabla24567[[#This Row],[DIFERENCIA IVA ]]))</f>
        <v>0</v>
      </c>
    </row>
    <row r="64" spans="1:19" x14ac:dyDescent="0.25">
      <c r="A64" s="56">
        <v>44756</v>
      </c>
      <c r="B64" s="4" t="s">
        <v>2413</v>
      </c>
      <c r="C64" s="4" t="s">
        <v>2414</v>
      </c>
      <c r="D64" s="1" t="s">
        <v>2415</v>
      </c>
      <c r="E64" s="4" t="s">
        <v>2416</v>
      </c>
      <c r="F64" s="1" t="s">
        <v>1039</v>
      </c>
      <c r="G64" s="134" t="s">
        <v>2417</v>
      </c>
      <c r="H64" s="15">
        <v>120000</v>
      </c>
      <c r="I64" s="2">
        <f>Tabla24567[[#This Row],[TOTAL FACTURA]]*0.6</f>
        <v>72000</v>
      </c>
      <c r="J64" s="113">
        <f>Tabla24567[[#This Row],[TOTAL FACTURA]]-Tabla24567[[#This Row],[PORCENTAJE A CANCELAR]]</f>
        <v>48000</v>
      </c>
      <c r="L64" s="11"/>
      <c r="M64" s="11">
        <f>Tabla24567[[#This Row],[MONTO DE COMPRA]]/1.19</f>
        <v>0</v>
      </c>
      <c r="N64" s="11">
        <f>Tabla24567[[#This Row],[Columna1]]*19%</f>
        <v>0</v>
      </c>
      <c r="O64" s="11"/>
      <c r="P64" s="11">
        <f>Tabla24567[[#This Row],[VENTA ]]/1.19</f>
        <v>0</v>
      </c>
      <c r="Q64" s="11">
        <f>Tabla24567[[#This Row],[Columna2]]*19%</f>
        <v>0</v>
      </c>
      <c r="R64" s="11">
        <f>Tabla24567[[#This Row],[IVA VENTA ]]-Tabla24567[[#This Row],[IV COMPRA]]</f>
        <v>0</v>
      </c>
      <c r="S64" s="11">
        <f>(Tabla24567[[#This Row],[VENTA ]]-(Tabla24567[[#This Row],[MONTO DE COMPRA]]-Tabla24567[[#This Row],[DIFERENCIA IVA ]]))</f>
        <v>0</v>
      </c>
    </row>
    <row r="65" spans="1:19" x14ac:dyDescent="0.25">
      <c r="A65" s="56">
        <v>44756</v>
      </c>
      <c r="C65" s="4" t="s">
        <v>2418</v>
      </c>
      <c r="D65" s="1" t="s">
        <v>59</v>
      </c>
      <c r="E65" s="4" t="s">
        <v>2419</v>
      </c>
      <c r="F65" s="1" t="s">
        <v>603</v>
      </c>
      <c r="G65" s="134" t="s">
        <v>2420</v>
      </c>
      <c r="H65" s="15">
        <v>30000</v>
      </c>
      <c r="I65" s="2">
        <f>Tabla24567[[#This Row],[TOTAL FACTURA]]*0.6</f>
        <v>18000</v>
      </c>
      <c r="J65" s="113">
        <f>Tabla24567[[#This Row],[TOTAL FACTURA]]-Tabla24567[[#This Row],[PORCENTAJE A CANCELAR]]</f>
        <v>12000</v>
      </c>
      <c r="L65" s="11"/>
      <c r="M65" s="11">
        <f>Tabla24567[[#This Row],[MONTO DE COMPRA]]/1.19</f>
        <v>0</v>
      </c>
      <c r="N65" s="11">
        <f>Tabla24567[[#This Row],[Columna1]]*19%</f>
        <v>0</v>
      </c>
      <c r="O65" s="11"/>
      <c r="P65" s="11">
        <f>Tabla24567[[#This Row],[VENTA ]]/1.19</f>
        <v>0</v>
      </c>
      <c r="Q65" s="11">
        <f>Tabla24567[[#This Row],[Columna2]]*19%</f>
        <v>0</v>
      </c>
      <c r="R65" s="11">
        <f>Tabla24567[[#This Row],[IVA VENTA ]]-Tabla24567[[#This Row],[IV COMPRA]]</f>
        <v>0</v>
      </c>
      <c r="S65" s="11">
        <f>(Tabla24567[[#This Row],[VENTA ]]-(Tabla24567[[#This Row],[MONTO DE COMPRA]]-Tabla24567[[#This Row],[DIFERENCIA IVA ]]))</f>
        <v>0</v>
      </c>
    </row>
    <row r="66" spans="1:19" x14ac:dyDescent="0.25">
      <c r="A66" s="56">
        <v>44756</v>
      </c>
      <c r="C66" s="4" t="s">
        <v>2421</v>
      </c>
      <c r="D66" s="1" t="s">
        <v>59</v>
      </c>
      <c r="E66" s="4" t="s">
        <v>2422</v>
      </c>
      <c r="F66" s="1" t="s">
        <v>19</v>
      </c>
      <c r="G66" s="134" t="s">
        <v>2423</v>
      </c>
      <c r="H66" s="15">
        <v>120000</v>
      </c>
      <c r="I66" s="2">
        <f>Tabla24567[[#This Row],[TOTAL FACTURA]]*0.7</f>
        <v>84000</v>
      </c>
      <c r="J66" s="113">
        <f>Tabla24567[[#This Row],[TOTAL FACTURA]]-Tabla24567[[#This Row],[PORCENTAJE A CANCELAR]]</f>
        <v>36000</v>
      </c>
      <c r="L66" s="11"/>
      <c r="M66" s="11">
        <f>Tabla24567[[#This Row],[MONTO DE COMPRA]]/1.19</f>
        <v>0</v>
      </c>
      <c r="N66" s="11">
        <f>Tabla24567[[#This Row],[Columna1]]*19%</f>
        <v>0</v>
      </c>
      <c r="O66" s="11"/>
      <c r="P66" s="11">
        <f>Tabla24567[[#This Row],[VENTA ]]/1.19</f>
        <v>0</v>
      </c>
      <c r="Q66" s="11">
        <f>Tabla24567[[#This Row],[Columna2]]*19%</f>
        <v>0</v>
      </c>
      <c r="R66" s="11">
        <f>Tabla24567[[#This Row],[IVA VENTA ]]-Tabla24567[[#This Row],[IV COMPRA]]</f>
        <v>0</v>
      </c>
      <c r="S66" s="11">
        <f>(Tabla24567[[#This Row],[VENTA ]]-(Tabla24567[[#This Row],[MONTO DE COMPRA]]-Tabla24567[[#This Row],[DIFERENCIA IVA ]]))</f>
        <v>0</v>
      </c>
    </row>
    <row r="67" spans="1:19" x14ac:dyDescent="0.25">
      <c r="A67" s="56">
        <v>44756</v>
      </c>
      <c r="C67" s="130"/>
      <c r="D67" s="1" t="s">
        <v>59</v>
      </c>
      <c r="E67" s="4" t="s">
        <v>2427</v>
      </c>
      <c r="F67" s="1" t="s">
        <v>30</v>
      </c>
      <c r="G67" s="134" t="s">
        <v>2428</v>
      </c>
      <c r="H67" s="15">
        <v>100000</v>
      </c>
      <c r="I67" s="2">
        <f>Tabla24567[[#This Row],[TOTAL FACTURA]]*0.6</f>
        <v>60000</v>
      </c>
      <c r="J67" s="131">
        <f>Tabla24567[[#This Row],[TOTAL FACTURA]]-Tabla24567[[#This Row],[PORCENTAJE A CANCELAR]]</f>
        <v>40000</v>
      </c>
      <c r="L67" s="11"/>
      <c r="M67" s="11">
        <f>Tabla24567[[#This Row],[MONTO DE COMPRA]]/1.19</f>
        <v>0</v>
      </c>
      <c r="N67" s="11">
        <f>Tabla24567[[#This Row],[Columna1]]*19%</f>
        <v>0</v>
      </c>
      <c r="O67" s="11"/>
      <c r="P67" s="11">
        <f>Tabla24567[[#This Row],[VENTA ]]/1.19</f>
        <v>0</v>
      </c>
      <c r="Q67" s="11">
        <f>Tabla24567[[#This Row],[Columna2]]*19%</f>
        <v>0</v>
      </c>
      <c r="R67" s="11">
        <f>Tabla24567[[#This Row],[IVA VENTA ]]-Tabla24567[[#This Row],[IV COMPRA]]</f>
        <v>0</v>
      </c>
      <c r="S67" s="11">
        <f>(Tabla24567[[#This Row],[VENTA ]]-(Tabla24567[[#This Row],[MONTO DE COMPRA]]-Tabla24567[[#This Row],[DIFERENCIA IVA ]]))</f>
        <v>0</v>
      </c>
    </row>
    <row r="68" spans="1:19" x14ac:dyDescent="0.25">
      <c r="A68" s="56">
        <v>44756</v>
      </c>
      <c r="C68" s="130"/>
      <c r="D68" s="1" t="s">
        <v>54</v>
      </c>
      <c r="E68" s="4" t="s">
        <v>2429</v>
      </c>
      <c r="F68" s="1" t="s">
        <v>603</v>
      </c>
      <c r="G68" s="134" t="s">
        <v>2430</v>
      </c>
      <c r="H68" s="15">
        <v>50000</v>
      </c>
      <c r="I68" s="2">
        <f>Tabla24567[[#This Row],[TOTAL FACTURA]]*0.6</f>
        <v>30000</v>
      </c>
      <c r="J68" s="131">
        <f>Tabla24567[[#This Row],[TOTAL FACTURA]]-Tabla24567[[#This Row],[PORCENTAJE A CANCELAR]]</f>
        <v>20000</v>
      </c>
      <c r="L68" s="11"/>
      <c r="M68" s="11">
        <f>Tabla24567[[#This Row],[MONTO DE COMPRA]]/1.19</f>
        <v>0</v>
      </c>
      <c r="N68" s="11">
        <f>Tabla24567[[#This Row],[Columna1]]*19%</f>
        <v>0</v>
      </c>
      <c r="O68" s="11"/>
      <c r="P68" s="11">
        <f>Tabla24567[[#This Row],[VENTA ]]/1.19</f>
        <v>0</v>
      </c>
      <c r="Q68" s="11">
        <f>Tabla24567[[#This Row],[Columna2]]*19%</f>
        <v>0</v>
      </c>
      <c r="R68" s="11">
        <f>Tabla24567[[#This Row],[IVA VENTA ]]-Tabla24567[[#This Row],[IV COMPRA]]</f>
        <v>0</v>
      </c>
      <c r="S68" s="11">
        <f>(Tabla24567[[#This Row],[VENTA ]]-(Tabla24567[[#This Row],[MONTO DE COMPRA]]-Tabla24567[[#This Row],[DIFERENCIA IVA ]]))</f>
        <v>0</v>
      </c>
    </row>
    <row r="69" spans="1:19" x14ac:dyDescent="0.25">
      <c r="A69" s="56">
        <v>44758</v>
      </c>
      <c r="C69" s="4" t="s">
        <v>2467</v>
      </c>
      <c r="D69" s="1" t="s">
        <v>1618</v>
      </c>
      <c r="E69" s="4" t="s">
        <v>1122</v>
      </c>
      <c r="F69" s="1" t="s">
        <v>10</v>
      </c>
      <c r="G69" s="134" t="s">
        <v>2508</v>
      </c>
      <c r="H69" s="15">
        <v>1000000</v>
      </c>
      <c r="I69" s="2">
        <f>Tabla24567[[#This Row],[TOTAL FACTURA]]*0.7</f>
        <v>700000</v>
      </c>
      <c r="J69" s="131">
        <f>Tabla24567[[#This Row],[TOTAL FACTURA]]-Tabla24567[[#This Row],[PORCENTAJE A CANCELAR]]</f>
        <v>300000</v>
      </c>
      <c r="L69" s="11"/>
      <c r="M69" s="11">
        <f>Tabla24567[[#This Row],[MONTO DE COMPRA]]/1.19</f>
        <v>0</v>
      </c>
      <c r="N69" s="11">
        <f>Tabla24567[[#This Row],[Columna1]]*19%</f>
        <v>0</v>
      </c>
      <c r="O69" s="11"/>
      <c r="P69" s="11">
        <f>Tabla24567[[#This Row],[VENTA ]]/1.19</f>
        <v>0</v>
      </c>
      <c r="Q69" s="11">
        <f>Tabla24567[[#This Row],[Columna2]]*19%</f>
        <v>0</v>
      </c>
      <c r="R69" s="11">
        <f>Tabla24567[[#This Row],[IVA VENTA ]]-Tabla24567[[#This Row],[IV COMPRA]]</f>
        <v>0</v>
      </c>
      <c r="S69" s="11">
        <f>(Tabla24567[[#This Row],[VENTA ]]-(Tabla24567[[#This Row],[MONTO DE COMPRA]]+Tabla24567[[#This Row],[DIFERENCIA IVA ]]))</f>
        <v>0</v>
      </c>
    </row>
    <row r="70" spans="1:19" x14ac:dyDescent="0.25">
      <c r="A70" s="56">
        <v>44758</v>
      </c>
      <c r="C70" s="4" t="s">
        <v>2331</v>
      </c>
      <c r="D70" s="1" t="s">
        <v>22</v>
      </c>
      <c r="E70" s="4" t="s">
        <v>577</v>
      </c>
      <c r="F70" s="1" t="s">
        <v>603</v>
      </c>
      <c r="G70" s="134" t="s">
        <v>2436</v>
      </c>
      <c r="H70" s="15">
        <v>20000</v>
      </c>
      <c r="I70" s="2">
        <f>Tabla24567[[#This Row],[TOTAL FACTURA]]*0.6</f>
        <v>12000</v>
      </c>
      <c r="J70" s="131">
        <f>Tabla24567[[#This Row],[TOTAL FACTURA]]-Tabla24567[[#This Row],[PORCENTAJE A CANCELAR]]</f>
        <v>8000</v>
      </c>
      <c r="L70" s="11"/>
      <c r="M70" s="11">
        <f>Tabla24567[[#This Row],[MONTO DE COMPRA]]/1.19</f>
        <v>0</v>
      </c>
      <c r="N70" s="11">
        <f>Tabla24567[[#This Row],[Columna1]]*19%</f>
        <v>0</v>
      </c>
      <c r="O70" s="11"/>
      <c r="P70" s="11">
        <f>Tabla24567[[#This Row],[VENTA ]]/1.19</f>
        <v>0</v>
      </c>
      <c r="Q70" s="11">
        <f>Tabla24567[[#This Row],[Columna2]]*19%</f>
        <v>0</v>
      </c>
      <c r="R70" s="11">
        <f>Tabla24567[[#This Row],[IVA VENTA ]]-Tabla24567[[#This Row],[IV COMPRA]]</f>
        <v>0</v>
      </c>
      <c r="S70" s="11">
        <f>(Tabla24567[[#This Row],[VENTA ]]-(Tabla24567[[#This Row],[MONTO DE COMPRA]]+Tabla24567[[#This Row],[DIFERENCIA IVA ]]))</f>
        <v>0</v>
      </c>
    </row>
    <row r="71" spans="1:19" x14ac:dyDescent="0.25">
      <c r="A71" s="56">
        <v>44758</v>
      </c>
      <c r="B71" s="4" t="s">
        <v>2437</v>
      </c>
      <c r="C71" s="4" t="s">
        <v>2438</v>
      </c>
      <c r="D71" s="1" t="s">
        <v>22</v>
      </c>
      <c r="E71" s="4" t="s">
        <v>2439</v>
      </c>
      <c r="F71" s="1" t="s">
        <v>2460</v>
      </c>
      <c r="G71" s="134" t="s">
        <v>2440</v>
      </c>
      <c r="H71" s="15">
        <v>30000</v>
      </c>
      <c r="I71" s="2">
        <f>Tabla24567[[#This Row],[TOTAL FACTURA]]*0.6</f>
        <v>18000</v>
      </c>
      <c r="J71" s="131">
        <f>Tabla24567[[#This Row],[TOTAL FACTURA]]-Tabla24567[[#This Row],[PORCENTAJE A CANCELAR]]</f>
        <v>12000</v>
      </c>
      <c r="L71" s="11"/>
      <c r="M71" s="11">
        <f>Tabla24567[[#This Row],[MONTO DE COMPRA]]/1.19</f>
        <v>0</v>
      </c>
      <c r="N71" s="11">
        <f>Tabla24567[[#This Row],[Columna1]]*19%</f>
        <v>0</v>
      </c>
      <c r="O71" s="11"/>
      <c r="P71" s="11">
        <f>Tabla24567[[#This Row],[VENTA ]]/1.19</f>
        <v>0</v>
      </c>
      <c r="Q71" s="11">
        <f>Tabla24567[[#This Row],[Columna2]]*19%</f>
        <v>0</v>
      </c>
      <c r="R71" s="11">
        <f>Tabla24567[[#This Row],[IVA VENTA ]]-Tabla24567[[#This Row],[IV COMPRA]]</f>
        <v>0</v>
      </c>
      <c r="S71" s="11">
        <f>(Tabla24567[[#This Row],[VENTA ]]-(Tabla24567[[#This Row],[MONTO DE COMPRA]]+Tabla24567[[#This Row],[DIFERENCIA IVA ]]))</f>
        <v>0</v>
      </c>
    </row>
    <row r="72" spans="1:19" x14ac:dyDescent="0.25">
      <c r="A72" s="56">
        <v>44758</v>
      </c>
      <c r="B72" s="4" t="s">
        <v>2437</v>
      </c>
      <c r="C72" s="4" t="s">
        <v>2438</v>
      </c>
      <c r="D72" s="1" t="s">
        <v>22</v>
      </c>
      <c r="E72" s="4" t="s">
        <v>2439</v>
      </c>
      <c r="F72" s="1" t="s">
        <v>603</v>
      </c>
      <c r="G72" s="134" t="s">
        <v>2441</v>
      </c>
      <c r="H72" s="15">
        <v>30000</v>
      </c>
      <c r="I72" s="2">
        <f>Tabla24567[[#This Row],[TOTAL FACTURA]]*0.6</f>
        <v>18000</v>
      </c>
      <c r="J72" s="131">
        <f>Tabla24567[[#This Row],[TOTAL FACTURA]]-Tabla24567[[#This Row],[PORCENTAJE A CANCELAR]]</f>
        <v>12000</v>
      </c>
      <c r="L72" s="11"/>
      <c r="M72" s="11">
        <f>Tabla24567[[#This Row],[MONTO DE COMPRA]]/1.19</f>
        <v>0</v>
      </c>
      <c r="N72" s="11">
        <f>Tabla24567[[#This Row],[Columna1]]*19%</f>
        <v>0</v>
      </c>
      <c r="O72" s="11"/>
      <c r="P72" s="11">
        <f>Tabla24567[[#This Row],[VENTA ]]/1.19</f>
        <v>0</v>
      </c>
      <c r="Q72" s="11">
        <f>Tabla24567[[#This Row],[Columna2]]*19%</f>
        <v>0</v>
      </c>
      <c r="R72" s="11">
        <f>Tabla24567[[#This Row],[IVA VENTA ]]-Tabla24567[[#This Row],[IV COMPRA]]</f>
        <v>0</v>
      </c>
      <c r="S72" s="11">
        <f>(Tabla24567[[#This Row],[VENTA ]]-(Tabla24567[[#This Row],[MONTO DE COMPRA]]+Tabla24567[[#This Row],[DIFERENCIA IVA ]]))</f>
        <v>0</v>
      </c>
    </row>
    <row r="73" spans="1:19" x14ac:dyDescent="0.25">
      <c r="A73" s="56">
        <v>44758</v>
      </c>
      <c r="B73" s="4" t="s">
        <v>2437</v>
      </c>
      <c r="C73" s="4" t="s">
        <v>2438</v>
      </c>
      <c r="D73" s="1" t="s">
        <v>22</v>
      </c>
      <c r="E73" s="4" t="s">
        <v>2439</v>
      </c>
      <c r="F73" s="1" t="s">
        <v>2460</v>
      </c>
      <c r="G73" s="134" t="s">
        <v>2442</v>
      </c>
      <c r="H73" s="15">
        <v>20000</v>
      </c>
      <c r="I73" s="2">
        <f>Tabla24567[[#This Row],[TOTAL FACTURA]]*0.6</f>
        <v>12000</v>
      </c>
      <c r="J73" s="131">
        <f>Tabla24567[[#This Row],[TOTAL FACTURA]]-Tabla24567[[#This Row],[PORCENTAJE A CANCELAR]]</f>
        <v>8000</v>
      </c>
      <c r="K73" s="1" t="s">
        <v>2443</v>
      </c>
      <c r="L73" s="11">
        <f>6000+10000</f>
        <v>16000</v>
      </c>
      <c r="M73" s="11">
        <f>Tabla24567[[#This Row],[MONTO DE COMPRA]]/1.19</f>
        <v>13445.378151260506</v>
      </c>
      <c r="N73" s="11">
        <f>Tabla24567[[#This Row],[Columna1]]*19%</f>
        <v>2554.6218487394963</v>
      </c>
      <c r="O73" s="11">
        <v>45000</v>
      </c>
      <c r="P73" s="11">
        <f>Tabla24567[[#This Row],[VENTA ]]/1.19</f>
        <v>37815.126050420171</v>
      </c>
      <c r="Q73" s="11">
        <f>Tabla24567[[#This Row],[Columna2]]*19%</f>
        <v>7184.8739495798327</v>
      </c>
      <c r="R73" s="11">
        <f>Tabla24567[[#This Row],[IVA VENTA ]]-Tabla24567[[#This Row],[IV COMPRA]]</f>
        <v>4630.2521008403364</v>
      </c>
      <c r="S73" s="11">
        <f>(Tabla24567[[#This Row],[VENTA ]]-(Tabla24567[[#This Row],[MONTO DE COMPRA]]+Tabla24567[[#This Row],[DIFERENCIA IVA ]]))</f>
        <v>24369.747899159665</v>
      </c>
    </row>
    <row r="74" spans="1:19" x14ac:dyDescent="0.25">
      <c r="A74" s="56">
        <v>44758</v>
      </c>
      <c r="C74" s="4" t="s">
        <v>2444</v>
      </c>
      <c r="D74" s="1" t="s">
        <v>103</v>
      </c>
      <c r="E74" s="4" t="s">
        <v>2445</v>
      </c>
      <c r="F74" s="1" t="s">
        <v>2446</v>
      </c>
      <c r="G74" s="134" t="s">
        <v>2447</v>
      </c>
      <c r="H74" s="15">
        <v>110000</v>
      </c>
      <c r="I74" s="2">
        <f>Tabla24567[[#This Row],[TOTAL FACTURA]]*0.7</f>
        <v>77000</v>
      </c>
      <c r="J74" s="131">
        <f>Tabla24567[[#This Row],[TOTAL FACTURA]]-Tabla24567[[#This Row],[PORCENTAJE A CANCELAR]]</f>
        <v>33000</v>
      </c>
      <c r="K74" s="1" t="s">
        <v>2450</v>
      </c>
      <c r="L74" s="11">
        <v>16000</v>
      </c>
      <c r="M74" s="11">
        <f>Tabla24567[[#This Row],[MONTO DE COMPRA]]/1.19</f>
        <v>13445.378151260506</v>
      </c>
      <c r="N74" s="11">
        <f>Tabla24567[[#This Row],[Columna1]]*19%</f>
        <v>2554.6218487394963</v>
      </c>
      <c r="O74" s="11">
        <v>25000</v>
      </c>
      <c r="P74" s="11">
        <f>Tabla24567[[#This Row],[VENTA ]]/1.19</f>
        <v>21008.403361344539</v>
      </c>
      <c r="Q74" s="11">
        <f>Tabla24567[[#This Row],[Columna2]]*19%</f>
        <v>3991.5966386554624</v>
      </c>
      <c r="R74" s="11">
        <f>Tabla24567[[#This Row],[IVA VENTA ]]-Tabla24567[[#This Row],[IV COMPRA]]</f>
        <v>1436.9747899159661</v>
      </c>
      <c r="S74" s="11">
        <f>(Tabla24567[[#This Row],[VENTA ]]-(Tabla24567[[#This Row],[MONTO DE COMPRA]]+Tabla24567[[#This Row],[DIFERENCIA IVA ]]))</f>
        <v>7563.0252100840335</v>
      </c>
    </row>
    <row r="75" spans="1:19" x14ac:dyDescent="0.25">
      <c r="A75" s="56">
        <v>44758</v>
      </c>
      <c r="C75" s="4" t="s">
        <v>2448</v>
      </c>
      <c r="D75" s="1" t="s">
        <v>22</v>
      </c>
      <c r="E75" s="4" t="s">
        <v>387</v>
      </c>
      <c r="F75" s="1" t="s">
        <v>2449</v>
      </c>
      <c r="G75" s="134" t="s">
        <v>1949</v>
      </c>
      <c r="H75" s="15">
        <v>120000</v>
      </c>
      <c r="I75" s="2">
        <f>Tabla24567[[#This Row],[TOTAL FACTURA]]*0.7</f>
        <v>84000</v>
      </c>
      <c r="J75" s="131">
        <f>Tabla24567[[#This Row],[TOTAL FACTURA]]-Tabla24567[[#This Row],[PORCENTAJE A CANCELAR]]</f>
        <v>36000</v>
      </c>
      <c r="L75" s="11"/>
      <c r="M75" s="11">
        <f>Tabla24567[[#This Row],[MONTO DE COMPRA]]/1.19</f>
        <v>0</v>
      </c>
      <c r="N75" s="11">
        <f>Tabla24567[[#This Row],[Columna1]]*19%</f>
        <v>0</v>
      </c>
      <c r="O75" s="11"/>
      <c r="P75" s="11">
        <f>Tabla24567[[#This Row],[VENTA ]]/1.19</f>
        <v>0</v>
      </c>
      <c r="Q75" s="11">
        <f>Tabla24567[[#This Row],[Columna2]]*19%</f>
        <v>0</v>
      </c>
      <c r="R75" s="11">
        <f>Tabla24567[[#This Row],[IVA VENTA ]]-Tabla24567[[#This Row],[IV COMPRA]]</f>
        <v>0</v>
      </c>
      <c r="S75" s="11">
        <f>(Tabla24567[[#This Row],[VENTA ]]-(Tabla24567[[#This Row],[MONTO DE COMPRA]]+Tabla24567[[#This Row],[DIFERENCIA IVA ]]))</f>
        <v>0</v>
      </c>
    </row>
    <row r="76" spans="1:19" ht="30" x14ac:dyDescent="0.25">
      <c r="A76" s="56">
        <v>44760</v>
      </c>
      <c r="B76" s="4" t="s">
        <v>2451</v>
      </c>
      <c r="C76" s="4" t="s">
        <v>2452</v>
      </c>
      <c r="D76" s="1" t="s">
        <v>1947</v>
      </c>
      <c r="E76" s="4" t="s">
        <v>2453</v>
      </c>
      <c r="F76" s="1" t="s">
        <v>2454</v>
      </c>
      <c r="G76" s="134" t="s">
        <v>2455</v>
      </c>
      <c r="H76" s="15">
        <v>100000</v>
      </c>
      <c r="I76" s="2">
        <f>Tabla24567[[#This Row],[TOTAL FACTURA]]*0.7</f>
        <v>70000</v>
      </c>
      <c r="J76" s="131">
        <f>Tabla24567[[#This Row],[TOTAL FACTURA]]-Tabla24567[[#This Row],[PORCENTAJE A CANCELAR]]</f>
        <v>30000</v>
      </c>
      <c r="K76" s="10" t="s">
        <v>2456</v>
      </c>
      <c r="L76" s="11">
        <f>38000+70000+45000</f>
        <v>153000</v>
      </c>
      <c r="M76" s="11">
        <f>Tabla24567[[#This Row],[MONTO DE COMPRA]]/1.19</f>
        <v>128571.42857142858</v>
      </c>
      <c r="N76" s="11">
        <f>Tabla24567[[#This Row],[Columna1]]*19%</f>
        <v>24428.571428571431</v>
      </c>
      <c r="O76" s="11">
        <f>50000+92000+60000</f>
        <v>202000</v>
      </c>
      <c r="P76" s="11">
        <f>Tabla24567[[#This Row],[VENTA ]]/1.19</f>
        <v>169747.89915966388</v>
      </c>
      <c r="Q76" s="11">
        <f>Tabla24567[[#This Row],[Columna2]]*19%</f>
        <v>32252.100840336137</v>
      </c>
      <c r="R76" s="11">
        <f>Tabla24567[[#This Row],[IVA VENTA ]]-Tabla24567[[#This Row],[IV COMPRA]]</f>
        <v>7823.5294117647063</v>
      </c>
      <c r="S76" s="11">
        <f>(Tabla24567[[#This Row],[VENTA ]]-(Tabla24567[[#This Row],[MONTO DE COMPRA]]+Tabla24567[[#This Row],[DIFERENCIA IVA ]]))</f>
        <v>41176.470588235301</v>
      </c>
    </row>
    <row r="77" spans="1:19" x14ac:dyDescent="0.25">
      <c r="A77" s="56">
        <v>44760</v>
      </c>
      <c r="C77" s="4" t="s">
        <v>2457</v>
      </c>
      <c r="D77" s="1" t="s">
        <v>637</v>
      </c>
      <c r="E77" s="4" t="s">
        <v>2458</v>
      </c>
      <c r="F77" s="1" t="s">
        <v>2460</v>
      </c>
      <c r="G77" s="134" t="s">
        <v>2459</v>
      </c>
      <c r="H77" s="15">
        <v>20000</v>
      </c>
      <c r="I77" s="2">
        <f>Tabla24567[[#This Row],[TOTAL FACTURA]]*0.6</f>
        <v>12000</v>
      </c>
      <c r="J77" s="131">
        <f>Tabla24567[[#This Row],[TOTAL FACTURA]]-Tabla24567[[#This Row],[PORCENTAJE A CANCELAR]]</f>
        <v>8000</v>
      </c>
      <c r="L77" s="11"/>
      <c r="M77" s="11">
        <f>Tabla24567[[#This Row],[MONTO DE COMPRA]]/1.19</f>
        <v>0</v>
      </c>
      <c r="N77" s="11">
        <f>Tabla24567[[#This Row],[Columna1]]*19%</f>
        <v>0</v>
      </c>
      <c r="O77" s="11"/>
      <c r="P77" s="11">
        <f>Tabla24567[[#This Row],[VENTA ]]/1.19</f>
        <v>0</v>
      </c>
      <c r="Q77" s="11">
        <f>Tabla24567[[#This Row],[Columna2]]*19%</f>
        <v>0</v>
      </c>
      <c r="R77" s="11">
        <f>Tabla24567[[#This Row],[IVA VENTA ]]-Tabla24567[[#This Row],[IV COMPRA]]</f>
        <v>0</v>
      </c>
      <c r="S77" s="11">
        <f>(Tabla24567[[#This Row],[VENTA ]]-(Tabla24567[[#This Row],[MONTO DE COMPRA]]+Tabla24567[[#This Row],[DIFERENCIA IVA ]]))</f>
        <v>0</v>
      </c>
    </row>
    <row r="78" spans="1:19" x14ac:dyDescent="0.25">
      <c r="A78" s="56">
        <v>44760</v>
      </c>
      <c r="C78" s="4" t="s">
        <v>1278</v>
      </c>
      <c r="D78" s="1" t="s">
        <v>54</v>
      </c>
      <c r="E78" s="4" t="s">
        <v>2461</v>
      </c>
      <c r="F78" s="1" t="s">
        <v>2460</v>
      </c>
      <c r="G78" s="1" t="s">
        <v>21</v>
      </c>
      <c r="H78" s="15">
        <v>10000</v>
      </c>
      <c r="I78" s="2">
        <f>Tabla24567[[#This Row],[TOTAL FACTURA]]*0.6</f>
        <v>6000</v>
      </c>
      <c r="J78" s="131">
        <f>Tabla24567[[#This Row],[TOTAL FACTURA]]-Tabla24567[[#This Row],[PORCENTAJE A CANCELAR]]</f>
        <v>4000</v>
      </c>
      <c r="L78" s="11"/>
      <c r="M78" s="11">
        <f>Tabla24567[[#This Row],[MONTO DE COMPRA]]/1.19</f>
        <v>0</v>
      </c>
      <c r="N78" s="11">
        <f>Tabla24567[[#This Row],[Columna1]]*19%</f>
        <v>0</v>
      </c>
      <c r="O78" s="11"/>
      <c r="P78" s="11">
        <f>Tabla24567[[#This Row],[VENTA ]]/1.19</f>
        <v>0</v>
      </c>
      <c r="Q78" s="11">
        <f>Tabla24567[[#This Row],[Columna2]]*19%</f>
        <v>0</v>
      </c>
      <c r="R78" s="11">
        <f>Tabla24567[[#This Row],[IVA VENTA ]]-Tabla24567[[#This Row],[IV COMPRA]]</f>
        <v>0</v>
      </c>
      <c r="S78" s="11">
        <f>(Tabla24567[[#This Row],[VENTA ]]-(Tabla24567[[#This Row],[MONTO DE COMPRA]]+Tabla24567[[#This Row],[DIFERENCIA IVA ]]))</f>
        <v>0</v>
      </c>
    </row>
    <row r="79" spans="1:19" x14ac:dyDescent="0.25">
      <c r="A79" s="56">
        <v>44760</v>
      </c>
      <c r="C79" s="4" t="s">
        <v>2462</v>
      </c>
      <c r="D79" s="1" t="s">
        <v>1567</v>
      </c>
      <c r="E79" s="4" t="s">
        <v>2463</v>
      </c>
      <c r="F79" s="1" t="s">
        <v>10</v>
      </c>
      <c r="G79" s="1" t="s">
        <v>2464</v>
      </c>
      <c r="H79" s="15">
        <v>100000</v>
      </c>
      <c r="I79" s="2">
        <f>Tabla24567[[#This Row],[TOTAL FACTURA]]*0.7</f>
        <v>70000</v>
      </c>
      <c r="J79" s="131">
        <f>Tabla24567[[#This Row],[TOTAL FACTURA]]-Tabla24567[[#This Row],[PORCENTAJE A CANCELAR]]</f>
        <v>30000</v>
      </c>
      <c r="L79" s="11"/>
      <c r="M79" s="11">
        <f>Tabla24567[[#This Row],[MONTO DE COMPRA]]/1.19</f>
        <v>0</v>
      </c>
      <c r="N79" s="11">
        <f>Tabla24567[[#This Row],[Columna1]]*19%</f>
        <v>0</v>
      </c>
      <c r="O79" s="11"/>
      <c r="P79" s="11">
        <f>Tabla24567[[#This Row],[VENTA ]]/1.19</f>
        <v>0</v>
      </c>
      <c r="Q79" s="11">
        <f>Tabla24567[[#This Row],[Columna2]]*19%</f>
        <v>0</v>
      </c>
      <c r="R79" s="11">
        <f>Tabla24567[[#This Row],[IVA VENTA ]]-Tabla24567[[#This Row],[IV COMPRA]]</f>
        <v>0</v>
      </c>
      <c r="S79" s="11">
        <f>(Tabla24567[[#This Row],[VENTA ]]-(Tabla24567[[#This Row],[MONTO DE COMPRA]]+Tabla24567[[#This Row],[DIFERENCIA IVA ]]))</f>
        <v>0</v>
      </c>
    </row>
    <row r="80" spans="1:19" x14ac:dyDescent="0.25">
      <c r="A80" s="56">
        <v>44760</v>
      </c>
      <c r="C80" s="130"/>
      <c r="D80" s="1" t="s">
        <v>22</v>
      </c>
      <c r="E80" s="4" t="s">
        <v>2465</v>
      </c>
      <c r="F80" s="1" t="s">
        <v>2460</v>
      </c>
      <c r="G80" s="134" t="s">
        <v>2466</v>
      </c>
      <c r="H80" s="15">
        <v>80000</v>
      </c>
      <c r="I80" s="2">
        <f>Tabla24567[[#This Row],[TOTAL FACTURA]]*0.6</f>
        <v>48000</v>
      </c>
      <c r="J80" s="131">
        <f>Tabla24567[[#This Row],[TOTAL FACTURA]]-Tabla24567[[#This Row],[PORCENTAJE A CANCELAR]]</f>
        <v>32000</v>
      </c>
      <c r="L80" s="11"/>
      <c r="M80" s="11">
        <f>Tabla24567[[#This Row],[MONTO DE COMPRA]]/1.19</f>
        <v>0</v>
      </c>
      <c r="N80" s="11">
        <f>Tabla24567[[#This Row],[Columna1]]*19%</f>
        <v>0</v>
      </c>
      <c r="O80" s="11"/>
      <c r="P80" s="11">
        <f>Tabla24567[[#This Row],[VENTA ]]/1.19</f>
        <v>0</v>
      </c>
      <c r="Q80" s="11">
        <f>Tabla24567[[#This Row],[Columna2]]*19%</f>
        <v>0</v>
      </c>
      <c r="R80" s="11">
        <f>Tabla24567[[#This Row],[IVA VENTA ]]-Tabla24567[[#This Row],[IV COMPRA]]</f>
        <v>0</v>
      </c>
      <c r="S80" s="11">
        <f>(Tabla24567[[#This Row],[VENTA ]]-(Tabla24567[[#This Row],[MONTO DE COMPRA]]+Tabla24567[[#This Row],[DIFERENCIA IVA ]]))</f>
        <v>0</v>
      </c>
    </row>
    <row r="81" spans="1:19" ht="30" x14ac:dyDescent="0.25">
      <c r="A81" s="56">
        <v>44761</v>
      </c>
      <c r="B81" s="4" t="s">
        <v>2468</v>
      </c>
      <c r="C81" s="4" t="s">
        <v>2469</v>
      </c>
      <c r="D81" s="1" t="s">
        <v>122</v>
      </c>
      <c r="E81" s="1" t="s">
        <v>2470</v>
      </c>
      <c r="F81" s="1" t="s">
        <v>2471</v>
      </c>
      <c r="G81" s="134" t="s">
        <v>2472</v>
      </c>
      <c r="H81" s="15">
        <v>180000</v>
      </c>
      <c r="I81" s="2">
        <f>Tabla24567[[#This Row],[TOTAL FACTURA]]*0.7</f>
        <v>125999.99999999999</v>
      </c>
      <c r="J81" s="131">
        <f>Tabla24567[[#This Row],[TOTAL FACTURA]]-Tabla24567[[#This Row],[PORCENTAJE A CANCELAR]]</f>
        <v>54000.000000000015</v>
      </c>
      <c r="K81" s="10" t="s">
        <v>2473</v>
      </c>
      <c r="L81" s="11">
        <v>275000</v>
      </c>
      <c r="M81" s="11">
        <f>Tabla24567[[#This Row],[MONTO DE COMPRA]]/1.19</f>
        <v>231092.43697478992</v>
      </c>
      <c r="N81" s="11">
        <f>Tabla24567[[#This Row],[Columna1]]*19%</f>
        <v>43907.563025210082</v>
      </c>
      <c r="O81" s="11">
        <f>220000+210000+75000+22000+10000+16000</f>
        <v>553000</v>
      </c>
      <c r="P81" s="11">
        <f>Tabla24567[[#This Row],[VENTA ]]/1.19</f>
        <v>464705.8823529412</v>
      </c>
      <c r="Q81" s="11">
        <f>Tabla24567[[#This Row],[Columna2]]*19%</f>
        <v>88294.117647058825</v>
      </c>
      <c r="R81" s="11">
        <f>Tabla24567[[#This Row],[IVA VENTA ]]-Tabla24567[[#This Row],[IV COMPRA]]</f>
        <v>44386.554621848743</v>
      </c>
      <c r="S81" s="11">
        <f>(Tabla24567[[#This Row],[VENTA ]]-(Tabla24567[[#This Row],[MONTO DE COMPRA]]+Tabla24567[[#This Row],[DIFERENCIA IVA ]]))</f>
        <v>233613.44537815126</v>
      </c>
    </row>
    <row r="82" spans="1:19" ht="30" x14ac:dyDescent="0.25">
      <c r="A82" s="56">
        <v>44761</v>
      </c>
      <c r="B82" s="4" t="s">
        <v>2475</v>
      </c>
      <c r="C82" s="4" t="s">
        <v>2476</v>
      </c>
      <c r="D82" s="1" t="s">
        <v>1414</v>
      </c>
      <c r="E82" s="4" t="s">
        <v>2166</v>
      </c>
      <c r="F82" s="1" t="s">
        <v>2471</v>
      </c>
      <c r="G82" s="134" t="s">
        <v>2477</v>
      </c>
      <c r="H82" s="15">
        <v>410000</v>
      </c>
      <c r="I82" s="2">
        <f>Tabla24567[[#This Row],[TOTAL FACTURA]]*0.7</f>
        <v>287000</v>
      </c>
      <c r="J82" s="131">
        <f>Tabla24567[[#This Row],[TOTAL FACTURA]]-Tabla24567[[#This Row],[PORCENTAJE A CANCELAR]]</f>
        <v>123000</v>
      </c>
      <c r="K82" s="1" t="s">
        <v>2484</v>
      </c>
      <c r="L82" s="11">
        <v>530000</v>
      </c>
      <c r="M82" s="11">
        <f>Tabla24567[[#This Row],[MONTO DE COMPRA]]/1.19</f>
        <v>445378.15126050421</v>
      </c>
      <c r="N82" s="11">
        <f>Tabla24567[[#This Row],[Columna1]]*19%</f>
        <v>84621.848739495807</v>
      </c>
      <c r="O82" s="11">
        <v>1077001</v>
      </c>
      <c r="P82" s="11">
        <f>Tabla24567[[#This Row],[VENTA ]]/1.19</f>
        <v>905042.85714285716</v>
      </c>
      <c r="Q82" s="11">
        <f>Tabla24567[[#This Row],[Columna2]]*19%</f>
        <v>171958.14285714287</v>
      </c>
      <c r="R82" s="11">
        <f>Tabla24567[[#This Row],[IVA VENTA ]]-Tabla24567[[#This Row],[IV COMPRA]]</f>
        <v>87336.294117647063</v>
      </c>
      <c r="S82" s="11">
        <f>(Tabla24567[[#This Row],[VENTA ]]-(Tabla24567[[#This Row],[MONTO DE COMPRA]]+Tabla24567[[#This Row],[DIFERENCIA IVA ]]))</f>
        <v>459664.70588235289</v>
      </c>
    </row>
    <row r="83" spans="1:19" x14ac:dyDescent="0.25">
      <c r="A83" s="56">
        <v>44761</v>
      </c>
      <c r="C83" s="130"/>
      <c r="E83" s="4" t="s">
        <v>2478</v>
      </c>
      <c r="F83" s="1" t="s">
        <v>2460</v>
      </c>
      <c r="G83" s="134" t="s">
        <v>250</v>
      </c>
      <c r="H83" s="15">
        <v>30000</v>
      </c>
      <c r="I83" s="2">
        <f>Tabla24567[[#This Row],[TOTAL FACTURA]]*0.6</f>
        <v>18000</v>
      </c>
      <c r="J83" s="131">
        <f>Tabla24567[[#This Row],[TOTAL FACTURA]]-Tabla24567[[#This Row],[PORCENTAJE A CANCELAR]]</f>
        <v>12000</v>
      </c>
      <c r="L83" s="11"/>
      <c r="M83" s="11">
        <f>Tabla24567[[#This Row],[MONTO DE COMPRA]]/1.19</f>
        <v>0</v>
      </c>
      <c r="N83" s="11">
        <f>Tabla24567[[#This Row],[Columna1]]*19%</f>
        <v>0</v>
      </c>
      <c r="O83" s="11"/>
      <c r="P83" s="11">
        <f>Tabla24567[[#This Row],[VENTA ]]/1.19</f>
        <v>0</v>
      </c>
      <c r="Q83" s="11">
        <f>Tabla24567[[#This Row],[Columna2]]*19%</f>
        <v>0</v>
      </c>
      <c r="R83" s="11">
        <f>Tabla24567[[#This Row],[IVA VENTA ]]-Tabla24567[[#This Row],[IV COMPRA]]</f>
        <v>0</v>
      </c>
      <c r="S83" s="11">
        <f>(Tabla24567[[#This Row],[VENTA ]]-(Tabla24567[[#This Row],[MONTO DE COMPRA]]+Tabla24567[[#This Row],[DIFERENCIA IVA ]]))</f>
        <v>0</v>
      </c>
    </row>
    <row r="84" spans="1:19" x14ac:dyDescent="0.25">
      <c r="A84" s="56">
        <v>44761</v>
      </c>
      <c r="C84" s="4" t="s">
        <v>1199</v>
      </c>
      <c r="D84" s="1" t="s">
        <v>54</v>
      </c>
      <c r="E84" s="4" t="s">
        <v>2479</v>
      </c>
      <c r="F84" s="1" t="s">
        <v>603</v>
      </c>
      <c r="G84" s="134" t="s">
        <v>2480</v>
      </c>
      <c r="H84" s="15">
        <v>30000</v>
      </c>
      <c r="I84" s="2">
        <v>30000</v>
      </c>
      <c r="J84" s="131">
        <f>Tabla24567[[#This Row],[TOTAL FACTURA]]-Tabla24567[[#This Row],[PORCENTAJE A CANCELAR]]</f>
        <v>0</v>
      </c>
      <c r="L84" s="11"/>
      <c r="M84" s="11">
        <f>Tabla24567[[#This Row],[MONTO DE COMPRA]]/1.19</f>
        <v>0</v>
      </c>
      <c r="N84" s="11">
        <f>Tabla24567[[#This Row],[Columna1]]*19%</f>
        <v>0</v>
      </c>
      <c r="O84" s="11"/>
      <c r="P84" s="11">
        <f>Tabla24567[[#This Row],[VENTA ]]/1.19</f>
        <v>0</v>
      </c>
      <c r="Q84" s="11">
        <f>Tabla24567[[#This Row],[Columna2]]*19%</f>
        <v>0</v>
      </c>
      <c r="R84" s="11">
        <f>Tabla24567[[#This Row],[IVA VENTA ]]-Tabla24567[[#This Row],[IV COMPRA]]</f>
        <v>0</v>
      </c>
      <c r="S84" s="11">
        <f>(Tabla24567[[#This Row],[VENTA ]]-(Tabla24567[[#This Row],[MONTO DE COMPRA]]+Tabla24567[[#This Row],[DIFERENCIA IVA ]]))</f>
        <v>0</v>
      </c>
    </row>
    <row r="85" spans="1:19" x14ac:dyDescent="0.25">
      <c r="A85" s="56">
        <v>44761</v>
      </c>
      <c r="C85" s="130"/>
      <c r="E85" s="4"/>
      <c r="F85" s="1" t="s">
        <v>19</v>
      </c>
      <c r="G85" s="134" t="s">
        <v>2481</v>
      </c>
      <c r="H85" s="15">
        <v>20000</v>
      </c>
      <c r="I85" s="2">
        <f>Tabla24567[[#This Row],[TOTAL FACTURA]]*0.7</f>
        <v>14000</v>
      </c>
      <c r="J85" s="131">
        <f>Tabla24567[[#This Row],[TOTAL FACTURA]]-Tabla24567[[#This Row],[PORCENTAJE A CANCELAR]]</f>
        <v>6000</v>
      </c>
      <c r="L85" s="11"/>
      <c r="M85" s="11">
        <f>Tabla24567[[#This Row],[MONTO DE COMPRA]]/1.19</f>
        <v>0</v>
      </c>
      <c r="N85" s="11">
        <f>Tabla24567[[#This Row],[Columna1]]*19%</f>
        <v>0</v>
      </c>
      <c r="O85" s="11"/>
      <c r="P85" s="11">
        <f>Tabla24567[[#This Row],[VENTA ]]/1.19</f>
        <v>0</v>
      </c>
      <c r="Q85" s="11">
        <f>Tabla24567[[#This Row],[Columna2]]*19%</f>
        <v>0</v>
      </c>
      <c r="R85" s="11">
        <f>Tabla24567[[#This Row],[IVA VENTA ]]-Tabla24567[[#This Row],[IV COMPRA]]</f>
        <v>0</v>
      </c>
      <c r="S85" s="11">
        <f>(Tabla24567[[#This Row],[VENTA ]]-(Tabla24567[[#This Row],[MONTO DE COMPRA]]+Tabla24567[[#This Row],[DIFERENCIA IVA ]]))</f>
        <v>0</v>
      </c>
    </row>
    <row r="86" spans="1:19" x14ac:dyDescent="0.25">
      <c r="A86" s="56">
        <v>44761</v>
      </c>
      <c r="C86" s="4" t="s">
        <v>2482</v>
      </c>
      <c r="D86" s="1" t="s">
        <v>52</v>
      </c>
      <c r="E86" s="4" t="s">
        <v>2483</v>
      </c>
      <c r="F86" s="1" t="s">
        <v>34</v>
      </c>
      <c r="G86" s="134" t="s">
        <v>986</v>
      </c>
      <c r="H86" s="15">
        <v>10000</v>
      </c>
      <c r="I86" s="2">
        <f>Tabla24567[[#This Row],[TOTAL FACTURA]]*0.6</f>
        <v>6000</v>
      </c>
      <c r="J86" s="131">
        <f>Tabla24567[[#This Row],[TOTAL FACTURA]]-Tabla24567[[#This Row],[PORCENTAJE A CANCELAR]]</f>
        <v>4000</v>
      </c>
      <c r="L86" s="11"/>
      <c r="M86" s="11">
        <f>Tabla24567[[#This Row],[MONTO DE COMPRA]]/1.19</f>
        <v>0</v>
      </c>
      <c r="N86" s="11">
        <f>Tabla24567[[#This Row],[Columna1]]*19%</f>
        <v>0</v>
      </c>
      <c r="O86" s="11"/>
      <c r="P86" s="11">
        <f>Tabla24567[[#This Row],[VENTA ]]/1.19</f>
        <v>0</v>
      </c>
      <c r="Q86" s="11">
        <f>Tabla24567[[#This Row],[Columna2]]*19%</f>
        <v>0</v>
      </c>
      <c r="R86" s="11">
        <f>Tabla24567[[#This Row],[IVA VENTA ]]-Tabla24567[[#This Row],[IV COMPRA]]</f>
        <v>0</v>
      </c>
      <c r="S86" s="11">
        <f>(Tabla24567[[#This Row],[VENTA ]]-(Tabla24567[[#This Row],[MONTO DE COMPRA]]+Tabla24567[[#This Row],[DIFERENCIA IVA ]]))</f>
        <v>0</v>
      </c>
    </row>
    <row r="87" spans="1:19" x14ac:dyDescent="0.25">
      <c r="A87" s="56">
        <v>44763</v>
      </c>
      <c r="C87" s="4" t="s">
        <v>2485</v>
      </c>
      <c r="D87" s="1" t="s">
        <v>2486</v>
      </c>
      <c r="E87" s="4" t="s">
        <v>486</v>
      </c>
      <c r="F87" s="1" t="s">
        <v>2487</v>
      </c>
      <c r="G87" s="134" t="s">
        <v>2012</v>
      </c>
      <c r="H87" s="15">
        <v>100000</v>
      </c>
      <c r="I87" s="2">
        <v>80000</v>
      </c>
      <c r="J87" s="131">
        <f>Tabla24567[[#This Row],[TOTAL FACTURA]]-Tabla24567[[#This Row],[PORCENTAJE A CANCELAR]]</f>
        <v>20000</v>
      </c>
      <c r="L87" s="11"/>
      <c r="M87" s="11">
        <f>Tabla24567[[#This Row],[MONTO DE COMPRA]]/1.19</f>
        <v>0</v>
      </c>
      <c r="N87" s="11">
        <f>Tabla24567[[#This Row],[Columna1]]*19%</f>
        <v>0</v>
      </c>
      <c r="O87" s="11"/>
      <c r="P87" s="11">
        <f>Tabla24567[[#This Row],[VENTA ]]/1.19</f>
        <v>0</v>
      </c>
      <c r="Q87" s="11">
        <f>Tabla24567[[#This Row],[Columna2]]*19%</f>
        <v>0</v>
      </c>
      <c r="R87" s="11">
        <f>Tabla24567[[#This Row],[IVA VENTA ]]-Tabla24567[[#This Row],[IV COMPRA]]</f>
        <v>0</v>
      </c>
      <c r="S87" s="11">
        <f>(Tabla24567[[#This Row],[VENTA ]]-(Tabla24567[[#This Row],[MONTO DE COMPRA]]+Tabla24567[[#This Row],[DIFERENCIA IVA ]]))</f>
        <v>0</v>
      </c>
    </row>
    <row r="88" spans="1:19" x14ac:dyDescent="0.25">
      <c r="A88" s="56">
        <v>44763</v>
      </c>
      <c r="C88" s="130"/>
      <c r="E88" s="4"/>
      <c r="F88" s="1" t="s">
        <v>2495</v>
      </c>
      <c r="G88" s="134" t="s">
        <v>128</v>
      </c>
      <c r="H88" s="15">
        <v>10000</v>
      </c>
      <c r="I88" s="2">
        <f>Tabla24567[[#This Row],[TOTAL FACTURA]]*0.6</f>
        <v>6000</v>
      </c>
      <c r="J88" s="131">
        <f>Tabla24567[[#This Row],[TOTAL FACTURA]]-Tabla24567[[#This Row],[PORCENTAJE A CANCELAR]]</f>
        <v>4000</v>
      </c>
      <c r="L88" s="11"/>
      <c r="M88" s="11">
        <f>Tabla24567[[#This Row],[MONTO DE COMPRA]]/1.19</f>
        <v>0</v>
      </c>
      <c r="N88" s="11">
        <f>Tabla24567[[#This Row],[Columna1]]*19%</f>
        <v>0</v>
      </c>
      <c r="O88" s="11"/>
      <c r="P88" s="11">
        <f>Tabla24567[[#This Row],[VENTA ]]/1.19</f>
        <v>0</v>
      </c>
      <c r="Q88" s="11">
        <f>Tabla24567[[#This Row],[Columna2]]*19%</f>
        <v>0</v>
      </c>
      <c r="R88" s="11">
        <f>Tabla24567[[#This Row],[IVA VENTA ]]-Tabla24567[[#This Row],[IV COMPRA]]</f>
        <v>0</v>
      </c>
      <c r="S88" s="11">
        <f>(Tabla24567[[#This Row],[VENTA ]]-(Tabla24567[[#This Row],[MONTO DE COMPRA]]+Tabla24567[[#This Row],[DIFERENCIA IVA ]]))</f>
        <v>0</v>
      </c>
    </row>
    <row r="89" spans="1:19" x14ac:dyDescent="0.25">
      <c r="A89" s="56">
        <v>44764</v>
      </c>
      <c r="C89" s="4" t="s">
        <v>2489</v>
      </c>
      <c r="E89" s="4"/>
      <c r="F89" s="1" t="s">
        <v>1039</v>
      </c>
      <c r="G89" s="134" t="s">
        <v>2490</v>
      </c>
      <c r="H89" s="15">
        <v>30000</v>
      </c>
      <c r="I89" s="2">
        <f>Tabla24567[[#This Row],[TOTAL FACTURA]]*0.6</f>
        <v>18000</v>
      </c>
      <c r="J89" s="131">
        <f>Tabla24567[[#This Row],[TOTAL FACTURA]]-Tabla24567[[#This Row],[PORCENTAJE A CANCELAR]]</f>
        <v>12000</v>
      </c>
      <c r="L89" s="11"/>
      <c r="M89" s="11">
        <f>Tabla24567[[#This Row],[MONTO DE COMPRA]]/1.19</f>
        <v>0</v>
      </c>
      <c r="N89" s="11">
        <f>Tabla24567[[#This Row],[Columna1]]*19%</f>
        <v>0</v>
      </c>
      <c r="O89" s="11"/>
      <c r="P89" s="11">
        <f>Tabla24567[[#This Row],[VENTA ]]/1.19</f>
        <v>0</v>
      </c>
      <c r="Q89" s="11">
        <f>Tabla24567[[#This Row],[Columna2]]*19%</f>
        <v>0</v>
      </c>
      <c r="R89" s="11">
        <f>Tabla24567[[#This Row],[IVA VENTA ]]-Tabla24567[[#This Row],[IV COMPRA]]</f>
        <v>0</v>
      </c>
      <c r="S89" s="11">
        <f>(Tabla24567[[#This Row],[VENTA ]]-(Tabla24567[[#This Row],[MONTO DE COMPRA]]+Tabla24567[[#This Row],[DIFERENCIA IVA ]]))</f>
        <v>0</v>
      </c>
    </row>
    <row r="90" spans="1:19" x14ac:dyDescent="0.25">
      <c r="A90" s="56">
        <v>44764</v>
      </c>
      <c r="C90" s="4" t="s">
        <v>2360</v>
      </c>
      <c r="D90" s="1" t="s">
        <v>989</v>
      </c>
      <c r="E90" s="4" t="s">
        <v>2267</v>
      </c>
      <c r="F90" s="1" t="s">
        <v>2449</v>
      </c>
      <c r="G90" s="134" t="s">
        <v>2491</v>
      </c>
      <c r="H90" s="15">
        <v>150000</v>
      </c>
      <c r="I90" s="2">
        <f>Tabla24567[[#This Row],[TOTAL FACTURA]]*0.7</f>
        <v>105000</v>
      </c>
      <c r="J90" s="131">
        <f>Tabla24567[[#This Row],[TOTAL FACTURA]]-Tabla24567[[#This Row],[PORCENTAJE A CANCELAR]]</f>
        <v>45000</v>
      </c>
      <c r="K90" s="1" t="s">
        <v>2492</v>
      </c>
      <c r="L90" s="11">
        <v>80000</v>
      </c>
      <c r="M90" s="11">
        <f>Tabla24567[[#This Row],[MONTO DE COMPRA]]/1.19</f>
        <v>67226.890756302528</v>
      </c>
      <c r="N90" s="11">
        <f>Tabla24567[[#This Row],[Columna1]]*19%</f>
        <v>12773.10924369748</v>
      </c>
      <c r="O90" s="11">
        <v>160000</v>
      </c>
      <c r="P90" s="11">
        <f>Tabla24567[[#This Row],[VENTA ]]/1.19</f>
        <v>134453.78151260506</v>
      </c>
      <c r="Q90" s="11">
        <f>Tabla24567[[#This Row],[Columna2]]*19%</f>
        <v>25546.218487394959</v>
      </c>
      <c r="R90" s="11">
        <f>Tabla24567[[#This Row],[IVA VENTA ]]-Tabla24567[[#This Row],[IV COMPRA]]</f>
        <v>12773.10924369748</v>
      </c>
      <c r="S90" s="11">
        <f>(Tabla24567[[#This Row],[VENTA ]]-(Tabla24567[[#This Row],[MONTO DE COMPRA]]+Tabla24567[[#This Row],[DIFERENCIA IVA ]]))</f>
        <v>67226.890756302513</v>
      </c>
    </row>
    <row r="91" spans="1:19" x14ac:dyDescent="0.25">
      <c r="A91" s="56">
        <v>44764</v>
      </c>
      <c r="C91" s="130"/>
      <c r="D91" s="1" t="s">
        <v>1434</v>
      </c>
      <c r="E91" s="4" t="s">
        <v>1435</v>
      </c>
      <c r="F91" s="1" t="s">
        <v>2493</v>
      </c>
      <c r="G91" s="134" t="s">
        <v>2494</v>
      </c>
      <c r="H91" s="15">
        <v>50000</v>
      </c>
      <c r="I91" s="2">
        <v>50000</v>
      </c>
      <c r="J91" s="131">
        <f>Tabla24567[[#This Row],[TOTAL FACTURA]]-Tabla24567[[#This Row],[PORCENTAJE A CANCELAR]]</f>
        <v>0</v>
      </c>
      <c r="L91" s="11"/>
      <c r="M91" s="11">
        <f>Tabla24567[[#This Row],[MONTO DE COMPRA]]/1.19</f>
        <v>0</v>
      </c>
      <c r="N91" s="11">
        <f>Tabla24567[[#This Row],[Columna1]]*19%</f>
        <v>0</v>
      </c>
      <c r="O91" s="11"/>
      <c r="P91" s="11">
        <f>Tabla24567[[#This Row],[VENTA ]]/1.19</f>
        <v>0</v>
      </c>
      <c r="Q91" s="11">
        <f>Tabla24567[[#This Row],[Columna2]]*19%</f>
        <v>0</v>
      </c>
      <c r="R91" s="11">
        <f>Tabla24567[[#This Row],[IVA VENTA ]]-Tabla24567[[#This Row],[IV COMPRA]]</f>
        <v>0</v>
      </c>
      <c r="S91" s="11">
        <f>(Tabla24567[[#This Row],[VENTA ]]-(Tabla24567[[#This Row],[MONTO DE COMPRA]]+Tabla24567[[#This Row],[DIFERENCIA IVA ]]))</f>
        <v>0</v>
      </c>
    </row>
    <row r="92" spans="1:19" x14ac:dyDescent="0.25">
      <c r="A92" s="56">
        <v>44764</v>
      </c>
      <c r="C92" s="130"/>
      <c r="E92" s="4"/>
      <c r="F92" s="1" t="s">
        <v>603</v>
      </c>
      <c r="G92" s="134" t="s">
        <v>434</v>
      </c>
      <c r="H92" s="15">
        <v>80000</v>
      </c>
      <c r="I92" s="2">
        <f>Tabla24567[[#This Row],[TOTAL FACTURA]]*0.6</f>
        <v>48000</v>
      </c>
      <c r="J92" s="131">
        <f>Tabla24567[[#This Row],[TOTAL FACTURA]]-Tabla24567[[#This Row],[PORCENTAJE A CANCELAR]]</f>
        <v>32000</v>
      </c>
      <c r="L92" s="11"/>
      <c r="M92" s="11">
        <f>Tabla24567[[#This Row],[MONTO DE COMPRA]]/1.19</f>
        <v>0</v>
      </c>
      <c r="N92" s="11">
        <f>Tabla24567[[#This Row],[Columna1]]*19%</f>
        <v>0</v>
      </c>
      <c r="O92" s="11"/>
      <c r="P92" s="11">
        <f>Tabla24567[[#This Row],[VENTA ]]/1.19</f>
        <v>0</v>
      </c>
      <c r="Q92" s="11">
        <f>Tabla24567[[#This Row],[Columna2]]*19%</f>
        <v>0</v>
      </c>
      <c r="R92" s="11">
        <f>Tabla24567[[#This Row],[IVA VENTA ]]-Tabla24567[[#This Row],[IV COMPRA]]</f>
        <v>0</v>
      </c>
      <c r="S92" s="11">
        <f>(Tabla24567[[#This Row],[VENTA ]]-(Tabla24567[[#This Row],[MONTO DE COMPRA]]+Tabla24567[[#This Row],[DIFERENCIA IVA ]]))</f>
        <v>0</v>
      </c>
    </row>
    <row r="93" spans="1:19" x14ac:dyDescent="0.25">
      <c r="A93" s="56">
        <v>44764</v>
      </c>
      <c r="C93" s="4" t="s">
        <v>1958</v>
      </c>
      <c r="D93" s="1" t="s">
        <v>521</v>
      </c>
      <c r="E93" s="4" t="s">
        <v>1959</v>
      </c>
      <c r="F93" s="1" t="s">
        <v>2495</v>
      </c>
      <c r="G93" s="134" t="s">
        <v>2509</v>
      </c>
      <c r="H93" s="15">
        <v>240000</v>
      </c>
      <c r="I93" s="2">
        <f>Tabla24567[[#This Row],[TOTAL FACTURA]]*0.6</f>
        <v>144000</v>
      </c>
      <c r="J93" s="131">
        <f>Tabla24567[[#This Row],[TOTAL FACTURA]]-Tabla24567[[#This Row],[PORCENTAJE A CANCELAR]]</f>
        <v>96000</v>
      </c>
      <c r="L93" s="11"/>
      <c r="M93" s="11">
        <f>Tabla24567[[#This Row],[MONTO DE COMPRA]]/1.19</f>
        <v>0</v>
      </c>
      <c r="N93" s="11">
        <f>Tabla24567[[#This Row],[Columna1]]*19%</f>
        <v>0</v>
      </c>
      <c r="O93" s="11"/>
      <c r="P93" s="11">
        <f>Tabla24567[[#This Row],[VENTA ]]/1.19</f>
        <v>0</v>
      </c>
      <c r="Q93" s="11">
        <f>Tabla24567[[#This Row],[Columna2]]*19%</f>
        <v>0</v>
      </c>
      <c r="R93" s="11">
        <f>Tabla24567[[#This Row],[IVA VENTA ]]-Tabla24567[[#This Row],[IV COMPRA]]</f>
        <v>0</v>
      </c>
      <c r="S93" s="11">
        <f>(Tabla24567[[#This Row],[VENTA ]]-(Tabla24567[[#This Row],[MONTO DE COMPRA]]+Tabla24567[[#This Row],[DIFERENCIA IVA ]]))</f>
        <v>0</v>
      </c>
    </row>
    <row r="94" spans="1:19" x14ac:dyDescent="0.25">
      <c r="A94" s="56">
        <v>44764</v>
      </c>
      <c r="C94" s="4" t="s">
        <v>2496</v>
      </c>
      <c r="D94" s="1" t="s">
        <v>2497</v>
      </c>
      <c r="E94" s="4" t="s">
        <v>2498</v>
      </c>
      <c r="F94" s="1" t="s">
        <v>10</v>
      </c>
      <c r="G94" s="134" t="s">
        <v>2499</v>
      </c>
      <c r="H94" s="15">
        <v>120000</v>
      </c>
      <c r="I94" s="2">
        <f>Tabla24567[[#This Row],[TOTAL FACTURA]]*0.7</f>
        <v>84000</v>
      </c>
      <c r="J94" s="131">
        <f>Tabla24567[[#This Row],[TOTAL FACTURA]]-Tabla24567[[#This Row],[PORCENTAJE A CANCELAR]]</f>
        <v>36000</v>
      </c>
      <c r="K94" s="1" t="s">
        <v>2500</v>
      </c>
      <c r="L94" s="11">
        <f>88000+4000+2000</f>
        <v>94000</v>
      </c>
      <c r="M94" s="11">
        <f>Tabla24567[[#This Row],[MONTO DE COMPRA]]/1.19</f>
        <v>78991.596638655465</v>
      </c>
      <c r="N94" s="11">
        <f>Tabla24567[[#This Row],[Columna1]]*19%</f>
        <v>15008.403361344539</v>
      </c>
      <c r="O94" s="11">
        <v>140000</v>
      </c>
      <c r="P94" s="11">
        <f>Tabla24567[[#This Row],[VENTA ]]/1.19</f>
        <v>117647.05882352941</v>
      </c>
      <c r="Q94" s="11">
        <f>Tabla24567[[#This Row],[Columna2]]*19%</f>
        <v>22352.941176470587</v>
      </c>
      <c r="R94" s="11">
        <f>Tabla24567[[#This Row],[IVA VENTA ]]-Tabla24567[[#This Row],[IV COMPRA]]</f>
        <v>7344.5378151260484</v>
      </c>
      <c r="S94" s="11">
        <f>(Tabla24567[[#This Row],[VENTA ]]-(Tabla24567[[#This Row],[MONTO DE COMPRA]]+Tabla24567[[#This Row],[DIFERENCIA IVA ]]))</f>
        <v>38655.462184873948</v>
      </c>
    </row>
    <row r="95" spans="1:19" x14ac:dyDescent="0.25">
      <c r="A95" s="56">
        <v>44764</v>
      </c>
      <c r="C95" s="4" t="s">
        <v>2501</v>
      </c>
      <c r="D95" s="1" t="s">
        <v>200</v>
      </c>
      <c r="E95" s="4" t="s">
        <v>2502</v>
      </c>
      <c r="F95" s="1" t="s">
        <v>19</v>
      </c>
      <c r="G95" s="134" t="s">
        <v>2503</v>
      </c>
      <c r="H95" s="15">
        <v>20000</v>
      </c>
      <c r="I95" s="2">
        <f>Tabla24567[[#This Row],[TOTAL FACTURA]]*0.7</f>
        <v>14000</v>
      </c>
      <c r="J95" s="131">
        <f>Tabla24567[[#This Row],[TOTAL FACTURA]]-Tabla24567[[#This Row],[PORCENTAJE A CANCELAR]]</f>
        <v>6000</v>
      </c>
      <c r="L95" s="11"/>
      <c r="M95" s="11">
        <f>Tabla24567[[#This Row],[MONTO DE COMPRA]]/1.19</f>
        <v>0</v>
      </c>
      <c r="N95" s="11">
        <f>Tabla24567[[#This Row],[Columna1]]*19%</f>
        <v>0</v>
      </c>
      <c r="O95" s="11"/>
      <c r="P95" s="11">
        <f>Tabla24567[[#This Row],[VENTA ]]/1.19</f>
        <v>0</v>
      </c>
      <c r="Q95" s="11">
        <f>Tabla24567[[#This Row],[Columna2]]*19%</f>
        <v>0</v>
      </c>
      <c r="R95" s="11">
        <f>Tabla24567[[#This Row],[IVA VENTA ]]-Tabla24567[[#This Row],[IV COMPRA]]</f>
        <v>0</v>
      </c>
      <c r="S95" s="11">
        <f>(Tabla24567[[#This Row],[VENTA ]]-(Tabla24567[[#This Row],[MONTO DE COMPRA]]+Tabla24567[[#This Row],[DIFERENCIA IVA ]]))</f>
        <v>0</v>
      </c>
    </row>
    <row r="96" spans="1:19" x14ac:dyDescent="0.25">
      <c r="A96" s="56">
        <v>44764</v>
      </c>
      <c r="C96" s="4" t="s">
        <v>2504</v>
      </c>
      <c r="D96" s="1" t="s">
        <v>268</v>
      </c>
      <c r="E96" s="4" t="s">
        <v>2505</v>
      </c>
      <c r="F96" s="1" t="s">
        <v>2495</v>
      </c>
      <c r="G96" s="134" t="s">
        <v>270</v>
      </c>
      <c r="H96" s="15">
        <v>180000</v>
      </c>
      <c r="I96" s="2">
        <f>Tabla24567[[#This Row],[TOTAL FACTURA]]*0.6</f>
        <v>108000</v>
      </c>
      <c r="J96" s="131">
        <f>Tabla24567[[#This Row],[TOTAL FACTURA]]-Tabla24567[[#This Row],[PORCENTAJE A CANCELAR]]</f>
        <v>72000</v>
      </c>
      <c r="K96" s="1" t="s">
        <v>2506</v>
      </c>
      <c r="L96" s="11">
        <v>850000</v>
      </c>
      <c r="M96" s="11"/>
      <c r="N96" s="11">
        <f>Tabla24567[[#This Row],[Columna1]]*19%</f>
        <v>0</v>
      </c>
      <c r="O96" s="11">
        <v>910000</v>
      </c>
      <c r="P96" s="11"/>
      <c r="Q96" s="11">
        <f>Tabla24567[[#This Row],[Columna2]]*19%</f>
        <v>0</v>
      </c>
      <c r="R96" s="11">
        <f>Tabla24567[[#This Row],[IVA VENTA ]]-Tabla24567[[#This Row],[IV COMPRA]]</f>
        <v>0</v>
      </c>
      <c r="S96" s="11">
        <f>(Tabla24567[[#This Row],[VENTA ]]-(Tabla24567[[#This Row],[MONTO DE COMPRA]]+Tabla24567[[#This Row],[DIFERENCIA IVA ]]))</f>
        <v>60000</v>
      </c>
    </row>
    <row r="97" spans="1:20" x14ac:dyDescent="0.25">
      <c r="A97" s="56">
        <v>44765</v>
      </c>
      <c r="C97" s="4" t="s">
        <v>2510</v>
      </c>
      <c r="D97" s="1" t="s">
        <v>200</v>
      </c>
      <c r="E97" s="4" t="s">
        <v>2512</v>
      </c>
      <c r="F97" s="1" t="s">
        <v>10</v>
      </c>
      <c r="G97" s="134" t="s">
        <v>2511</v>
      </c>
      <c r="H97" s="15">
        <v>60000</v>
      </c>
      <c r="I97" s="2">
        <f>Tabla24567[[#This Row],[TOTAL FACTURA]]*0.7</f>
        <v>42000</v>
      </c>
      <c r="J97" s="131">
        <f>Tabla24567[[#This Row],[TOTAL FACTURA]]-Tabla24567[[#This Row],[PORCENTAJE A CANCELAR]]</f>
        <v>18000</v>
      </c>
      <c r="L97" s="11"/>
      <c r="M97" s="11">
        <f>Tabla24567[[#This Row],[MONTO DE COMPRA]]/1.19</f>
        <v>0</v>
      </c>
      <c r="N97" s="11">
        <f>Tabla24567[[#This Row],[Columna1]]*19%</f>
        <v>0</v>
      </c>
      <c r="O97" s="11"/>
      <c r="P97" s="11">
        <f>Tabla24567[[#This Row],[VENTA ]]/1.19</f>
        <v>0</v>
      </c>
      <c r="Q97" s="11">
        <f>Tabla24567[[#This Row],[Columna2]]*19%</f>
        <v>0</v>
      </c>
      <c r="R97" s="11">
        <f>Tabla24567[[#This Row],[IVA VENTA ]]-Tabla24567[[#This Row],[IV COMPRA]]</f>
        <v>0</v>
      </c>
      <c r="S97" s="11">
        <f>(Tabla24567[[#This Row],[VENTA ]]-(Tabla24567[[#This Row],[MONTO DE COMPRA]]-Tabla24567[[#This Row],[DIFERENCIA IVA ]]))</f>
        <v>0</v>
      </c>
    </row>
    <row r="98" spans="1:20" x14ac:dyDescent="0.25">
      <c r="A98" s="56">
        <v>44765</v>
      </c>
      <c r="C98" s="4" t="s">
        <v>2334</v>
      </c>
      <c r="D98" s="1" t="s">
        <v>1414</v>
      </c>
      <c r="E98" s="4" t="s">
        <v>2335</v>
      </c>
      <c r="F98" s="1" t="s">
        <v>2495</v>
      </c>
      <c r="G98" s="10" t="s">
        <v>2156</v>
      </c>
      <c r="H98" s="15">
        <v>60000</v>
      </c>
      <c r="I98" s="2">
        <f>Tabla24567[[#This Row],[TOTAL FACTURA]]*0.6</f>
        <v>36000</v>
      </c>
      <c r="J98" s="131">
        <f>Tabla24567[[#This Row],[TOTAL FACTURA]]-Tabla24567[[#This Row],[PORCENTAJE A CANCELAR]]</f>
        <v>24000</v>
      </c>
      <c r="L98" s="11"/>
      <c r="M98" s="11">
        <f>Tabla24567[[#This Row],[MONTO DE COMPRA]]/1.19</f>
        <v>0</v>
      </c>
      <c r="N98" s="11">
        <f>Tabla24567[[#This Row],[Columna1]]*19%</f>
        <v>0</v>
      </c>
      <c r="O98" s="11"/>
      <c r="P98" s="11">
        <f>Tabla24567[[#This Row],[VENTA ]]/1.19</f>
        <v>0</v>
      </c>
      <c r="Q98" s="11">
        <f>Tabla24567[[#This Row],[Columna2]]*19%</f>
        <v>0</v>
      </c>
      <c r="R98" s="11">
        <f>Tabla24567[[#This Row],[IVA VENTA ]]-Tabla24567[[#This Row],[IV COMPRA]]</f>
        <v>0</v>
      </c>
      <c r="S98" s="11">
        <f>(Tabla24567[[#This Row],[VENTA ]]-(Tabla24567[[#This Row],[MONTO DE COMPRA]]-Tabla24567[[#This Row],[DIFERENCIA IVA ]]))</f>
        <v>0</v>
      </c>
      <c r="T98" s="11"/>
    </row>
    <row r="99" spans="1:20" x14ac:dyDescent="0.25">
      <c r="A99" s="56">
        <v>44767</v>
      </c>
      <c r="C99" s="4" t="s">
        <v>2571</v>
      </c>
      <c r="D99" s="1" t="s">
        <v>2513</v>
      </c>
      <c r="E99" s="4" t="s">
        <v>2514</v>
      </c>
      <c r="F99" s="1" t="s">
        <v>2446</v>
      </c>
      <c r="G99" s="10" t="s">
        <v>2515</v>
      </c>
      <c r="H99" s="15">
        <v>50000</v>
      </c>
      <c r="I99" s="2">
        <f>Tabla24567[[#This Row],[TOTAL FACTURA]]*0.7</f>
        <v>35000</v>
      </c>
      <c r="J99" s="131">
        <f>Tabla24567[[#This Row],[TOTAL FACTURA]]-Tabla24567[[#This Row],[PORCENTAJE A CANCELAR]]</f>
        <v>15000</v>
      </c>
      <c r="L99" s="11"/>
      <c r="M99" s="11">
        <f>Tabla24567[[#This Row],[MONTO DE COMPRA]]/1.19</f>
        <v>0</v>
      </c>
      <c r="N99" s="11">
        <f>Tabla24567[[#This Row],[Columna1]]*19%</f>
        <v>0</v>
      </c>
      <c r="O99" s="11"/>
      <c r="P99" s="11">
        <f>Tabla24567[[#This Row],[VENTA ]]/1.19</f>
        <v>0</v>
      </c>
      <c r="Q99" s="11">
        <f>Tabla24567[[#This Row],[Columna2]]*19%</f>
        <v>0</v>
      </c>
      <c r="R99" s="11">
        <f>Tabla24567[[#This Row],[IVA VENTA ]]-Tabla24567[[#This Row],[IV COMPRA]]</f>
        <v>0</v>
      </c>
      <c r="S99" s="11">
        <f>(Tabla24567[[#This Row],[VENTA ]]-(Tabla24567[[#This Row],[MONTO DE COMPRA]]-Tabla24567[[#This Row],[DIFERENCIA IVA ]]))</f>
        <v>0</v>
      </c>
      <c r="T99" s="11"/>
    </row>
    <row r="100" spans="1:20" x14ac:dyDescent="0.25">
      <c r="A100" s="56">
        <v>44767</v>
      </c>
      <c r="C100" s="4" t="s">
        <v>215</v>
      </c>
      <c r="E100" s="4" t="s">
        <v>148</v>
      </c>
      <c r="F100" s="1" t="s">
        <v>34</v>
      </c>
      <c r="G100" s="10" t="s">
        <v>2516</v>
      </c>
      <c r="I100" s="2">
        <f>Tabla24567[[#This Row],[TOTAL FACTURA]]*0.6</f>
        <v>0</v>
      </c>
      <c r="J100" s="131">
        <f>Tabla24567[[#This Row],[TOTAL FACTURA]]-Tabla24567[[#This Row],[PORCENTAJE A CANCELAR]]</f>
        <v>0</v>
      </c>
      <c r="L100" s="11"/>
      <c r="M100" s="11">
        <f>Tabla24567[[#This Row],[MONTO DE COMPRA]]/1.19</f>
        <v>0</v>
      </c>
      <c r="N100" s="11">
        <f>Tabla24567[[#This Row],[Columna1]]*19%</f>
        <v>0</v>
      </c>
      <c r="O100" s="11"/>
      <c r="P100" s="11">
        <f>Tabla24567[[#This Row],[VENTA ]]/1.19</f>
        <v>0</v>
      </c>
      <c r="Q100" s="11">
        <f>Tabla24567[[#This Row],[Columna2]]*19%</f>
        <v>0</v>
      </c>
      <c r="R100" s="11">
        <f>Tabla24567[[#This Row],[IVA VENTA ]]-Tabla24567[[#This Row],[IV COMPRA]]</f>
        <v>0</v>
      </c>
      <c r="S100" s="11">
        <f>(Tabla24567[[#This Row],[VENTA ]]-(Tabla24567[[#This Row],[MONTO DE COMPRA]]-Tabla24567[[#This Row],[DIFERENCIA IVA ]]))</f>
        <v>0</v>
      </c>
      <c r="T100" s="11"/>
    </row>
    <row r="101" spans="1:20" x14ac:dyDescent="0.25">
      <c r="A101" s="56">
        <v>44767</v>
      </c>
      <c r="B101" s="4" t="s">
        <v>2520</v>
      </c>
      <c r="C101" s="4" t="s">
        <v>2517</v>
      </c>
      <c r="D101" s="1" t="s">
        <v>48</v>
      </c>
      <c r="E101" s="4" t="s">
        <v>2518</v>
      </c>
      <c r="F101" s="1" t="s">
        <v>2446</v>
      </c>
      <c r="G101" s="10" t="s">
        <v>338</v>
      </c>
      <c r="H101" s="15">
        <v>130000</v>
      </c>
      <c r="I101" s="2">
        <f>Tabla24567[[#This Row],[TOTAL FACTURA]]*0.7</f>
        <v>91000</v>
      </c>
      <c r="J101" s="131">
        <f>Tabla24567[[#This Row],[TOTAL FACTURA]]-Tabla24567[[#This Row],[PORCENTAJE A CANCELAR]]</f>
        <v>39000</v>
      </c>
      <c r="K101" s="1" t="s">
        <v>2519</v>
      </c>
      <c r="L101" s="11">
        <f>8000*4</f>
        <v>32000</v>
      </c>
      <c r="M101" s="11">
        <f>Tabla24567[[#This Row],[MONTO DE COMPRA]]/1.19</f>
        <v>26890.756302521011</v>
      </c>
      <c r="N101" s="11">
        <f>Tabla24567[[#This Row],[Columna1]]*19%</f>
        <v>5109.2436974789925</v>
      </c>
      <c r="O101" s="11">
        <v>48000</v>
      </c>
      <c r="P101" s="11">
        <f>Tabla24567[[#This Row],[VENTA ]]/1.19</f>
        <v>40336.134453781517</v>
      </c>
      <c r="Q101" s="11">
        <f>Tabla24567[[#This Row],[Columna2]]*19%</f>
        <v>7663.8655462184879</v>
      </c>
      <c r="R101" s="11">
        <f>Tabla24567[[#This Row],[IVA VENTA ]]-Tabla24567[[#This Row],[IV COMPRA]]</f>
        <v>2554.6218487394954</v>
      </c>
      <c r="S101" s="11">
        <f>(Tabla24567[[#This Row],[VENTA ]]-(Tabla24567[[#This Row],[MONTO DE COMPRA]]-Tabla24567[[#This Row],[DIFERENCIA IVA ]]))</f>
        <v>18554.621848739494</v>
      </c>
      <c r="T101" s="11"/>
    </row>
    <row r="102" spans="1:20" x14ac:dyDescent="0.25">
      <c r="A102" s="56">
        <v>44767</v>
      </c>
      <c r="B102" s="4" t="s">
        <v>2521</v>
      </c>
      <c r="C102" s="4" t="s">
        <v>2522</v>
      </c>
      <c r="D102" s="1" t="s">
        <v>1970</v>
      </c>
      <c r="E102" s="4" t="s">
        <v>1971</v>
      </c>
      <c r="F102" s="1" t="s">
        <v>2446</v>
      </c>
      <c r="G102" s="10" t="s">
        <v>2523</v>
      </c>
      <c r="H102" s="15">
        <v>24000</v>
      </c>
      <c r="I102" s="2">
        <f>Tabla24567[[#This Row],[TOTAL FACTURA]]*0.7</f>
        <v>16800</v>
      </c>
      <c r="J102" s="131">
        <f>Tabla24567[[#This Row],[TOTAL FACTURA]]-Tabla24567[[#This Row],[PORCENTAJE A CANCELAR]]</f>
        <v>7200</v>
      </c>
      <c r="K102" s="1" t="s">
        <v>2524</v>
      </c>
      <c r="L102" s="11">
        <v>63000</v>
      </c>
      <c r="M102" s="11">
        <f>Tabla24567[[#This Row],[MONTO DE COMPRA]]/1.19</f>
        <v>52941.176470588238</v>
      </c>
      <c r="N102" s="11">
        <f>Tabla24567[[#This Row],[Columna1]]*19%</f>
        <v>10058.823529411766</v>
      </c>
      <c r="O102" s="11">
        <v>86000</v>
      </c>
      <c r="P102" s="11"/>
      <c r="Q102" s="11">
        <f>Tabla24567[[#This Row],[Columna2]]*19%</f>
        <v>0</v>
      </c>
      <c r="R102" s="11"/>
      <c r="S102" s="11">
        <f>(Tabla24567[[#This Row],[VENTA ]]-(Tabla24567[[#This Row],[MONTO DE COMPRA]]-Tabla24567[[#This Row],[DIFERENCIA IVA ]]))</f>
        <v>23000</v>
      </c>
      <c r="T102" s="11"/>
    </row>
    <row r="103" spans="1:20" x14ac:dyDescent="0.25">
      <c r="A103" s="56">
        <v>44768</v>
      </c>
      <c r="C103" s="4" t="s">
        <v>2525</v>
      </c>
      <c r="D103" s="1" t="s">
        <v>2526</v>
      </c>
      <c r="E103" s="4" t="s">
        <v>2527</v>
      </c>
      <c r="F103" s="1" t="s">
        <v>10</v>
      </c>
      <c r="G103" s="10" t="s">
        <v>2528</v>
      </c>
      <c r="H103" s="15">
        <v>10000</v>
      </c>
      <c r="I103" s="2">
        <v>10000</v>
      </c>
      <c r="J103" s="131">
        <f>Tabla24567[[#This Row],[TOTAL FACTURA]]-Tabla24567[[#This Row],[PORCENTAJE A CANCELAR]]</f>
        <v>0</v>
      </c>
      <c r="K103" s="1" t="s">
        <v>2529</v>
      </c>
      <c r="L103" s="11">
        <v>18000</v>
      </c>
      <c r="M103" s="11">
        <f>Tabla24567[[#This Row],[MONTO DE COMPRA]]/1.19</f>
        <v>15126.050420168069</v>
      </c>
      <c r="N103" s="11">
        <f>Tabla24567[[#This Row],[Columna1]]*19%</f>
        <v>2873.9495798319331</v>
      </c>
      <c r="O103" s="11">
        <v>25000</v>
      </c>
      <c r="P103" s="11">
        <f>Tabla24567[[#This Row],[VENTA ]]/1.19</f>
        <v>21008.403361344539</v>
      </c>
      <c r="Q103" s="11">
        <f>Tabla24567[[#This Row],[Columna2]]*19%</f>
        <v>3991.5966386554624</v>
      </c>
      <c r="R103" s="11">
        <f>Tabla24567[[#This Row],[IVA VENTA ]]-Tabla24567[[#This Row],[IV COMPRA]]</f>
        <v>1117.6470588235293</v>
      </c>
      <c r="S103" s="11">
        <f>(Tabla24567[[#This Row],[VENTA ]]-(Tabla24567[[#This Row],[MONTO DE COMPRA]]-Tabla24567[[#This Row],[DIFERENCIA IVA ]]))</f>
        <v>8117.6470588235279</v>
      </c>
      <c r="T103" s="11"/>
    </row>
    <row r="104" spans="1:20" ht="30" x14ac:dyDescent="0.25">
      <c r="A104" s="56">
        <v>44767</v>
      </c>
      <c r="B104" s="4" t="s">
        <v>2530</v>
      </c>
      <c r="C104" s="4" t="s">
        <v>2531</v>
      </c>
      <c r="D104" s="1" t="s">
        <v>815</v>
      </c>
      <c r="E104" s="4" t="s">
        <v>2532</v>
      </c>
      <c r="F104" s="1" t="s">
        <v>2495</v>
      </c>
      <c r="G104" s="10" t="s">
        <v>2533</v>
      </c>
      <c r="H104" s="15">
        <v>360000</v>
      </c>
      <c r="I104" s="2">
        <f>Tabla24567[[#This Row],[TOTAL FACTURA]]*0.6</f>
        <v>216000</v>
      </c>
      <c r="J104" s="131">
        <f>Tabla24567[[#This Row],[TOTAL FACTURA]]-Tabla24567[[#This Row],[PORCENTAJE A CANCELAR]]</f>
        <v>144000</v>
      </c>
      <c r="K104" s="1" t="s">
        <v>2534</v>
      </c>
      <c r="L104" s="11">
        <f>37775.52+287803.62+30000+15000+110000+40000</f>
        <v>520579.14</v>
      </c>
      <c r="M104" s="11">
        <f>Tabla24567[[#This Row],[MONTO DE COMPRA]]/1.19</f>
        <v>437461.46218487399</v>
      </c>
      <c r="N104" s="11">
        <f>Tabla24567[[#This Row],[Columna1]]*19%</f>
        <v>83117.677815126066</v>
      </c>
      <c r="O104" s="11">
        <f>800000</f>
        <v>800000</v>
      </c>
      <c r="P104" s="11">
        <f>Tabla24567[[#This Row],[VENTA ]]/1.19</f>
        <v>672268.90756302525</v>
      </c>
      <c r="Q104" s="11">
        <f>Tabla24567[[#This Row],[Columna2]]*19%</f>
        <v>127731.0924369748</v>
      </c>
      <c r="R104" s="11">
        <f>Tabla24567[[#This Row],[IVA VENTA ]]-Tabla24567[[#This Row],[IV COMPRA]]</f>
        <v>44613.414621848729</v>
      </c>
      <c r="S104" s="11">
        <f>(Tabla24567[[#This Row],[VENTA ]]-(Tabla24567[[#This Row],[MONTO DE COMPRA]]-Tabla24567[[#This Row],[DIFERENCIA IVA ]]))</f>
        <v>324034.27462184872</v>
      </c>
      <c r="T104" s="11"/>
    </row>
    <row r="105" spans="1:20" x14ac:dyDescent="0.25">
      <c r="A105" s="56">
        <v>44768</v>
      </c>
      <c r="C105" s="4" t="s">
        <v>2279</v>
      </c>
      <c r="D105" s="1" t="s">
        <v>84</v>
      </c>
      <c r="E105" s="4" t="s">
        <v>2535</v>
      </c>
      <c r="F105" s="1" t="s">
        <v>2446</v>
      </c>
      <c r="G105" s="10" t="s">
        <v>2536</v>
      </c>
      <c r="H105" s="15">
        <v>15000</v>
      </c>
      <c r="I105" s="2">
        <f>Tabla24567[[#This Row],[TOTAL FACTURA]]*0.7</f>
        <v>10500</v>
      </c>
      <c r="J105" s="131">
        <f>Tabla24567[[#This Row],[TOTAL FACTURA]]-Tabla24567[[#This Row],[PORCENTAJE A CANCELAR]]</f>
        <v>4500</v>
      </c>
      <c r="L105" s="11"/>
      <c r="M105" s="11">
        <f>Tabla24567[[#This Row],[MONTO DE COMPRA]]/1.19</f>
        <v>0</v>
      </c>
      <c r="N105" s="11">
        <f>Tabla24567[[#This Row],[Columna1]]*19%</f>
        <v>0</v>
      </c>
      <c r="O105" s="11"/>
      <c r="P105" s="11">
        <f>Tabla24567[[#This Row],[VENTA ]]/1.19</f>
        <v>0</v>
      </c>
      <c r="Q105" s="11">
        <f>Tabla24567[[#This Row],[Columna2]]*19%</f>
        <v>0</v>
      </c>
      <c r="R105" s="11">
        <f>Tabla24567[[#This Row],[IVA VENTA ]]-Tabla24567[[#This Row],[IV COMPRA]]</f>
        <v>0</v>
      </c>
      <c r="S105" s="11">
        <f>(Tabla24567[[#This Row],[VENTA ]]-(Tabla24567[[#This Row],[MONTO DE COMPRA]]-Tabla24567[[#This Row],[DIFERENCIA IVA ]]))</f>
        <v>0</v>
      </c>
      <c r="T105" s="11"/>
    </row>
    <row r="106" spans="1:20" x14ac:dyDescent="0.25">
      <c r="A106" s="56">
        <v>44768</v>
      </c>
      <c r="B106" s="4" t="s">
        <v>2539</v>
      </c>
      <c r="C106" s="4" t="s">
        <v>2540</v>
      </c>
      <c r="D106" s="1" t="s">
        <v>1077</v>
      </c>
      <c r="E106" s="4" t="s">
        <v>2541</v>
      </c>
      <c r="F106" s="1" t="s">
        <v>2446</v>
      </c>
      <c r="G106" s="10" t="s">
        <v>2542</v>
      </c>
      <c r="H106" s="15">
        <v>220000</v>
      </c>
      <c r="I106" s="2">
        <f>Tabla24567[[#This Row],[TOTAL FACTURA]]*0.7</f>
        <v>154000</v>
      </c>
      <c r="J106" s="131">
        <f>Tabla24567[[#This Row],[TOTAL FACTURA]]-Tabla24567[[#This Row],[PORCENTAJE A CANCELAR]]</f>
        <v>66000</v>
      </c>
      <c r="L106" s="11"/>
      <c r="M106" s="11">
        <f>Tabla24567[[#This Row],[MONTO DE COMPRA]]/1.19</f>
        <v>0</v>
      </c>
      <c r="N106" s="11">
        <f>Tabla24567[[#This Row],[Columna1]]*19%</f>
        <v>0</v>
      </c>
      <c r="O106" s="11"/>
      <c r="P106" s="11">
        <f>Tabla24567[[#This Row],[VENTA ]]/1.19</f>
        <v>0</v>
      </c>
      <c r="Q106" s="11">
        <f>Tabla24567[[#This Row],[Columna2]]*19%</f>
        <v>0</v>
      </c>
      <c r="R106" s="11">
        <f>Tabla24567[[#This Row],[IVA VENTA ]]-Tabla24567[[#This Row],[Columna1]]</f>
        <v>0</v>
      </c>
      <c r="S106" s="11">
        <f>(Tabla24567[[#This Row],[VENTA ]]-(Tabla24567[[#This Row],[MONTO DE COMPRA]]-Tabla24567[[#This Row],[DIFERENCIA IVA ]]))</f>
        <v>0</v>
      </c>
      <c r="T106" s="11"/>
    </row>
    <row r="107" spans="1:20" x14ac:dyDescent="0.25">
      <c r="A107" s="56">
        <v>44769</v>
      </c>
      <c r="C107" s="130"/>
      <c r="D107" s="1" t="s">
        <v>2538</v>
      </c>
      <c r="E107" s="4" t="s">
        <v>2537</v>
      </c>
      <c r="F107" s="1" t="s">
        <v>2495</v>
      </c>
      <c r="G107" s="10" t="s">
        <v>211</v>
      </c>
      <c r="H107" s="15">
        <v>30000</v>
      </c>
      <c r="I107" s="2">
        <f>Tabla24567[[#This Row],[TOTAL FACTURA]]*0.6</f>
        <v>18000</v>
      </c>
      <c r="J107" s="131">
        <f>Tabla24567[[#This Row],[TOTAL FACTURA]]-Tabla24567[[#This Row],[PORCENTAJE A CANCELAR]]</f>
        <v>12000</v>
      </c>
      <c r="L107" s="11"/>
      <c r="M107" s="11">
        <f>Tabla24567[[#This Row],[MONTO DE COMPRA]]/1.19</f>
        <v>0</v>
      </c>
      <c r="N107" s="11">
        <f>Tabla24567[[#This Row],[Columna1]]*19%</f>
        <v>0</v>
      </c>
      <c r="O107" s="11"/>
      <c r="P107" s="11">
        <f>Tabla24567[[#This Row],[VENTA ]]/1.19</f>
        <v>0</v>
      </c>
      <c r="Q107" s="11">
        <f>Tabla24567[[#This Row],[Columna2]]*19%</f>
        <v>0</v>
      </c>
      <c r="R107" s="11">
        <f>Tabla24567[[#This Row],[IVA VENTA ]]-Tabla24567[[#This Row],[IV COMPRA]]</f>
        <v>0</v>
      </c>
      <c r="S107" s="11">
        <f>(Tabla24567[[#This Row],[VENTA ]]-(Tabla24567[[#This Row],[MONTO DE COMPRA]]-Tabla24567[[#This Row],[DIFERENCIA IVA ]]))</f>
        <v>0</v>
      </c>
      <c r="T107" s="11"/>
    </row>
    <row r="108" spans="1:20" x14ac:dyDescent="0.25">
      <c r="A108" s="56">
        <v>44769</v>
      </c>
      <c r="B108" s="4" t="s">
        <v>2543</v>
      </c>
      <c r="C108" s="4" t="s">
        <v>2544</v>
      </c>
      <c r="D108" s="1" t="s">
        <v>59</v>
      </c>
      <c r="E108" s="4" t="s">
        <v>2025</v>
      </c>
      <c r="F108" s="1" t="s">
        <v>2446</v>
      </c>
      <c r="G108" s="10" t="s">
        <v>2545</v>
      </c>
      <c r="H108" s="15">
        <v>150000</v>
      </c>
      <c r="I108" s="2">
        <f>Tabla24567[[#This Row],[TOTAL FACTURA]]*0.7</f>
        <v>105000</v>
      </c>
      <c r="J108" s="131">
        <f>Tabla24567[[#This Row],[TOTAL FACTURA]]-Tabla24567[[#This Row],[PORCENTAJE A CANCELAR]]</f>
        <v>45000</v>
      </c>
      <c r="K108" s="1" t="s">
        <v>2546</v>
      </c>
      <c r="L108" s="11">
        <f>150000+12000+20000</f>
        <v>182000</v>
      </c>
      <c r="M108" s="11">
        <f>Tabla24567[[#This Row],[MONTO DE COMPRA]]/1.19</f>
        <v>152941.17647058825</v>
      </c>
      <c r="N108" s="11">
        <f>Tabla24567[[#This Row],[Columna1]]*19%</f>
        <v>29058.823529411769</v>
      </c>
      <c r="O108" s="11">
        <v>204994.64</v>
      </c>
      <c r="P108" s="11">
        <f>Tabla24567[[#This Row],[VENTA ]]/1.19</f>
        <v>172264.40336134456</v>
      </c>
      <c r="Q108" s="11">
        <f>Tabla24567[[#This Row],[Columna2]]*19%</f>
        <v>32730.236638655468</v>
      </c>
      <c r="R108" s="11">
        <f>Tabla24567[[#This Row],[IVA VENTA ]]-Tabla24567[[#This Row],[IV COMPRA]]</f>
        <v>3671.4131092436983</v>
      </c>
      <c r="S108" s="11">
        <f>(Tabla24567[[#This Row],[VENTA ]]-(Tabla24567[[#This Row],[MONTO DE COMPRA]]-Tabla24567[[#This Row],[DIFERENCIA IVA ]]))</f>
        <v>26666.053109243716</v>
      </c>
      <c r="T108" s="11"/>
    </row>
    <row r="109" spans="1:20" x14ac:dyDescent="0.25">
      <c r="A109" s="56">
        <v>44769</v>
      </c>
      <c r="C109" s="4" t="s">
        <v>2547</v>
      </c>
      <c r="D109" s="1" t="s">
        <v>48</v>
      </c>
      <c r="E109" s="4" t="s">
        <v>2548</v>
      </c>
      <c r="F109" s="1" t="s">
        <v>2495</v>
      </c>
      <c r="G109" s="10" t="s">
        <v>2570</v>
      </c>
      <c r="H109" s="15">
        <v>30000</v>
      </c>
      <c r="I109" s="2">
        <f>Tabla24567[[#This Row],[TOTAL FACTURA]]*0.6</f>
        <v>18000</v>
      </c>
      <c r="J109" s="131">
        <f>Tabla24567[[#This Row],[TOTAL FACTURA]]-Tabla24567[[#This Row],[PORCENTAJE A CANCELAR]]</f>
        <v>12000</v>
      </c>
      <c r="L109" s="11"/>
      <c r="M109" s="11">
        <f>Tabla24567[[#This Row],[MONTO DE COMPRA]]/1.19</f>
        <v>0</v>
      </c>
      <c r="N109" s="11">
        <f>Tabla24567[[#This Row],[Columna1]]*19%</f>
        <v>0</v>
      </c>
      <c r="O109" s="11"/>
      <c r="P109" s="11">
        <f>Tabla24567[[#This Row],[VENTA ]]/1.19</f>
        <v>0</v>
      </c>
      <c r="Q109" s="11">
        <f>Tabla24567[[#This Row],[Columna2]]*19%</f>
        <v>0</v>
      </c>
      <c r="R109" s="11">
        <f>Tabla24567[[#This Row],[IVA VENTA ]]-Tabla24567[[#This Row],[IV COMPRA]]</f>
        <v>0</v>
      </c>
      <c r="S109" s="11">
        <f>(Tabla24567[[#This Row],[VENTA ]]-(Tabla24567[[#This Row],[MONTO DE COMPRA]]-Tabla24567[[#This Row],[DIFERENCIA IVA ]]))</f>
        <v>0</v>
      </c>
      <c r="T109" s="11"/>
    </row>
    <row r="110" spans="1:20" x14ac:dyDescent="0.25">
      <c r="A110" s="56">
        <v>44769</v>
      </c>
      <c r="C110" s="130"/>
      <c r="D110" s="1" t="s">
        <v>435</v>
      </c>
      <c r="E110" s="4" t="s">
        <v>2549</v>
      </c>
      <c r="F110" s="1" t="s">
        <v>2495</v>
      </c>
      <c r="G110" s="10" t="s">
        <v>679</v>
      </c>
      <c r="H110" s="15">
        <v>60000</v>
      </c>
      <c r="I110" s="2">
        <f>Tabla24567[[#This Row],[TOTAL FACTURA]]*0.6</f>
        <v>36000</v>
      </c>
      <c r="J110" s="131">
        <f>Tabla24567[[#This Row],[TOTAL FACTURA]]-Tabla24567[[#This Row],[PORCENTAJE A CANCELAR]]</f>
        <v>24000</v>
      </c>
      <c r="L110" s="11"/>
      <c r="M110" s="11">
        <f>Tabla24567[[#This Row],[MONTO DE COMPRA]]/1.19</f>
        <v>0</v>
      </c>
      <c r="N110" s="11">
        <f>Tabla24567[[#This Row],[Columna1]]*19%</f>
        <v>0</v>
      </c>
      <c r="O110" s="11"/>
      <c r="P110" s="11">
        <f>Tabla24567[[#This Row],[VENTA ]]/1.19</f>
        <v>0</v>
      </c>
      <c r="Q110" s="11">
        <f>Tabla24567[[#This Row],[Columna2]]*19%</f>
        <v>0</v>
      </c>
      <c r="R110" s="11">
        <f>Tabla24567[[#This Row],[IVA VENTA ]]-Tabla24567[[#This Row],[IV COMPRA]]</f>
        <v>0</v>
      </c>
      <c r="S110" s="11">
        <f>(Tabla24567[[#This Row],[VENTA ]]-(Tabla24567[[#This Row],[MONTO DE COMPRA]]-Tabla24567[[#This Row],[DIFERENCIA IVA ]]))</f>
        <v>0</v>
      </c>
      <c r="T110" s="11"/>
    </row>
    <row r="111" spans="1:20" ht="30" x14ac:dyDescent="0.25">
      <c r="A111" s="56">
        <v>44770</v>
      </c>
      <c r="C111" s="4" t="s">
        <v>2551</v>
      </c>
      <c r="D111" s="1" t="s">
        <v>1060</v>
      </c>
      <c r="E111" s="4" t="s">
        <v>2550</v>
      </c>
      <c r="F111" s="1" t="s">
        <v>603</v>
      </c>
      <c r="G111" s="10" t="s">
        <v>2552</v>
      </c>
      <c r="H111" s="15">
        <v>140000</v>
      </c>
      <c r="I111" s="2">
        <f>Tabla24567[[#This Row],[TOTAL FACTURA]]*0.6</f>
        <v>84000</v>
      </c>
      <c r="J111" s="131">
        <f>Tabla24567[[#This Row],[TOTAL FACTURA]]-Tabla24567[[#This Row],[PORCENTAJE A CANCELAR]]</f>
        <v>56000</v>
      </c>
      <c r="K111" s="1" t="s">
        <v>2553</v>
      </c>
      <c r="L111" s="11">
        <f>140000+25000</f>
        <v>165000</v>
      </c>
      <c r="M111" s="11">
        <f>Tabla24567[[#This Row],[MONTO DE COMPRA]]/1.19</f>
        <v>138655.46218487396</v>
      </c>
      <c r="N111" s="11">
        <f>Tabla24567[[#This Row],[Columna1]]*19%</f>
        <v>26344.537815126052</v>
      </c>
      <c r="O111" s="11">
        <v>260000</v>
      </c>
      <c r="P111" s="11">
        <f>Tabla24567[[#This Row],[VENTA ]]/1.19</f>
        <v>218487.3949579832</v>
      </c>
      <c r="Q111" s="11">
        <f>Tabla24567[[#This Row],[Columna2]]*19%</f>
        <v>41512.60504201681</v>
      </c>
      <c r="R111" s="11">
        <f>Tabla24567[[#This Row],[IVA VENTA ]]-Tabla24567[[#This Row],[IV COMPRA]]</f>
        <v>15168.067226890758</v>
      </c>
      <c r="S111" s="11">
        <f>(Tabla24567[[#This Row],[VENTA ]]-(Tabla24567[[#This Row],[MONTO DE COMPRA]]-Tabla24567[[#This Row],[DIFERENCIA IVA ]]))</f>
        <v>110168.06722689077</v>
      </c>
      <c r="T111" s="11"/>
    </row>
    <row r="112" spans="1:20" x14ac:dyDescent="0.25">
      <c r="A112" s="56">
        <v>44770</v>
      </c>
      <c r="C112" s="130"/>
      <c r="D112" s="1" t="s">
        <v>48</v>
      </c>
      <c r="E112" s="4"/>
      <c r="F112" s="1" t="s">
        <v>603</v>
      </c>
      <c r="G112" s="10" t="s">
        <v>341</v>
      </c>
      <c r="H112" s="15">
        <v>20000</v>
      </c>
      <c r="I112" s="2">
        <f>Tabla24567[[#This Row],[TOTAL FACTURA]]*0.6</f>
        <v>12000</v>
      </c>
      <c r="J112" s="131">
        <f>Tabla24567[[#This Row],[TOTAL FACTURA]]-Tabla24567[[#This Row],[PORCENTAJE A CANCELAR]]</f>
        <v>8000</v>
      </c>
      <c r="L112" s="11"/>
      <c r="M112" s="11">
        <f>Tabla24567[[#This Row],[MONTO DE COMPRA]]/1.19</f>
        <v>0</v>
      </c>
      <c r="N112" s="11">
        <f>Tabla24567[[#This Row],[Columna1]]*19%</f>
        <v>0</v>
      </c>
      <c r="O112" s="11"/>
      <c r="P112" s="11">
        <f>Tabla24567[[#This Row],[VENTA ]]/1.19</f>
        <v>0</v>
      </c>
      <c r="Q112" s="11">
        <f>Tabla24567[[#This Row],[Columna2]]*19%</f>
        <v>0</v>
      </c>
      <c r="R112" s="11">
        <f>Tabla24567[[#This Row],[IVA VENTA ]]-Tabla24567[[#This Row],[IV COMPRA]]</f>
        <v>0</v>
      </c>
      <c r="S112" s="11">
        <f>(Tabla24567[[#This Row],[VENTA ]]-(Tabla24567[[#This Row],[MONTO DE COMPRA]]-Tabla24567[[#This Row],[DIFERENCIA IVA ]]))</f>
        <v>0</v>
      </c>
      <c r="T112" s="11"/>
    </row>
    <row r="113" spans="1:20" x14ac:dyDescent="0.25">
      <c r="A113" s="56">
        <v>44770</v>
      </c>
      <c r="C113" s="4" t="s">
        <v>1010</v>
      </c>
      <c r="D113" s="1" t="s">
        <v>1011</v>
      </c>
      <c r="E113" s="4" t="s">
        <v>2554</v>
      </c>
      <c r="F113" s="1" t="s">
        <v>10</v>
      </c>
      <c r="G113" s="10" t="s">
        <v>2555</v>
      </c>
      <c r="H113" s="15">
        <v>40000</v>
      </c>
      <c r="I113" s="2">
        <f>Tabla24567[[#This Row],[TOTAL FACTURA]]*0.7</f>
        <v>28000</v>
      </c>
      <c r="J113" s="131">
        <f>Tabla24567[[#This Row],[TOTAL FACTURA]]-Tabla24567[[#This Row],[PORCENTAJE A CANCELAR]]</f>
        <v>12000</v>
      </c>
      <c r="L113" s="11"/>
      <c r="M113" s="11">
        <f>Tabla24567[[#This Row],[MONTO DE COMPRA]]/1.19</f>
        <v>0</v>
      </c>
      <c r="N113" s="11">
        <f>Tabla24567[[#This Row],[Columna1]]*19%</f>
        <v>0</v>
      </c>
      <c r="O113" s="11"/>
      <c r="P113" s="11">
        <f>Tabla24567[[#This Row],[VENTA ]]/1.19</f>
        <v>0</v>
      </c>
      <c r="Q113" s="11">
        <f>Tabla24567[[#This Row],[Columna2]]*19%</f>
        <v>0</v>
      </c>
      <c r="R113" s="11">
        <f>Tabla24567[[#This Row],[IVA VENTA ]]-Tabla24567[[#This Row],[IV COMPRA]]</f>
        <v>0</v>
      </c>
      <c r="S113" s="11">
        <f>(Tabla24567[[#This Row],[VENTA ]]-(Tabla24567[[#This Row],[MONTO DE COMPRA]]-Tabla24567[[#This Row],[DIFERENCIA IVA ]]))</f>
        <v>0</v>
      </c>
      <c r="T113" s="11"/>
    </row>
    <row r="114" spans="1:20" x14ac:dyDescent="0.25">
      <c r="A114" s="56">
        <v>44770</v>
      </c>
      <c r="C114" s="4" t="s">
        <v>2556</v>
      </c>
      <c r="D114" s="1" t="s">
        <v>84</v>
      </c>
      <c r="E114" s="4" t="s">
        <v>223</v>
      </c>
      <c r="F114" s="1" t="s">
        <v>2446</v>
      </c>
      <c r="G114" s="10" t="s">
        <v>2557</v>
      </c>
      <c r="H114" s="15">
        <v>15000</v>
      </c>
      <c r="I114" s="2">
        <f>Tabla24567[[#This Row],[TOTAL FACTURA]]*0.7</f>
        <v>10500</v>
      </c>
      <c r="J114" s="131">
        <f>Tabla24567[[#This Row],[TOTAL FACTURA]]-Tabla24567[[#This Row],[PORCENTAJE A CANCELAR]]</f>
        <v>4500</v>
      </c>
      <c r="L114" s="11"/>
      <c r="M114" s="11">
        <f>Tabla24567[[#This Row],[MONTO DE COMPRA]]/1.19</f>
        <v>0</v>
      </c>
      <c r="N114" s="11">
        <f>Tabla24567[[#This Row],[Columna1]]*19%</f>
        <v>0</v>
      </c>
      <c r="O114" s="11"/>
      <c r="P114" s="11">
        <f>Tabla24567[[#This Row],[VENTA ]]/1.19</f>
        <v>0</v>
      </c>
      <c r="Q114" s="11">
        <f>Tabla24567[[#This Row],[Columna2]]*19%</f>
        <v>0</v>
      </c>
      <c r="R114" s="11">
        <f>Tabla24567[[#This Row],[IVA VENTA ]]-Tabla24567[[#This Row],[IV COMPRA]]</f>
        <v>0</v>
      </c>
      <c r="S114" s="11">
        <f>(Tabla24567[[#This Row],[VENTA ]]-(Tabla24567[[#This Row],[MONTO DE COMPRA]]-Tabla24567[[#This Row],[DIFERENCIA IVA ]]))</f>
        <v>0</v>
      </c>
      <c r="T114" s="11"/>
    </row>
    <row r="115" spans="1:20" ht="30" x14ac:dyDescent="0.25">
      <c r="A115" s="56">
        <v>44771</v>
      </c>
      <c r="C115" s="4" t="s">
        <v>2558</v>
      </c>
      <c r="D115" s="1" t="s">
        <v>2168</v>
      </c>
      <c r="E115" s="4" t="s">
        <v>2559</v>
      </c>
      <c r="F115" s="1" t="s">
        <v>2446</v>
      </c>
      <c r="G115" s="10" t="s">
        <v>2564</v>
      </c>
      <c r="H115" s="15">
        <v>160000</v>
      </c>
      <c r="I115" s="2">
        <f>Tabla24567[[#This Row],[TOTAL FACTURA]]*0.7</f>
        <v>112000</v>
      </c>
      <c r="J115" s="131">
        <f>Tabla24567[[#This Row],[TOTAL FACTURA]]-Tabla24567[[#This Row],[PORCENTAJE A CANCELAR]]</f>
        <v>48000</v>
      </c>
      <c r="K115" s="1" t="s">
        <v>217</v>
      </c>
      <c r="L115" s="11">
        <v>140000</v>
      </c>
      <c r="M115" s="11">
        <f>Tabla24567[[#This Row],[MONTO DE COMPRA]]/1.19</f>
        <v>117647.05882352941</v>
      </c>
      <c r="N115" s="11">
        <f>Tabla24567[[#This Row],[Columna1]]*19%</f>
        <v>22352.941176470587</v>
      </c>
      <c r="O115" s="11">
        <v>195000</v>
      </c>
      <c r="P115" s="11">
        <f>Tabla24567[[#This Row],[VENTA ]]/1.19</f>
        <v>163865.5462184874</v>
      </c>
      <c r="Q115" s="11">
        <f>Tabla24567[[#This Row],[Columna2]]*19%</f>
        <v>31134.453781512606</v>
      </c>
      <c r="R115" s="11">
        <f>Tabla24567[[#This Row],[IVA VENTA ]]-Tabla24567[[#This Row],[IV COMPRA]]</f>
        <v>8781.5126050420185</v>
      </c>
      <c r="S115" s="11">
        <f>(Tabla24567[[#This Row],[VENTA ]]-(Tabla24567[[#This Row],[MONTO DE COMPRA]]-Tabla24567[[#This Row],[DIFERENCIA IVA ]]))</f>
        <v>63781.512605042022</v>
      </c>
      <c r="T115" s="11"/>
    </row>
    <row r="116" spans="1:20" x14ac:dyDescent="0.25">
      <c r="A116" s="56">
        <v>44771</v>
      </c>
      <c r="C116" s="4" t="s">
        <v>2489</v>
      </c>
      <c r="E116" s="4" t="s">
        <v>2560</v>
      </c>
      <c r="F116" s="1" t="s">
        <v>603</v>
      </c>
      <c r="G116" s="10"/>
      <c r="H116" s="15">
        <v>40000</v>
      </c>
      <c r="I116" s="2">
        <v>40000</v>
      </c>
      <c r="J116" s="131">
        <f>Tabla24567[[#This Row],[TOTAL FACTURA]]-Tabla24567[[#This Row],[PORCENTAJE A CANCELAR]]</f>
        <v>0</v>
      </c>
      <c r="L116" s="11"/>
      <c r="M116" s="11">
        <f>Tabla24567[[#This Row],[MONTO DE COMPRA]]/1.19</f>
        <v>0</v>
      </c>
      <c r="N116" s="11">
        <f>Tabla24567[[#This Row],[Columna1]]*19%</f>
        <v>0</v>
      </c>
      <c r="O116" s="11"/>
      <c r="P116" s="11">
        <f>Tabla24567[[#This Row],[VENTA ]]/1.19</f>
        <v>0</v>
      </c>
      <c r="Q116" s="11">
        <f>Tabla24567[[#This Row],[Columna2]]*19%</f>
        <v>0</v>
      </c>
      <c r="R116" s="11">
        <f>Tabla24567[[#This Row],[IVA VENTA ]]-Tabla24567[[#This Row],[IV COMPRA]]</f>
        <v>0</v>
      </c>
      <c r="S116" s="11">
        <f>(Tabla24567[[#This Row],[VENTA ]]-(Tabla24567[[#This Row],[MONTO DE COMPRA]]-Tabla24567[[#This Row],[DIFERENCIA IVA ]]))</f>
        <v>0</v>
      </c>
      <c r="T116" s="11"/>
    </row>
    <row r="117" spans="1:20" x14ac:dyDescent="0.25">
      <c r="A117" s="56">
        <v>44771</v>
      </c>
      <c r="C117" s="4" t="s">
        <v>2561</v>
      </c>
      <c r="D117" s="1" t="s">
        <v>815</v>
      </c>
      <c r="E117" s="4" t="s">
        <v>2562</v>
      </c>
      <c r="F117" s="1" t="s">
        <v>2446</v>
      </c>
      <c r="G117" s="10" t="s">
        <v>2563</v>
      </c>
      <c r="H117" s="15">
        <v>10000</v>
      </c>
      <c r="I117" s="2">
        <f>Tabla24567[[#This Row],[TOTAL FACTURA]]*0.7</f>
        <v>7000</v>
      </c>
      <c r="J117" s="131">
        <f>Tabla24567[[#This Row],[TOTAL FACTURA]]-Tabla24567[[#This Row],[PORCENTAJE A CANCELAR]]</f>
        <v>3000</v>
      </c>
      <c r="L117" s="11"/>
      <c r="M117" s="11">
        <f>Tabla24567[[#This Row],[MONTO DE COMPRA]]/1.19</f>
        <v>0</v>
      </c>
      <c r="N117" s="11">
        <f>Tabla24567[[#This Row],[Columna1]]*19%</f>
        <v>0</v>
      </c>
      <c r="O117" s="11"/>
      <c r="P117" s="11">
        <f>Tabla24567[[#This Row],[VENTA ]]/1.19</f>
        <v>0</v>
      </c>
      <c r="Q117" s="11">
        <f>Tabla24567[[#This Row],[Columna2]]*19%</f>
        <v>0</v>
      </c>
      <c r="R117" s="11">
        <f>Tabla24567[[#This Row],[IVA VENTA ]]-Tabla24567[[#This Row],[IV COMPRA]]</f>
        <v>0</v>
      </c>
      <c r="S117" s="11">
        <f>(Tabla24567[[#This Row],[VENTA ]]-(Tabla24567[[#This Row],[MONTO DE COMPRA]]-Tabla24567[[#This Row],[DIFERENCIA IVA ]]))</f>
        <v>0</v>
      </c>
      <c r="T117" s="11"/>
    </row>
    <row r="118" spans="1:20" x14ac:dyDescent="0.25">
      <c r="A118" s="56">
        <v>44771</v>
      </c>
      <c r="C118" s="4" t="s">
        <v>1109</v>
      </c>
      <c r="D118" s="1" t="s">
        <v>59</v>
      </c>
      <c r="E118" s="4" t="s">
        <v>1110</v>
      </c>
      <c r="F118" s="1" t="s">
        <v>2446</v>
      </c>
      <c r="G118" s="10" t="s">
        <v>2563</v>
      </c>
      <c r="H118" s="15">
        <v>10000</v>
      </c>
      <c r="I118" s="2">
        <f>Tabla24567[[#This Row],[TOTAL FACTURA]]*0.7</f>
        <v>7000</v>
      </c>
      <c r="J118" s="131">
        <f>Tabla24567[[#This Row],[TOTAL FACTURA]]-Tabla24567[[#This Row],[PORCENTAJE A CANCELAR]]</f>
        <v>3000</v>
      </c>
      <c r="L118" s="11"/>
      <c r="M118" s="11">
        <f>Tabla24567[[#This Row],[MONTO DE COMPRA]]/1.19</f>
        <v>0</v>
      </c>
      <c r="N118" s="11">
        <f>Tabla24567[[#This Row],[Columna1]]*19%</f>
        <v>0</v>
      </c>
      <c r="O118" s="11"/>
      <c r="P118" s="11">
        <f>Tabla24567[[#This Row],[VENTA ]]/1.19</f>
        <v>0</v>
      </c>
      <c r="Q118" s="11">
        <f>Tabla24567[[#This Row],[Columna2]]*19%</f>
        <v>0</v>
      </c>
      <c r="R118" s="11">
        <f>Tabla24567[[#This Row],[IVA VENTA ]]-Tabla24567[[#This Row],[IV COMPRA]]</f>
        <v>0</v>
      </c>
      <c r="S118" s="11">
        <f>(Tabla24567[[#This Row],[VENTA ]]-(Tabla24567[[#This Row],[MONTO DE COMPRA]]-Tabla24567[[#This Row],[DIFERENCIA IVA ]]))</f>
        <v>0</v>
      </c>
    </row>
    <row r="119" spans="1:20" x14ac:dyDescent="0.25">
      <c r="A119" s="56">
        <v>44771</v>
      </c>
      <c r="B119" s="4" t="s">
        <v>2569</v>
      </c>
      <c r="C119" s="4" t="s">
        <v>2565</v>
      </c>
      <c r="D119" s="1" t="s">
        <v>2566</v>
      </c>
      <c r="E119" s="4" t="s">
        <v>2567</v>
      </c>
      <c r="F119" s="1" t="s">
        <v>2446</v>
      </c>
      <c r="G119" s="134" t="s">
        <v>2568</v>
      </c>
      <c r="H119" s="15">
        <v>150000</v>
      </c>
      <c r="I119" s="2">
        <f>Tabla24567[[#This Row],[TOTAL FACTURA]]*0.7</f>
        <v>105000</v>
      </c>
      <c r="J119" s="131">
        <f>Tabla24567[[#This Row],[TOTAL FACTURA]]-Tabla24567[[#This Row],[PORCENTAJE A CANCELAR]]</f>
        <v>45000</v>
      </c>
      <c r="K119" s="1" t="s">
        <v>234</v>
      </c>
      <c r="L119" s="11">
        <v>1136000</v>
      </c>
      <c r="M119" s="11">
        <f>Tabla24567[[#This Row],[MONTO DE COMPRA]]/1.19</f>
        <v>954621.84873949585</v>
      </c>
      <c r="N119" s="11">
        <f>Tabla24567[[#This Row],[Columna1]]*19%</f>
        <v>181378.15126050421</v>
      </c>
      <c r="O119" s="11">
        <v>1610000</v>
      </c>
      <c r="P119" s="11">
        <f>Tabla24567[[#This Row],[VENTA ]]/1.19</f>
        <v>1352941.1764705882</v>
      </c>
      <c r="Q119" s="11">
        <f>Tabla24567[[#This Row],[Columna2]]*19%</f>
        <v>257058.82352941175</v>
      </c>
      <c r="R119" s="11">
        <f>Tabla24567[[#This Row],[IVA VENTA ]]-Tabla24567[[#This Row],[IV COMPRA]]</f>
        <v>75680.67226890754</v>
      </c>
      <c r="S119" s="11">
        <f>(Tabla24567[[#This Row],[VENTA ]]-(Tabla24567[[#This Row],[MONTO DE COMPRA]]-Tabla24567[[#This Row],[DIFERENCIA IVA ]]))</f>
        <v>549680.67226890754</v>
      </c>
    </row>
    <row r="120" spans="1:20" x14ac:dyDescent="0.25">
      <c r="A120" s="56">
        <v>44771</v>
      </c>
      <c r="C120" s="130"/>
      <c r="E120" s="4"/>
      <c r="G120" s="10"/>
      <c r="J120" s="131">
        <f>Tabla24567[[#This Row],[TOTAL FACTURA]]-Tabla24567[[#This Row],[PORCENTAJE A CANCELAR]]</f>
        <v>0</v>
      </c>
      <c r="L120" s="11"/>
      <c r="M120" s="11">
        <f>Tabla24567[[#This Row],[MONTO DE COMPRA]]/1.19</f>
        <v>0</v>
      </c>
      <c r="N120" s="11">
        <f>Tabla24567[[#This Row],[Columna1]]*19%</f>
        <v>0</v>
      </c>
      <c r="O120" s="11"/>
      <c r="P120" s="11">
        <f>Tabla24567[[#This Row],[VENTA ]]/1.19</f>
        <v>0</v>
      </c>
      <c r="Q120" s="11">
        <f>Tabla24567[[#This Row],[Columna2]]*19%</f>
        <v>0</v>
      </c>
      <c r="R120" s="11">
        <f>Tabla24567[[#This Row],[IVA VENTA ]]-Tabla24567[[#This Row],[Columna1]]</f>
        <v>0</v>
      </c>
      <c r="S120" s="11">
        <f>(Tabla24567[[#This Row],[VENTA ]]-(Tabla24567[[#This Row],[MONTO DE COMPRA]]-Tabla24567[[#This Row],[DIFERENCIA IVA ]]))</f>
        <v>0</v>
      </c>
      <c r="T120" s="11"/>
    </row>
    <row r="121" spans="1:20" x14ac:dyDescent="0.25">
      <c r="A121" s="56"/>
      <c r="C121" s="4"/>
      <c r="E121" s="4"/>
      <c r="G121" s="10"/>
      <c r="H121" s="11"/>
      <c r="I121" s="11"/>
      <c r="J121" s="11"/>
      <c r="L121" s="11"/>
      <c r="M121" s="11"/>
      <c r="N121" s="11"/>
      <c r="O121" s="11"/>
      <c r="P121" s="11"/>
      <c r="Q121" s="11"/>
      <c r="R121" s="11"/>
      <c r="S121" s="11"/>
      <c r="T121" s="11"/>
    </row>
  </sheetData>
  <phoneticPr fontId="21" type="noConversion"/>
  <pageMargins left="0.70866141732283472" right="0.70866141732283472" top="0.74803149606299213" bottom="0.74803149606299213" header="0.31496062992125984" footer="0.31496062992125984"/>
  <pageSetup paperSize="9" scale="55" orientation="landscape" horizontalDpi="360" verticalDpi="360" r:id="rId1"/>
  <ignoredErrors>
    <ignoredError sqref="T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4BFDF4-90EF-4B32-A1BB-1098C13647C6}">
          <x14:formula1>
            <xm:f>DETALLES!$A$1:$A$2</xm:f>
          </x14:formula1>
          <xm:sqref>T1</xm:sqref>
        </x14:dataValidation>
        <x14:dataValidation type="list" allowBlank="1" showInputMessage="1" showErrorMessage="1" xr:uid="{2D1DB65B-FB85-4F35-810A-35DD47141823}">
          <x14:formula1>
            <xm:f>AREA!$A$2:$A$12</xm:f>
          </x14:formula1>
          <xm:sqref>E122:E1048576 F2:F120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9CB9-45C0-4FCC-86FE-3FD03B97AC6D}">
  <sheetPr>
    <tabColor theme="5" tint="0.39997558519241921"/>
  </sheetPr>
  <dimension ref="A1:U268"/>
  <sheetViews>
    <sheetView tabSelected="1" topLeftCell="A248" zoomScale="93" zoomScaleNormal="93" workbookViewId="0">
      <selection activeCell="G255" sqref="G255"/>
    </sheetView>
  </sheetViews>
  <sheetFormatPr baseColWidth="10" defaultRowHeight="15" x14ac:dyDescent="0.25"/>
  <cols>
    <col min="1" max="1" width="12.85546875" style="9" customWidth="1"/>
    <col min="2" max="2" width="19.7109375" style="4" customWidth="1"/>
    <col min="3" max="3" width="32" style="1" customWidth="1"/>
    <col min="4" max="4" width="17.140625" style="1" customWidth="1"/>
    <col min="5" max="5" width="18.42578125" style="1" customWidth="1"/>
    <col min="6" max="6" width="31.28515625" customWidth="1"/>
    <col min="7" max="7" width="52.42578125" style="1" customWidth="1"/>
    <col min="8" max="8" width="25" style="148" customWidth="1"/>
    <col min="9" max="9" width="13.140625" style="15" customWidth="1"/>
    <col min="10" max="10" width="15.7109375" style="2" customWidth="1"/>
    <col min="11" max="11" width="41.140625" style="1" customWidth="1"/>
    <col min="12" max="12" width="21.5703125" style="1" customWidth="1"/>
    <col min="13" max="13" width="15.42578125" style="1" customWidth="1"/>
    <col min="14" max="15" width="23.7109375" style="1" customWidth="1"/>
    <col min="16" max="16" width="18.140625" style="1" customWidth="1"/>
    <col min="17" max="17" width="23.7109375" style="1" customWidth="1"/>
    <col min="18" max="19" width="22.5703125" style="1" customWidth="1"/>
    <col min="20" max="20" width="15.7109375" style="1" customWidth="1"/>
    <col min="21" max="21" width="25.140625" style="2" customWidth="1"/>
    <col min="22" max="16384" width="11.42578125" style="1"/>
  </cols>
  <sheetData>
    <row r="1" spans="1:21" x14ac:dyDescent="0.25">
      <c r="U1" s="1"/>
    </row>
    <row r="2" spans="1:21" ht="30" x14ac:dyDescent="0.25">
      <c r="A2" s="9" t="s">
        <v>0</v>
      </c>
      <c r="B2" s="135" t="s">
        <v>1</v>
      </c>
      <c r="C2" s="4" t="s">
        <v>597</v>
      </c>
      <c r="D2" s="1" t="s">
        <v>3</v>
      </c>
      <c r="E2" s="1" t="s">
        <v>2</v>
      </c>
      <c r="F2" s="1" t="s">
        <v>15</v>
      </c>
      <c r="G2" s="10" t="s">
        <v>4</v>
      </c>
      <c r="H2" s="15" t="s">
        <v>5</v>
      </c>
      <c r="I2" s="22" t="s">
        <v>6</v>
      </c>
      <c r="J2" s="22" t="s">
        <v>130</v>
      </c>
      <c r="K2" s="1" t="s">
        <v>7</v>
      </c>
      <c r="L2" s="10" t="s">
        <v>8</v>
      </c>
      <c r="M2" s="1" t="s">
        <v>2065</v>
      </c>
      <c r="N2" s="1" t="s">
        <v>2432</v>
      </c>
      <c r="O2" s="1" t="s">
        <v>2433</v>
      </c>
      <c r="P2" s="1" t="s">
        <v>2474</v>
      </c>
      <c r="Q2" s="1" t="s">
        <v>2434</v>
      </c>
      <c r="R2" s="1" t="s">
        <v>2431</v>
      </c>
      <c r="S2" s="22" t="s">
        <v>2435</v>
      </c>
      <c r="T2" s="1" t="s">
        <v>24</v>
      </c>
      <c r="U2" s="1"/>
    </row>
    <row r="3" spans="1:21" x14ac:dyDescent="0.25">
      <c r="A3" s="56">
        <v>44772</v>
      </c>
      <c r="C3" s="4" t="s">
        <v>1512</v>
      </c>
      <c r="D3" s="4" t="s">
        <v>1513</v>
      </c>
      <c r="E3" s="1" t="s">
        <v>247</v>
      </c>
      <c r="F3" s="1" t="s">
        <v>2446</v>
      </c>
      <c r="G3" s="134" t="s">
        <v>2575</v>
      </c>
      <c r="H3" s="15">
        <v>50000</v>
      </c>
      <c r="I3" s="2">
        <f>Tabla245678[[#This Row],[TOTAL FACTURA]]*0.7</f>
        <v>35000</v>
      </c>
      <c r="J3" s="104">
        <f>H3-I3</f>
        <v>15000</v>
      </c>
      <c r="K3" s="10"/>
      <c r="L3" s="11"/>
      <c r="M3" s="11">
        <f>Tabla245678[[#This Row],[MONTO DE COMPRA]]/1.19</f>
        <v>0</v>
      </c>
      <c r="N3" s="11">
        <f>Tabla245678[[#This Row],[Columna1]]*19%</f>
        <v>0</v>
      </c>
      <c r="O3" s="11"/>
      <c r="P3" s="11">
        <f>Tabla245678[[#This Row],[VENTA ]]/1.19</f>
        <v>0</v>
      </c>
      <c r="Q3" s="11">
        <f>Tabla245678[[#This Row],[Columna2]]*19%</f>
        <v>0</v>
      </c>
      <c r="R3" s="11">
        <f>Tabla245678[[#This Row],[IVA VENTA ]]-Tabla245678[[#This Row],[IV COMPRA]]</f>
        <v>0</v>
      </c>
      <c r="S3" s="11">
        <f>(Tabla245678[[#This Row],[VENTA ]]-(Tabla245678[[#This Row],[MONTO DE COMPRA]]+Tabla245678[[#This Row],[DIFERENCIA IVA ]]))</f>
        <v>0</v>
      </c>
      <c r="T3" s="2" t="s">
        <v>25</v>
      </c>
      <c r="U3" s="1"/>
    </row>
    <row r="4" spans="1:21" x14ac:dyDescent="0.25">
      <c r="A4" s="56">
        <v>44772</v>
      </c>
      <c r="C4" s="4" t="s">
        <v>2576</v>
      </c>
      <c r="D4" s="4" t="s">
        <v>2463</v>
      </c>
      <c r="E4" s="1" t="s">
        <v>412</v>
      </c>
      <c r="F4" s="1" t="s">
        <v>10</v>
      </c>
      <c r="G4" s="134" t="s">
        <v>2161</v>
      </c>
      <c r="H4" s="15">
        <v>50000</v>
      </c>
      <c r="I4" s="2">
        <f>Tabla245678[[#This Row],[TOTAL FACTURA]]*0.7</f>
        <v>35000</v>
      </c>
      <c r="J4" s="104">
        <f t="shared" ref="J4:J68" si="0">H4-I4</f>
        <v>15000</v>
      </c>
      <c r="K4" s="10" t="s">
        <v>2577</v>
      </c>
      <c r="L4" s="11">
        <v>63000</v>
      </c>
      <c r="M4" s="11">
        <f>Tabla245678[[#This Row],[MONTO DE COMPRA]]/1.19</f>
        <v>52941.176470588238</v>
      </c>
      <c r="N4" s="11">
        <f>Tabla245678[[#This Row],[Columna1]]*19%</f>
        <v>10058.823529411766</v>
      </c>
      <c r="O4" s="11">
        <v>50000</v>
      </c>
      <c r="P4" s="11">
        <f>Tabla245678[[#This Row],[VENTA ]]/1.19</f>
        <v>42016.806722689078</v>
      </c>
      <c r="Q4" s="11">
        <f>Tabla245678[[#This Row],[Columna2]]*19%</f>
        <v>7983.1932773109247</v>
      </c>
      <c r="R4" s="11">
        <f>Tabla245678[[#This Row],[IVA VENTA ]]-Tabla245678[[#This Row],[IV COMPRA]]</f>
        <v>-2075.6302521008411</v>
      </c>
      <c r="S4" s="11">
        <f>(Tabla245678[[#This Row],[VENTA ]]-(Tabla245678[[#This Row],[MONTO DE COMPRA]]+Tabla245678[[#This Row],[DIFERENCIA IVA ]]))</f>
        <v>-10924.36974789916</v>
      </c>
      <c r="T4" s="2" t="s">
        <v>25</v>
      </c>
      <c r="U4" s="1"/>
    </row>
    <row r="5" spans="1:21" x14ac:dyDescent="0.25">
      <c r="A5" s="56">
        <v>44772</v>
      </c>
      <c r="B5" s="4" t="s">
        <v>2586</v>
      </c>
      <c r="C5" s="4" t="s">
        <v>2578</v>
      </c>
      <c r="D5" s="4" t="s">
        <v>2579</v>
      </c>
      <c r="E5" s="1" t="s">
        <v>385</v>
      </c>
      <c r="F5" s="15" t="s">
        <v>603</v>
      </c>
      <c r="G5" s="134" t="s">
        <v>2580</v>
      </c>
      <c r="H5" s="15">
        <v>150000</v>
      </c>
      <c r="I5" s="2">
        <f>Tabla245678[[#This Row],[TOTAL FACTURA]]*0.6</f>
        <v>90000</v>
      </c>
      <c r="J5" s="104">
        <f t="shared" si="0"/>
        <v>60000</v>
      </c>
      <c r="K5" s="10" t="s">
        <v>2581</v>
      </c>
      <c r="L5" s="11">
        <f>15000+8000</f>
        <v>23000</v>
      </c>
      <c r="M5" s="11">
        <f>Tabla245678[[#This Row],[MONTO DE COMPRA]]/1.19</f>
        <v>19327.731092436974</v>
      </c>
      <c r="N5" s="11"/>
      <c r="O5" s="11">
        <v>12000</v>
      </c>
      <c r="P5" s="11"/>
      <c r="Q5" s="11">
        <f>Tabla245678[[#This Row],[Columna2]]*19%</f>
        <v>0</v>
      </c>
      <c r="R5" s="11">
        <f>Tabla245678[[#This Row],[IVA VENTA ]]-Tabla245678[[#This Row],[IV COMPRA]]</f>
        <v>0</v>
      </c>
      <c r="S5" s="11">
        <f>(Tabla245678[[#This Row],[VENTA ]]-(Tabla245678[[#This Row],[MONTO DE COMPRA]]+Tabla245678[[#This Row],[DIFERENCIA IVA ]]))</f>
        <v>-11000</v>
      </c>
      <c r="T5" s="2" t="s">
        <v>25</v>
      </c>
      <c r="U5" s="1"/>
    </row>
    <row r="6" spans="1:21" x14ac:dyDescent="0.25">
      <c r="A6" s="56">
        <v>44772</v>
      </c>
      <c r="C6" s="4" t="s">
        <v>1855</v>
      </c>
      <c r="D6" s="4" t="s">
        <v>1750</v>
      </c>
      <c r="E6" s="4" t="s">
        <v>218</v>
      </c>
      <c r="F6" s="1" t="s">
        <v>2446</v>
      </c>
      <c r="G6" s="134" t="s">
        <v>341</v>
      </c>
      <c r="H6" s="15">
        <v>10000</v>
      </c>
      <c r="I6" s="2">
        <f>Tabla245678[[#This Row],[TOTAL FACTURA]]*0.7</f>
        <v>7000</v>
      </c>
      <c r="J6" s="104">
        <f t="shared" si="0"/>
        <v>3000</v>
      </c>
      <c r="K6" s="10"/>
      <c r="L6" s="11"/>
      <c r="M6" s="11">
        <f>Tabla245678[[#This Row],[MONTO DE COMPRA]]/1.19</f>
        <v>0</v>
      </c>
      <c r="N6" s="11">
        <f>Tabla245678[[#This Row],[Columna1]]*19%</f>
        <v>0</v>
      </c>
      <c r="O6" s="11"/>
      <c r="P6" s="11">
        <f>Tabla245678[[#This Row],[VENTA ]]/1.19</f>
        <v>0</v>
      </c>
      <c r="Q6" s="11">
        <f>Tabla245678[[#This Row],[Columna2]]*19%</f>
        <v>0</v>
      </c>
      <c r="R6" s="11">
        <f>Tabla245678[[#This Row],[IVA VENTA ]]-Tabla245678[[#This Row],[IV COMPRA]]</f>
        <v>0</v>
      </c>
      <c r="S6" s="11">
        <f>(Tabla245678[[#This Row],[VENTA ]]-(Tabla245678[[#This Row],[MONTO DE COMPRA]]+Tabla245678[[#This Row],[DIFERENCIA IVA ]]))</f>
        <v>0</v>
      </c>
      <c r="T6" s="2" t="s">
        <v>25</v>
      </c>
      <c r="U6" s="1"/>
    </row>
    <row r="7" spans="1:21" x14ac:dyDescent="0.25">
      <c r="A7" s="56">
        <v>44772</v>
      </c>
      <c r="C7" s="4" t="s">
        <v>2582</v>
      </c>
      <c r="D7" s="4" t="s">
        <v>2584</v>
      </c>
      <c r="E7" s="1" t="s">
        <v>2583</v>
      </c>
      <c r="F7" s="1" t="s">
        <v>603</v>
      </c>
      <c r="G7" s="134" t="s">
        <v>2585</v>
      </c>
      <c r="H7" s="15">
        <v>30000</v>
      </c>
      <c r="I7" s="2">
        <f>Tabla245678[[#This Row],[TOTAL FACTURA]]*0.6</f>
        <v>18000</v>
      </c>
      <c r="J7" s="104">
        <f t="shared" si="0"/>
        <v>12000</v>
      </c>
      <c r="K7" s="10"/>
      <c r="L7" s="11"/>
      <c r="M7" s="11">
        <f>Tabla245678[[#This Row],[MONTO DE COMPRA]]/1.19</f>
        <v>0</v>
      </c>
      <c r="N7" s="11">
        <f>Tabla245678[[#This Row],[Columna1]]*19%</f>
        <v>0</v>
      </c>
      <c r="O7" s="11"/>
      <c r="P7" s="11">
        <f>Tabla245678[[#This Row],[VENTA ]]/1.19</f>
        <v>0</v>
      </c>
      <c r="Q7" s="11">
        <f>Tabla245678[[#This Row],[Columna2]]*19%</f>
        <v>0</v>
      </c>
      <c r="R7" s="11">
        <f>Tabla245678[[#This Row],[IVA VENTA ]]-Tabla245678[[#This Row],[IV COMPRA]]</f>
        <v>0</v>
      </c>
      <c r="S7" s="11">
        <f>(Tabla245678[[#This Row],[VENTA ]]-(Tabla245678[[#This Row],[MONTO DE COMPRA]]+Tabla245678[[#This Row],[DIFERENCIA IVA ]]))</f>
        <v>0</v>
      </c>
      <c r="T7" s="2" t="s">
        <v>25</v>
      </c>
      <c r="U7" s="1"/>
    </row>
    <row r="8" spans="1:21" x14ac:dyDescent="0.25">
      <c r="A8" s="56">
        <v>44772</v>
      </c>
      <c r="C8" s="4" t="s">
        <v>129</v>
      </c>
      <c r="D8" s="4" t="s">
        <v>953</v>
      </c>
      <c r="E8" s="1" t="s">
        <v>151</v>
      </c>
      <c r="F8" s="1" t="s">
        <v>603</v>
      </c>
      <c r="G8" s="134" t="s">
        <v>2420</v>
      </c>
      <c r="H8" s="15"/>
      <c r="I8" s="2">
        <v>30000</v>
      </c>
      <c r="J8" s="104">
        <f t="shared" si="0"/>
        <v>-30000</v>
      </c>
      <c r="K8" s="10"/>
      <c r="L8" s="11"/>
      <c r="M8" s="11">
        <f>Tabla245678[[#This Row],[MONTO DE COMPRA]]/1.19</f>
        <v>0</v>
      </c>
      <c r="N8" s="11">
        <f>Tabla245678[[#This Row],[Columna1]]*19%</f>
        <v>0</v>
      </c>
      <c r="O8" s="11"/>
      <c r="P8" s="11">
        <f>Tabla245678[[#This Row],[VENTA ]]/1.19</f>
        <v>0</v>
      </c>
      <c r="Q8" s="11">
        <f>Tabla245678[[#This Row],[Columna2]]*19%</f>
        <v>0</v>
      </c>
      <c r="R8" s="11">
        <f>Tabla245678[[#This Row],[IVA VENTA ]]-Tabla245678[[#This Row],[IV COMPRA]]</f>
        <v>0</v>
      </c>
      <c r="S8" s="11">
        <f>(Tabla245678[[#This Row],[VENTA ]]-(Tabla245678[[#This Row],[MONTO DE COMPRA]]+Tabla245678[[#This Row],[DIFERENCIA IVA ]]))</f>
        <v>0</v>
      </c>
      <c r="T8" s="2" t="s">
        <v>25</v>
      </c>
      <c r="U8" s="1"/>
    </row>
    <row r="9" spans="1:21" x14ac:dyDescent="0.25">
      <c r="A9" s="56">
        <v>44774</v>
      </c>
      <c r="C9" s="4" t="s">
        <v>2587</v>
      </c>
      <c r="D9" s="4" t="s">
        <v>2588</v>
      </c>
      <c r="E9" s="1" t="s">
        <v>962</v>
      </c>
      <c r="F9" s="1" t="s">
        <v>10</v>
      </c>
      <c r="G9" s="134" t="s">
        <v>2589</v>
      </c>
      <c r="H9" s="15">
        <v>50000</v>
      </c>
      <c r="I9" s="2">
        <f>Tabla245678[[#This Row],[TOTAL FACTURA]]*0.7</f>
        <v>35000</v>
      </c>
      <c r="J9" s="104">
        <f t="shared" si="0"/>
        <v>15000</v>
      </c>
      <c r="K9" s="10"/>
      <c r="L9" s="11"/>
      <c r="M9" s="11">
        <f>Tabla245678[[#This Row],[MONTO DE COMPRA]]/1.19</f>
        <v>0</v>
      </c>
      <c r="N9" s="11">
        <f>Tabla245678[[#This Row],[Columna1]]*19%</f>
        <v>0</v>
      </c>
      <c r="O9" s="11"/>
      <c r="P9" s="11">
        <f>Tabla245678[[#This Row],[VENTA ]]/1.19</f>
        <v>0</v>
      </c>
      <c r="Q9" s="11">
        <f>Tabla245678[[#This Row],[Columna2]]*19%</f>
        <v>0</v>
      </c>
      <c r="R9" s="11">
        <f>Tabla245678[[#This Row],[IVA VENTA ]]-Tabla245678[[#This Row],[IV COMPRA]]</f>
        <v>0</v>
      </c>
      <c r="S9" s="11">
        <f>(Tabla245678[[#This Row],[VENTA ]]-(Tabla245678[[#This Row],[MONTO DE COMPRA]]+Tabla245678[[#This Row],[DIFERENCIA IVA ]]))</f>
        <v>0</v>
      </c>
      <c r="T9" s="2" t="s">
        <v>25</v>
      </c>
      <c r="U9" s="1"/>
    </row>
    <row r="10" spans="1:21" x14ac:dyDescent="0.25">
      <c r="A10" s="56">
        <v>44774</v>
      </c>
      <c r="C10" s="4" t="s">
        <v>2587</v>
      </c>
      <c r="D10" s="4" t="s">
        <v>2588</v>
      </c>
      <c r="E10" s="1" t="s">
        <v>962</v>
      </c>
      <c r="F10" s="1" t="s">
        <v>603</v>
      </c>
      <c r="G10" s="134" t="s">
        <v>211</v>
      </c>
      <c r="H10" s="15">
        <v>30000</v>
      </c>
      <c r="I10" s="2">
        <f>Tabla245678[[#This Row],[TOTAL FACTURA]]*0.6</f>
        <v>18000</v>
      </c>
      <c r="J10" s="104">
        <f t="shared" si="0"/>
        <v>12000</v>
      </c>
      <c r="K10" s="10"/>
      <c r="L10" s="11"/>
      <c r="M10" s="11">
        <f>Tabla245678[[#This Row],[MONTO DE COMPRA]]/1.19</f>
        <v>0</v>
      </c>
      <c r="N10" s="11">
        <f>Tabla245678[[#This Row],[Columna1]]*19%</f>
        <v>0</v>
      </c>
      <c r="O10" s="11"/>
      <c r="P10" s="11">
        <f>Tabla245678[[#This Row],[VENTA ]]/1.19</f>
        <v>0</v>
      </c>
      <c r="Q10" s="11">
        <f>Tabla245678[[#This Row],[Columna2]]*19%</f>
        <v>0</v>
      </c>
      <c r="R10" s="11">
        <f>Tabla245678[[#This Row],[IVA VENTA ]]-Tabla245678[[#This Row],[IV COMPRA]]</f>
        <v>0</v>
      </c>
      <c r="S10" s="11">
        <f>(Tabla245678[[#This Row],[VENTA ]]-(Tabla245678[[#This Row],[MONTO DE COMPRA]]+Tabla245678[[#This Row],[DIFERENCIA IVA ]]))</f>
        <v>0</v>
      </c>
      <c r="T10" s="2" t="s">
        <v>25</v>
      </c>
      <c r="U10" s="1"/>
    </row>
    <row r="11" spans="1:21" x14ac:dyDescent="0.25">
      <c r="A11" s="56">
        <v>44774</v>
      </c>
      <c r="B11" s="4" t="s">
        <v>707</v>
      </c>
      <c r="C11" s="4" t="s">
        <v>2590</v>
      </c>
      <c r="D11" s="4" t="s">
        <v>2532</v>
      </c>
      <c r="E11" s="1" t="s">
        <v>815</v>
      </c>
      <c r="F11" s="1" t="s">
        <v>2446</v>
      </c>
      <c r="G11" s="134" t="s">
        <v>2047</v>
      </c>
      <c r="H11" s="15">
        <v>50000</v>
      </c>
      <c r="I11" s="2">
        <f>Tabla245678[[#This Row],[TOTAL FACTURA]]*0.7</f>
        <v>35000</v>
      </c>
      <c r="J11" s="104">
        <f t="shared" si="0"/>
        <v>15000</v>
      </c>
      <c r="K11" s="10" t="s">
        <v>2591</v>
      </c>
      <c r="L11" s="11">
        <v>10000</v>
      </c>
      <c r="M11" s="11">
        <f>Tabla245678[[#This Row],[MONTO DE COMPRA]]/1.19</f>
        <v>8403.361344537816</v>
      </c>
      <c r="N11" s="11">
        <f>Tabla245678[[#This Row],[Columna1]]*19%</f>
        <v>1596.6386554621849</v>
      </c>
      <c r="O11" s="11">
        <v>50000</v>
      </c>
      <c r="P11" s="11">
        <f>Tabla245678[[#This Row],[VENTA ]]/1.19</f>
        <v>42016.806722689078</v>
      </c>
      <c r="Q11" s="11">
        <f>Tabla245678[[#This Row],[Columna2]]*19%</f>
        <v>7983.1932773109247</v>
      </c>
      <c r="R11" s="11">
        <f>Tabla245678[[#This Row],[IVA VENTA ]]-Tabla245678[[#This Row],[IV COMPRA]]</f>
        <v>6386.5546218487398</v>
      </c>
      <c r="S11" s="11">
        <f>(Tabla245678[[#This Row],[VENTA ]]-(Tabla245678[[#This Row],[MONTO DE COMPRA]]+Tabla245678[[#This Row],[DIFERENCIA IVA ]]))</f>
        <v>33613.445378151257</v>
      </c>
      <c r="T11" s="2" t="s">
        <v>25</v>
      </c>
      <c r="U11" s="1"/>
    </row>
    <row r="12" spans="1:21" x14ac:dyDescent="0.25">
      <c r="A12" s="56">
        <v>44774</v>
      </c>
      <c r="B12" s="4" t="s">
        <v>2592</v>
      </c>
      <c r="C12" s="4" t="s">
        <v>2593</v>
      </c>
      <c r="D12" s="4" t="s">
        <v>2594</v>
      </c>
      <c r="E12" s="1" t="s">
        <v>385</v>
      </c>
      <c r="F12" s="1" t="s">
        <v>10</v>
      </c>
      <c r="G12" s="134" t="s">
        <v>2595</v>
      </c>
      <c r="H12" s="15">
        <v>50000</v>
      </c>
      <c r="I12" s="2">
        <f>Tabla245678[[#This Row],[TOTAL FACTURA]]*0.7</f>
        <v>35000</v>
      </c>
      <c r="J12" s="104">
        <f t="shared" si="0"/>
        <v>15000</v>
      </c>
      <c r="K12" s="10" t="s">
        <v>2596</v>
      </c>
      <c r="L12" s="11"/>
      <c r="M12" s="11">
        <f>Tabla245678[[#This Row],[MONTO DE COMPRA]]/1.19</f>
        <v>0</v>
      </c>
      <c r="N12" s="11">
        <f>Tabla245678[[#This Row],[Columna1]]*19%</f>
        <v>0</v>
      </c>
      <c r="O12" s="11"/>
      <c r="P12" s="11">
        <f>Tabla245678[[#This Row],[VENTA ]]/1.19</f>
        <v>0</v>
      </c>
      <c r="Q12" s="11">
        <f>Tabla245678[[#This Row],[Columna2]]*19%</f>
        <v>0</v>
      </c>
      <c r="R12" s="11">
        <f>Tabla245678[[#This Row],[IVA VENTA ]]-Tabla245678[[#This Row],[IV COMPRA]]</f>
        <v>0</v>
      </c>
      <c r="S12" s="11">
        <f>(Tabla245678[[#This Row],[VENTA ]]-(Tabla245678[[#This Row],[MONTO DE COMPRA]]+Tabla245678[[#This Row],[DIFERENCIA IVA ]]))</f>
        <v>0</v>
      </c>
      <c r="T12" s="2" t="s">
        <v>25</v>
      </c>
      <c r="U12" s="1"/>
    </row>
    <row r="13" spans="1:21" x14ac:dyDescent="0.25">
      <c r="A13" s="56">
        <v>44774</v>
      </c>
      <c r="C13" s="4" t="s">
        <v>2597</v>
      </c>
      <c r="D13" s="4" t="s">
        <v>2594</v>
      </c>
      <c r="E13" s="1" t="s">
        <v>385</v>
      </c>
      <c r="F13" s="1" t="s">
        <v>2446</v>
      </c>
      <c r="G13" s="134" t="s">
        <v>2598</v>
      </c>
      <c r="H13" s="15">
        <v>30000</v>
      </c>
      <c r="I13" s="2">
        <f>Tabla245678[[#This Row],[TOTAL FACTURA]]*0.7</f>
        <v>21000</v>
      </c>
      <c r="J13" s="104">
        <f t="shared" si="0"/>
        <v>9000</v>
      </c>
      <c r="K13" s="10"/>
      <c r="L13" s="11"/>
      <c r="M13" s="11">
        <f>Tabla245678[[#This Row],[MONTO DE COMPRA]]/1.19</f>
        <v>0</v>
      </c>
      <c r="N13" s="11">
        <f>Tabla245678[[#This Row],[Columna1]]*19%</f>
        <v>0</v>
      </c>
      <c r="O13" s="11"/>
      <c r="P13" s="11">
        <f>Tabla245678[[#This Row],[VENTA ]]/1.19</f>
        <v>0</v>
      </c>
      <c r="Q13" s="11">
        <f>Tabla245678[[#This Row],[Columna2]]*19%</f>
        <v>0</v>
      </c>
      <c r="R13" s="11">
        <f>Tabla245678[[#This Row],[IVA VENTA ]]-Tabla245678[[#This Row],[IV COMPRA]]</f>
        <v>0</v>
      </c>
      <c r="S13" s="11">
        <f>(Tabla245678[[#This Row],[VENTA ]]-(Tabla245678[[#This Row],[MONTO DE COMPRA]]+Tabla245678[[#This Row],[DIFERENCIA IVA ]]))</f>
        <v>0</v>
      </c>
      <c r="T13" s="2" t="s">
        <v>25</v>
      </c>
      <c r="U13" s="1"/>
    </row>
    <row r="14" spans="1:21" x14ac:dyDescent="0.25">
      <c r="A14" s="56">
        <v>44774</v>
      </c>
      <c r="C14" s="4" t="s">
        <v>2599</v>
      </c>
      <c r="D14" s="4" t="s">
        <v>2600</v>
      </c>
      <c r="E14" s="1" t="s">
        <v>247</v>
      </c>
      <c r="F14" s="1" t="s">
        <v>603</v>
      </c>
      <c r="G14" s="134" t="s">
        <v>74</v>
      </c>
      <c r="H14" s="15">
        <v>30000</v>
      </c>
      <c r="I14" s="2">
        <f>Tabla245678[[#This Row],[TOTAL FACTURA]]*0.6</f>
        <v>18000</v>
      </c>
      <c r="J14" s="104">
        <f t="shared" si="0"/>
        <v>12000</v>
      </c>
      <c r="K14" s="10"/>
      <c r="L14" s="11"/>
      <c r="M14" s="11">
        <f>Tabla245678[[#This Row],[MONTO DE COMPRA]]/1.19</f>
        <v>0</v>
      </c>
      <c r="N14" s="11">
        <f>Tabla245678[[#This Row],[Columna1]]*19%</f>
        <v>0</v>
      </c>
      <c r="O14" s="11"/>
      <c r="P14" s="11">
        <f>Tabla245678[[#This Row],[VENTA ]]/1.19</f>
        <v>0</v>
      </c>
      <c r="Q14" s="11">
        <f>Tabla245678[[#This Row],[Columna2]]*19%</f>
        <v>0</v>
      </c>
      <c r="R14" s="11">
        <f>Tabla245678[[#This Row],[IVA VENTA ]]-Tabla245678[[#This Row],[IV COMPRA]]</f>
        <v>0</v>
      </c>
      <c r="S14" s="11">
        <f>(Tabla245678[[#This Row],[VENTA ]]-(Tabla245678[[#This Row],[MONTO DE COMPRA]]+Tabla245678[[#This Row],[DIFERENCIA IVA ]]))</f>
        <v>0</v>
      </c>
      <c r="T14" s="2" t="s">
        <v>25</v>
      </c>
      <c r="U14" s="1"/>
    </row>
    <row r="15" spans="1:21" x14ac:dyDescent="0.25">
      <c r="A15" s="56">
        <v>44774</v>
      </c>
      <c r="C15" s="4" t="s">
        <v>609</v>
      </c>
      <c r="D15" s="4" t="s">
        <v>2601</v>
      </c>
      <c r="E15" s="1" t="s">
        <v>540</v>
      </c>
      <c r="F15" s="1" t="s">
        <v>603</v>
      </c>
      <c r="G15" s="134" t="s">
        <v>2602</v>
      </c>
      <c r="H15" s="15">
        <v>10000</v>
      </c>
      <c r="I15" s="2">
        <f>Tabla245678[[#This Row],[TOTAL FACTURA]]*0.6</f>
        <v>6000</v>
      </c>
      <c r="J15" s="104">
        <f t="shared" si="0"/>
        <v>4000</v>
      </c>
      <c r="K15" s="10"/>
      <c r="L15" s="11"/>
      <c r="M15" s="11">
        <f>Tabla245678[[#This Row],[MONTO DE COMPRA]]/1.19</f>
        <v>0</v>
      </c>
      <c r="N15" s="11">
        <f>Tabla245678[[#This Row],[Columna1]]*19%</f>
        <v>0</v>
      </c>
      <c r="O15" s="11"/>
      <c r="P15" s="11">
        <f>Tabla245678[[#This Row],[VENTA ]]/1.19</f>
        <v>0</v>
      </c>
      <c r="Q15" s="11">
        <f>Tabla245678[[#This Row],[Columna2]]*19%</f>
        <v>0</v>
      </c>
      <c r="R15" s="11">
        <f>Tabla245678[[#This Row],[IVA VENTA ]]-Tabla245678[[#This Row],[IV COMPRA]]</f>
        <v>0</v>
      </c>
      <c r="S15" s="11">
        <f>(Tabla245678[[#This Row],[VENTA ]]-(Tabla245678[[#This Row],[MONTO DE COMPRA]]+Tabla245678[[#This Row],[DIFERENCIA IVA ]]))</f>
        <v>0</v>
      </c>
      <c r="T15" s="2" t="s">
        <v>25</v>
      </c>
      <c r="U15" s="1"/>
    </row>
    <row r="16" spans="1:21" x14ac:dyDescent="0.25">
      <c r="A16" s="56">
        <v>44774</v>
      </c>
      <c r="C16" s="4" t="s">
        <v>2603</v>
      </c>
      <c r="D16" s="4" t="s">
        <v>2604</v>
      </c>
      <c r="E16" s="1" t="s">
        <v>975</v>
      </c>
      <c r="F16" s="1" t="s">
        <v>2495</v>
      </c>
      <c r="G16" s="134" t="s">
        <v>2605</v>
      </c>
      <c r="H16" s="15">
        <v>50000</v>
      </c>
      <c r="I16" s="2">
        <f>Tabla245678[[#This Row],[TOTAL FACTURA]]*0.6</f>
        <v>30000</v>
      </c>
      <c r="J16" s="104">
        <f t="shared" si="0"/>
        <v>20000</v>
      </c>
      <c r="K16" s="10"/>
      <c r="L16" s="11"/>
      <c r="M16" s="11">
        <f>Tabla245678[[#This Row],[MONTO DE COMPRA]]/1.19</f>
        <v>0</v>
      </c>
      <c r="N16" s="11">
        <f>Tabla245678[[#This Row],[Columna1]]*19%</f>
        <v>0</v>
      </c>
      <c r="O16" s="11"/>
      <c r="P16" s="11">
        <f>Tabla245678[[#This Row],[VENTA ]]/1.19</f>
        <v>0</v>
      </c>
      <c r="Q16" s="11">
        <f>Tabla245678[[#This Row],[Columna2]]*19%</f>
        <v>0</v>
      </c>
      <c r="R16" s="11">
        <f>Tabla245678[[#This Row],[IVA VENTA ]]-Tabla245678[[#This Row],[IV COMPRA]]</f>
        <v>0</v>
      </c>
      <c r="S16" s="11">
        <f>(Tabla245678[[#This Row],[VENTA ]]-(Tabla245678[[#This Row],[MONTO DE COMPRA]]+Tabla245678[[#This Row],[DIFERENCIA IVA ]]))</f>
        <v>0</v>
      </c>
      <c r="T16" s="2" t="s">
        <v>25</v>
      </c>
      <c r="U16" s="1"/>
    </row>
    <row r="17" spans="1:21" x14ac:dyDescent="0.25">
      <c r="A17" s="56">
        <v>44774</v>
      </c>
      <c r="C17" s="4" t="s">
        <v>2606</v>
      </c>
      <c r="D17" s="4" t="s">
        <v>2607</v>
      </c>
      <c r="E17" s="1" t="s">
        <v>247</v>
      </c>
      <c r="F17" s="1" t="s">
        <v>2446</v>
      </c>
      <c r="G17" s="134" t="s">
        <v>1373</v>
      </c>
      <c r="H17" s="15">
        <v>30000</v>
      </c>
      <c r="I17" s="2">
        <f>Tabla245678[[#This Row],[TOTAL FACTURA]]*0.7</f>
        <v>21000</v>
      </c>
      <c r="J17" s="104">
        <f t="shared" si="0"/>
        <v>9000</v>
      </c>
      <c r="K17" s="10"/>
      <c r="L17" s="11"/>
      <c r="M17" s="11">
        <f>Tabla245678[[#This Row],[MONTO DE COMPRA]]/1.19</f>
        <v>0</v>
      </c>
      <c r="N17" s="11">
        <f>Tabla245678[[#This Row],[Columna1]]*19%</f>
        <v>0</v>
      </c>
      <c r="O17" s="11"/>
      <c r="P17" s="11">
        <f>Tabla245678[[#This Row],[VENTA ]]/1.19</f>
        <v>0</v>
      </c>
      <c r="Q17" s="11">
        <f>Tabla245678[[#This Row],[Columna2]]*19%</f>
        <v>0</v>
      </c>
      <c r="R17" s="11">
        <f>Tabla245678[[#This Row],[IVA VENTA ]]-Tabla245678[[#This Row],[IV COMPRA]]</f>
        <v>0</v>
      </c>
      <c r="S17" s="11">
        <f>(Tabla245678[[#This Row],[VENTA ]]-(Tabla245678[[#This Row],[MONTO DE COMPRA]]+Tabla245678[[#This Row],[DIFERENCIA IVA ]]))</f>
        <v>0</v>
      </c>
      <c r="T17" s="2" t="s">
        <v>25</v>
      </c>
      <c r="U17" s="1"/>
    </row>
    <row r="18" spans="1:21" x14ac:dyDescent="0.25">
      <c r="A18" s="56">
        <v>44774</v>
      </c>
      <c r="C18" s="4" t="s">
        <v>2654</v>
      </c>
      <c r="D18" s="4"/>
      <c r="E18" s="1" t="s">
        <v>247</v>
      </c>
      <c r="F18" s="1" t="s">
        <v>2446</v>
      </c>
      <c r="G18" s="134" t="s">
        <v>2655</v>
      </c>
      <c r="H18" s="15">
        <v>10000</v>
      </c>
      <c r="I18" s="2">
        <f>Tabla245678[[#This Row],[TOTAL FACTURA]]*0.7</f>
        <v>7000</v>
      </c>
      <c r="J18" s="131">
        <f>H18-I18</f>
        <v>3000</v>
      </c>
      <c r="K18" s="10"/>
      <c r="L18" s="11"/>
      <c r="M18" s="11">
        <f>Tabla245678[[#This Row],[MONTO DE COMPRA]]/1.19</f>
        <v>0</v>
      </c>
      <c r="N18" s="11">
        <f>Tabla245678[[#This Row],[Columna1]]*19%</f>
        <v>0</v>
      </c>
      <c r="O18" s="11"/>
      <c r="P18" s="11">
        <f>Tabla245678[[#This Row],[VENTA ]]/1.19</f>
        <v>0</v>
      </c>
      <c r="Q18" s="11">
        <f>Tabla245678[[#This Row],[Columna2]]*19%</f>
        <v>0</v>
      </c>
      <c r="R18" s="11">
        <f>Tabla245678[[#This Row],[IVA VENTA ]]-Tabla245678[[#This Row],[IV COMPRA]]</f>
        <v>0</v>
      </c>
      <c r="S18" s="11">
        <f>(Tabla245678[[#This Row],[VENTA ]]-(Tabla245678[[#This Row],[MONTO DE COMPRA]]+Tabla245678[[#This Row],[DIFERENCIA IVA ]]))</f>
        <v>0</v>
      </c>
      <c r="T18" s="2" t="s">
        <v>25</v>
      </c>
      <c r="U18" s="1"/>
    </row>
    <row r="19" spans="1:21" ht="45" x14ac:dyDescent="0.25">
      <c r="A19" s="56">
        <v>44775</v>
      </c>
      <c r="C19" s="1" t="s">
        <v>2608</v>
      </c>
      <c r="D19" s="4" t="s">
        <v>2609</v>
      </c>
      <c r="E19" s="1" t="s">
        <v>1077</v>
      </c>
      <c r="F19" s="1" t="s">
        <v>2446</v>
      </c>
      <c r="G19" s="134" t="s">
        <v>2610</v>
      </c>
      <c r="H19" s="15">
        <v>300000</v>
      </c>
      <c r="I19" s="2">
        <f>Tabla245678[[#This Row],[TOTAL FACTURA]]*0.7</f>
        <v>210000</v>
      </c>
      <c r="J19" s="104">
        <f t="shared" si="0"/>
        <v>90000</v>
      </c>
      <c r="K19" s="10" t="s">
        <v>2611</v>
      </c>
      <c r="L19" s="11">
        <f>337555.3+490000</f>
        <v>827555.3</v>
      </c>
      <c r="M19" s="11">
        <f>Tabla245678[[#This Row],[MONTO DE COMPRA]]/1.19</f>
        <v>695424.62184873957</v>
      </c>
      <c r="N19" s="11">
        <f>Tabla245678[[#This Row],[Columna1]]*19%</f>
        <v>132130.67815126051</v>
      </c>
      <c r="O19" s="11">
        <v>1330000</v>
      </c>
      <c r="P19" s="11">
        <f>Tabla245678[[#This Row],[VENTA ]]/1.19</f>
        <v>1117647.0588235294</v>
      </c>
      <c r="Q19" s="11">
        <f>Tabla245678[[#This Row],[Columna2]]*19%</f>
        <v>212352.9411764706</v>
      </c>
      <c r="R19" s="11">
        <f>Tabla245678[[#This Row],[IVA VENTA ]]-Tabla245678[[#This Row],[IV COMPRA]]</f>
        <v>80222.263025210093</v>
      </c>
      <c r="S19" s="11">
        <f>(Tabla245678[[#This Row],[VENTA ]]-(Tabla245678[[#This Row],[MONTO DE COMPRA]]+Tabla245678[[#This Row],[DIFERENCIA IVA ]]))</f>
        <v>422222.43697478983</v>
      </c>
      <c r="T19" s="2" t="s">
        <v>25</v>
      </c>
      <c r="U19" s="1"/>
    </row>
    <row r="20" spans="1:21" ht="30" x14ac:dyDescent="0.25">
      <c r="A20" s="56">
        <v>44775</v>
      </c>
      <c r="C20" s="4" t="s">
        <v>2612</v>
      </c>
      <c r="D20" s="4" t="s">
        <v>2616</v>
      </c>
      <c r="E20" s="1" t="s">
        <v>2615</v>
      </c>
      <c r="F20" s="1" t="s">
        <v>2446</v>
      </c>
      <c r="G20" s="134" t="s">
        <v>2613</v>
      </c>
      <c r="H20" s="15">
        <v>80000</v>
      </c>
      <c r="I20" s="2">
        <f>Tabla245678[[#This Row],[TOTAL FACTURA]]*0.7</f>
        <v>56000</v>
      </c>
      <c r="J20" s="104">
        <f t="shared" si="0"/>
        <v>24000</v>
      </c>
      <c r="K20" s="10" t="s">
        <v>2614</v>
      </c>
      <c r="L20" s="11">
        <v>14900</v>
      </c>
      <c r="M20" s="11">
        <f>Tabla245678[[#This Row],[MONTO DE COMPRA]]/1.19</f>
        <v>12521.008403361346</v>
      </c>
      <c r="N20" s="11">
        <f>Tabla245678[[#This Row],[Columna1]]*19%</f>
        <v>2378.9915966386557</v>
      </c>
      <c r="O20" s="11">
        <v>10000</v>
      </c>
      <c r="P20" s="11">
        <f>Tabla245678[[#This Row],[VENTA ]]/1.19</f>
        <v>8403.361344537816</v>
      </c>
      <c r="Q20" s="11">
        <f>Tabla245678[[#This Row],[Columna2]]*19%</f>
        <v>1596.6386554621849</v>
      </c>
      <c r="R20" s="11">
        <f>Tabla245678[[#This Row],[IVA VENTA ]]-Tabla245678[[#This Row],[IV COMPRA]]</f>
        <v>-782.35294117647072</v>
      </c>
      <c r="S20" s="11">
        <f>(Tabla245678[[#This Row],[VENTA ]]-(Tabla245678[[#This Row],[MONTO DE COMPRA]]+Tabla245678[[#This Row],[DIFERENCIA IVA ]]))</f>
        <v>-4117.6470588235297</v>
      </c>
      <c r="T20" s="2" t="s">
        <v>25</v>
      </c>
      <c r="U20" s="1"/>
    </row>
    <row r="21" spans="1:21" x14ac:dyDescent="0.25">
      <c r="A21" s="56">
        <v>44775</v>
      </c>
      <c r="C21" s="4" t="s">
        <v>2617</v>
      </c>
      <c r="D21" s="1" t="s">
        <v>2618</v>
      </c>
      <c r="E21" s="1" t="s">
        <v>112</v>
      </c>
      <c r="F21" s="1" t="s">
        <v>2495</v>
      </c>
      <c r="G21" s="134" t="s">
        <v>2619</v>
      </c>
      <c r="H21" s="15">
        <v>40000</v>
      </c>
      <c r="I21" s="2">
        <f>Tabla245678[[#This Row],[TOTAL FACTURA]]*0.6</f>
        <v>24000</v>
      </c>
      <c r="J21" s="104">
        <f t="shared" si="0"/>
        <v>16000</v>
      </c>
      <c r="K21" s="10"/>
      <c r="L21" s="11"/>
      <c r="M21" s="11">
        <f>Tabla245678[[#This Row],[MONTO DE COMPRA]]/1.19</f>
        <v>0</v>
      </c>
      <c r="N21" s="11">
        <f>Tabla245678[[#This Row],[Columna1]]*19%</f>
        <v>0</v>
      </c>
      <c r="O21" s="11"/>
      <c r="P21" s="11">
        <f>Tabla245678[[#This Row],[VENTA ]]/1.19</f>
        <v>0</v>
      </c>
      <c r="Q21" s="11">
        <f>Tabla245678[[#This Row],[Columna2]]*19%</f>
        <v>0</v>
      </c>
      <c r="R21" s="11">
        <f>Tabla245678[[#This Row],[IVA VENTA ]]-Tabla245678[[#This Row],[IV COMPRA]]</f>
        <v>0</v>
      </c>
      <c r="S21" s="11">
        <f>(Tabla245678[[#This Row],[VENTA ]]-(Tabla245678[[#This Row],[MONTO DE COMPRA]]+Tabla245678[[#This Row],[DIFERENCIA IVA ]]))</f>
        <v>0</v>
      </c>
      <c r="T21" s="2" t="s">
        <v>25</v>
      </c>
      <c r="U21" s="1"/>
    </row>
    <row r="22" spans="1:21" x14ac:dyDescent="0.25">
      <c r="A22" s="56">
        <v>44775</v>
      </c>
      <c r="C22" s="4" t="s">
        <v>1278</v>
      </c>
      <c r="D22" s="1" t="s">
        <v>386</v>
      </c>
      <c r="E22" s="1" t="s">
        <v>46</v>
      </c>
      <c r="F22" s="1" t="s">
        <v>2446</v>
      </c>
      <c r="G22" s="134" t="s">
        <v>21</v>
      </c>
      <c r="H22" s="15">
        <v>10000</v>
      </c>
      <c r="I22" s="2">
        <f>Tabla245678[[#This Row],[TOTAL FACTURA]]*0.7</f>
        <v>7000</v>
      </c>
      <c r="J22" s="104">
        <f t="shared" si="0"/>
        <v>3000</v>
      </c>
      <c r="K22" s="10"/>
      <c r="L22" s="11"/>
      <c r="M22" s="11">
        <f>Tabla245678[[#This Row],[MONTO DE COMPRA]]/1.19</f>
        <v>0</v>
      </c>
      <c r="N22" s="11">
        <f>Tabla245678[[#This Row],[Columna1]]*19%</f>
        <v>0</v>
      </c>
      <c r="O22" s="11"/>
      <c r="P22" s="11">
        <f>Tabla245678[[#This Row],[VENTA ]]/1.19</f>
        <v>0</v>
      </c>
      <c r="Q22" s="11">
        <f>Tabla245678[[#This Row],[Columna2]]*19%</f>
        <v>0</v>
      </c>
      <c r="R22" s="11">
        <f>Tabla245678[[#This Row],[IVA VENTA ]]-Tabla245678[[#This Row],[IV COMPRA]]</f>
        <v>0</v>
      </c>
      <c r="S22" s="11">
        <f>(Tabla245678[[#This Row],[VENTA ]]-(Tabla245678[[#This Row],[MONTO DE COMPRA]]+Tabla245678[[#This Row],[DIFERENCIA IVA ]]))</f>
        <v>0</v>
      </c>
      <c r="T22" s="2" t="s">
        <v>25</v>
      </c>
      <c r="U22" s="1"/>
    </row>
    <row r="23" spans="1:21" x14ac:dyDescent="0.25">
      <c r="A23" s="56">
        <v>44775</v>
      </c>
      <c r="C23" s="4"/>
      <c r="F23" s="1" t="s">
        <v>603</v>
      </c>
      <c r="G23" s="134" t="s">
        <v>21</v>
      </c>
      <c r="H23" s="15">
        <v>10000</v>
      </c>
      <c r="I23" s="2">
        <f>Tabla245678[[#This Row],[TOTAL FACTURA]]*0.6</f>
        <v>6000</v>
      </c>
      <c r="J23" s="104">
        <f t="shared" si="0"/>
        <v>4000</v>
      </c>
      <c r="K23" s="10" t="s">
        <v>57</v>
      </c>
      <c r="L23" s="11">
        <v>5000</v>
      </c>
      <c r="M23" s="11">
        <f>Tabla245678[[#This Row],[MONTO DE COMPRA]]/1.19</f>
        <v>4201.680672268908</v>
      </c>
      <c r="N23" s="11">
        <f>Tabla245678[[#This Row],[Columna1]]*19%</f>
        <v>798.31932773109247</v>
      </c>
      <c r="O23" s="11">
        <v>10000</v>
      </c>
      <c r="P23" s="11">
        <f>Tabla245678[[#This Row],[VENTA ]]/1.19</f>
        <v>8403.361344537816</v>
      </c>
      <c r="Q23" s="11">
        <f>Tabla245678[[#This Row],[Columna2]]*19%</f>
        <v>1596.6386554621849</v>
      </c>
      <c r="R23" s="11">
        <f>Tabla245678[[#This Row],[IVA VENTA ]]-Tabla245678[[#This Row],[IV COMPRA]]</f>
        <v>798.31932773109247</v>
      </c>
      <c r="S23" s="11">
        <f>(Tabla245678[[#This Row],[VENTA ]]-(Tabla245678[[#This Row],[MONTO DE COMPRA]]+Tabla245678[[#This Row],[DIFERENCIA IVA ]]))</f>
        <v>4201.6806722689071</v>
      </c>
      <c r="T23" s="2" t="s">
        <v>25</v>
      </c>
      <c r="U23" s="1"/>
    </row>
    <row r="24" spans="1:21" x14ac:dyDescent="0.25">
      <c r="A24" s="56">
        <v>44776</v>
      </c>
      <c r="C24" s="4" t="s">
        <v>2620</v>
      </c>
      <c r="D24" s="4" t="s">
        <v>2622</v>
      </c>
      <c r="E24" s="1" t="s">
        <v>2621</v>
      </c>
      <c r="F24" s="1" t="s">
        <v>2495</v>
      </c>
      <c r="G24" s="134" t="s">
        <v>2623</v>
      </c>
      <c r="H24" s="15">
        <v>80000</v>
      </c>
      <c r="I24" s="2">
        <f>Tabla245678[[#This Row],[TOTAL FACTURA]]*0.6</f>
        <v>48000</v>
      </c>
      <c r="J24" s="104">
        <f t="shared" si="0"/>
        <v>32000</v>
      </c>
      <c r="K24" s="10"/>
      <c r="L24" s="11"/>
      <c r="M24" s="11">
        <f>Tabla245678[[#This Row],[MONTO DE COMPRA]]/1.19</f>
        <v>0</v>
      </c>
      <c r="N24" s="11">
        <f>Tabla245678[[#This Row],[Columna1]]*19%</f>
        <v>0</v>
      </c>
      <c r="O24" s="11"/>
      <c r="P24" s="11">
        <f>Tabla245678[[#This Row],[VENTA ]]/1.19</f>
        <v>0</v>
      </c>
      <c r="Q24" s="11">
        <f>Tabla245678[[#This Row],[Columna2]]*19%</f>
        <v>0</v>
      </c>
      <c r="R24" s="11">
        <f>Tabla245678[[#This Row],[IVA VENTA ]]-Tabla245678[[#This Row],[IV COMPRA]]</f>
        <v>0</v>
      </c>
      <c r="S24" s="11">
        <f>(Tabla245678[[#This Row],[VENTA ]]-(Tabla245678[[#This Row],[MONTO DE COMPRA]]+Tabla245678[[#This Row],[DIFERENCIA IVA ]]))</f>
        <v>0</v>
      </c>
      <c r="T24" s="2" t="s">
        <v>25</v>
      </c>
      <c r="U24" s="1"/>
    </row>
    <row r="25" spans="1:21" x14ac:dyDescent="0.25">
      <c r="A25" s="56">
        <v>44776</v>
      </c>
      <c r="C25" s="4" t="s">
        <v>1586</v>
      </c>
      <c r="D25" s="4" t="s">
        <v>263</v>
      </c>
      <c r="E25" s="1" t="s">
        <v>48</v>
      </c>
      <c r="F25" s="1" t="s">
        <v>2446</v>
      </c>
      <c r="G25" s="134" t="s">
        <v>2097</v>
      </c>
      <c r="H25" s="15">
        <v>10000</v>
      </c>
      <c r="I25" s="2">
        <f>Tabla245678[[#This Row],[TOTAL FACTURA]]*0.7</f>
        <v>7000</v>
      </c>
      <c r="J25" s="104">
        <f t="shared" si="0"/>
        <v>3000</v>
      </c>
      <c r="K25" s="10"/>
      <c r="L25" s="11"/>
      <c r="M25" s="11">
        <f>Tabla245678[[#This Row],[MONTO DE COMPRA]]/1.19</f>
        <v>0</v>
      </c>
      <c r="N25" s="11">
        <f>Tabla245678[[#This Row],[Columna1]]*19%</f>
        <v>0</v>
      </c>
      <c r="O25" s="11"/>
      <c r="P25" s="11">
        <f>Tabla245678[[#This Row],[VENTA ]]/1.19</f>
        <v>0</v>
      </c>
      <c r="Q25" s="11">
        <f>Tabla245678[[#This Row],[Columna2]]*19%</f>
        <v>0</v>
      </c>
      <c r="R25" s="11">
        <f>Tabla245678[[#This Row],[IVA VENTA ]]-Tabla245678[[#This Row],[IV COMPRA]]</f>
        <v>0</v>
      </c>
      <c r="S25" s="11">
        <f>(Tabla245678[[#This Row],[VENTA ]]-(Tabla245678[[#This Row],[MONTO DE COMPRA]]+Tabla245678[[#This Row],[DIFERENCIA IVA ]]))</f>
        <v>0</v>
      </c>
      <c r="T25" s="2" t="s">
        <v>25</v>
      </c>
      <c r="U25" s="1"/>
    </row>
    <row r="26" spans="1:21" ht="30" x14ac:dyDescent="0.25">
      <c r="A26" s="56">
        <v>44776</v>
      </c>
      <c r="C26" s="4" t="s">
        <v>2624</v>
      </c>
      <c r="D26" s="4" t="s">
        <v>2626</v>
      </c>
      <c r="E26" s="1" t="s">
        <v>2625</v>
      </c>
      <c r="F26" s="1" t="s">
        <v>2495</v>
      </c>
      <c r="G26" s="134" t="s">
        <v>2627</v>
      </c>
      <c r="H26" s="15">
        <v>190000</v>
      </c>
      <c r="I26" s="2">
        <f>Tabla245678[[#This Row],[TOTAL FACTURA]]*0.6</f>
        <v>114000</v>
      </c>
      <c r="J26" s="104">
        <f t="shared" si="0"/>
        <v>76000</v>
      </c>
      <c r="K26" s="10" t="s">
        <v>2629</v>
      </c>
      <c r="L26" s="11">
        <f>360000+390000+150000</f>
        <v>900000</v>
      </c>
      <c r="M26" s="11">
        <f>Tabla245678[[#This Row],[MONTO DE COMPRA]]/1.19</f>
        <v>756302.52100840339</v>
      </c>
      <c r="N26" s="11">
        <f>Tabla245678[[#This Row],[Columna1]]*19%</f>
        <v>143697.47899159664</v>
      </c>
      <c r="O26" s="11">
        <f>930000+200000</f>
        <v>1130000</v>
      </c>
      <c r="P26" s="11">
        <f>Tabla245678[[#This Row],[VENTA ]]/1.19</f>
        <v>949579.83193277312</v>
      </c>
      <c r="Q26" s="11">
        <f>Tabla245678[[#This Row],[Columna2]]*19%</f>
        <v>180420.16806722688</v>
      </c>
      <c r="R26" s="11">
        <f>Tabla245678[[#This Row],[IVA VENTA ]]-Tabla245678[[#This Row],[IV COMPRA]]</f>
        <v>36722.689075630245</v>
      </c>
      <c r="S26" s="11">
        <f>(Tabla245678[[#This Row],[VENTA ]]-(Tabla245678[[#This Row],[MONTO DE COMPRA]]+Tabla245678[[#This Row],[DIFERENCIA IVA ]]))+500000</f>
        <v>693277.31092436973</v>
      </c>
      <c r="T26" s="2" t="s">
        <v>25</v>
      </c>
      <c r="U26" s="1"/>
    </row>
    <row r="27" spans="1:21" x14ac:dyDescent="0.25">
      <c r="A27" s="56">
        <v>44776</v>
      </c>
      <c r="C27" s="4" t="s">
        <v>2628</v>
      </c>
      <c r="D27" s="4" t="s">
        <v>273</v>
      </c>
      <c r="E27" s="1" t="s">
        <v>59</v>
      </c>
      <c r="F27" s="1" t="s">
        <v>2446</v>
      </c>
      <c r="G27" s="134" t="s">
        <v>21</v>
      </c>
      <c r="H27" s="15">
        <v>10000</v>
      </c>
      <c r="I27" s="2">
        <f>Tabla245678[[#This Row],[TOTAL FACTURA]]*0.7</f>
        <v>7000</v>
      </c>
      <c r="J27" s="104">
        <f t="shared" si="0"/>
        <v>3000</v>
      </c>
      <c r="K27" s="10"/>
      <c r="L27" s="11"/>
      <c r="M27" s="11">
        <f>Tabla245678[[#This Row],[MONTO DE COMPRA]]/1.19</f>
        <v>0</v>
      </c>
      <c r="N27" s="11">
        <f>Tabla245678[[#This Row],[Columna1]]*19%</f>
        <v>0</v>
      </c>
      <c r="O27" s="11"/>
      <c r="P27" s="11">
        <f>Tabla245678[[#This Row],[VENTA ]]/1.19</f>
        <v>0</v>
      </c>
      <c r="Q27" s="11">
        <f>Tabla245678[[#This Row],[Columna2]]*19%</f>
        <v>0</v>
      </c>
      <c r="R27" s="11">
        <f>Tabla245678[[#This Row],[IVA VENTA ]]-Tabla245678[[#This Row],[IV COMPRA]]</f>
        <v>0</v>
      </c>
      <c r="S27" s="11">
        <f>(Tabla245678[[#This Row],[VENTA ]]-(Tabla245678[[#This Row],[MONTO DE COMPRA]]+Tabla245678[[#This Row],[DIFERENCIA IVA ]]))</f>
        <v>0</v>
      </c>
      <c r="T27" s="2" t="s">
        <v>25</v>
      </c>
      <c r="U27" s="1"/>
    </row>
    <row r="28" spans="1:21" x14ac:dyDescent="0.25">
      <c r="A28" s="56">
        <v>44777</v>
      </c>
      <c r="C28" s="4" t="s">
        <v>2630</v>
      </c>
      <c r="D28" s="4" t="s">
        <v>2632</v>
      </c>
      <c r="E28" s="1" t="s">
        <v>2631</v>
      </c>
      <c r="F28" s="1" t="s">
        <v>10</v>
      </c>
      <c r="G28" s="134" t="s">
        <v>2633</v>
      </c>
      <c r="H28" s="15">
        <v>30000</v>
      </c>
      <c r="I28" s="2">
        <f>Tabla245678[[#This Row],[TOTAL FACTURA]]*0.7</f>
        <v>21000</v>
      </c>
      <c r="J28" s="104">
        <f t="shared" si="0"/>
        <v>9000</v>
      </c>
      <c r="K28" s="10"/>
      <c r="L28" s="11"/>
      <c r="M28" s="11">
        <f>Tabla245678[[#This Row],[MONTO DE COMPRA]]/1.19</f>
        <v>0</v>
      </c>
      <c r="N28" s="11">
        <f>Tabla245678[[#This Row],[Columna1]]*19%</f>
        <v>0</v>
      </c>
      <c r="O28" s="11"/>
      <c r="P28" s="11">
        <f>Tabla245678[[#This Row],[VENTA ]]/1.19</f>
        <v>0</v>
      </c>
      <c r="Q28" s="11">
        <f>Tabla245678[[#This Row],[Columna2]]*19%</f>
        <v>0</v>
      </c>
      <c r="R28" s="11">
        <f>Tabla245678[[#This Row],[IVA VENTA ]]-Tabla245678[[#This Row],[IV COMPRA]]</f>
        <v>0</v>
      </c>
      <c r="S28" s="11">
        <f>(Tabla245678[[#This Row],[VENTA ]]-(Tabla245678[[#This Row],[MONTO DE COMPRA]]+Tabla245678[[#This Row],[DIFERENCIA IVA ]]))</f>
        <v>0</v>
      </c>
      <c r="T28" s="2" t="s">
        <v>25</v>
      </c>
      <c r="U28" s="1"/>
    </row>
    <row r="29" spans="1:21" x14ac:dyDescent="0.25">
      <c r="A29" s="56">
        <v>44777</v>
      </c>
      <c r="C29" s="4" t="s">
        <v>2634</v>
      </c>
      <c r="D29" s="4" t="s">
        <v>107</v>
      </c>
      <c r="E29" s="1" t="s">
        <v>2635</v>
      </c>
      <c r="F29" s="1" t="s">
        <v>2446</v>
      </c>
      <c r="G29" s="134" t="s">
        <v>2636</v>
      </c>
      <c r="H29" s="15">
        <v>40000</v>
      </c>
      <c r="I29" s="2">
        <v>40000</v>
      </c>
      <c r="J29" s="104">
        <f t="shared" si="0"/>
        <v>0</v>
      </c>
      <c r="K29" s="10" t="s">
        <v>2637</v>
      </c>
      <c r="L29" s="11">
        <v>115000</v>
      </c>
      <c r="M29" s="11">
        <f>Tabla245678[[#This Row],[MONTO DE COMPRA]]/1.19</f>
        <v>96638.655462184877</v>
      </c>
      <c r="N29" s="11">
        <f>Tabla245678[[#This Row],[Columna1]]*19%</f>
        <v>18361.344537815126</v>
      </c>
      <c r="O29" s="11">
        <v>140000</v>
      </c>
      <c r="P29" s="11">
        <f>Tabla245678[[#This Row],[VENTA ]]/1.19</f>
        <v>117647.05882352941</v>
      </c>
      <c r="Q29" s="11">
        <f>Tabla245678[[#This Row],[Columna2]]*19%</f>
        <v>22352.941176470587</v>
      </c>
      <c r="R29" s="11">
        <f>Tabla245678[[#This Row],[IVA VENTA ]]-Tabla245678[[#This Row],[IV COMPRA]]</f>
        <v>3991.596638655461</v>
      </c>
      <c r="S29" s="11">
        <f>(Tabla245678[[#This Row],[VENTA ]]-(Tabla245678[[#This Row],[MONTO DE COMPRA]]+Tabla245678[[#This Row],[DIFERENCIA IVA ]]))</f>
        <v>21008.403361344535</v>
      </c>
      <c r="T29" s="2" t="s">
        <v>25</v>
      </c>
      <c r="U29" s="1"/>
    </row>
    <row r="30" spans="1:21" x14ac:dyDescent="0.25">
      <c r="A30" s="56">
        <v>44777</v>
      </c>
      <c r="B30" s="4" t="s">
        <v>2640</v>
      </c>
      <c r="C30" s="4" t="s">
        <v>2638</v>
      </c>
      <c r="D30" s="4" t="s">
        <v>1077</v>
      </c>
      <c r="E30" s="1" t="s">
        <v>2639</v>
      </c>
      <c r="F30" s="1" t="s">
        <v>2446</v>
      </c>
      <c r="G30" s="134" t="s">
        <v>329</v>
      </c>
      <c r="H30" s="15">
        <v>50000</v>
      </c>
      <c r="I30" s="2">
        <f>Tabla245678[[#This Row],[TOTAL FACTURA]]*0.7</f>
        <v>35000</v>
      </c>
      <c r="J30" s="104">
        <f t="shared" si="0"/>
        <v>15000</v>
      </c>
      <c r="K30" s="10"/>
      <c r="L30" s="11"/>
      <c r="M30" s="11">
        <f>Tabla245678[[#This Row],[MONTO DE COMPRA]]/1.19</f>
        <v>0</v>
      </c>
      <c r="N30" s="11">
        <f>Tabla245678[[#This Row],[Columna1]]*19%</f>
        <v>0</v>
      </c>
      <c r="O30" s="11"/>
      <c r="P30" s="11">
        <f>Tabla245678[[#This Row],[VENTA ]]/1.19</f>
        <v>0</v>
      </c>
      <c r="Q30" s="11">
        <f>Tabla245678[[#This Row],[Columna2]]*19%</f>
        <v>0</v>
      </c>
      <c r="R30" s="11">
        <f>Tabla245678[[#This Row],[IVA VENTA ]]-Tabla245678[[#This Row],[IV COMPRA]]</f>
        <v>0</v>
      </c>
      <c r="S30" s="11">
        <f>(Tabla245678[[#This Row],[VENTA ]]-(Tabla245678[[#This Row],[MONTO DE COMPRA]]+Tabla245678[[#This Row],[DIFERENCIA IVA ]]))</f>
        <v>0</v>
      </c>
      <c r="T30" s="2" t="s">
        <v>25</v>
      </c>
      <c r="U30" s="1"/>
    </row>
    <row r="31" spans="1:21" ht="30" x14ac:dyDescent="0.25">
      <c r="A31" s="56">
        <v>44777</v>
      </c>
      <c r="C31" s="4" t="s">
        <v>2641</v>
      </c>
      <c r="D31" s="4" t="s">
        <v>1011</v>
      </c>
      <c r="E31" s="1" t="s">
        <v>2554</v>
      </c>
      <c r="F31" s="1" t="s">
        <v>2495</v>
      </c>
      <c r="G31" s="134" t="s">
        <v>2642</v>
      </c>
      <c r="H31" s="15">
        <v>140000</v>
      </c>
      <c r="I31" s="2">
        <f>Tabla245678[[#This Row],[TOTAL FACTURA]]*0.6</f>
        <v>84000</v>
      </c>
      <c r="J31" s="104">
        <f t="shared" si="0"/>
        <v>56000</v>
      </c>
      <c r="K31" s="10"/>
      <c r="L31" s="11"/>
      <c r="M31" s="11">
        <f>Tabla245678[[#This Row],[MONTO DE COMPRA]]/1.19</f>
        <v>0</v>
      </c>
      <c r="N31" s="11">
        <f>Tabla245678[[#This Row],[Columna1]]*19%</f>
        <v>0</v>
      </c>
      <c r="O31" s="11"/>
      <c r="P31" s="11">
        <f>Tabla245678[[#This Row],[VENTA ]]/1.19</f>
        <v>0</v>
      </c>
      <c r="Q31" s="11">
        <f>Tabla245678[[#This Row],[Columna2]]*19%</f>
        <v>0</v>
      </c>
      <c r="R31" s="11">
        <f>Tabla245678[[#This Row],[IVA VENTA ]]-Tabla245678[[#This Row],[IV COMPRA]]</f>
        <v>0</v>
      </c>
      <c r="S31" s="11">
        <f>(Tabla245678[[#This Row],[VENTA ]]-(Tabla245678[[#This Row],[MONTO DE COMPRA]]+Tabla245678[[#This Row],[DIFERENCIA IVA ]]))</f>
        <v>0</v>
      </c>
      <c r="T31" s="2" t="s">
        <v>25</v>
      </c>
      <c r="U31" s="1"/>
    </row>
    <row r="32" spans="1:21" x14ac:dyDescent="0.25">
      <c r="A32" s="56">
        <v>44778</v>
      </c>
      <c r="C32" s="4" t="s">
        <v>2643</v>
      </c>
      <c r="D32" s="4" t="s">
        <v>2083</v>
      </c>
      <c r="E32" s="1" t="s">
        <v>2644</v>
      </c>
      <c r="F32" s="1" t="s">
        <v>2446</v>
      </c>
      <c r="G32" s="134" t="s">
        <v>2645</v>
      </c>
      <c r="H32" s="15">
        <v>40000</v>
      </c>
      <c r="I32" s="15">
        <f>Tabla245678[[#This Row],[TOTAL FACTURA]]*0.6</f>
        <v>24000</v>
      </c>
      <c r="J32" s="104">
        <f t="shared" si="0"/>
        <v>16000</v>
      </c>
      <c r="K32" s="10"/>
      <c r="L32" s="11"/>
      <c r="M32" s="11">
        <f>Tabla245678[[#This Row],[MONTO DE COMPRA]]/1.19</f>
        <v>0</v>
      </c>
      <c r="N32" s="11">
        <f>Tabla245678[[#This Row],[Columna1]]*19%</f>
        <v>0</v>
      </c>
      <c r="O32" s="11"/>
      <c r="P32" s="11">
        <f>Tabla245678[[#This Row],[VENTA ]]/1.19</f>
        <v>0</v>
      </c>
      <c r="Q32" s="11">
        <f>Tabla245678[[#This Row],[Columna2]]*19%</f>
        <v>0</v>
      </c>
      <c r="R32" s="11">
        <f>Tabla245678[[#This Row],[IVA VENTA ]]-Tabla245678[[#This Row],[IV COMPRA]]</f>
        <v>0</v>
      </c>
      <c r="S32" s="11">
        <f>(Tabla245678[[#This Row],[VENTA ]]-(Tabla245678[[#This Row],[MONTO DE COMPRA]]+Tabla245678[[#This Row],[DIFERENCIA IVA ]]))</f>
        <v>0</v>
      </c>
      <c r="T32" s="2" t="s">
        <v>25</v>
      </c>
      <c r="U32" s="1"/>
    </row>
    <row r="33" spans="1:21" x14ac:dyDescent="0.25">
      <c r="A33" s="56">
        <v>44778</v>
      </c>
      <c r="C33" s="114"/>
      <c r="D33" s="4"/>
      <c r="F33" s="1" t="s">
        <v>603</v>
      </c>
      <c r="G33" s="134" t="s">
        <v>434</v>
      </c>
      <c r="H33" s="15">
        <v>50000</v>
      </c>
      <c r="I33" s="2">
        <f>Tabla245678[[#This Row],[TOTAL FACTURA]]*0.6</f>
        <v>30000</v>
      </c>
      <c r="J33" s="104">
        <f t="shared" si="0"/>
        <v>20000</v>
      </c>
      <c r="K33" s="10"/>
      <c r="L33" s="11"/>
      <c r="M33" s="11">
        <f>Tabla245678[[#This Row],[MONTO DE COMPRA]]/1.19</f>
        <v>0</v>
      </c>
      <c r="N33" s="11">
        <f>Tabla245678[[#This Row],[Columna1]]*19%</f>
        <v>0</v>
      </c>
      <c r="O33" s="11"/>
      <c r="P33" s="11">
        <f>Tabla245678[[#This Row],[VENTA ]]/1.19</f>
        <v>0</v>
      </c>
      <c r="Q33" s="11">
        <f>Tabla245678[[#This Row],[Columna2]]*19%</f>
        <v>0</v>
      </c>
      <c r="R33" s="11">
        <f>Tabla245678[[#This Row],[IVA VENTA ]]-Tabla245678[[#This Row],[IV COMPRA]]</f>
        <v>0</v>
      </c>
      <c r="S33" s="11">
        <f>(Tabla245678[[#This Row],[VENTA ]]-(Tabla245678[[#This Row],[MONTO DE COMPRA]]+Tabla245678[[#This Row],[DIFERENCIA IVA ]]))</f>
        <v>0</v>
      </c>
      <c r="T33" s="2" t="s">
        <v>25</v>
      </c>
      <c r="U33" s="1"/>
    </row>
    <row r="34" spans="1:21" ht="30" x14ac:dyDescent="0.25">
      <c r="A34" s="56">
        <v>44778</v>
      </c>
      <c r="C34" s="4" t="s">
        <v>734</v>
      </c>
      <c r="D34" s="4" t="s">
        <v>735</v>
      </c>
      <c r="E34" s="1" t="s">
        <v>1944</v>
      </c>
      <c r="F34" s="1" t="s">
        <v>2446</v>
      </c>
      <c r="G34" s="134" t="s">
        <v>2648</v>
      </c>
      <c r="H34" s="15">
        <v>220000</v>
      </c>
      <c r="I34" s="15">
        <f>Tabla245678[[#This Row],[TOTAL FACTURA]]*0.7</f>
        <v>154000</v>
      </c>
      <c r="J34" s="104">
        <f t="shared" si="0"/>
        <v>66000</v>
      </c>
      <c r="K34" s="10"/>
      <c r="L34" s="11"/>
      <c r="M34" s="11">
        <f>Tabla245678[[#This Row],[MONTO DE COMPRA]]/1.19</f>
        <v>0</v>
      </c>
      <c r="N34" s="11">
        <f>Tabla245678[[#This Row],[Columna1]]*19%</f>
        <v>0</v>
      </c>
      <c r="O34" s="11"/>
      <c r="P34" s="11">
        <f>Tabla245678[[#This Row],[VENTA ]]/1.19</f>
        <v>0</v>
      </c>
      <c r="Q34" s="11">
        <f>Tabla245678[[#This Row],[Columna2]]*19%</f>
        <v>0</v>
      </c>
      <c r="R34" s="11">
        <f>Tabla245678[[#This Row],[IVA VENTA ]]-Tabla245678[[#This Row],[IV COMPRA]]</f>
        <v>0</v>
      </c>
      <c r="S34" s="11">
        <f>(Tabla245678[[#This Row],[VENTA ]]-(Tabla245678[[#This Row],[MONTO DE COMPRA]]+Tabla245678[[#This Row],[DIFERENCIA IVA ]]))</f>
        <v>0</v>
      </c>
      <c r="T34" s="2" t="s">
        <v>25</v>
      </c>
      <c r="U34" s="1"/>
    </row>
    <row r="35" spans="1:21" x14ac:dyDescent="0.25">
      <c r="A35" s="56">
        <v>44778</v>
      </c>
      <c r="B35" s="4" t="s">
        <v>2665</v>
      </c>
      <c r="C35" s="4" t="s">
        <v>734</v>
      </c>
      <c r="D35" s="4" t="s">
        <v>735</v>
      </c>
      <c r="E35" s="1" t="s">
        <v>1944</v>
      </c>
      <c r="F35" s="1" t="s">
        <v>10</v>
      </c>
      <c r="G35" s="134" t="s">
        <v>2652</v>
      </c>
      <c r="H35" s="15">
        <v>900000</v>
      </c>
      <c r="I35" s="2">
        <f>Tabla245678[[#This Row],[TOTAL FACTURA]]*0.7</f>
        <v>630000</v>
      </c>
      <c r="J35" s="104">
        <f t="shared" si="0"/>
        <v>270000</v>
      </c>
      <c r="K35" s="10"/>
      <c r="L35" s="11"/>
      <c r="M35" s="11">
        <f>Tabla245678[[#This Row],[MONTO DE COMPRA]]/1.19</f>
        <v>0</v>
      </c>
      <c r="N35" s="11">
        <f>Tabla245678[[#This Row],[Columna1]]*19%</f>
        <v>0</v>
      </c>
      <c r="O35" s="11"/>
      <c r="P35" s="11">
        <f>Tabla245678[[#This Row],[VENTA ]]/1.19</f>
        <v>0</v>
      </c>
      <c r="Q35" s="11">
        <f>Tabla245678[[#This Row],[Columna2]]*19%</f>
        <v>0</v>
      </c>
      <c r="R35" s="11">
        <f>Tabla245678[[#This Row],[IVA VENTA ]]-Tabla245678[[#This Row],[IV COMPRA]]</f>
        <v>0</v>
      </c>
      <c r="S35" s="11">
        <f>(Tabla245678[[#This Row],[VENTA ]]-(Tabla245678[[#This Row],[MONTO DE COMPRA]]+Tabla245678[[#This Row],[DIFERENCIA IVA ]]))</f>
        <v>0</v>
      </c>
      <c r="T35" s="2" t="s">
        <v>25</v>
      </c>
      <c r="U35" s="1"/>
    </row>
    <row r="36" spans="1:21" x14ac:dyDescent="0.25">
      <c r="A36" s="56">
        <v>44778</v>
      </c>
      <c r="C36" s="4" t="s">
        <v>2649</v>
      </c>
      <c r="D36" s="4" t="s">
        <v>2651</v>
      </c>
      <c r="E36" s="1" t="s">
        <v>2650</v>
      </c>
      <c r="F36" s="1" t="s">
        <v>2446</v>
      </c>
      <c r="G36" s="134" t="s">
        <v>679</v>
      </c>
      <c r="H36" s="15">
        <v>80000</v>
      </c>
      <c r="I36" s="2">
        <f>Tabla245678[[#This Row],[TOTAL FACTURA]]*0.7</f>
        <v>56000</v>
      </c>
      <c r="J36" s="104">
        <f t="shared" si="0"/>
        <v>24000</v>
      </c>
      <c r="K36" s="10" t="s">
        <v>680</v>
      </c>
      <c r="L36" s="11">
        <v>312000</v>
      </c>
      <c r="M36" s="11">
        <f>Tabla245678[[#This Row],[MONTO DE COMPRA]]/1.19</f>
        <v>262184.87394957984</v>
      </c>
      <c r="N36" s="11">
        <f>Tabla245678[[#This Row],[Columna1]]*19%</f>
        <v>49815.126050420171</v>
      </c>
      <c r="O36" s="11">
        <v>371000</v>
      </c>
      <c r="P36" s="11">
        <f>Tabla245678[[#This Row],[VENTA ]]/1.19</f>
        <v>311764.70588235295</v>
      </c>
      <c r="Q36" s="11">
        <f>Tabla245678[[#This Row],[Columna2]]*19%</f>
        <v>59235.294117647063</v>
      </c>
      <c r="R36" s="11">
        <f>Tabla245678[[#This Row],[IVA VENTA ]]-Tabla245678[[#This Row],[IV COMPRA]]</f>
        <v>9420.1680672268922</v>
      </c>
      <c r="S36" s="11">
        <f>(Tabla245678[[#This Row],[VENTA ]]-(Tabla245678[[#This Row],[MONTO DE COMPRA]]+Tabla245678[[#This Row],[DIFERENCIA IVA ]]))</f>
        <v>49579.831932773115</v>
      </c>
      <c r="T36" s="2" t="s">
        <v>25</v>
      </c>
      <c r="U36" s="1"/>
    </row>
    <row r="37" spans="1:21" x14ac:dyDescent="0.25">
      <c r="A37" s="56">
        <v>44778</v>
      </c>
      <c r="C37" s="4" t="s">
        <v>2221</v>
      </c>
      <c r="D37" s="4" t="s">
        <v>2656</v>
      </c>
      <c r="E37" s="1" t="s">
        <v>1907</v>
      </c>
      <c r="F37" s="1" t="s">
        <v>10</v>
      </c>
      <c r="G37" s="134" t="s">
        <v>956</v>
      </c>
      <c r="H37" s="15">
        <v>1000000</v>
      </c>
      <c r="I37" s="2">
        <f>Tabla245678[[#This Row],[TOTAL FACTURA]]*0.7</f>
        <v>700000</v>
      </c>
      <c r="J37" s="104">
        <f t="shared" si="0"/>
        <v>300000</v>
      </c>
      <c r="K37" s="10"/>
      <c r="L37" s="11">
        <f>1495000+40000+15000+24000+30000</f>
        <v>1604000</v>
      </c>
      <c r="M37" s="11"/>
      <c r="N37" s="11">
        <f>Tabla245678[[#This Row],[Columna1]]*19%</f>
        <v>0</v>
      </c>
      <c r="O37" s="11">
        <v>2772000</v>
      </c>
      <c r="P37" s="11">
        <f>Tabla245678[[#This Row],[VENTA ]]/1.19</f>
        <v>2329411.7647058824</v>
      </c>
      <c r="Q37" s="11">
        <f>Tabla245678[[#This Row],[Columna2]]*19%</f>
        <v>442588.23529411765</v>
      </c>
      <c r="R37" s="11">
        <f>Tabla245678[[#This Row],[IVA VENTA ]]-Tabla245678[[#This Row],[IV COMPRA]]</f>
        <v>442588.23529411765</v>
      </c>
      <c r="S37" s="11">
        <f>(Tabla245678[[#This Row],[VENTA ]]-(Tabla245678[[#This Row],[MONTO DE COMPRA]]+Tabla245678[[#This Row],[DIFERENCIA IVA ]]))</f>
        <v>725411.76470588241</v>
      </c>
      <c r="T37" s="2"/>
      <c r="U37" s="1"/>
    </row>
    <row r="38" spans="1:21" x14ac:dyDescent="0.25">
      <c r="A38" s="56">
        <v>44778</v>
      </c>
      <c r="C38" s="4" t="s">
        <v>2221</v>
      </c>
      <c r="D38" s="4" t="s">
        <v>2656</v>
      </c>
      <c r="E38" s="1" t="s">
        <v>1907</v>
      </c>
      <c r="F38" s="1" t="s">
        <v>603</v>
      </c>
      <c r="G38" s="134" t="s">
        <v>2658</v>
      </c>
      <c r="H38" s="15">
        <v>100000</v>
      </c>
      <c r="I38" s="2">
        <f>Tabla245678[[#This Row],[TOTAL FACTURA]]*0.6</f>
        <v>60000</v>
      </c>
      <c r="J38" s="104">
        <f t="shared" si="0"/>
        <v>40000</v>
      </c>
      <c r="K38" s="10"/>
      <c r="L38" s="11"/>
      <c r="M38" s="11">
        <f>Tabla245678[[#This Row],[MONTO DE COMPRA]]/1.19</f>
        <v>0</v>
      </c>
      <c r="N38" s="11">
        <f>Tabla245678[[#This Row],[Columna1]]*19%</f>
        <v>0</v>
      </c>
      <c r="O38" s="11"/>
      <c r="P38" s="11">
        <f>Tabla245678[[#This Row],[VENTA ]]/1.19</f>
        <v>0</v>
      </c>
      <c r="Q38" s="11">
        <f>Tabla245678[[#This Row],[Columna2]]*19%</f>
        <v>0</v>
      </c>
      <c r="R38" s="11">
        <f>Tabla245678[[#This Row],[IVA VENTA ]]-Tabla245678[[#This Row],[IV COMPRA]]</f>
        <v>0</v>
      </c>
      <c r="S38" s="11">
        <f>(Tabla245678[[#This Row],[VENTA ]]-(Tabla245678[[#This Row],[MONTO DE COMPRA]]+Tabla245678[[#This Row],[DIFERENCIA IVA ]]))</f>
        <v>0</v>
      </c>
      <c r="T38" s="2"/>
      <c r="U38" s="1"/>
    </row>
    <row r="39" spans="1:21" x14ac:dyDescent="0.25">
      <c r="A39" s="56">
        <v>44779</v>
      </c>
      <c r="C39" s="4"/>
      <c r="D39" s="4" t="s">
        <v>2659</v>
      </c>
      <c r="F39" s="1" t="s">
        <v>603</v>
      </c>
      <c r="G39" s="134" t="s">
        <v>329</v>
      </c>
      <c r="H39" s="15">
        <v>30000</v>
      </c>
      <c r="I39" s="2">
        <f>Tabla245678[[#This Row],[TOTAL FACTURA]]*0.6</f>
        <v>18000</v>
      </c>
      <c r="J39" s="104">
        <f t="shared" si="0"/>
        <v>12000</v>
      </c>
      <c r="K39" s="10"/>
      <c r="L39" s="11"/>
      <c r="M39" s="11">
        <f>Tabla245678[[#This Row],[MONTO DE COMPRA]]/1.19</f>
        <v>0</v>
      </c>
      <c r="N39" s="11">
        <f>Tabla245678[[#This Row],[Columna1]]*19%</f>
        <v>0</v>
      </c>
      <c r="O39" s="11"/>
      <c r="P39" s="11">
        <f>Tabla245678[[#This Row],[VENTA ]]/1.19</f>
        <v>0</v>
      </c>
      <c r="Q39" s="11">
        <f>Tabla245678[[#This Row],[Columna2]]*19%</f>
        <v>0</v>
      </c>
      <c r="R39" s="11">
        <f>Tabla245678[[#This Row],[IVA VENTA ]]-Tabla245678[[#This Row],[IV COMPRA]]</f>
        <v>0</v>
      </c>
      <c r="S39" s="11">
        <f>(Tabla245678[[#This Row],[VENTA ]]-(Tabla245678[[#This Row],[MONTO DE COMPRA]]+Tabla245678[[#This Row],[DIFERENCIA IVA ]]))</f>
        <v>0</v>
      </c>
      <c r="T39" s="2"/>
      <c r="U39" s="1"/>
    </row>
    <row r="40" spans="1:21" x14ac:dyDescent="0.25">
      <c r="A40" s="56">
        <v>44779</v>
      </c>
      <c r="B40" s="4" t="s">
        <v>2663</v>
      </c>
      <c r="C40" s="4" t="s">
        <v>2660</v>
      </c>
      <c r="D40" s="4" t="s">
        <v>2661</v>
      </c>
      <c r="E40" s="1" t="s">
        <v>84</v>
      </c>
      <c r="F40" s="1" t="s">
        <v>408</v>
      </c>
      <c r="G40" s="134" t="s">
        <v>2662</v>
      </c>
      <c r="H40" s="15">
        <v>60000</v>
      </c>
      <c r="I40" s="2">
        <f>Tabla245678[[#This Row],[TOTAL FACTURA]]*0.7</f>
        <v>42000</v>
      </c>
      <c r="J40" s="104">
        <f t="shared" si="0"/>
        <v>18000</v>
      </c>
      <c r="K40" s="10"/>
      <c r="L40" s="11"/>
      <c r="M40" s="11">
        <f>Tabla245678[[#This Row],[MONTO DE COMPRA]]/1.19</f>
        <v>0</v>
      </c>
      <c r="N40" s="11">
        <f>Tabla245678[[#This Row],[Columna1]]*19%</f>
        <v>0</v>
      </c>
      <c r="O40" s="11"/>
      <c r="P40" s="11">
        <f>Tabla245678[[#This Row],[VENTA ]]/1.19</f>
        <v>0</v>
      </c>
      <c r="Q40" s="11">
        <f>Tabla245678[[#This Row],[Columna2]]*19%</f>
        <v>0</v>
      </c>
      <c r="R40" s="11">
        <f>Tabla245678[[#This Row],[IVA VENTA ]]-Tabla245678[[#This Row],[IV COMPRA]]</f>
        <v>0</v>
      </c>
      <c r="S40" s="11">
        <f>(Tabla245678[[#This Row],[VENTA ]]-(Tabla245678[[#This Row],[MONTO DE COMPRA]]+Tabla245678[[#This Row],[DIFERENCIA IVA ]]))</f>
        <v>0</v>
      </c>
      <c r="T40" s="2"/>
      <c r="U40" s="1"/>
    </row>
    <row r="41" spans="1:21" x14ac:dyDescent="0.25">
      <c r="A41" s="56">
        <v>44779</v>
      </c>
      <c r="C41" s="4" t="s">
        <v>2646</v>
      </c>
      <c r="D41" s="1" t="s">
        <v>201</v>
      </c>
      <c r="E41" s="1" t="s">
        <v>2647</v>
      </c>
      <c r="F41" s="1" t="s">
        <v>408</v>
      </c>
      <c r="G41" s="134" t="s">
        <v>2664</v>
      </c>
      <c r="H41" s="15">
        <v>60000</v>
      </c>
      <c r="I41" s="2">
        <v>60000</v>
      </c>
      <c r="J41" s="104">
        <f>H41-I41</f>
        <v>0</v>
      </c>
      <c r="K41" s="10"/>
      <c r="L41" s="11"/>
      <c r="M41" s="11">
        <f>Tabla245678[[#This Row],[MONTO DE COMPRA]]/1.19</f>
        <v>0</v>
      </c>
      <c r="N41" s="11">
        <f>Tabla245678[[#This Row],[Columna1]]*19%</f>
        <v>0</v>
      </c>
      <c r="O41" s="11"/>
      <c r="P41" s="11">
        <f>Tabla245678[[#This Row],[VENTA ]]/1.19</f>
        <v>0</v>
      </c>
      <c r="Q41" s="11">
        <f>Tabla245678[[#This Row],[Columna2]]*19%</f>
        <v>0</v>
      </c>
      <c r="R41" s="11">
        <f>Tabla245678[[#This Row],[IVA VENTA ]]-Tabla245678[[#This Row],[IV COMPRA]]</f>
        <v>0</v>
      </c>
      <c r="S41" s="11">
        <f>(Tabla245678[[#This Row],[VENTA ]]-(Tabla245678[[#This Row],[MONTO DE COMPRA]]+Tabla245678[[#This Row],[DIFERENCIA IVA ]]))</f>
        <v>0</v>
      </c>
      <c r="T41" s="2" t="s">
        <v>25</v>
      </c>
      <c r="U41" s="1"/>
    </row>
    <row r="42" spans="1:21" x14ac:dyDescent="0.25">
      <c r="A42" s="56">
        <v>44781</v>
      </c>
      <c r="B42" s="4" t="s">
        <v>2666</v>
      </c>
      <c r="C42" s="4" t="s">
        <v>2590</v>
      </c>
      <c r="D42" s="4" t="s">
        <v>22</v>
      </c>
      <c r="E42" s="1" t="s">
        <v>2532</v>
      </c>
      <c r="F42" s="1" t="s">
        <v>603</v>
      </c>
      <c r="G42" s="134" t="s">
        <v>20</v>
      </c>
      <c r="H42" s="15">
        <v>20000</v>
      </c>
      <c r="I42" s="2">
        <v>18000</v>
      </c>
      <c r="J42" s="104">
        <f t="shared" si="0"/>
        <v>2000</v>
      </c>
      <c r="K42" s="10"/>
      <c r="L42" s="11"/>
      <c r="M42" s="11">
        <f>Tabla245678[[#This Row],[MONTO DE COMPRA]]/1.19</f>
        <v>0</v>
      </c>
      <c r="N42" s="11">
        <f>Tabla245678[[#This Row],[Columna1]]*19%</f>
        <v>0</v>
      </c>
      <c r="O42" s="11"/>
      <c r="P42" s="11">
        <f>Tabla245678[[#This Row],[VENTA ]]/1.19</f>
        <v>0</v>
      </c>
      <c r="Q42" s="11">
        <f>Tabla245678[[#This Row],[Columna2]]*19%</f>
        <v>0</v>
      </c>
      <c r="R42" s="11">
        <f>Tabla245678[[#This Row],[IVA VENTA ]]-Tabla245678[[#This Row],[IV COMPRA]]</f>
        <v>0</v>
      </c>
      <c r="S42" s="11">
        <f>(Tabla245678[[#This Row],[VENTA ]]-(Tabla245678[[#This Row],[MONTO DE COMPRA]]+Tabla245678[[#This Row],[DIFERENCIA IVA ]]))</f>
        <v>0</v>
      </c>
      <c r="T42" s="2"/>
      <c r="U42" s="1"/>
    </row>
    <row r="43" spans="1:21" ht="30" x14ac:dyDescent="0.25">
      <c r="A43" s="56">
        <v>44781</v>
      </c>
      <c r="B43" s="4" t="s">
        <v>2667</v>
      </c>
      <c r="C43" s="4" t="s">
        <v>1394</v>
      </c>
      <c r="D43" s="4" t="s">
        <v>240</v>
      </c>
      <c r="E43" s="1" t="s">
        <v>1395</v>
      </c>
      <c r="F43" s="1" t="s">
        <v>408</v>
      </c>
      <c r="G43" s="134" t="s">
        <v>2668</v>
      </c>
      <c r="H43" s="15">
        <v>150000</v>
      </c>
      <c r="I43" s="2">
        <f>Tabla245678[[#This Row],[TOTAL FACTURA]]*0.7</f>
        <v>105000</v>
      </c>
      <c r="J43" s="104">
        <f t="shared" si="0"/>
        <v>45000</v>
      </c>
      <c r="K43" s="10"/>
      <c r="L43" s="11"/>
      <c r="M43" s="11">
        <f>Tabla245678[[#This Row],[MONTO DE COMPRA]]/1.19</f>
        <v>0</v>
      </c>
      <c r="N43" s="11">
        <f>Tabla245678[[#This Row],[Columna1]]*19%</f>
        <v>0</v>
      </c>
      <c r="O43" s="11"/>
      <c r="P43" s="11">
        <f>Tabla245678[[#This Row],[VENTA ]]/1.19</f>
        <v>0</v>
      </c>
      <c r="Q43" s="11">
        <f>Tabla245678[[#This Row],[Columna2]]*19%</f>
        <v>0</v>
      </c>
      <c r="R43" s="11">
        <f>Tabla245678[[#This Row],[IVA VENTA ]]-Tabla245678[[#This Row],[IV COMPRA]]</f>
        <v>0</v>
      </c>
      <c r="S43" s="11">
        <f>(Tabla245678[[#This Row],[VENTA ]]-(Tabla245678[[#This Row],[MONTO DE COMPRA]]+Tabla245678[[#This Row],[DIFERENCIA IVA ]]))</f>
        <v>0</v>
      </c>
      <c r="T43" s="2"/>
      <c r="U43" s="1"/>
    </row>
    <row r="44" spans="1:21" x14ac:dyDescent="0.25">
      <c r="A44" s="56">
        <v>44781</v>
      </c>
      <c r="C44" s="4" t="s">
        <v>2669</v>
      </c>
      <c r="D44" s="4" t="s">
        <v>46</v>
      </c>
      <c r="E44" s="1" t="s">
        <v>2670</v>
      </c>
      <c r="F44" s="1" t="s">
        <v>10</v>
      </c>
      <c r="G44" s="134" t="s">
        <v>2010</v>
      </c>
      <c r="H44" s="15">
        <v>20000</v>
      </c>
      <c r="I44" s="2">
        <f>Tabla245678[[#This Row],[TOTAL FACTURA]]*0.7</f>
        <v>14000</v>
      </c>
      <c r="J44" s="104">
        <f t="shared" si="0"/>
        <v>6000</v>
      </c>
      <c r="K44" s="10"/>
      <c r="L44" s="11"/>
      <c r="M44" s="11">
        <f>Tabla245678[[#This Row],[MONTO DE COMPRA]]/1.19</f>
        <v>0</v>
      </c>
      <c r="N44" s="11">
        <f>Tabla245678[[#This Row],[Columna1]]*19%</f>
        <v>0</v>
      </c>
      <c r="O44" s="11"/>
      <c r="P44" s="11">
        <f>Tabla245678[[#This Row],[VENTA ]]/1.19</f>
        <v>0</v>
      </c>
      <c r="Q44" s="11">
        <f>Tabla245678[[#This Row],[Columna2]]*19%</f>
        <v>0</v>
      </c>
      <c r="R44" s="11">
        <f>Tabla245678[[#This Row],[IVA VENTA ]]-Tabla245678[[#This Row],[IV COMPRA]]</f>
        <v>0</v>
      </c>
      <c r="S44" s="11">
        <f>(Tabla245678[[#This Row],[VENTA ]]-(Tabla245678[[#This Row],[MONTO DE COMPRA]]+Tabla245678[[#This Row],[DIFERENCIA IVA ]]))</f>
        <v>0</v>
      </c>
      <c r="T44" s="2"/>
      <c r="U44" s="1"/>
    </row>
    <row r="45" spans="1:21" x14ac:dyDescent="0.25">
      <c r="A45" s="56">
        <v>44781</v>
      </c>
      <c r="C45" s="4" t="s">
        <v>1512</v>
      </c>
      <c r="D45" s="4" t="s">
        <v>828</v>
      </c>
      <c r="E45" s="1" t="s">
        <v>1513</v>
      </c>
      <c r="F45" s="1" t="s">
        <v>19</v>
      </c>
      <c r="G45" s="134" t="s">
        <v>2671</v>
      </c>
      <c r="H45" s="15">
        <v>40000</v>
      </c>
      <c r="I45" s="2">
        <f>Tabla245678[[#This Row],[TOTAL FACTURA]]*0.7</f>
        <v>28000</v>
      </c>
      <c r="J45" s="104">
        <f t="shared" si="0"/>
        <v>12000</v>
      </c>
      <c r="K45" s="10" t="s">
        <v>2687</v>
      </c>
      <c r="L45" s="11">
        <v>70000</v>
      </c>
      <c r="M45" s="11">
        <f>Tabla245678[[#This Row],[MONTO DE COMPRA]]/1.19</f>
        <v>58823.529411764706</v>
      </c>
      <c r="N45" s="11">
        <f>Tabla245678[[#This Row],[Columna1]]*19%</f>
        <v>11176.470588235294</v>
      </c>
      <c r="O45" s="11">
        <v>100000</v>
      </c>
      <c r="P45" s="11">
        <f>Tabla245678[[#This Row],[VENTA ]]/1.19</f>
        <v>84033.613445378156</v>
      </c>
      <c r="Q45" s="11">
        <f>Tabla245678[[#This Row],[Columna2]]*19%</f>
        <v>15966.386554621849</v>
      </c>
      <c r="R45" s="11">
        <f>Tabla245678[[#This Row],[IVA VENTA ]]-Tabla245678[[#This Row],[IV COMPRA]]</f>
        <v>4789.9159663865557</v>
      </c>
      <c r="S45" s="11">
        <f>(Tabla245678[[#This Row],[VENTA ]]-(Tabla245678[[#This Row],[MONTO DE COMPRA]]+Tabla245678[[#This Row],[DIFERENCIA IVA ]]))</f>
        <v>25210.084033613442</v>
      </c>
      <c r="T45" s="2"/>
      <c r="U45" s="1"/>
    </row>
    <row r="46" spans="1:21" x14ac:dyDescent="0.25">
      <c r="A46" s="56">
        <v>44781</v>
      </c>
      <c r="C46" s="4" t="s">
        <v>2672</v>
      </c>
      <c r="D46" s="4" t="s">
        <v>1907</v>
      </c>
      <c r="E46" s="1" t="s">
        <v>2673</v>
      </c>
      <c r="F46" s="1" t="s">
        <v>2495</v>
      </c>
      <c r="G46" s="134" t="s">
        <v>2674</v>
      </c>
      <c r="H46" s="15">
        <v>60000</v>
      </c>
      <c r="I46" s="2">
        <f>Tabla245678[[#This Row],[TOTAL FACTURA]]*0.6</f>
        <v>36000</v>
      </c>
      <c r="J46" s="104">
        <f t="shared" si="0"/>
        <v>24000</v>
      </c>
      <c r="K46" s="10" t="s">
        <v>217</v>
      </c>
      <c r="L46" s="11">
        <v>170000</v>
      </c>
      <c r="M46" s="11">
        <f>Tabla245678[[#This Row],[MONTO DE COMPRA]]/1.19</f>
        <v>142857.14285714287</v>
      </c>
      <c r="N46" s="11">
        <f>Tabla245678[[#This Row],[Columna1]]*19%</f>
        <v>27142.857142857145</v>
      </c>
      <c r="O46" s="11">
        <v>240000</v>
      </c>
      <c r="P46" s="11">
        <f>Tabla245678[[#This Row],[VENTA ]]/1.19</f>
        <v>201680.67226890757</v>
      </c>
      <c r="Q46" s="11">
        <f>Tabla245678[[#This Row],[Columna2]]*19%</f>
        <v>38319.327731092439</v>
      </c>
      <c r="R46" s="11">
        <f>Tabla245678[[#This Row],[IVA VENTA ]]-Tabla245678[[#This Row],[IV COMPRA]]</f>
        <v>11176.470588235294</v>
      </c>
      <c r="S46" s="11">
        <f>(Tabla245678[[#This Row],[VENTA ]]-(Tabla245678[[#This Row],[MONTO DE COMPRA]]+Tabla245678[[#This Row],[DIFERENCIA IVA ]]))</f>
        <v>58823.529411764699</v>
      </c>
      <c r="T46" s="2"/>
      <c r="U46" s="1"/>
    </row>
    <row r="47" spans="1:21" x14ac:dyDescent="0.25">
      <c r="A47" s="56">
        <v>44781</v>
      </c>
      <c r="B47" s="4" t="s">
        <v>2677</v>
      </c>
      <c r="C47" s="4" t="s">
        <v>2675</v>
      </c>
      <c r="D47" s="4" t="s">
        <v>59</v>
      </c>
      <c r="E47" s="1" t="s">
        <v>2676</v>
      </c>
      <c r="F47" s="1" t="s">
        <v>408</v>
      </c>
      <c r="G47" s="134" t="s">
        <v>2575</v>
      </c>
      <c r="H47" s="15">
        <v>100000</v>
      </c>
      <c r="I47" s="2">
        <f>Tabla245678[[#This Row],[TOTAL FACTURA]]*0.7</f>
        <v>70000</v>
      </c>
      <c r="J47" s="104">
        <f t="shared" si="0"/>
        <v>30000</v>
      </c>
      <c r="K47" s="10"/>
      <c r="L47" s="11"/>
      <c r="M47" s="11">
        <f>Tabla245678[[#This Row],[MONTO DE COMPRA]]/1.19</f>
        <v>0</v>
      </c>
      <c r="N47" s="11">
        <f>Tabla245678[[#This Row],[Columna1]]*19%</f>
        <v>0</v>
      </c>
      <c r="O47" s="11"/>
      <c r="P47" s="11">
        <f>Tabla245678[[#This Row],[VENTA ]]/1.19</f>
        <v>0</v>
      </c>
      <c r="Q47" s="11">
        <f>Tabla245678[[#This Row],[Columna2]]*19%</f>
        <v>0</v>
      </c>
      <c r="R47" s="11">
        <f>Tabla245678[[#This Row],[IVA VENTA ]]-Tabla245678[[#This Row],[IV COMPRA]]</f>
        <v>0</v>
      </c>
      <c r="S47" s="11">
        <f>(Tabla245678[[#This Row],[VENTA ]]-(Tabla245678[[#This Row],[MONTO DE COMPRA]]+Tabla245678[[#This Row],[DIFERENCIA IVA ]]))</f>
        <v>0</v>
      </c>
      <c r="T47" s="2"/>
      <c r="U47" s="1"/>
    </row>
    <row r="48" spans="1:21" ht="60" x14ac:dyDescent="0.25">
      <c r="A48" s="56">
        <v>44781</v>
      </c>
      <c r="B48" s="4" t="s">
        <v>2678</v>
      </c>
      <c r="C48" s="4" t="s">
        <v>2679</v>
      </c>
      <c r="D48" s="4" t="s">
        <v>2681</v>
      </c>
      <c r="E48" s="1" t="s">
        <v>2680</v>
      </c>
      <c r="F48" s="1" t="s">
        <v>19</v>
      </c>
      <c r="G48" s="134" t="s">
        <v>2682</v>
      </c>
      <c r="H48" s="15">
        <v>350000</v>
      </c>
      <c r="I48" s="2">
        <f>Tabla245678[[#This Row],[TOTAL FACTURA]]*0.7</f>
        <v>244999.99999999997</v>
      </c>
      <c r="J48" s="104">
        <f t="shared" si="0"/>
        <v>105000.00000000003</v>
      </c>
      <c r="K48" s="10"/>
      <c r="L48" s="11"/>
      <c r="M48" s="11">
        <f>Tabla245678[[#This Row],[MONTO DE COMPRA]]/1.19</f>
        <v>0</v>
      </c>
      <c r="N48" s="11">
        <f>Tabla245678[[#This Row],[Columna1]]*19%</f>
        <v>0</v>
      </c>
      <c r="O48" s="11"/>
      <c r="P48" s="11">
        <f>Tabla245678[[#This Row],[VENTA ]]/1.19</f>
        <v>0</v>
      </c>
      <c r="Q48" s="11">
        <f>Tabla245678[[#This Row],[Columna2]]*19%</f>
        <v>0</v>
      </c>
      <c r="R48" s="11">
        <f>Tabla245678[[#This Row],[IVA VENTA ]]-Tabla245678[[#This Row],[IV COMPRA]]</f>
        <v>0</v>
      </c>
      <c r="S48" s="11">
        <f>(Tabla245678[[#This Row],[VENTA ]]-(Tabla245678[[#This Row],[MONTO DE COMPRA]]+Tabla245678[[#This Row],[DIFERENCIA IVA ]]))</f>
        <v>0</v>
      </c>
      <c r="T48" s="2"/>
      <c r="U48" s="1"/>
    </row>
    <row r="49" spans="1:21" ht="44.25" customHeight="1" x14ac:dyDescent="0.25">
      <c r="A49" s="56">
        <v>44781</v>
      </c>
      <c r="B49" s="4" t="s">
        <v>2678</v>
      </c>
      <c r="C49" s="4" t="s">
        <v>2679</v>
      </c>
      <c r="D49" s="4" t="s">
        <v>2681</v>
      </c>
      <c r="E49" s="1" t="s">
        <v>2680</v>
      </c>
      <c r="F49" s="1" t="s">
        <v>603</v>
      </c>
      <c r="G49" s="134" t="s">
        <v>2683</v>
      </c>
      <c r="H49" s="15">
        <v>130000</v>
      </c>
      <c r="I49" s="2">
        <f>Tabla245678[[#This Row],[TOTAL FACTURA]]*0.6</f>
        <v>78000</v>
      </c>
      <c r="J49" s="104">
        <f t="shared" si="0"/>
        <v>52000</v>
      </c>
      <c r="K49" s="10"/>
      <c r="L49" s="11"/>
      <c r="M49" s="11">
        <f>Tabla245678[[#This Row],[MONTO DE COMPRA]]/1.19</f>
        <v>0</v>
      </c>
      <c r="N49" s="11">
        <f>Tabla245678[[#This Row],[Columna1]]*19%</f>
        <v>0</v>
      </c>
      <c r="O49" s="11"/>
      <c r="P49" s="11">
        <f>Tabla245678[[#This Row],[VENTA ]]/1.19</f>
        <v>0</v>
      </c>
      <c r="Q49" s="11">
        <f>Tabla245678[[#This Row],[Columna2]]*19%</f>
        <v>0</v>
      </c>
      <c r="R49" s="11">
        <f>Tabla245678[[#This Row],[IVA VENTA ]]-Tabla245678[[#This Row],[IV COMPRA]]</f>
        <v>0</v>
      </c>
      <c r="S49" s="11">
        <f>(Tabla245678[[#This Row],[VENTA ]]-(Tabla245678[[#This Row],[MONTO DE COMPRA]]+Tabla245678[[#This Row],[DIFERENCIA IVA ]]))</f>
        <v>0</v>
      </c>
      <c r="T49" s="2"/>
      <c r="U49" s="1"/>
    </row>
    <row r="50" spans="1:21" ht="45" x14ac:dyDescent="0.25">
      <c r="A50" s="56">
        <v>44781</v>
      </c>
      <c r="C50" s="4" t="s">
        <v>2684</v>
      </c>
      <c r="D50" s="4" t="s">
        <v>88</v>
      </c>
      <c r="E50" s="1" t="s">
        <v>2659</v>
      </c>
      <c r="F50" s="1" t="s">
        <v>10</v>
      </c>
      <c r="G50" s="134" t="s">
        <v>2685</v>
      </c>
      <c r="H50" s="15">
        <v>420000</v>
      </c>
      <c r="I50" s="2">
        <f>Tabla245678[[#This Row],[TOTAL FACTURA]]*0.7</f>
        <v>294000</v>
      </c>
      <c r="J50" s="104">
        <f t="shared" si="0"/>
        <v>126000</v>
      </c>
      <c r="K50" s="10" t="s">
        <v>2686</v>
      </c>
      <c r="L50" s="11">
        <f>53000+270000+10000+10000</f>
        <v>343000</v>
      </c>
      <c r="M50" s="11">
        <f>Tabla245678[[#This Row],[MONTO DE COMPRA]]/1.19</f>
        <v>288235.29411764705</v>
      </c>
      <c r="N50" s="11">
        <f>Tabla245678[[#This Row],[Columna1]]*19%</f>
        <v>54764.705882352937</v>
      </c>
      <c r="O50" s="11">
        <v>425000</v>
      </c>
      <c r="P50" s="11"/>
      <c r="Q50" s="11">
        <f>Tabla245678[[#This Row],[Columna2]]*19%</f>
        <v>0</v>
      </c>
      <c r="R50" s="11"/>
      <c r="S50" s="11">
        <f>Tabla245678[[#This Row],[VENTA ]]-Tabla245678[[#This Row],[MONTO DE COMPRA]]</f>
        <v>82000</v>
      </c>
      <c r="T50" s="2"/>
      <c r="U50" s="1"/>
    </row>
    <row r="51" spans="1:21" ht="30" x14ac:dyDescent="0.25">
      <c r="A51" s="56">
        <v>44782</v>
      </c>
      <c r="C51" s="4" t="s">
        <v>2688</v>
      </c>
      <c r="D51" s="4" t="s">
        <v>435</v>
      </c>
      <c r="E51" s="1" t="s">
        <v>2689</v>
      </c>
      <c r="F51" s="1" t="s">
        <v>19</v>
      </c>
      <c r="G51" s="134" t="s">
        <v>2690</v>
      </c>
      <c r="H51" s="15">
        <v>120000</v>
      </c>
      <c r="I51" s="2">
        <f>Tabla245678[[#This Row],[TOTAL FACTURA]]*0.7</f>
        <v>84000</v>
      </c>
      <c r="J51" s="104">
        <f t="shared" si="0"/>
        <v>36000</v>
      </c>
      <c r="K51" s="10" t="s">
        <v>57</v>
      </c>
      <c r="L51" s="11">
        <v>12000</v>
      </c>
      <c r="M51" s="11">
        <f>Tabla245678[[#This Row],[MONTO DE COMPRA]]/1.19</f>
        <v>10084.033613445379</v>
      </c>
      <c r="N51" s="11">
        <f>Tabla245678[[#This Row],[Columna1]]*19%</f>
        <v>1915.966386554622</v>
      </c>
      <c r="O51" s="11">
        <v>24000</v>
      </c>
      <c r="P51" s="11">
        <f>Tabla245678[[#This Row],[VENTA ]]/1.19</f>
        <v>20168.067226890758</v>
      </c>
      <c r="Q51" s="11">
        <f>Tabla245678[[#This Row],[Columna2]]*19%</f>
        <v>3831.932773109244</v>
      </c>
      <c r="R51" s="11">
        <f>Tabla245678[[#This Row],[IVA VENTA ]]-Tabla245678[[#This Row],[IV COMPRA]]</f>
        <v>1915.966386554622</v>
      </c>
      <c r="S51" s="11">
        <f>(Tabla245678[[#This Row],[VENTA ]]-(Tabla245678[[#This Row],[MONTO DE COMPRA]]+Tabla245678[[#This Row],[DIFERENCIA IVA ]]))</f>
        <v>10084.033613445377</v>
      </c>
      <c r="T51" s="2"/>
      <c r="U51" s="1"/>
    </row>
    <row r="52" spans="1:21" x14ac:dyDescent="0.25">
      <c r="A52" s="56">
        <v>44782</v>
      </c>
      <c r="C52" s="4" t="s">
        <v>2688</v>
      </c>
      <c r="D52" s="4" t="s">
        <v>435</v>
      </c>
      <c r="E52" s="1" t="s">
        <v>2689</v>
      </c>
      <c r="F52" s="1" t="s">
        <v>603</v>
      </c>
      <c r="G52" s="134" t="s">
        <v>128</v>
      </c>
      <c r="H52" s="15">
        <v>10000</v>
      </c>
      <c r="I52" s="2">
        <f>Tabla245678[[#This Row],[TOTAL FACTURA]]*0.6</f>
        <v>6000</v>
      </c>
      <c r="J52" s="104">
        <f t="shared" si="0"/>
        <v>4000</v>
      </c>
      <c r="K52" s="10"/>
      <c r="L52" s="11"/>
      <c r="M52" s="11">
        <f>Tabla245678[[#This Row],[MONTO DE COMPRA]]/1.19</f>
        <v>0</v>
      </c>
      <c r="N52" s="11">
        <f>Tabla245678[[#This Row],[Columna1]]*19%</f>
        <v>0</v>
      </c>
      <c r="O52" s="11"/>
      <c r="P52" s="11">
        <f>Tabla245678[[#This Row],[VENTA ]]/1.19</f>
        <v>0</v>
      </c>
      <c r="Q52" s="11">
        <f>Tabla245678[[#This Row],[Columna2]]*19%</f>
        <v>0</v>
      </c>
      <c r="R52" s="11">
        <f>Tabla245678[[#This Row],[IVA VENTA ]]-Tabla245678[[#This Row],[IV COMPRA]]</f>
        <v>0</v>
      </c>
      <c r="S52" s="11">
        <f>(Tabla245678[[#This Row],[VENTA ]]-(Tabla245678[[#This Row],[MONTO DE COMPRA]]+Tabla245678[[#This Row],[DIFERENCIA IVA ]]))</f>
        <v>0</v>
      </c>
      <c r="T52" s="2"/>
      <c r="U52" s="1"/>
    </row>
    <row r="53" spans="1:21" x14ac:dyDescent="0.25">
      <c r="A53" s="56">
        <v>44782</v>
      </c>
      <c r="C53" s="4"/>
      <c r="D53" s="4" t="s">
        <v>2691</v>
      </c>
      <c r="E53" s="1" t="s">
        <v>52</v>
      </c>
      <c r="F53" s="1" t="s">
        <v>603</v>
      </c>
      <c r="G53" s="134" t="s">
        <v>2721</v>
      </c>
      <c r="H53" s="15">
        <v>45000</v>
      </c>
      <c r="I53" s="2">
        <f>Tabla245678[[#This Row],[TOTAL FACTURA]]*0.6</f>
        <v>27000</v>
      </c>
      <c r="J53" s="104">
        <f t="shared" si="0"/>
        <v>18000</v>
      </c>
      <c r="K53" s="10" t="s">
        <v>2692</v>
      </c>
      <c r="L53" s="11">
        <v>15000</v>
      </c>
      <c r="M53" s="11">
        <f>Tabla245678[[#This Row],[MONTO DE COMPRA]]/1.19</f>
        <v>12605.042016806723</v>
      </c>
      <c r="N53" s="11">
        <f>Tabla245678[[#This Row],[Columna1]]*19%</f>
        <v>2394.9579831932774</v>
      </c>
      <c r="O53" s="11">
        <v>35000</v>
      </c>
      <c r="P53" s="11">
        <f>Tabla245678[[#This Row],[VENTA ]]/1.19</f>
        <v>29411.764705882353</v>
      </c>
      <c r="Q53" s="11">
        <f>Tabla245678[[#This Row],[Columna2]]*19%</f>
        <v>5588.2352941176468</v>
      </c>
      <c r="R53" s="11">
        <f>Tabla245678[[#This Row],[IVA VENTA ]]-Tabla245678[[#This Row],[IV COMPRA]]</f>
        <v>3193.2773109243694</v>
      </c>
      <c r="S53" s="11">
        <f>(Tabla245678[[#This Row],[VENTA ]]-(Tabla245678[[#This Row],[MONTO DE COMPRA]]+Tabla245678[[#This Row],[DIFERENCIA IVA ]]))</f>
        <v>16806.722689075632</v>
      </c>
      <c r="T53" s="2"/>
      <c r="U53" s="1"/>
    </row>
    <row r="54" spans="1:21" x14ac:dyDescent="0.25">
      <c r="A54" s="56">
        <v>44783</v>
      </c>
      <c r="C54" s="4"/>
      <c r="D54" s="4" t="s">
        <v>240</v>
      </c>
      <c r="E54" s="1" t="s">
        <v>2693</v>
      </c>
      <c r="F54" s="1" t="s">
        <v>2495</v>
      </c>
      <c r="G54" s="134" t="s">
        <v>437</v>
      </c>
      <c r="H54" s="15">
        <v>30000</v>
      </c>
      <c r="I54" s="2">
        <f>Tabla245678[[#This Row],[TOTAL FACTURA]]*0.6</f>
        <v>18000</v>
      </c>
      <c r="J54" s="104">
        <f t="shared" si="0"/>
        <v>12000</v>
      </c>
      <c r="K54" s="10"/>
      <c r="L54" s="11"/>
      <c r="M54" s="11">
        <f>Tabla245678[[#This Row],[MONTO DE COMPRA]]/1.19</f>
        <v>0</v>
      </c>
      <c r="N54" s="11">
        <f>Tabla245678[[#This Row],[Columna1]]*19%</f>
        <v>0</v>
      </c>
      <c r="O54" s="11"/>
      <c r="P54" s="11">
        <f>Tabla245678[[#This Row],[VENTA ]]/1.19</f>
        <v>0</v>
      </c>
      <c r="Q54" s="11">
        <f>Tabla245678[[#This Row],[Columna2]]*19%</f>
        <v>0</v>
      </c>
      <c r="R54" s="11">
        <f>Tabla245678[[#This Row],[IVA VENTA ]]-Tabla245678[[#This Row],[IV COMPRA]]</f>
        <v>0</v>
      </c>
      <c r="S54" s="11">
        <f>(Tabla245678[[#This Row],[VENTA ]]-(Tabla245678[[#This Row],[MONTO DE COMPRA]]+Tabla245678[[#This Row],[DIFERENCIA IVA ]]))</f>
        <v>0</v>
      </c>
      <c r="T54" s="2"/>
      <c r="U54" s="1"/>
    </row>
    <row r="55" spans="1:21" x14ac:dyDescent="0.25">
      <c r="A55" s="56">
        <v>44783</v>
      </c>
      <c r="B55" s="4" t="s">
        <v>1210</v>
      </c>
      <c r="C55" s="4" t="s">
        <v>215</v>
      </c>
      <c r="D55" s="4" t="s">
        <v>54</v>
      </c>
      <c r="E55" s="1" t="s">
        <v>1610</v>
      </c>
      <c r="F55" s="1" t="s">
        <v>2495</v>
      </c>
      <c r="G55" s="134" t="s">
        <v>2694</v>
      </c>
      <c r="H55" s="15">
        <v>50000</v>
      </c>
      <c r="I55" s="2">
        <f>Tabla245678[[#This Row],[TOTAL FACTURA]]*0.6</f>
        <v>30000</v>
      </c>
      <c r="J55" s="104">
        <f t="shared" si="0"/>
        <v>20000</v>
      </c>
      <c r="K55" s="10"/>
      <c r="L55" s="11"/>
      <c r="M55" s="11">
        <f>Tabla245678[[#This Row],[MONTO DE COMPRA]]/1.19</f>
        <v>0</v>
      </c>
      <c r="N55" s="11">
        <f>Tabla245678[[#This Row],[Columna1]]*19%</f>
        <v>0</v>
      </c>
      <c r="O55" s="11"/>
      <c r="P55" s="11">
        <f>Tabla245678[[#This Row],[VENTA ]]/1.19</f>
        <v>0</v>
      </c>
      <c r="Q55" s="11">
        <f>Tabla245678[[#This Row],[Columna2]]*19%</f>
        <v>0</v>
      </c>
      <c r="R55" s="11">
        <f>Tabla245678[[#This Row],[IVA VENTA ]]-Tabla245678[[#This Row],[IV COMPRA]]</f>
        <v>0</v>
      </c>
      <c r="S55" s="11">
        <f>(Tabla245678[[#This Row],[VENTA ]]-(Tabla245678[[#This Row],[MONTO DE COMPRA]]+Tabla245678[[#This Row],[DIFERENCIA IVA ]]))</f>
        <v>0</v>
      </c>
      <c r="T55" s="2"/>
      <c r="U55" s="1"/>
    </row>
    <row r="56" spans="1:21" ht="30" x14ac:dyDescent="0.25">
      <c r="A56" s="56">
        <v>44783</v>
      </c>
      <c r="B56" s="4" t="s">
        <v>1210</v>
      </c>
      <c r="C56" s="4" t="s">
        <v>215</v>
      </c>
      <c r="D56" s="4" t="s">
        <v>54</v>
      </c>
      <c r="E56" s="1" t="s">
        <v>1610</v>
      </c>
      <c r="F56" s="1" t="s">
        <v>408</v>
      </c>
      <c r="G56" s="134" t="s">
        <v>2695</v>
      </c>
      <c r="H56" s="15">
        <v>120000</v>
      </c>
      <c r="I56" s="2">
        <f>Tabla245678[[#This Row],[TOTAL FACTURA]]*0.7</f>
        <v>84000</v>
      </c>
      <c r="J56" s="104">
        <f t="shared" si="0"/>
        <v>36000</v>
      </c>
      <c r="K56" s="10"/>
      <c r="L56" s="11"/>
      <c r="M56" s="11">
        <f>Tabla245678[[#This Row],[MONTO DE COMPRA]]/1.19</f>
        <v>0</v>
      </c>
      <c r="N56" s="11">
        <f>Tabla245678[[#This Row],[Columna1]]*19%</f>
        <v>0</v>
      </c>
      <c r="O56" s="11"/>
      <c r="P56" s="11">
        <f>Tabla245678[[#This Row],[VENTA ]]/1.19</f>
        <v>0</v>
      </c>
      <c r="Q56" s="11">
        <f>Tabla245678[[#This Row],[Columna2]]*19%</f>
        <v>0</v>
      </c>
      <c r="R56" s="11">
        <f>Tabla245678[[#This Row],[IVA VENTA ]]-Tabla245678[[#This Row],[IV COMPRA]]</f>
        <v>0</v>
      </c>
      <c r="S56" s="11">
        <f>(Tabla245678[[#This Row],[VENTA ]]-(Tabla245678[[#This Row],[MONTO DE COMPRA]]+Tabla245678[[#This Row],[DIFERENCIA IVA ]]))</f>
        <v>0</v>
      </c>
      <c r="T56" s="2"/>
      <c r="U56" s="1"/>
    </row>
    <row r="57" spans="1:21" x14ac:dyDescent="0.25">
      <c r="A57" s="56">
        <v>44783</v>
      </c>
      <c r="B57" s="4" t="s">
        <v>2697</v>
      </c>
      <c r="C57" s="4" t="s">
        <v>2221</v>
      </c>
      <c r="D57" s="4" t="s">
        <v>2656</v>
      </c>
      <c r="E57" s="1" t="s">
        <v>1907</v>
      </c>
      <c r="F57" s="1" t="s">
        <v>10</v>
      </c>
      <c r="G57" s="134" t="s">
        <v>2696</v>
      </c>
      <c r="H57" s="15">
        <v>50000</v>
      </c>
      <c r="I57" s="2">
        <f>Tabla245678[[#This Row],[TOTAL FACTURA]]*0.7</f>
        <v>35000</v>
      </c>
      <c r="J57" s="104">
        <f t="shared" si="0"/>
        <v>15000</v>
      </c>
      <c r="K57" s="10"/>
      <c r="L57" s="11"/>
      <c r="M57" s="11">
        <f>Tabla245678[[#This Row],[MONTO DE COMPRA]]/1.19</f>
        <v>0</v>
      </c>
      <c r="N57" s="11">
        <f>Tabla245678[[#This Row],[Columna1]]*19%</f>
        <v>0</v>
      </c>
      <c r="O57" s="11"/>
      <c r="P57" s="11">
        <f>Tabla245678[[#This Row],[VENTA ]]/1.19</f>
        <v>0</v>
      </c>
      <c r="Q57" s="11">
        <f>Tabla245678[[#This Row],[Columna2]]*19%</f>
        <v>0</v>
      </c>
      <c r="R57" s="11">
        <f>Tabla245678[[#This Row],[IVA VENTA ]]-Tabla245678[[#This Row],[IV COMPRA]]</f>
        <v>0</v>
      </c>
      <c r="S57" s="11">
        <f>(Tabla245678[[#This Row],[VENTA ]]-(Tabla245678[[#This Row],[MONTO DE COMPRA]]+Tabla245678[[#This Row],[DIFERENCIA IVA ]]))</f>
        <v>0</v>
      </c>
      <c r="T57" s="2"/>
      <c r="U57" s="1"/>
    </row>
    <row r="58" spans="1:21" ht="30" x14ac:dyDescent="0.25">
      <c r="A58" s="56">
        <v>44784</v>
      </c>
      <c r="C58" s="4" t="s">
        <v>615</v>
      </c>
      <c r="D58" s="1" t="s">
        <v>2699</v>
      </c>
      <c r="E58" s="1" t="s">
        <v>385</v>
      </c>
      <c r="F58" s="1" t="s">
        <v>2495</v>
      </c>
      <c r="G58" s="134" t="s">
        <v>2700</v>
      </c>
      <c r="H58" s="15">
        <v>100000</v>
      </c>
      <c r="I58" s="2">
        <f>Tabla245678[[#This Row],[TOTAL FACTURA]]*0.6</f>
        <v>60000</v>
      </c>
      <c r="J58" s="104">
        <f t="shared" si="0"/>
        <v>40000</v>
      </c>
      <c r="K58" s="10"/>
      <c r="L58" s="11"/>
      <c r="M58" s="11"/>
      <c r="N58" s="11"/>
      <c r="O58" s="11"/>
      <c r="P58" s="11"/>
      <c r="Q58" s="11"/>
      <c r="R58" s="11"/>
      <c r="S58" s="11"/>
      <c r="T58" s="2"/>
      <c r="U58" s="1"/>
    </row>
    <row r="59" spans="1:21" ht="30" x14ac:dyDescent="0.25">
      <c r="A59" s="56">
        <v>44784</v>
      </c>
      <c r="C59" s="4"/>
      <c r="D59" s="4" t="s">
        <v>666</v>
      </c>
      <c r="F59" s="1" t="s">
        <v>10</v>
      </c>
      <c r="G59" s="134" t="s">
        <v>2701</v>
      </c>
      <c r="H59" s="15">
        <v>420000</v>
      </c>
      <c r="I59" s="2">
        <f>Tabla245678[[#This Row],[TOTAL FACTURA]]*0.7</f>
        <v>294000</v>
      </c>
      <c r="J59" s="104">
        <f t="shared" si="0"/>
        <v>126000</v>
      </c>
      <c r="K59" s="10"/>
      <c r="L59" s="11"/>
      <c r="M59" s="11"/>
      <c r="N59" s="11"/>
      <c r="O59" s="11"/>
      <c r="P59" s="11"/>
      <c r="Q59" s="11"/>
      <c r="R59" s="11"/>
      <c r="S59" s="11"/>
      <c r="T59" s="2"/>
      <c r="U59" s="1"/>
    </row>
    <row r="60" spans="1:21" x14ac:dyDescent="0.25">
      <c r="A60" s="56">
        <v>44792</v>
      </c>
      <c r="C60" s="4" t="s">
        <v>734</v>
      </c>
      <c r="D60" s="4" t="s">
        <v>735</v>
      </c>
      <c r="E60" s="1" t="s">
        <v>1593</v>
      </c>
      <c r="F60" s="1" t="s">
        <v>2446</v>
      </c>
      <c r="G60" s="134" t="s">
        <v>2706</v>
      </c>
      <c r="H60" s="15">
        <v>80000</v>
      </c>
      <c r="I60" s="2">
        <f>Tabla245678[[#This Row],[TOTAL FACTURA]]*0.7</f>
        <v>56000</v>
      </c>
      <c r="J60" s="104">
        <f t="shared" si="0"/>
        <v>24000</v>
      </c>
      <c r="K60" s="10"/>
      <c r="L60" s="11"/>
      <c r="M60" s="11">
        <f>Tabla245678[[#This Row],[MONTO DE COMPRA]]/1.19</f>
        <v>0</v>
      </c>
      <c r="N60" s="11">
        <f>Tabla245678[[#This Row],[Columna1]]*19%</f>
        <v>0</v>
      </c>
      <c r="O60" s="11"/>
      <c r="P60" s="11">
        <f>Tabla245678[[#This Row],[VENTA ]]/1.19</f>
        <v>0</v>
      </c>
      <c r="Q60" s="11">
        <f>Tabla245678[[#This Row],[Columna2]]*19%</f>
        <v>0</v>
      </c>
      <c r="R60" s="11">
        <f>Tabla245678[[#This Row],[IVA VENTA ]]-Tabla245678[[#This Row],[IV COMPRA]]</f>
        <v>0</v>
      </c>
      <c r="S60" s="11">
        <f>(Tabla245678[[#This Row],[VENTA ]]-(Tabla245678[[#This Row],[MONTO DE COMPRA]]+Tabla245678[[#This Row],[DIFERENCIA IVA ]]))</f>
        <v>0</v>
      </c>
      <c r="T60" s="2"/>
      <c r="U60" s="1"/>
    </row>
    <row r="61" spans="1:21" x14ac:dyDescent="0.25">
      <c r="A61" s="56">
        <v>44784</v>
      </c>
      <c r="C61" s="136"/>
      <c r="D61" s="4"/>
      <c r="E61" s="1" t="s">
        <v>1749</v>
      </c>
      <c r="F61" s="1" t="s">
        <v>408</v>
      </c>
      <c r="G61" s="134" t="s">
        <v>341</v>
      </c>
      <c r="H61" s="15">
        <v>15000</v>
      </c>
      <c r="I61" s="2">
        <f>Tabla245678[[#This Row],[TOTAL FACTURA]]*0.7</f>
        <v>10500</v>
      </c>
      <c r="J61" s="137">
        <f>H61-I61</f>
        <v>4500</v>
      </c>
      <c r="K61" s="10"/>
      <c r="L61" s="11"/>
      <c r="M61" s="11">
        <f>Tabla245678[[#This Row],[MONTO DE COMPRA]]/1.19</f>
        <v>0</v>
      </c>
      <c r="N61" s="11">
        <f>Tabla245678[[#This Row],[Columna1]]*19%</f>
        <v>0</v>
      </c>
      <c r="O61" s="11"/>
      <c r="P61" s="11">
        <f>Tabla245678[[#This Row],[VENTA ]]/1.19</f>
        <v>0</v>
      </c>
      <c r="Q61" s="11">
        <f>Tabla245678[[#This Row],[Columna2]]*19%</f>
        <v>0</v>
      </c>
      <c r="R61" s="11">
        <f>Tabla245678[[#This Row],[IVA VENTA ]]-Tabla245678[[#This Row],[IV COMPRA]]</f>
        <v>0</v>
      </c>
      <c r="S61" s="11">
        <f>(Tabla245678[[#This Row],[VENTA ]]-(Tabla245678[[#This Row],[MONTO DE COMPRA]]+Tabla245678[[#This Row],[DIFERENCIA IVA ]]))</f>
        <v>0</v>
      </c>
      <c r="T61" s="2"/>
      <c r="U61" s="1"/>
    </row>
    <row r="62" spans="1:21" x14ac:dyDescent="0.25">
      <c r="A62" s="56">
        <v>44784</v>
      </c>
      <c r="C62" s="4" t="s">
        <v>1855</v>
      </c>
      <c r="D62" s="4" t="s">
        <v>1820</v>
      </c>
      <c r="E62" s="1" t="s">
        <v>240</v>
      </c>
      <c r="F62" s="1" t="s">
        <v>408</v>
      </c>
      <c r="G62" s="134" t="s">
        <v>341</v>
      </c>
      <c r="H62" s="15">
        <v>10000</v>
      </c>
      <c r="I62" s="2">
        <f>Tabla245678[[#This Row],[TOTAL FACTURA]]*0.7</f>
        <v>7000</v>
      </c>
      <c r="J62" s="104">
        <f t="shared" si="0"/>
        <v>3000</v>
      </c>
      <c r="K62" s="10" t="s">
        <v>2698</v>
      </c>
      <c r="L62" s="11">
        <v>5000</v>
      </c>
      <c r="M62" s="11">
        <f>Tabla245678[[#This Row],[MONTO DE COMPRA]]/1.19</f>
        <v>4201.680672268908</v>
      </c>
      <c r="N62" s="11">
        <f>Tabla245678[[#This Row],[Columna1]]*19%</f>
        <v>798.31932773109247</v>
      </c>
      <c r="O62" s="11">
        <v>12000</v>
      </c>
      <c r="P62" s="11">
        <f>Tabla245678[[#This Row],[VENTA ]]/1.19</f>
        <v>10084.033613445379</v>
      </c>
      <c r="Q62" s="11">
        <f>Tabla245678[[#This Row],[Columna2]]*19%</f>
        <v>1915.966386554622</v>
      </c>
      <c r="R62" s="11">
        <f>Tabla245678[[#This Row],[IVA VENTA ]]-Tabla245678[[#This Row],[IV COMPRA]]</f>
        <v>1117.6470588235295</v>
      </c>
      <c r="S62" s="11">
        <f>(Tabla245678[[#This Row],[VENTA ]]-(Tabla245678[[#This Row],[MONTO DE COMPRA]]+Tabla245678[[#This Row],[DIFERENCIA IVA ]]))</f>
        <v>5882.3529411764703</v>
      </c>
      <c r="T62" s="2"/>
      <c r="U62" s="1"/>
    </row>
    <row r="63" spans="1:21" ht="30" x14ac:dyDescent="0.25">
      <c r="A63" s="56">
        <v>44784</v>
      </c>
      <c r="C63" s="4" t="s">
        <v>2702</v>
      </c>
      <c r="D63" s="4" t="s">
        <v>2703</v>
      </c>
      <c r="E63" s="10" t="s">
        <v>1679</v>
      </c>
      <c r="F63" s="1" t="s">
        <v>2495</v>
      </c>
      <c r="G63" s="134" t="s">
        <v>2704</v>
      </c>
      <c r="H63" s="15">
        <v>150000</v>
      </c>
      <c r="I63" s="2">
        <f>Tabla245678[[#This Row],[TOTAL FACTURA]]*0.6</f>
        <v>90000</v>
      </c>
      <c r="J63" s="104">
        <f t="shared" si="0"/>
        <v>60000</v>
      </c>
      <c r="K63" s="10" t="s">
        <v>2705</v>
      </c>
      <c r="L63" s="11">
        <v>538000</v>
      </c>
      <c r="M63" s="11">
        <f>Tabla245678[[#This Row],[MONTO DE COMPRA]]/1.19</f>
        <v>452100.84033613448</v>
      </c>
      <c r="N63" s="11">
        <f>Tabla245678[[#This Row],[Columna1]]*19%</f>
        <v>85899.159663865546</v>
      </c>
      <c r="O63" s="11">
        <v>800000</v>
      </c>
      <c r="P63" s="11">
        <f>Tabla245678[[#This Row],[VENTA ]]/1.19</f>
        <v>672268.90756302525</v>
      </c>
      <c r="Q63" s="11">
        <f>Tabla245678[[#This Row],[Columna2]]*19%</f>
        <v>127731.0924369748</v>
      </c>
      <c r="R63" s="11">
        <f>Tabla245678[[#This Row],[IVA VENTA ]]-Tabla245678[[#This Row],[IV COMPRA]]</f>
        <v>41831.932773109249</v>
      </c>
      <c r="S63" s="11">
        <f>(Tabla245678[[#This Row],[VENTA ]]-(Tabla245678[[#This Row],[MONTO DE COMPRA]]+Tabla245678[[#This Row],[DIFERENCIA IVA ]]))</f>
        <v>220168.06722689071</v>
      </c>
      <c r="T63" s="2"/>
      <c r="U63" s="1"/>
    </row>
    <row r="64" spans="1:21" ht="23.25" customHeight="1" x14ac:dyDescent="0.25">
      <c r="A64" s="56">
        <v>44784</v>
      </c>
      <c r="C64" s="4" t="s">
        <v>2702</v>
      </c>
      <c r="D64" s="4" t="s">
        <v>2703</v>
      </c>
      <c r="E64" s="10" t="s">
        <v>1679</v>
      </c>
      <c r="F64" s="1" t="s">
        <v>408</v>
      </c>
      <c r="G64" s="134" t="s">
        <v>138</v>
      </c>
      <c r="H64" s="15">
        <v>50000</v>
      </c>
      <c r="I64" s="2">
        <f>Tabla245678[[#This Row],[TOTAL FACTURA]]*0.7</f>
        <v>35000</v>
      </c>
      <c r="J64" s="2">
        <f>H64-I64</f>
        <v>15000</v>
      </c>
      <c r="K64" s="10"/>
      <c r="L64" s="11"/>
      <c r="M64" s="11">
        <f>Tabla245678[[#This Row],[MONTO DE COMPRA]]/1.19</f>
        <v>0</v>
      </c>
      <c r="N64" s="11">
        <f>Tabla245678[[#This Row],[Columna1]]*19%</f>
        <v>0</v>
      </c>
      <c r="O64" s="11"/>
      <c r="P64" s="11">
        <f>Tabla245678[[#This Row],[VENTA ]]/1.19</f>
        <v>0</v>
      </c>
      <c r="Q64" s="11">
        <f>Tabla245678[[#This Row],[Columna2]]*19%</f>
        <v>0</v>
      </c>
      <c r="R64" s="11">
        <f>Tabla245678[[#This Row],[IVA VENTA ]]-Tabla245678[[#This Row],[IV COMPRA]]</f>
        <v>0</v>
      </c>
      <c r="S64" s="11">
        <f>(Tabla245678[[#This Row],[VENTA ]]-(Tabla245678[[#This Row],[MONTO DE COMPRA]]+Tabla245678[[#This Row],[DIFERENCIA IVA ]]))</f>
        <v>0</v>
      </c>
      <c r="T64" s="2"/>
      <c r="U64" s="1"/>
    </row>
    <row r="65" spans="1:21" x14ac:dyDescent="0.25">
      <c r="A65" s="56">
        <v>44784</v>
      </c>
      <c r="C65" s="4" t="s">
        <v>2638</v>
      </c>
      <c r="D65" s="4" t="s">
        <v>2639</v>
      </c>
      <c r="E65" s="1" t="s">
        <v>1077</v>
      </c>
      <c r="F65" s="1" t="s">
        <v>2495</v>
      </c>
      <c r="G65" s="134" t="s">
        <v>786</v>
      </c>
      <c r="H65" s="15">
        <v>60000</v>
      </c>
      <c r="I65" s="2">
        <f>Tabla245678[[#This Row],[TOTAL FACTURA]]*0.6</f>
        <v>36000</v>
      </c>
      <c r="J65" s="104">
        <f t="shared" si="0"/>
        <v>24000</v>
      </c>
      <c r="K65" s="10"/>
      <c r="L65" s="11"/>
      <c r="M65" s="11">
        <f>Tabla245678[[#This Row],[MONTO DE COMPRA]]/1.19</f>
        <v>0</v>
      </c>
      <c r="N65" s="11">
        <f>Tabla245678[[#This Row],[Columna1]]*19%</f>
        <v>0</v>
      </c>
      <c r="O65" s="11"/>
      <c r="P65" s="11">
        <f>Tabla245678[[#This Row],[VENTA ]]/1.19</f>
        <v>0</v>
      </c>
      <c r="Q65" s="11">
        <f>Tabla245678[[#This Row],[Columna2]]*19%</f>
        <v>0</v>
      </c>
      <c r="R65" s="11">
        <f>Tabla245678[[#This Row],[IVA VENTA ]]-Tabla245678[[#This Row],[IV COMPRA]]</f>
        <v>0</v>
      </c>
      <c r="S65" s="11">
        <f>(Tabla245678[[#This Row],[VENTA ]]-(Tabla245678[[#This Row],[MONTO DE COMPRA]]+Tabla245678[[#This Row],[DIFERENCIA IVA ]]))</f>
        <v>0</v>
      </c>
      <c r="T65" s="2"/>
      <c r="U65" s="1"/>
    </row>
    <row r="66" spans="1:21" x14ac:dyDescent="0.25">
      <c r="A66" s="56">
        <v>44784</v>
      </c>
      <c r="B66" s="4" t="s">
        <v>2707</v>
      </c>
      <c r="C66" s="4" t="s">
        <v>2708</v>
      </c>
      <c r="D66" s="4" t="s">
        <v>2709</v>
      </c>
      <c r="E66" s="1" t="s">
        <v>1947</v>
      </c>
      <c r="F66" s="1" t="s">
        <v>19</v>
      </c>
      <c r="G66" s="134" t="s">
        <v>2575</v>
      </c>
      <c r="H66" s="15">
        <v>60000</v>
      </c>
      <c r="I66" s="2">
        <f>Tabla245678[[#This Row],[TOTAL FACTURA]]*0.7</f>
        <v>42000</v>
      </c>
      <c r="J66" s="104">
        <f t="shared" si="0"/>
        <v>18000</v>
      </c>
      <c r="K66" s="10"/>
      <c r="L66" s="11"/>
      <c r="M66" s="11">
        <f>Tabla245678[[#This Row],[MONTO DE COMPRA]]/1.19</f>
        <v>0</v>
      </c>
      <c r="N66" s="11">
        <f>Tabla245678[[#This Row],[Columna1]]*19%</f>
        <v>0</v>
      </c>
      <c r="O66" s="11"/>
      <c r="P66" s="11">
        <f>Tabla245678[[#This Row],[VENTA ]]/1.19</f>
        <v>0</v>
      </c>
      <c r="Q66" s="11">
        <f>Tabla245678[[#This Row],[Columna2]]*19%</f>
        <v>0</v>
      </c>
      <c r="R66" s="11">
        <f>Tabla245678[[#This Row],[IVA VENTA ]]-Tabla245678[[#This Row],[IV COMPRA]]</f>
        <v>0</v>
      </c>
      <c r="S66" s="11">
        <f>(Tabla245678[[#This Row],[VENTA ]]-(Tabla245678[[#This Row],[MONTO DE COMPRA]]+Tabla245678[[#This Row],[DIFERENCIA IVA ]]))</f>
        <v>0</v>
      </c>
      <c r="T66" s="2"/>
      <c r="U66" s="1"/>
    </row>
    <row r="67" spans="1:21" x14ac:dyDescent="0.25">
      <c r="A67" s="56">
        <v>44784</v>
      </c>
      <c r="B67" s="4" t="s">
        <v>2713</v>
      </c>
      <c r="C67" s="4"/>
      <c r="D67" s="4" t="s">
        <v>2463</v>
      </c>
      <c r="E67" s="1" t="s">
        <v>76</v>
      </c>
      <c r="F67" s="1" t="s">
        <v>603</v>
      </c>
      <c r="G67" s="134" t="s">
        <v>2694</v>
      </c>
      <c r="H67" s="15">
        <v>30000</v>
      </c>
      <c r="I67" s="2">
        <f>Tabla245678[[#This Row],[TOTAL FACTURA]]*0.6</f>
        <v>18000</v>
      </c>
      <c r="J67" s="104">
        <f t="shared" si="0"/>
        <v>12000</v>
      </c>
      <c r="K67" s="10" t="s">
        <v>2710</v>
      </c>
      <c r="L67" s="11">
        <v>37000</v>
      </c>
      <c r="M67" s="11">
        <f>Tabla245678[[#This Row],[MONTO DE COMPRA]]/1.19</f>
        <v>31092.436974789918</v>
      </c>
      <c r="N67" s="11">
        <f>Tabla245678[[#This Row],[Columna1]]*19%</f>
        <v>5907.5630252100846</v>
      </c>
      <c r="O67" s="11">
        <v>50000</v>
      </c>
      <c r="P67" s="11">
        <f>Tabla245678[[#This Row],[VENTA ]]/1.19</f>
        <v>42016.806722689078</v>
      </c>
      <c r="Q67" s="11">
        <f>Tabla245678[[#This Row],[Columna2]]*19%</f>
        <v>7983.1932773109247</v>
      </c>
      <c r="R67" s="11">
        <f>Tabla245678[[#This Row],[IVA VENTA ]]-Tabla245678[[#This Row],[IV COMPRA]]</f>
        <v>2075.6302521008402</v>
      </c>
      <c r="S67" s="11">
        <f>(Tabla245678[[#This Row],[VENTA ]]-(Tabla245678[[#This Row],[MONTO DE COMPRA]]+Tabla245678[[#This Row],[DIFERENCIA IVA ]]))</f>
        <v>10924.36974789916</v>
      </c>
      <c r="T67" s="2"/>
      <c r="U67" s="1"/>
    </row>
    <row r="68" spans="1:21" x14ac:dyDescent="0.25">
      <c r="A68" s="56">
        <v>44784</v>
      </c>
      <c r="B68" s="4" t="s">
        <v>2713</v>
      </c>
      <c r="C68" s="4"/>
      <c r="D68" s="4" t="s">
        <v>2463</v>
      </c>
      <c r="E68" s="1" t="s">
        <v>76</v>
      </c>
      <c r="F68" s="1" t="s">
        <v>408</v>
      </c>
      <c r="G68" s="134" t="s">
        <v>138</v>
      </c>
      <c r="H68" s="15">
        <v>50000</v>
      </c>
      <c r="I68" s="2">
        <f>Tabla245678[[#This Row],[TOTAL FACTURA]]*0.7</f>
        <v>35000</v>
      </c>
      <c r="J68" s="104">
        <f t="shared" si="0"/>
        <v>15000</v>
      </c>
      <c r="K68" s="10"/>
      <c r="L68" s="11"/>
      <c r="M68" s="11">
        <f>Tabla245678[[#This Row],[MONTO DE COMPRA]]/1.19</f>
        <v>0</v>
      </c>
      <c r="N68" s="11">
        <f>Tabla245678[[#This Row],[Columna1]]*19%</f>
        <v>0</v>
      </c>
      <c r="O68" s="11"/>
      <c r="P68" s="11">
        <f>Tabla245678[[#This Row],[VENTA ]]/1.19</f>
        <v>0</v>
      </c>
      <c r="Q68" s="11">
        <f>Tabla245678[[#This Row],[Columna2]]*19%</f>
        <v>0</v>
      </c>
      <c r="R68" s="11">
        <f>Tabla245678[[#This Row],[IVA VENTA ]]-Tabla245678[[#This Row],[IV COMPRA]]</f>
        <v>0</v>
      </c>
      <c r="S68" s="11">
        <f>(Tabla245678[[#This Row],[VENTA ]]-(Tabla245678[[#This Row],[MONTO DE COMPRA]]+Tabla245678[[#This Row],[DIFERENCIA IVA ]]))</f>
        <v>0</v>
      </c>
      <c r="T68" s="2"/>
      <c r="U68" s="1"/>
    </row>
    <row r="69" spans="1:21" x14ac:dyDescent="0.25">
      <c r="A69" s="56">
        <v>44785</v>
      </c>
      <c r="B69" s="4" t="s">
        <v>2712</v>
      </c>
      <c r="C69" s="4" t="s">
        <v>2711</v>
      </c>
      <c r="D69" s="4" t="s">
        <v>2714</v>
      </c>
      <c r="E69" s="1" t="s">
        <v>201</v>
      </c>
      <c r="F69" s="1" t="s">
        <v>19</v>
      </c>
      <c r="G69" s="134" t="s">
        <v>2715</v>
      </c>
      <c r="H69" s="15">
        <v>50000</v>
      </c>
      <c r="I69" s="2">
        <f>Tabla245678[[#This Row],[TOTAL FACTURA]]*0.7</f>
        <v>35000</v>
      </c>
      <c r="J69" s="104">
        <f t="shared" ref="J69:J124" si="1">H69-I69</f>
        <v>15000</v>
      </c>
      <c r="K69" s="10"/>
      <c r="L69" s="11"/>
      <c r="M69" s="11">
        <f>Tabla245678[[#This Row],[MONTO DE COMPRA]]/1.19</f>
        <v>0</v>
      </c>
      <c r="N69" s="11">
        <f>Tabla245678[[#This Row],[Columna1]]*19%</f>
        <v>0</v>
      </c>
      <c r="O69" s="11"/>
      <c r="P69" s="11">
        <f>Tabla245678[[#This Row],[VENTA ]]/1.19</f>
        <v>0</v>
      </c>
      <c r="Q69" s="11">
        <f>Tabla245678[[#This Row],[Columna2]]*19%</f>
        <v>0</v>
      </c>
      <c r="R69" s="11">
        <f>Tabla245678[[#This Row],[IVA VENTA ]]-Tabla245678[[#This Row],[IV COMPRA]]</f>
        <v>0</v>
      </c>
      <c r="S69" s="11">
        <f>(Tabla245678[[#This Row],[VENTA ]]-(Tabla245678[[#This Row],[MONTO DE COMPRA]]+Tabla245678[[#This Row],[DIFERENCIA IVA ]]))</f>
        <v>0</v>
      </c>
      <c r="T69" s="2"/>
      <c r="U69" s="1"/>
    </row>
    <row r="70" spans="1:21" x14ac:dyDescent="0.25">
      <c r="A70" s="56">
        <v>44785</v>
      </c>
      <c r="B70" s="4" t="s">
        <v>2716</v>
      </c>
      <c r="C70" s="4" t="s">
        <v>215</v>
      </c>
      <c r="D70" s="4" t="s">
        <v>1610</v>
      </c>
      <c r="E70" s="1" t="s">
        <v>54</v>
      </c>
      <c r="F70" s="1" t="s">
        <v>408</v>
      </c>
      <c r="G70" s="134" t="s">
        <v>2717</v>
      </c>
      <c r="H70" s="15">
        <v>50000</v>
      </c>
      <c r="I70" s="2">
        <f>Tabla245678[[#This Row],[TOTAL FACTURA]]*0.7</f>
        <v>35000</v>
      </c>
      <c r="J70" s="104">
        <f t="shared" si="1"/>
        <v>15000</v>
      </c>
      <c r="K70" s="10"/>
      <c r="L70" s="11"/>
      <c r="M70" s="11">
        <f>Tabla245678[[#This Row],[MONTO DE COMPRA]]/1.19</f>
        <v>0</v>
      </c>
      <c r="N70" s="11">
        <f>Tabla245678[[#This Row],[Columna1]]*19%</f>
        <v>0</v>
      </c>
      <c r="O70" s="11"/>
      <c r="P70" s="11">
        <f>Tabla245678[[#This Row],[VENTA ]]/1.19</f>
        <v>0</v>
      </c>
      <c r="Q70" s="11">
        <f>Tabla245678[[#This Row],[Columna2]]*19%</f>
        <v>0</v>
      </c>
      <c r="R70" s="11">
        <f>Tabla245678[[#This Row],[IVA VENTA ]]-Tabla245678[[#This Row],[IV COMPRA]]</f>
        <v>0</v>
      </c>
      <c r="S70" s="11">
        <f>(Tabla245678[[#This Row],[VENTA ]]-(Tabla245678[[#This Row],[MONTO DE COMPRA]]+Tabla245678[[#This Row],[DIFERENCIA IVA ]]))</f>
        <v>0</v>
      </c>
      <c r="T70" s="2"/>
      <c r="U70" s="1"/>
    </row>
    <row r="71" spans="1:21" x14ac:dyDescent="0.25">
      <c r="A71" s="56">
        <v>44785</v>
      </c>
      <c r="B71" s="4" t="s">
        <v>2718</v>
      </c>
      <c r="C71" s="4" t="s">
        <v>1512</v>
      </c>
      <c r="D71" s="4" t="s">
        <v>1513</v>
      </c>
      <c r="E71" s="1" t="s">
        <v>2720</v>
      </c>
      <c r="F71" s="1" t="s">
        <v>19</v>
      </c>
      <c r="G71" s="134" t="s">
        <v>2719</v>
      </c>
      <c r="H71" s="15">
        <v>100000</v>
      </c>
      <c r="I71" s="2">
        <f>Tabla245678[[#This Row],[TOTAL FACTURA]]*0.7</f>
        <v>70000</v>
      </c>
      <c r="J71" s="104">
        <f t="shared" si="1"/>
        <v>30000</v>
      </c>
      <c r="K71" s="10"/>
      <c r="L71" s="11"/>
      <c r="M71" s="11">
        <f>Tabla245678[[#This Row],[MONTO DE COMPRA]]/1.19</f>
        <v>0</v>
      </c>
      <c r="N71" s="11">
        <f>Tabla245678[[#This Row],[Columna1]]*19%</f>
        <v>0</v>
      </c>
      <c r="O71" s="11"/>
      <c r="P71" s="11">
        <f>Tabla245678[[#This Row],[VENTA ]]/1.19</f>
        <v>0</v>
      </c>
      <c r="Q71" s="11">
        <f>Tabla245678[[#This Row],[Columna2]]*19%</f>
        <v>0</v>
      </c>
      <c r="R71" s="11">
        <f>Tabla245678[[#This Row],[IVA VENTA ]]-Tabla245678[[#This Row],[IV COMPRA]]</f>
        <v>0</v>
      </c>
      <c r="S71" s="11">
        <f>(Tabla245678[[#This Row],[VENTA ]]-(Tabla245678[[#This Row],[MONTO DE COMPRA]]+Tabla245678[[#This Row],[DIFERENCIA IVA ]]))</f>
        <v>0</v>
      </c>
      <c r="T71" s="2"/>
      <c r="U71" s="1"/>
    </row>
    <row r="72" spans="1:21" x14ac:dyDescent="0.25">
      <c r="A72" s="56">
        <v>44785</v>
      </c>
      <c r="C72" s="4" t="s">
        <v>129</v>
      </c>
      <c r="D72" s="4" t="s">
        <v>125</v>
      </c>
      <c r="F72" s="1" t="s">
        <v>10</v>
      </c>
      <c r="G72" s="134" t="s">
        <v>2723</v>
      </c>
      <c r="H72" s="15">
        <v>50000</v>
      </c>
      <c r="I72" s="2">
        <v>50000</v>
      </c>
      <c r="J72" s="104">
        <f t="shared" si="1"/>
        <v>0</v>
      </c>
      <c r="K72" s="10"/>
      <c r="L72" s="11"/>
      <c r="M72" s="11">
        <f>Tabla245678[[#This Row],[MONTO DE COMPRA]]/1.19</f>
        <v>0</v>
      </c>
      <c r="N72" s="11">
        <f>Tabla245678[[#This Row],[Columna1]]*19%</f>
        <v>0</v>
      </c>
      <c r="O72" s="11"/>
      <c r="P72" s="11">
        <f>Tabla245678[[#This Row],[VENTA ]]/1.19</f>
        <v>0</v>
      </c>
      <c r="Q72" s="11">
        <f>Tabla245678[[#This Row],[Columna2]]*19%</f>
        <v>0</v>
      </c>
      <c r="R72" s="11">
        <f>Tabla245678[[#This Row],[IVA VENTA ]]-Tabla245678[[#This Row],[IV COMPRA]]</f>
        <v>0</v>
      </c>
      <c r="S72" s="11">
        <f>(Tabla245678[[#This Row],[VENTA ]]-(Tabla245678[[#This Row],[MONTO DE COMPRA]]+Tabla245678[[#This Row],[DIFERENCIA IVA ]]))</f>
        <v>0</v>
      </c>
      <c r="T72" s="2"/>
      <c r="U72" s="1"/>
    </row>
    <row r="73" spans="1:21" x14ac:dyDescent="0.25">
      <c r="A73" s="56">
        <v>44786</v>
      </c>
      <c r="B73" s="4" t="s">
        <v>2724</v>
      </c>
      <c r="C73" s="4" t="s">
        <v>2725</v>
      </c>
      <c r="D73" s="4" t="s">
        <v>2726</v>
      </c>
      <c r="E73" s="1" t="s">
        <v>122</v>
      </c>
      <c r="F73" s="1" t="s">
        <v>2446</v>
      </c>
      <c r="G73" s="134" t="s">
        <v>2645</v>
      </c>
      <c r="H73" s="15">
        <v>30000</v>
      </c>
      <c r="I73" s="15">
        <f>Tabla245678[[#This Row],[TOTAL FACTURA]]*0.7</f>
        <v>21000</v>
      </c>
      <c r="J73" s="104">
        <f t="shared" si="1"/>
        <v>9000</v>
      </c>
      <c r="K73" s="10" t="s">
        <v>2727</v>
      </c>
      <c r="L73" s="11">
        <v>95000</v>
      </c>
      <c r="M73" s="11">
        <f>Tabla245678[[#This Row],[MONTO DE COMPRA]]/1.19</f>
        <v>79831.932773109249</v>
      </c>
      <c r="N73" s="11">
        <f>Tabla245678[[#This Row],[Columna1]]*19%</f>
        <v>15168.067226890758</v>
      </c>
      <c r="O73" s="11"/>
      <c r="P73" s="11">
        <f>Tabla245678[[#This Row],[VENTA ]]/1.19</f>
        <v>0</v>
      </c>
      <c r="Q73" s="11">
        <f>Tabla245678[[#This Row],[Columna2]]*19%</f>
        <v>0</v>
      </c>
      <c r="R73" s="11">
        <f>Tabla245678[[#This Row],[IVA VENTA ]]-Tabla245678[[#This Row],[IV COMPRA]]</f>
        <v>-15168.067226890758</v>
      </c>
      <c r="S73" s="11">
        <f>(Tabla245678[[#This Row],[VENTA ]]-(Tabla245678[[#This Row],[MONTO DE COMPRA]]+Tabla245678[[#This Row],[DIFERENCIA IVA ]]))</f>
        <v>-79831.932773109234</v>
      </c>
      <c r="T73" s="2"/>
      <c r="U73" s="1"/>
    </row>
    <row r="74" spans="1:21" x14ac:dyDescent="0.25">
      <c r="A74" s="56">
        <v>44786</v>
      </c>
      <c r="C74" s="4"/>
      <c r="D74" s="4" t="s">
        <v>2728</v>
      </c>
      <c r="E74" s="1" t="s">
        <v>1488</v>
      </c>
      <c r="F74" s="1" t="s">
        <v>2495</v>
      </c>
      <c r="G74" s="134" t="s">
        <v>2729</v>
      </c>
      <c r="H74" s="15">
        <v>20000</v>
      </c>
      <c r="I74" s="2">
        <f>Tabla245678[[#This Row],[TOTAL FACTURA]]*0.6</f>
        <v>12000</v>
      </c>
      <c r="J74" s="104">
        <f t="shared" si="1"/>
        <v>8000</v>
      </c>
      <c r="K74" s="10"/>
      <c r="L74" s="11"/>
      <c r="M74" s="11">
        <f>Tabla245678[[#This Row],[MONTO DE COMPRA]]/1.19</f>
        <v>0</v>
      </c>
      <c r="N74" s="11">
        <f>Tabla245678[[#This Row],[Columna1]]*19%</f>
        <v>0</v>
      </c>
      <c r="O74" s="11"/>
      <c r="P74" s="11">
        <f>Tabla245678[[#This Row],[VENTA ]]/1.19</f>
        <v>0</v>
      </c>
      <c r="Q74" s="11">
        <f>Tabla245678[[#This Row],[Columna2]]*19%</f>
        <v>0</v>
      </c>
      <c r="R74" s="11">
        <f>Tabla245678[[#This Row],[IVA VENTA ]]-Tabla245678[[#This Row],[IV COMPRA]]</f>
        <v>0</v>
      </c>
      <c r="S74" s="11">
        <f>(Tabla245678[[#This Row],[VENTA ]]-(Tabla245678[[#This Row],[MONTO DE COMPRA]]+Tabla245678[[#This Row],[DIFERENCIA IVA ]]))</f>
        <v>0</v>
      </c>
      <c r="T74" s="2"/>
      <c r="U74" s="1"/>
    </row>
    <row r="75" spans="1:21" x14ac:dyDescent="0.25">
      <c r="A75" s="56">
        <v>44786</v>
      </c>
      <c r="C75" s="4" t="s">
        <v>2730</v>
      </c>
      <c r="D75" s="4" t="s">
        <v>2731</v>
      </c>
      <c r="E75" s="1" t="s">
        <v>2376</v>
      </c>
      <c r="F75" s="1" t="s">
        <v>2446</v>
      </c>
      <c r="G75" s="134" t="s">
        <v>2732</v>
      </c>
      <c r="H75" s="15">
        <v>50000</v>
      </c>
      <c r="I75" s="15">
        <v>60000</v>
      </c>
      <c r="J75" s="104">
        <f t="shared" si="1"/>
        <v>-10000</v>
      </c>
      <c r="K75" s="10" t="s">
        <v>2733</v>
      </c>
      <c r="L75" s="11">
        <v>420000</v>
      </c>
      <c r="M75" s="11"/>
      <c r="N75" s="11"/>
      <c r="O75" s="11">
        <v>450000</v>
      </c>
      <c r="P75" s="11"/>
      <c r="Q75" s="11">
        <f>Tabla245678[[#This Row],[Columna2]]*19%</f>
        <v>0</v>
      </c>
      <c r="R75" s="11">
        <f>Tabla245678[[#This Row],[IVA VENTA ]]-Tabla245678[[#This Row],[IV COMPRA]]</f>
        <v>0</v>
      </c>
      <c r="S75" s="11">
        <f>(Tabla245678[[#This Row],[VENTA ]]-(Tabla245678[[#This Row],[MONTO DE COMPRA]]+Tabla245678[[#This Row],[DIFERENCIA IVA ]]))</f>
        <v>30000</v>
      </c>
      <c r="T75" s="2"/>
      <c r="U75" s="1"/>
    </row>
    <row r="76" spans="1:21" x14ac:dyDescent="0.25">
      <c r="A76" s="56">
        <v>44786</v>
      </c>
      <c r="C76" s="4" t="s">
        <v>2734</v>
      </c>
      <c r="D76" s="4" t="s">
        <v>2735</v>
      </c>
      <c r="E76" s="1" t="s">
        <v>385</v>
      </c>
      <c r="F76" s="1" t="s">
        <v>2495</v>
      </c>
      <c r="G76" s="134" t="s">
        <v>2736</v>
      </c>
      <c r="H76" s="15">
        <v>70000</v>
      </c>
      <c r="I76" s="2">
        <f>Tabla245678[[#This Row],[TOTAL FACTURA]]*0.6</f>
        <v>42000</v>
      </c>
      <c r="J76" s="104">
        <f t="shared" si="1"/>
        <v>28000</v>
      </c>
      <c r="K76" s="10"/>
      <c r="L76" s="11"/>
      <c r="M76" s="11">
        <f>Tabla245678[[#This Row],[MONTO DE COMPRA]]/1.19</f>
        <v>0</v>
      </c>
      <c r="N76" s="11">
        <f>Tabla245678[[#This Row],[Columna1]]*19%</f>
        <v>0</v>
      </c>
      <c r="O76" s="11"/>
      <c r="P76" s="11">
        <f>Tabla245678[[#This Row],[VENTA ]]/1.19</f>
        <v>0</v>
      </c>
      <c r="Q76" s="11">
        <f>Tabla245678[[#This Row],[Columna2]]*19%</f>
        <v>0</v>
      </c>
      <c r="R76" s="11">
        <f>Tabla245678[[#This Row],[IVA VENTA ]]-Tabla245678[[#This Row],[IV COMPRA]]</f>
        <v>0</v>
      </c>
      <c r="S76" s="11">
        <f>(Tabla245678[[#This Row],[VENTA ]]-(Tabla245678[[#This Row],[MONTO DE COMPRA]]+Tabla245678[[#This Row],[DIFERENCIA IVA ]]))</f>
        <v>0</v>
      </c>
      <c r="T76" s="2"/>
      <c r="U76" s="1"/>
    </row>
    <row r="77" spans="1:21" x14ac:dyDescent="0.25">
      <c r="A77" s="56">
        <v>44788</v>
      </c>
      <c r="C77" s="4" t="s">
        <v>2737</v>
      </c>
      <c r="D77" s="4" t="s">
        <v>2738</v>
      </c>
      <c r="E77" s="1" t="s">
        <v>402</v>
      </c>
      <c r="F77" s="1" t="s">
        <v>2495</v>
      </c>
      <c r="G77" s="134" t="s">
        <v>2598</v>
      </c>
      <c r="H77" s="15">
        <v>40000</v>
      </c>
      <c r="I77" s="2">
        <f>Tabla245678[[#This Row],[TOTAL FACTURA]]*0.6</f>
        <v>24000</v>
      </c>
      <c r="J77" s="104">
        <f t="shared" si="1"/>
        <v>16000</v>
      </c>
      <c r="K77" s="10"/>
      <c r="L77" s="11"/>
      <c r="M77" s="11">
        <f>Tabla245678[[#This Row],[MONTO DE COMPRA]]/1.19</f>
        <v>0</v>
      </c>
      <c r="N77" s="11">
        <f>Tabla245678[[#This Row],[Columna1]]*19%</f>
        <v>0</v>
      </c>
      <c r="O77" s="11"/>
      <c r="P77" s="11">
        <f>Tabla245678[[#This Row],[VENTA ]]/1.19</f>
        <v>0</v>
      </c>
      <c r="Q77" s="11">
        <f>Tabla245678[[#This Row],[Columna2]]*19%</f>
        <v>0</v>
      </c>
      <c r="R77" s="11">
        <f>Tabla245678[[#This Row],[IVA VENTA ]]-Tabla245678[[#This Row],[IV COMPRA]]</f>
        <v>0</v>
      </c>
      <c r="S77" s="11">
        <f>(Tabla245678[[#This Row],[VENTA ]]-(Tabla245678[[#This Row],[MONTO DE COMPRA]]+Tabla245678[[#This Row],[DIFERENCIA IVA ]]))</f>
        <v>0</v>
      </c>
      <c r="T77" s="2"/>
      <c r="U77" s="1"/>
    </row>
    <row r="78" spans="1:21" x14ac:dyDescent="0.25">
      <c r="A78" s="56">
        <v>44788</v>
      </c>
      <c r="C78" s="4"/>
      <c r="D78" s="4"/>
      <c r="E78" s="1" t="s">
        <v>574</v>
      </c>
      <c r="F78" s="1" t="s">
        <v>2495</v>
      </c>
      <c r="G78" s="134" t="s">
        <v>2739</v>
      </c>
      <c r="H78" s="15">
        <v>60000</v>
      </c>
      <c r="I78" s="2">
        <f>Tabla245678[[#This Row],[TOTAL FACTURA]]*0.6</f>
        <v>36000</v>
      </c>
      <c r="J78" s="104">
        <f t="shared" si="1"/>
        <v>24000</v>
      </c>
      <c r="K78" s="10"/>
      <c r="L78" s="11"/>
      <c r="M78" s="11">
        <f>Tabla245678[[#This Row],[MONTO DE COMPRA]]/1.19</f>
        <v>0</v>
      </c>
      <c r="N78" s="11">
        <f>Tabla245678[[#This Row],[Columna1]]*19%</f>
        <v>0</v>
      </c>
      <c r="O78" s="11"/>
      <c r="P78" s="11">
        <f>Tabla245678[[#This Row],[VENTA ]]/1.19</f>
        <v>0</v>
      </c>
      <c r="Q78" s="11">
        <f>Tabla245678[[#This Row],[Columna2]]*19%</f>
        <v>0</v>
      </c>
      <c r="R78" s="11">
        <f>Tabla245678[[#This Row],[IVA VENTA ]]-Tabla245678[[#This Row],[IV COMPRA]]</f>
        <v>0</v>
      </c>
      <c r="S78" s="11">
        <f>(Tabla245678[[#This Row],[VENTA ]]-(Tabla245678[[#This Row],[MONTO DE COMPRA]]+Tabla245678[[#This Row],[DIFERENCIA IVA ]]))</f>
        <v>0</v>
      </c>
      <c r="T78" s="2"/>
      <c r="U78" s="1"/>
    </row>
    <row r="79" spans="1:21" x14ac:dyDescent="0.25">
      <c r="A79" s="56">
        <v>44789</v>
      </c>
      <c r="C79" s="4" t="s">
        <v>2740</v>
      </c>
      <c r="D79" s="4" t="s">
        <v>2647</v>
      </c>
      <c r="E79" s="1" t="s">
        <v>297</v>
      </c>
      <c r="F79" s="1" t="s">
        <v>2446</v>
      </c>
      <c r="G79" s="134" t="s">
        <v>744</v>
      </c>
      <c r="H79" s="15">
        <v>30000</v>
      </c>
      <c r="I79" s="15">
        <v>30000</v>
      </c>
      <c r="J79" s="104">
        <f t="shared" si="1"/>
        <v>0</v>
      </c>
      <c r="K79" s="10" t="s">
        <v>2741</v>
      </c>
      <c r="L79" s="11">
        <v>42000</v>
      </c>
      <c r="M79" s="11">
        <f>Tabla245678[[#This Row],[MONTO DE COMPRA]]/1.19</f>
        <v>35294.117647058825</v>
      </c>
      <c r="N79" s="11">
        <f>Tabla245678[[#This Row],[Columna1]]*19%</f>
        <v>6705.8823529411766</v>
      </c>
      <c r="O79" s="11">
        <v>60000</v>
      </c>
      <c r="P79" s="11">
        <f>Tabla245678[[#This Row],[VENTA ]]/1.19</f>
        <v>50420.168067226892</v>
      </c>
      <c r="Q79" s="11">
        <f>Tabla245678[[#This Row],[Columna2]]*19%</f>
        <v>9579.8319327731097</v>
      </c>
      <c r="R79" s="11">
        <f>Tabla245678[[#This Row],[IVA VENTA ]]-Tabla245678[[#This Row],[IV COMPRA]]</f>
        <v>2873.9495798319331</v>
      </c>
      <c r="S79" s="11">
        <f>(Tabla245678[[#This Row],[VENTA ]]-(Tabla245678[[#This Row],[MONTO DE COMPRA]]+Tabla245678[[#This Row],[DIFERENCIA IVA ]]))</f>
        <v>15126.050420168067</v>
      </c>
      <c r="T79" s="2"/>
      <c r="U79" s="1"/>
    </row>
    <row r="80" spans="1:21" x14ac:dyDescent="0.25">
      <c r="A80" s="56">
        <v>44789</v>
      </c>
      <c r="C80" s="4" t="s">
        <v>2590</v>
      </c>
      <c r="D80" s="4" t="s">
        <v>2532</v>
      </c>
      <c r="E80" s="1" t="s">
        <v>815</v>
      </c>
      <c r="F80" s="1" t="s">
        <v>2446</v>
      </c>
      <c r="G80" s="1" t="s">
        <v>2742</v>
      </c>
      <c r="H80" s="15">
        <v>80000</v>
      </c>
      <c r="I80" s="15">
        <v>70000</v>
      </c>
      <c r="J80" s="104">
        <f t="shared" si="1"/>
        <v>10000</v>
      </c>
      <c r="K80" s="10"/>
      <c r="L80" s="11"/>
      <c r="M80" s="11">
        <f>Tabla245678[[#This Row],[MONTO DE COMPRA]]/1.19</f>
        <v>0</v>
      </c>
      <c r="N80" s="11">
        <f>Tabla245678[[#This Row],[Columna1]]*19%</f>
        <v>0</v>
      </c>
      <c r="O80" s="11"/>
      <c r="P80" s="11">
        <f>Tabla245678[[#This Row],[VENTA ]]/1.19</f>
        <v>0</v>
      </c>
      <c r="Q80" s="11">
        <f>Tabla245678[[#This Row],[Columna2]]*19%</f>
        <v>0</v>
      </c>
      <c r="R80" s="11">
        <f>Tabla245678[[#This Row],[IVA VENTA ]]-Tabla245678[[#This Row],[IV COMPRA]]</f>
        <v>0</v>
      </c>
      <c r="S80" s="11">
        <f>(Tabla245678[[#This Row],[VENTA ]]-(Tabla245678[[#This Row],[MONTO DE COMPRA]]+Tabla245678[[#This Row],[DIFERENCIA IVA ]]))</f>
        <v>0</v>
      </c>
      <c r="T80" s="2"/>
      <c r="U80" s="1"/>
    </row>
    <row r="81" spans="1:21" ht="30" x14ac:dyDescent="0.25">
      <c r="A81" s="56">
        <v>44789</v>
      </c>
      <c r="B81" s="4" t="s">
        <v>2759</v>
      </c>
      <c r="C81" s="4" t="s">
        <v>2755</v>
      </c>
      <c r="D81" s="4" t="s">
        <v>2756</v>
      </c>
      <c r="E81" s="1" t="s">
        <v>2785</v>
      </c>
      <c r="F81" s="1" t="s">
        <v>2495</v>
      </c>
      <c r="G81" s="10" t="s">
        <v>2757</v>
      </c>
      <c r="H81" s="15">
        <v>180000</v>
      </c>
      <c r="I81" s="2">
        <f>Tabla245678[[#This Row],[TOTAL FACTURA]]*0.6</f>
        <v>108000</v>
      </c>
      <c r="J81" s="137">
        <f>H81-I81</f>
        <v>72000</v>
      </c>
      <c r="K81" s="10" t="s">
        <v>2758</v>
      </c>
      <c r="L81" s="11">
        <f>150000+20000+30000+20000+19000</f>
        <v>239000</v>
      </c>
      <c r="M81" s="11">
        <f>Tabla245678[[#This Row],[MONTO DE COMPRA]]/1.19</f>
        <v>200840.3361344538</v>
      </c>
      <c r="N81" s="11">
        <f>Tabla245678[[#This Row],[Columna1]]*19%</f>
        <v>38159.663865546223</v>
      </c>
      <c r="O81" s="11">
        <v>363000</v>
      </c>
      <c r="P81" s="11">
        <f>Tabla245678[[#This Row],[VENTA ]]/1.19</f>
        <v>305042.01680672268</v>
      </c>
      <c r="Q81" s="11">
        <f>Tabla245678[[#This Row],[Columna2]]*19%</f>
        <v>57957.983193277309</v>
      </c>
      <c r="R81" s="11">
        <f>Tabla245678[[#This Row],[IVA VENTA ]]-Tabla245678[[#This Row],[IV COMPRA]]</f>
        <v>19798.319327731086</v>
      </c>
      <c r="S81" s="11">
        <f>(Tabla245678[[#This Row],[VENTA ]]-(Tabla245678[[#This Row],[MONTO DE COMPRA]]+Tabla245678[[#This Row],[DIFERENCIA IVA ]]))</f>
        <v>104201.68067226891</v>
      </c>
      <c r="T81" s="2"/>
      <c r="U81" s="1"/>
    </row>
    <row r="82" spans="1:21" ht="30" x14ac:dyDescent="0.25">
      <c r="A82" s="56">
        <v>44789</v>
      </c>
      <c r="B82" s="4" t="s">
        <v>2754</v>
      </c>
      <c r="C82" s="4" t="s">
        <v>2749</v>
      </c>
      <c r="D82" s="4" t="s">
        <v>2751</v>
      </c>
      <c r="E82" s="1" t="s">
        <v>2750</v>
      </c>
      <c r="F82" s="1" t="s">
        <v>2495</v>
      </c>
      <c r="G82" s="134" t="s">
        <v>2752</v>
      </c>
      <c r="H82" s="15">
        <v>150000</v>
      </c>
      <c r="I82" s="2">
        <f>Tabla245678[[#This Row],[TOTAL FACTURA]]*0.6</f>
        <v>90000</v>
      </c>
      <c r="J82" s="104">
        <f>H82-I82</f>
        <v>60000</v>
      </c>
      <c r="K82" s="10" t="s">
        <v>2753</v>
      </c>
      <c r="L82" s="11">
        <v>590000</v>
      </c>
      <c r="M82" s="11">
        <f>Tabla245678[[#This Row],[MONTO DE COMPRA]]/1.19</f>
        <v>495798.31932773109</v>
      </c>
      <c r="N82" s="11">
        <f>Tabla245678[[#This Row],[Columna1]]*19%</f>
        <v>94201.680672268907</v>
      </c>
      <c r="O82" s="11">
        <v>814000</v>
      </c>
      <c r="P82" s="11">
        <f>Tabla245678[[#This Row],[VENTA ]]/1.19</f>
        <v>684033.61344537814</v>
      </c>
      <c r="Q82" s="11">
        <f>Tabla245678[[#This Row],[Columna2]]*19%</f>
        <v>129966.38655462184</v>
      </c>
      <c r="R82" s="11">
        <f>Tabla245678[[#This Row],[IVA VENTA ]]-Tabla245678[[#This Row],[IV COMPRA]]</f>
        <v>35764.705882352937</v>
      </c>
      <c r="S82" s="11">
        <f>(Tabla245678[[#This Row],[VENTA ]]-(Tabla245678[[#This Row],[MONTO DE COMPRA]]+Tabla245678[[#This Row],[DIFERENCIA IVA ]]))</f>
        <v>188235.29411764711</v>
      </c>
      <c r="T82" s="2"/>
      <c r="U82" s="1"/>
    </row>
    <row r="83" spans="1:21" x14ac:dyDescent="0.25">
      <c r="A83" s="56">
        <v>44790</v>
      </c>
      <c r="C83" s="4" t="s">
        <v>2743</v>
      </c>
      <c r="D83" s="4" t="s">
        <v>2744</v>
      </c>
      <c r="E83" s="1" t="s">
        <v>168</v>
      </c>
      <c r="F83" s="1" t="s">
        <v>2495</v>
      </c>
      <c r="G83" s="1" t="s">
        <v>2249</v>
      </c>
      <c r="H83" s="15">
        <v>30000</v>
      </c>
      <c r="I83" s="2">
        <f>Tabla245678[[#This Row],[TOTAL FACTURA]]*0.6</f>
        <v>18000</v>
      </c>
      <c r="J83" s="104">
        <f t="shared" si="1"/>
        <v>12000</v>
      </c>
      <c r="K83" s="10"/>
      <c r="L83" s="11"/>
      <c r="M83" s="11">
        <f>Tabla245678[[#This Row],[MONTO DE COMPRA]]/1.19</f>
        <v>0</v>
      </c>
      <c r="N83" s="11">
        <f>Tabla245678[[#This Row],[Columna1]]*19%</f>
        <v>0</v>
      </c>
      <c r="O83" s="11"/>
      <c r="P83" s="11">
        <f>Tabla245678[[#This Row],[VENTA ]]/1.19</f>
        <v>0</v>
      </c>
      <c r="Q83" s="11">
        <f>Tabla245678[[#This Row],[Columna2]]*19%</f>
        <v>0</v>
      </c>
      <c r="R83" s="11">
        <f>Tabla245678[[#This Row],[IVA VENTA ]]-Tabla245678[[#This Row],[IV COMPRA]]</f>
        <v>0</v>
      </c>
      <c r="S83" s="11">
        <f>(Tabla245678[[#This Row],[VENTA ]]-(Tabla245678[[#This Row],[MONTO DE COMPRA]]+Tabla245678[[#This Row],[DIFERENCIA IVA ]]))</f>
        <v>0</v>
      </c>
      <c r="T83" s="2"/>
      <c r="U83" s="1"/>
    </row>
    <row r="84" spans="1:21" ht="30" x14ac:dyDescent="0.25">
      <c r="A84" s="56">
        <v>44790</v>
      </c>
      <c r="C84" s="130"/>
      <c r="D84" s="4" t="s">
        <v>2416</v>
      </c>
      <c r="E84" s="1" t="s">
        <v>2745</v>
      </c>
      <c r="F84" s="1" t="s">
        <v>2495</v>
      </c>
      <c r="G84" s="134" t="s">
        <v>744</v>
      </c>
      <c r="H84" s="15" t="s">
        <v>655</v>
      </c>
      <c r="I84" s="15">
        <v>30000</v>
      </c>
      <c r="J84" s="2" t="s">
        <v>655</v>
      </c>
      <c r="K84" s="10" t="s">
        <v>2746</v>
      </c>
      <c r="L84" s="11">
        <v>20000</v>
      </c>
      <c r="M84" s="11">
        <f>Tabla245678[[#This Row],[MONTO DE COMPRA]]/1.19</f>
        <v>16806.722689075632</v>
      </c>
      <c r="N84" s="11">
        <f>Tabla245678[[#This Row],[Columna1]]*19%</f>
        <v>3193.2773109243699</v>
      </c>
      <c r="O84" s="11">
        <v>10000</v>
      </c>
      <c r="P84" s="11">
        <f>Tabla245678[[#This Row],[VENTA ]]/1.19</f>
        <v>8403.361344537816</v>
      </c>
      <c r="Q84" s="11">
        <f>Tabla245678[[#This Row],[Columna2]]*19%</f>
        <v>1596.6386554621849</v>
      </c>
      <c r="R84" s="11">
        <f>Tabla245678[[#This Row],[IVA VENTA ]]-Tabla245678[[#This Row],[IV COMPRA]]</f>
        <v>-1596.6386554621849</v>
      </c>
      <c r="S84" s="11">
        <f>(Tabla245678[[#This Row],[VENTA ]]-(Tabla245678[[#This Row],[MONTO DE COMPRA]]+Tabla245678[[#This Row],[DIFERENCIA IVA ]]))</f>
        <v>-8403.3613445378141</v>
      </c>
      <c r="T84" s="2"/>
      <c r="U84" s="1"/>
    </row>
    <row r="85" spans="1:21" x14ac:dyDescent="0.25">
      <c r="A85" s="56">
        <v>44790</v>
      </c>
      <c r="C85" s="4" t="s">
        <v>2747</v>
      </c>
      <c r="D85" s="1" t="s">
        <v>2748</v>
      </c>
      <c r="E85" s="1" t="s">
        <v>1011</v>
      </c>
      <c r="F85" s="1" t="s">
        <v>2446</v>
      </c>
      <c r="G85" s="134" t="s">
        <v>515</v>
      </c>
      <c r="H85" s="15">
        <v>115000</v>
      </c>
      <c r="I85" s="15">
        <f>Tabla245678[[#This Row],[TOTAL FACTURA]]*0.7</f>
        <v>80500</v>
      </c>
      <c r="J85" s="104">
        <f t="shared" si="1"/>
        <v>34500</v>
      </c>
      <c r="K85" s="10"/>
      <c r="L85" s="11"/>
      <c r="M85" s="11">
        <f>Tabla245678[[#This Row],[MONTO DE COMPRA]]/1.19</f>
        <v>0</v>
      </c>
      <c r="N85" s="11">
        <f>Tabla245678[[#This Row],[Columna1]]*19%</f>
        <v>0</v>
      </c>
      <c r="O85" s="11"/>
      <c r="P85" s="11">
        <f>Tabla245678[[#This Row],[VENTA ]]/1.19</f>
        <v>0</v>
      </c>
      <c r="Q85" s="11">
        <f>Tabla245678[[#This Row],[Columna2]]*19%</f>
        <v>0</v>
      </c>
      <c r="R85" s="11">
        <f>Tabla245678[[#This Row],[IVA VENTA ]]-Tabla245678[[#This Row],[IV COMPRA]]</f>
        <v>0</v>
      </c>
      <c r="S85" s="11">
        <f>(Tabla245678[[#This Row],[VENTA ]]-(Tabla245678[[#This Row],[MONTO DE COMPRA]]+Tabla245678[[#This Row],[DIFERENCIA IVA ]]))</f>
        <v>0</v>
      </c>
      <c r="T85" s="2"/>
      <c r="U85" s="1"/>
    </row>
    <row r="86" spans="1:21" ht="30" x14ac:dyDescent="0.25">
      <c r="A86" s="56">
        <v>44791</v>
      </c>
      <c r="B86" s="4" t="s">
        <v>2760</v>
      </c>
      <c r="C86" s="4" t="s">
        <v>2761</v>
      </c>
      <c r="D86" s="4" t="s">
        <v>2762</v>
      </c>
      <c r="E86" s="1" t="s">
        <v>48</v>
      </c>
      <c r="F86" s="1" t="s">
        <v>2446</v>
      </c>
      <c r="G86" s="134" t="s">
        <v>2763</v>
      </c>
      <c r="H86" s="15">
        <v>200000</v>
      </c>
      <c r="I86" s="15">
        <f>Tabla245678[[#This Row],[TOTAL FACTURA]]*0.7</f>
        <v>140000</v>
      </c>
      <c r="J86" s="104">
        <f t="shared" si="1"/>
        <v>60000</v>
      </c>
      <c r="K86" s="10" t="s">
        <v>51</v>
      </c>
      <c r="L86" s="11"/>
      <c r="M86" s="11">
        <f>240000+10000+20000+30000</f>
        <v>300000</v>
      </c>
      <c r="N86" s="11">
        <f>Tabla245678[[#This Row],[Columna1]]*19%</f>
        <v>57000</v>
      </c>
      <c r="O86" s="11">
        <v>464800</v>
      </c>
      <c r="P86" s="11">
        <f>Tabla245678[[#This Row],[VENTA ]]/1.19</f>
        <v>390588.23529411765</v>
      </c>
      <c r="Q86" s="11">
        <f>Tabla245678[[#This Row],[Columna2]]*19%</f>
        <v>74211.76470588235</v>
      </c>
      <c r="R86" s="11">
        <f>Tabla245678[[#This Row],[IVA VENTA ]]-Tabla245678[[#This Row],[IV COMPRA]]</f>
        <v>17211.76470588235</v>
      </c>
      <c r="S86" s="11">
        <f>(Tabla245678[[#This Row],[VENTA ]]-(Tabla245678[[#This Row],[MONTO DE COMPRA]]+Tabla245678[[#This Row],[DIFERENCIA IVA ]]))</f>
        <v>447588.23529411765</v>
      </c>
      <c r="T86" s="2"/>
      <c r="U86" s="1"/>
    </row>
    <row r="87" spans="1:21" x14ac:dyDescent="0.25">
      <c r="A87" s="56">
        <v>44791</v>
      </c>
      <c r="C87" s="4" t="s">
        <v>2764</v>
      </c>
      <c r="D87" s="4" t="s">
        <v>2765</v>
      </c>
      <c r="E87" s="1" t="s">
        <v>540</v>
      </c>
      <c r="F87" s="1" t="s">
        <v>34</v>
      </c>
      <c r="G87" s="134" t="s">
        <v>2766</v>
      </c>
      <c r="H87" s="15">
        <v>55000</v>
      </c>
      <c r="I87" s="2">
        <f>Tabla245678[[#This Row],[TOTAL FACTURA]]*0.6</f>
        <v>33000</v>
      </c>
      <c r="J87" s="104">
        <f t="shared" si="1"/>
        <v>22000</v>
      </c>
      <c r="K87" s="10"/>
      <c r="L87" s="11"/>
      <c r="M87" s="11">
        <f>Tabla245678[[#This Row],[MONTO DE COMPRA]]/1.19</f>
        <v>0</v>
      </c>
      <c r="N87" s="11">
        <f>Tabla245678[[#This Row],[Columna1]]*19%</f>
        <v>0</v>
      </c>
      <c r="O87" s="11"/>
      <c r="P87" s="11">
        <f>Tabla245678[[#This Row],[VENTA ]]/1.19</f>
        <v>0</v>
      </c>
      <c r="Q87" s="11">
        <f>Tabla245678[[#This Row],[Columna2]]*19%</f>
        <v>0</v>
      </c>
      <c r="R87" s="11">
        <f>Tabla245678[[#This Row],[IVA VENTA ]]-Tabla245678[[#This Row],[IV COMPRA]]</f>
        <v>0</v>
      </c>
      <c r="S87" s="11">
        <f>(Tabla245678[[#This Row],[VENTA ]]-(Tabla245678[[#This Row],[MONTO DE COMPRA]]+Tabla245678[[#This Row],[DIFERENCIA IVA ]]))</f>
        <v>0</v>
      </c>
      <c r="T87" s="2"/>
      <c r="U87" s="1"/>
    </row>
    <row r="88" spans="1:21" x14ac:dyDescent="0.25">
      <c r="A88" s="56">
        <v>44791</v>
      </c>
      <c r="C88" s="4" t="s">
        <v>2767</v>
      </c>
      <c r="D88" s="4" t="s">
        <v>2768</v>
      </c>
      <c r="E88" s="1" t="s">
        <v>59</v>
      </c>
      <c r="F88" s="1" t="s">
        <v>2495</v>
      </c>
      <c r="G88" s="134" t="s">
        <v>21</v>
      </c>
      <c r="H88" s="15">
        <v>15000</v>
      </c>
      <c r="I88" s="2">
        <f>Tabla245678[[#This Row],[TOTAL FACTURA]]*0.6</f>
        <v>9000</v>
      </c>
      <c r="J88" s="104">
        <f t="shared" si="1"/>
        <v>6000</v>
      </c>
      <c r="K88" s="10"/>
      <c r="L88" s="11"/>
      <c r="M88" s="11">
        <f>Tabla245678[[#This Row],[MONTO DE COMPRA]]/1.19</f>
        <v>0</v>
      </c>
      <c r="N88" s="11">
        <f>Tabla245678[[#This Row],[Columna1]]*19%</f>
        <v>0</v>
      </c>
      <c r="O88" s="11"/>
      <c r="P88" s="11">
        <f>Tabla245678[[#This Row],[VENTA ]]/1.19</f>
        <v>0</v>
      </c>
      <c r="Q88" s="11">
        <f>Tabla245678[[#This Row],[Columna2]]*19%</f>
        <v>0</v>
      </c>
      <c r="R88" s="11">
        <f>Tabla245678[[#This Row],[IVA VENTA ]]-Tabla245678[[#This Row],[IV COMPRA]]</f>
        <v>0</v>
      </c>
      <c r="S88" s="11">
        <f>(Tabla245678[[#This Row],[VENTA ]]-(Tabla245678[[#This Row],[MONTO DE COMPRA]]+Tabla245678[[#This Row],[DIFERENCIA IVA ]]))</f>
        <v>0</v>
      </c>
      <c r="T88" s="2"/>
      <c r="U88" s="1"/>
    </row>
    <row r="89" spans="1:21" x14ac:dyDescent="0.25">
      <c r="A89" s="56">
        <v>44791</v>
      </c>
      <c r="C89" s="4" t="s">
        <v>2769</v>
      </c>
      <c r="D89" s="4" t="s">
        <v>2770</v>
      </c>
      <c r="E89" s="1" t="s">
        <v>2392</v>
      </c>
      <c r="F89" s="1" t="s">
        <v>2495</v>
      </c>
      <c r="G89" s="134" t="s">
        <v>206</v>
      </c>
      <c r="H89" s="15">
        <v>100000</v>
      </c>
      <c r="I89" s="2">
        <v>100000</v>
      </c>
      <c r="J89" s="104">
        <f t="shared" si="1"/>
        <v>0</v>
      </c>
      <c r="K89" s="10"/>
      <c r="L89" s="11"/>
      <c r="M89" s="11">
        <f>Tabla245678[[#This Row],[MONTO DE COMPRA]]/1.19</f>
        <v>0</v>
      </c>
      <c r="N89" s="11">
        <f>Tabla245678[[#This Row],[Columna1]]*19%</f>
        <v>0</v>
      </c>
      <c r="O89" s="11"/>
      <c r="P89" s="11">
        <f>Tabla245678[[#This Row],[VENTA ]]/1.19</f>
        <v>0</v>
      </c>
      <c r="Q89" s="11">
        <f>Tabla245678[[#This Row],[Columna2]]*19%</f>
        <v>0</v>
      </c>
      <c r="R89" s="11">
        <f>Tabla245678[[#This Row],[IVA VENTA ]]-Tabla245678[[#This Row],[IV COMPRA]]</f>
        <v>0</v>
      </c>
      <c r="S89" s="11">
        <f>(Tabla245678[[#This Row],[VENTA ]]-(Tabla245678[[#This Row],[MONTO DE COMPRA]]+Tabla245678[[#This Row],[DIFERENCIA IVA ]]))</f>
        <v>0</v>
      </c>
      <c r="T89" s="2"/>
      <c r="U89" s="1"/>
    </row>
    <row r="90" spans="1:21" x14ac:dyDescent="0.25">
      <c r="A90" s="56">
        <v>44791</v>
      </c>
      <c r="C90" s="4" t="s">
        <v>2769</v>
      </c>
      <c r="D90" s="4" t="s">
        <v>2770</v>
      </c>
      <c r="E90" s="1" t="s">
        <v>2392</v>
      </c>
      <c r="F90" s="1" t="s">
        <v>10</v>
      </c>
      <c r="G90" s="134" t="s">
        <v>2771</v>
      </c>
      <c r="H90" s="15">
        <v>300000</v>
      </c>
      <c r="I90" s="2">
        <f>Tabla245678[[#This Row],[TOTAL FACTURA]]*0.7</f>
        <v>210000</v>
      </c>
      <c r="J90" s="104">
        <f t="shared" si="1"/>
        <v>90000</v>
      </c>
      <c r="K90" s="10" t="s">
        <v>2775</v>
      </c>
      <c r="L90" s="11">
        <f>1500000+640000+20000+15000</f>
        <v>2175000</v>
      </c>
      <c r="M90" s="11"/>
      <c r="N90" s="11"/>
      <c r="O90" s="11">
        <v>3255900</v>
      </c>
      <c r="P90" s="11">
        <f>Tabla245678[[#This Row],[VENTA ]]/1.19</f>
        <v>2736050.4201680673</v>
      </c>
      <c r="Q90" s="11">
        <f>Tabla245678[[#This Row],[Columna2]]*19%</f>
        <v>519849.57983193279</v>
      </c>
      <c r="R90" s="11">
        <f>Tabla245678[[#This Row],[IVA VENTA ]]-Tabla245678[[#This Row],[IV COMPRA]]</f>
        <v>519849.57983193279</v>
      </c>
      <c r="S90" s="11">
        <f>(Tabla245678[[#This Row],[VENTA ]]-(Tabla245678[[#This Row],[MONTO DE COMPRA]]+Tabla245678[[#This Row],[DIFERENCIA IVA ]]))</f>
        <v>561050.42016806733</v>
      </c>
      <c r="T90" s="2"/>
      <c r="U90" s="1"/>
    </row>
    <row r="91" spans="1:21" ht="45" x14ac:dyDescent="0.25">
      <c r="A91" s="56">
        <v>44792</v>
      </c>
      <c r="B91" s="4" t="s">
        <v>2776</v>
      </c>
      <c r="C91" s="4" t="s">
        <v>2772</v>
      </c>
      <c r="D91" s="4" t="s">
        <v>546</v>
      </c>
      <c r="E91" s="1" t="s">
        <v>574</v>
      </c>
      <c r="F91" s="4" t="s">
        <v>1629</v>
      </c>
      <c r="G91" s="134" t="s">
        <v>2773</v>
      </c>
      <c r="H91" s="15">
        <v>300000</v>
      </c>
      <c r="I91" s="15">
        <f>Tabla245678[[#This Row],[TOTAL FACTURA]]*0.7</f>
        <v>210000</v>
      </c>
      <c r="J91" s="104">
        <f t="shared" si="1"/>
        <v>90000</v>
      </c>
      <c r="K91" s="10" t="s">
        <v>2774</v>
      </c>
      <c r="L91" s="11">
        <f>390000+1740000</f>
        <v>2130000</v>
      </c>
      <c r="M91" s="11"/>
      <c r="N91" s="11"/>
      <c r="O91" s="11">
        <v>2716000</v>
      </c>
      <c r="P91" s="11"/>
      <c r="Q91" s="11"/>
      <c r="R91" s="11">
        <f>Tabla245678[[#This Row],[IVA VENTA ]]-Tabla245678[[#This Row],[IV COMPRA]]</f>
        <v>0</v>
      </c>
      <c r="S91" s="11">
        <f>(Tabla245678[[#This Row],[VENTA ]]-(Tabla245678[[#This Row],[MONTO DE COMPRA]]+Tabla245678[[#This Row],[DIFERENCIA IVA ]]))</f>
        <v>586000</v>
      </c>
      <c r="T91" s="2"/>
      <c r="U91" s="1"/>
    </row>
    <row r="92" spans="1:21" x14ac:dyDescent="0.25">
      <c r="A92" s="56">
        <v>44792</v>
      </c>
      <c r="B92" s="4" t="s">
        <v>2776</v>
      </c>
      <c r="C92" s="4" t="s">
        <v>2772</v>
      </c>
      <c r="D92" s="4" t="s">
        <v>546</v>
      </c>
      <c r="E92" s="1" t="s">
        <v>574</v>
      </c>
      <c r="F92" s="1" t="s">
        <v>10</v>
      </c>
      <c r="G92" s="134" t="s">
        <v>2777</v>
      </c>
      <c r="H92" s="15">
        <v>300000</v>
      </c>
      <c r="I92" s="2">
        <f>Tabla245678[[#This Row],[TOTAL FACTURA]]*0.7</f>
        <v>210000</v>
      </c>
      <c r="J92" s="104">
        <f t="shared" si="1"/>
        <v>90000</v>
      </c>
      <c r="K92" s="10"/>
      <c r="L92" s="11"/>
      <c r="M92" s="11">
        <f>Tabla245678[[#This Row],[MONTO DE COMPRA]]/1.19</f>
        <v>0</v>
      </c>
      <c r="N92" s="11">
        <f>Tabla245678[[#This Row],[Columna1]]*19%</f>
        <v>0</v>
      </c>
      <c r="O92" s="11"/>
      <c r="P92" s="11">
        <f>Tabla245678[[#This Row],[VENTA ]]/1.19</f>
        <v>0</v>
      </c>
      <c r="Q92" s="11">
        <f>Tabla245678[[#This Row],[Columna2]]*19%</f>
        <v>0</v>
      </c>
      <c r="R92" s="11">
        <f>Tabla245678[[#This Row],[IVA VENTA ]]-Tabla245678[[#This Row],[IV COMPRA]]</f>
        <v>0</v>
      </c>
      <c r="S92" s="11">
        <f>(Tabla245678[[#This Row],[VENTA ]]-(Tabla245678[[#This Row],[MONTO DE COMPRA]]+Tabla245678[[#This Row],[DIFERENCIA IVA ]]))</f>
        <v>0</v>
      </c>
      <c r="T92" s="2"/>
      <c r="U92" s="1"/>
    </row>
    <row r="93" spans="1:21" x14ac:dyDescent="0.25">
      <c r="A93" s="56">
        <v>44792</v>
      </c>
      <c r="C93" s="4" t="s">
        <v>2761</v>
      </c>
      <c r="D93" s="4" t="s">
        <v>2778</v>
      </c>
      <c r="E93" s="1" t="s">
        <v>59</v>
      </c>
      <c r="F93" s="1" t="s">
        <v>2446</v>
      </c>
      <c r="G93" s="134" t="s">
        <v>2779</v>
      </c>
      <c r="H93" s="15">
        <v>50000</v>
      </c>
      <c r="I93" s="15">
        <f>Tabla245678[[#This Row],[TOTAL FACTURA]]*0.7</f>
        <v>35000</v>
      </c>
      <c r="J93" s="104">
        <f t="shared" si="1"/>
        <v>15000</v>
      </c>
      <c r="K93" s="10"/>
      <c r="L93" s="11"/>
      <c r="M93" s="11">
        <f>Tabla245678[[#This Row],[MONTO DE COMPRA]]/1.19</f>
        <v>0</v>
      </c>
      <c r="N93" s="11">
        <f>Tabla245678[[#This Row],[Columna1]]*19%</f>
        <v>0</v>
      </c>
      <c r="O93" s="11"/>
      <c r="P93" s="11">
        <f>Tabla245678[[#This Row],[VENTA ]]/1.19</f>
        <v>0</v>
      </c>
      <c r="Q93" s="11">
        <f>Tabla245678[[#This Row],[Columna2]]*19%</f>
        <v>0</v>
      </c>
      <c r="R93" s="11">
        <f>Tabla245678[[#This Row],[IVA VENTA ]]-Tabla245678[[#This Row],[IV COMPRA]]</f>
        <v>0</v>
      </c>
      <c r="S93" s="11">
        <f>(Tabla245678[[#This Row],[VENTA ]]-(Tabla245678[[#This Row],[MONTO DE COMPRA]]+Tabla245678[[#This Row],[DIFERENCIA IVA ]]))</f>
        <v>0</v>
      </c>
      <c r="T93" s="2"/>
      <c r="U93" s="1"/>
    </row>
    <row r="94" spans="1:21" x14ac:dyDescent="0.25">
      <c r="A94" s="56">
        <v>44792</v>
      </c>
      <c r="C94" s="4" t="s">
        <v>2780</v>
      </c>
      <c r="D94" s="4" t="s">
        <v>2781</v>
      </c>
      <c r="E94" s="1" t="s">
        <v>1077</v>
      </c>
      <c r="F94" s="1" t="s">
        <v>2495</v>
      </c>
      <c r="G94" s="134" t="s">
        <v>20</v>
      </c>
      <c r="H94" s="15">
        <v>30000</v>
      </c>
      <c r="I94" s="2">
        <f>Tabla245678[[#This Row],[TOTAL FACTURA]]*0.6</f>
        <v>18000</v>
      </c>
      <c r="J94" s="104">
        <f t="shared" si="1"/>
        <v>12000</v>
      </c>
      <c r="K94" s="10" t="s">
        <v>71</v>
      </c>
      <c r="L94" s="11">
        <v>138000</v>
      </c>
      <c r="M94" s="11">
        <f>Tabla245678[[#This Row],[MONTO DE COMPRA]]/1.19</f>
        <v>115966.38655462186</v>
      </c>
      <c r="N94" s="11">
        <f>Tabla245678[[#This Row],[Columna1]]*19%</f>
        <v>22033.613445378152</v>
      </c>
      <c r="O94" s="11">
        <v>190000</v>
      </c>
      <c r="P94" s="11">
        <f>Tabla245678[[#This Row],[VENTA ]]/1.19</f>
        <v>159663.8655462185</v>
      </c>
      <c r="Q94" s="11">
        <f>Tabla245678[[#This Row],[Columna2]]*19%</f>
        <v>30336.134453781517</v>
      </c>
      <c r="R94" s="11">
        <f>Tabla245678[[#This Row],[IVA VENTA ]]-Tabla245678[[#This Row],[IV COMPRA]]</f>
        <v>8302.5210084033642</v>
      </c>
      <c r="S94" s="11">
        <f>(Tabla245678[[#This Row],[VENTA ]]-(Tabla245678[[#This Row],[MONTO DE COMPRA]]+Tabla245678[[#This Row],[DIFERENCIA IVA ]]))</f>
        <v>43697.478991596639</v>
      </c>
      <c r="T94" s="2"/>
      <c r="U94" s="1"/>
    </row>
    <row r="95" spans="1:21" x14ac:dyDescent="0.25">
      <c r="A95" s="56">
        <v>44792</v>
      </c>
      <c r="C95" s="4" t="s">
        <v>646</v>
      </c>
      <c r="D95" s="4" t="s">
        <v>1435</v>
      </c>
      <c r="E95" s="1" t="s">
        <v>1434</v>
      </c>
      <c r="F95" s="1" t="s">
        <v>2446</v>
      </c>
      <c r="G95" s="134" t="s">
        <v>2782</v>
      </c>
      <c r="H95" s="15">
        <v>150000</v>
      </c>
      <c r="I95" s="15">
        <f>Tabla245678[[#This Row],[TOTAL FACTURA]]*0.7</f>
        <v>105000</v>
      </c>
      <c r="J95" s="104">
        <f t="shared" si="1"/>
        <v>45000</v>
      </c>
      <c r="K95" s="10"/>
      <c r="L95" s="11"/>
      <c r="M95" s="11">
        <f>Tabla245678[[#This Row],[MONTO DE COMPRA]]/1.19</f>
        <v>0</v>
      </c>
      <c r="N95" s="11">
        <f>Tabla245678[[#This Row],[Columna1]]*19%</f>
        <v>0</v>
      </c>
      <c r="O95" s="11"/>
      <c r="P95" s="11">
        <f>Tabla245678[[#This Row],[VENTA ]]/1.19</f>
        <v>0</v>
      </c>
      <c r="Q95" s="11">
        <f>Tabla245678[[#This Row],[Columna2]]*19%</f>
        <v>0</v>
      </c>
      <c r="R95" s="11">
        <f>Tabla245678[[#This Row],[IVA VENTA ]]-Tabla245678[[#This Row],[IV COMPRA]]</f>
        <v>0</v>
      </c>
      <c r="S95" s="11">
        <f>(Tabla245678[[#This Row],[VENTA ]]-(Tabla245678[[#This Row],[MONTO DE COMPRA]]+Tabla245678[[#This Row],[DIFERENCIA IVA ]]))</f>
        <v>0</v>
      </c>
      <c r="T95" s="2"/>
      <c r="U95" s="1"/>
    </row>
    <row r="96" spans="1:21" x14ac:dyDescent="0.25">
      <c r="A96" s="56">
        <v>44792</v>
      </c>
      <c r="B96" s="4" t="s">
        <v>2806</v>
      </c>
      <c r="C96" s="4" t="s">
        <v>2807</v>
      </c>
      <c r="D96" s="4" t="s">
        <v>1746</v>
      </c>
      <c r="E96" s="1" t="s">
        <v>107</v>
      </c>
      <c r="F96" s="1" t="s">
        <v>10</v>
      </c>
      <c r="G96" s="134" t="s">
        <v>2783</v>
      </c>
      <c r="H96" s="15">
        <v>200000</v>
      </c>
      <c r="I96" s="2">
        <f>Tabla245678[[#This Row],[TOTAL FACTURA]]*0.7</f>
        <v>140000</v>
      </c>
      <c r="J96" s="104">
        <f t="shared" si="1"/>
        <v>60000</v>
      </c>
      <c r="K96" s="10" t="s">
        <v>2808</v>
      </c>
      <c r="L96" s="11">
        <v>15000</v>
      </c>
      <c r="M96" s="11">
        <f>Tabla245678[[#This Row],[MONTO DE COMPRA]]/1.19</f>
        <v>12605.042016806723</v>
      </c>
      <c r="N96" s="11">
        <f>Tabla245678[[#This Row],[Columna1]]*19%</f>
        <v>2394.9579831932774</v>
      </c>
      <c r="O96" s="11">
        <v>25000</v>
      </c>
      <c r="P96" s="11">
        <f>Tabla245678[[#This Row],[VENTA ]]/1.19</f>
        <v>21008.403361344539</v>
      </c>
      <c r="Q96" s="11">
        <f>Tabla245678[[#This Row],[Columna2]]*19%</f>
        <v>3991.5966386554624</v>
      </c>
      <c r="R96" s="11">
        <f>Tabla245678[[#This Row],[IVA VENTA ]]-Tabla245678[[#This Row],[IV COMPRA]]</f>
        <v>1596.6386554621849</v>
      </c>
      <c r="S96" s="11">
        <f>(Tabla245678[[#This Row],[VENTA ]]-(Tabla245678[[#This Row],[MONTO DE COMPRA]]+Tabla245678[[#This Row],[DIFERENCIA IVA ]]))</f>
        <v>8403.3613445378141</v>
      </c>
      <c r="T96" s="2"/>
      <c r="U96" s="1"/>
    </row>
    <row r="97" spans="1:21" x14ac:dyDescent="0.25">
      <c r="A97" s="56">
        <v>44793</v>
      </c>
      <c r="B97" s="4" t="s">
        <v>2786</v>
      </c>
      <c r="C97" s="4" t="s">
        <v>2787</v>
      </c>
      <c r="D97" s="4" t="s">
        <v>2788</v>
      </c>
      <c r="E97" s="1" t="s">
        <v>2006</v>
      </c>
      <c r="F97" s="1" t="s">
        <v>603</v>
      </c>
      <c r="G97" s="134" t="s">
        <v>2789</v>
      </c>
      <c r="H97" s="15">
        <v>100000</v>
      </c>
      <c r="I97" s="2">
        <f>Tabla245678[[#This Row],[TOTAL FACTURA]]*0.6</f>
        <v>60000</v>
      </c>
      <c r="J97" s="104">
        <f t="shared" si="1"/>
        <v>40000</v>
      </c>
      <c r="K97" s="10" t="s">
        <v>2790</v>
      </c>
      <c r="L97" s="11">
        <v>40000</v>
      </c>
      <c r="M97" s="11">
        <f>Tabla245678[[#This Row],[MONTO DE COMPRA]]/1.19</f>
        <v>33613.445378151264</v>
      </c>
      <c r="N97" s="11">
        <f>Tabla245678[[#This Row],[Columna1]]*19%</f>
        <v>6386.5546218487398</v>
      </c>
      <c r="O97" s="11">
        <v>70000</v>
      </c>
      <c r="P97" s="11">
        <f>Tabla245678[[#This Row],[VENTA ]]/1.19</f>
        <v>58823.529411764706</v>
      </c>
      <c r="Q97" s="11">
        <f>Tabla245678[[#This Row],[Columna2]]*19%</f>
        <v>11176.470588235294</v>
      </c>
      <c r="R97" s="11">
        <f>Tabla245678[[#This Row],[IVA VENTA ]]-Tabla245678[[#This Row],[IV COMPRA]]</f>
        <v>4789.9159663865539</v>
      </c>
      <c r="S97" s="11">
        <f>(Tabla245678[[#This Row],[VENTA ]]-(Tabla245678[[#This Row],[MONTO DE COMPRA]]+Tabla245678[[#This Row],[DIFERENCIA IVA ]]))</f>
        <v>25210.084033613442</v>
      </c>
      <c r="T97" s="2"/>
      <c r="U97" s="1"/>
    </row>
    <row r="98" spans="1:21" x14ac:dyDescent="0.25">
      <c r="A98" s="56">
        <v>44793</v>
      </c>
      <c r="B98" s="4" t="s">
        <v>2795</v>
      </c>
      <c r="C98" s="4" t="s">
        <v>2791</v>
      </c>
      <c r="D98" s="4" t="s">
        <v>2792</v>
      </c>
      <c r="E98" s="1" t="s">
        <v>385</v>
      </c>
      <c r="F98" s="1" t="s">
        <v>2446</v>
      </c>
      <c r="G98" s="134" t="s">
        <v>2793</v>
      </c>
      <c r="H98" s="15">
        <v>90000</v>
      </c>
      <c r="I98" s="2">
        <f>Tabla245678[[#This Row],[TOTAL FACTURA]]*0.7</f>
        <v>62999.999999999993</v>
      </c>
      <c r="J98" s="104">
        <f t="shared" si="1"/>
        <v>27000.000000000007</v>
      </c>
      <c r="K98" s="10" t="s">
        <v>2794</v>
      </c>
      <c r="L98" s="11">
        <v>235000</v>
      </c>
      <c r="M98" s="11">
        <f>Tabla245678[[#This Row],[MONTO DE COMPRA]]/1.19</f>
        <v>197478.99159663866</v>
      </c>
      <c r="N98" s="11">
        <f>Tabla245678[[#This Row],[Columna1]]*19%</f>
        <v>37521.008403361346</v>
      </c>
      <c r="O98" s="11">
        <v>310000</v>
      </c>
      <c r="P98" s="11">
        <f>Tabla245678[[#This Row],[VENTA ]]/1.19</f>
        <v>260504.20168067227</v>
      </c>
      <c r="Q98" s="11">
        <f>Tabla245678[[#This Row],[Columna2]]*19%</f>
        <v>49495.798319327732</v>
      </c>
      <c r="R98" s="11">
        <f>Tabla245678[[#This Row],[IVA VENTA ]]-Tabla245678[[#This Row],[IV COMPRA]]</f>
        <v>11974.789915966387</v>
      </c>
      <c r="S98" s="11">
        <f>(Tabla245678[[#This Row],[VENTA ]]-(Tabla245678[[#This Row],[MONTO DE COMPRA]]+Tabla245678[[#This Row],[DIFERENCIA IVA ]]))</f>
        <v>63025.210084033606</v>
      </c>
      <c r="T98" s="2"/>
      <c r="U98" s="1"/>
    </row>
    <row r="99" spans="1:21" x14ac:dyDescent="0.25">
      <c r="A99" s="56">
        <v>44793</v>
      </c>
      <c r="C99" s="4" t="s">
        <v>2287</v>
      </c>
      <c r="D99" s="4" t="s">
        <v>2288</v>
      </c>
      <c r="E99" s="1" t="s">
        <v>2796</v>
      </c>
      <c r="F99" s="1" t="s">
        <v>2446</v>
      </c>
      <c r="G99" s="134" t="s">
        <v>2425</v>
      </c>
      <c r="H99" s="15">
        <v>25000</v>
      </c>
      <c r="I99" s="2">
        <f>Tabla245678[[#This Row],[TOTAL FACTURA]]*0.7</f>
        <v>17500</v>
      </c>
      <c r="J99" s="104">
        <f t="shared" si="1"/>
        <v>7500</v>
      </c>
      <c r="K99" s="10" t="s">
        <v>2797</v>
      </c>
      <c r="L99" s="11">
        <v>40000</v>
      </c>
      <c r="M99" s="11">
        <f>Tabla245678[[#This Row],[MONTO DE COMPRA]]/1.19</f>
        <v>33613.445378151264</v>
      </c>
      <c r="N99" s="11">
        <f>Tabla245678[[#This Row],[Columna1]]*19%</f>
        <v>6386.5546218487398</v>
      </c>
      <c r="O99" s="11">
        <v>65000</v>
      </c>
      <c r="P99" s="11">
        <f>Tabla245678[[#This Row],[VENTA ]]/1.19</f>
        <v>54621.848739495799</v>
      </c>
      <c r="Q99" s="11">
        <f>Tabla245678[[#This Row],[Columna2]]*19%</f>
        <v>10378.151260504203</v>
      </c>
      <c r="R99" s="11">
        <f>Tabla245678[[#This Row],[IVA VENTA ]]-Tabla245678[[#This Row],[IV COMPRA]]</f>
        <v>3991.5966386554628</v>
      </c>
      <c r="S99" s="11">
        <f>(Tabla245678[[#This Row],[VENTA ]]-(Tabla245678[[#This Row],[MONTO DE COMPRA]]+Tabla245678[[#This Row],[DIFERENCIA IVA ]]))</f>
        <v>21008.403361344535</v>
      </c>
      <c r="T99" s="2"/>
      <c r="U99" s="1"/>
    </row>
    <row r="100" spans="1:21" ht="30" x14ac:dyDescent="0.25">
      <c r="A100" s="56">
        <v>44793</v>
      </c>
      <c r="B100" s="4" t="s">
        <v>2798</v>
      </c>
      <c r="C100" s="4" t="s">
        <v>2799</v>
      </c>
      <c r="D100" s="4" t="s">
        <v>2800</v>
      </c>
      <c r="E100" s="1" t="s">
        <v>574</v>
      </c>
      <c r="F100" s="1" t="s">
        <v>2446</v>
      </c>
      <c r="G100" s="134" t="s">
        <v>2801</v>
      </c>
      <c r="H100" s="15">
        <v>110000</v>
      </c>
      <c r="I100" s="2">
        <f>Tabla245678[[#This Row],[TOTAL FACTURA]]*0.7</f>
        <v>77000</v>
      </c>
      <c r="J100" s="104">
        <f t="shared" si="1"/>
        <v>33000</v>
      </c>
      <c r="K100" s="10" t="s">
        <v>2802</v>
      </c>
      <c r="L100" s="11">
        <f>260000</f>
        <v>260000</v>
      </c>
      <c r="M100" s="11">
        <f>Tabla245678[[#This Row],[MONTO DE COMPRA]]/1.19</f>
        <v>218487.3949579832</v>
      </c>
      <c r="N100" s="11">
        <f>Tabla245678[[#This Row],[Columna1]]*19%</f>
        <v>41512.60504201681</v>
      </c>
      <c r="O100" s="11">
        <v>355000</v>
      </c>
      <c r="P100" s="11">
        <f>Tabla245678[[#This Row],[VENTA ]]/1.19</f>
        <v>298319.32773109246</v>
      </c>
      <c r="Q100" s="11">
        <f>Tabla245678[[#This Row],[Columna2]]*19%</f>
        <v>56680.672268907569</v>
      </c>
      <c r="R100" s="11">
        <f>Tabla245678[[#This Row],[IVA VENTA ]]-Tabla245678[[#This Row],[IV COMPRA]]</f>
        <v>15168.067226890758</v>
      </c>
      <c r="S100" s="11">
        <f>(Tabla245678[[#This Row],[VENTA ]]-(Tabla245678[[#This Row],[MONTO DE COMPRA]]+Tabla245678[[#This Row],[DIFERENCIA IVA ]]))</f>
        <v>79831.932773109234</v>
      </c>
      <c r="T100" s="2"/>
      <c r="U100" s="1"/>
    </row>
    <row r="101" spans="1:21" ht="30" x14ac:dyDescent="0.25">
      <c r="A101" s="56">
        <v>44793</v>
      </c>
      <c r="B101" s="4" t="s">
        <v>2804</v>
      </c>
      <c r="C101" s="4" t="s">
        <v>1846</v>
      </c>
      <c r="D101" s="4" t="s">
        <v>1848</v>
      </c>
      <c r="E101" s="1" t="s">
        <v>385</v>
      </c>
      <c r="F101" s="1" t="s">
        <v>603</v>
      </c>
      <c r="G101" s="10" t="s">
        <v>2803</v>
      </c>
      <c r="H101" s="15">
        <v>150000</v>
      </c>
      <c r="I101" s="2">
        <v>150000</v>
      </c>
      <c r="J101" s="104"/>
      <c r="K101" s="10" t="s">
        <v>2805</v>
      </c>
      <c r="L101" s="11">
        <f>300000+88000+138000</f>
        <v>526000</v>
      </c>
      <c r="M101" s="11">
        <f>Tabla245678[[#This Row],[MONTO DE COMPRA]]/1.19</f>
        <v>442016.80672268907</v>
      </c>
      <c r="N101" s="11">
        <f>Tabla245678[[#This Row],[Columna1]]*19%</f>
        <v>83983.193277310929</v>
      </c>
      <c r="O101" s="11">
        <v>649000</v>
      </c>
      <c r="P101" s="11">
        <f>Tabla245678[[#This Row],[VENTA ]]/1.19</f>
        <v>545378.15126050427</v>
      </c>
      <c r="Q101" s="11">
        <f>Tabla245678[[#This Row],[Columna2]]*19%</f>
        <v>103621.84873949581</v>
      </c>
      <c r="R101" s="11">
        <f>Tabla245678[[#This Row],[IVA VENTA ]]-Tabla245678[[#This Row],[IV COMPRA]]</f>
        <v>19638.655462184877</v>
      </c>
      <c r="S101" s="11">
        <f>(Tabla245678[[#This Row],[VENTA ]]-(Tabla245678[[#This Row],[MONTO DE COMPRA]]+Tabla245678[[#This Row],[DIFERENCIA IVA ]]))</f>
        <v>103361.34453781508</v>
      </c>
      <c r="T101" s="2"/>
      <c r="U101" s="1"/>
    </row>
    <row r="102" spans="1:21" ht="30" x14ac:dyDescent="0.25">
      <c r="A102" s="56">
        <v>44795</v>
      </c>
      <c r="B102" s="4" t="s">
        <v>2811</v>
      </c>
      <c r="C102" s="4" t="s">
        <v>2812</v>
      </c>
      <c r="D102" s="4" t="s">
        <v>501</v>
      </c>
      <c r="E102" s="1" t="s">
        <v>168</v>
      </c>
      <c r="F102" s="1" t="s">
        <v>2446</v>
      </c>
      <c r="G102" s="10" t="s">
        <v>2813</v>
      </c>
      <c r="H102" s="15">
        <v>120000</v>
      </c>
      <c r="I102" s="2">
        <f>Tabla245678[[#This Row],[TOTAL FACTURA]]*0.7</f>
        <v>84000</v>
      </c>
      <c r="J102" s="104">
        <f t="shared" si="1"/>
        <v>36000</v>
      </c>
      <c r="K102" s="10" t="s">
        <v>2814</v>
      </c>
      <c r="L102" s="11">
        <v>144000</v>
      </c>
      <c r="M102" s="11">
        <f>Tabla245678[[#This Row],[MONTO DE COMPRA]]/1.19</f>
        <v>121008.40336134455</v>
      </c>
      <c r="N102" s="11">
        <f>Tabla245678[[#This Row],[Columna1]]*19%</f>
        <v>22991.596638655465</v>
      </c>
      <c r="O102" s="11">
        <v>199000</v>
      </c>
      <c r="P102" s="11">
        <f>Tabla245678[[#This Row],[VENTA ]]/1.19</f>
        <v>167226.89075630254</v>
      </c>
      <c r="Q102" s="11">
        <f>Tabla245678[[#This Row],[Columna2]]*19%</f>
        <v>31773.109243697483</v>
      </c>
      <c r="R102" s="11">
        <f>Tabla245678[[#This Row],[IVA VENTA ]]-Tabla245678[[#This Row],[IV COMPRA]]</f>
        <v>8781.5126050420185</v>
      </c>
      <c r="S102" s="11">
        <f>(Tabla245678[[#This Row],[VENTA ]]-(Tabla245678[[#This Row],[MONTO DE COMPRA]]+Tabla245678[[#This Row],[DIFERENCIA IVA ]]))</f>
        <v>46218.487394957978</v>
      </c>
      <c r="T102" s="2"/>
      <c r="U102" s="1"/>
    </row>
    <row r="103" spans="1:21" x14ac:dyDescent="0.25">
      <c r="A103" s="56">
        <v>44795</v>
      </c>
      <c r="B103" s="4" t="s">
        <v>2815</v>
      </c>
      <c r="C103" s="4" t="s">
        <v>1974</v>
      </c>
      <c r="D103" s="4" t="s">
        <v>1975</v>
      </c>
      <c r="E103" s="1" t="s">
        <v>975</v>
      </c>
      <c r="F103" s="1" t="s">
        <v>603</v>
      </c>
      <c r="G103" s="10" t="s">
        <v>2816</v>
      </c>
      <c r="H103" s="15">
        <v>80000</v>
      </c>
      <c r="I103" s="2">
        <f>Tabla245678[[#This Row],[TOTAL FACTURA]]*0.6</f>
        <v>48000</v>
      </c>
      <c r="J103" s="104">
        <f t="shared" si="1"/>
        <v>32000</v>
      </c>
      <c r="K103" s="10"/>
      <c r="L103" s="11"/>
      <c r="M103" s="11">
        <f>Tabla245678[[#This Row],[MONTO DE COMPRA]]/1.19</f>
        <v>0</v>
      </c>
      <c r="N103" s="11">
        <f>Tabla245678[[#This Row],[Columna1]]*19%</f>
        <v>0</v>
      </c>
      <c r="O103" s="11"/>
      <c r="P103" s="11">
        <f>Tabla245678[[#This Row],[VENTA ]]/1.19</f>
        <v>0</v>
      </c>
      <c r="Q103" s="11">
        <f>Tabla245678[[#This Row],[Columna2]]*19%</f>
        <v>0</v>
      </c>
      <c r="R103" s="11">
        <f>Tabla245678[[#This Row],[IVA VENTA ]]-Tabla245678[[#This Row],[IV COMPRA]]</f>
        <v>0</v>
      </c>
      <c r="S103" s="11">
        <f>(Tabla245678[[#This Row],[VENTA ]]-(Tabla245678[[#This Row],[MONTO DE COMPRA]]+Tabla245678[[#This Row],[DIFERENCIA IVA ]]))</f>
        <v>0</v>
      </c>
      <c r="T103" s="2"/>
      <c r="U103" s="1"/>
    </row>
    <row r="104" spans="1:21" x14ac:dyDescent="0.25">
      <c r="A104" s="56">
        <v>44795</v>
      </c>
      <c r="C104" s="4" t="s">
        <v>2817</v>
      </c>
      <c r="D104" s="4" t="s">
        <v>2818</v>
      </c>
      <c r="E104" s="1" t="s">
        <v>28</v>
      </c>
      <c r="F104" s="1" t="s">
        <v>2446</v>
      </c>
      <c r="G104" s="10" t="s">
        <v>20</v>
      </c>
      <c r="H104" s="15">
        <v>30000</v>
      </c>
      <c r="I104" s="2">
        <f>Tabla245678[[#This Row],[TOTAL FACTURA]]*0.7</f>
        <v>21000</v>
      </c>
      <c r="J104" s="104">
        <f t="shared" si="1"/>
        <v>9000</v>
      </c>
      <c r="K104" s="10"/>
      <c r="L104" s="11"/>
      <c r="M104" s="11">
        <f>Tabla245678[[#This Row],[MONTO DE COMPRA]]/1.19</f>
        <v>0</v>
      </c>
      <c r="N104" s="11">
        <f>Tabla245678[[#This Row],[Columna1]]*19%</f>
        <v>0</v>
      </c>
      <c r="O104" s="11"/>
      <c r="P104" s="11">
        <f>Tabla245678[[#This Row],[VENTA ]]/1.19</f>
        <v>0</v>
      </c>
      <c r="Q104" s="11">
        <f>Tabla245678[[#This Row],[Columna2]]*19%</f>
        <v>0</v>
      </c>
      <c r="R104" s="11">
        <f>Tabla245678[[#This Row],[IVA VENTA ]]-Tabla245678[[#This Row],[IV COMPRA]]</f>
        <v>0</v>
      </c>
      <c r="S104" s="11">
        <f>(Tabla245678[[#This Row],[VENTA ]]-(Tabla245678[[#This Row],[MONTO DE COMPRA]]+Tabla245678[[#This Row],[DIFERENCIA IVA ]]))</f>
        <v>0</v>
      </c>
      <c r="T104" s="2"/>
      <c r="U104" s="1"/>
    </row>
    <row r="105" spans="1:21" x14ac:dyDescent="0.25">
      <c r="A105" s="56">
        <v>44795</v>
      </c>
      <c r="B105" s="4" t="s">
        <v>2819</v>
      </c>
      <c r="C105" s="4" t="s">
        <v>2820</v>
      </c>
      <c r="D105" s="138" t="s">
        <v>2821</v>
      </c>
      <c r="E105" s="1" t="s">
        <v>1749</v>
      </c>
      <c r="F105" s="1" t="s">
        <v>2446</v>
      </c>
      <c r="G105" s="10" t="s">
        <v>2822</v>
      </c>
      <c r="H105" s="15">
        <v>80000</v>
      </c>
      <c r="I105" s="2">
        <f>Tabla245678[[#This Row],[TOTAL FACTURA]]*0.7</f>
        <v>56000</v>
      </c>
      <c r="J105" s="104">
        <f t="shared" si="1"/>
        <v>24000</v>
      </c>
      <c r="K105" s="10"/>
      <c r="L105" s="11"/>
      <c r="M105" s="11">
        <f>Tabla245678[[#This Row],[MONTO DE COMPRA]]/1.19</f>
        <v>0</v>
      </c>
      <c r="N105" s="11">
        <f>Tabla245678[[#This Row],[Columna1]]*19%</f>
        <v>0</v>
      </c>
      <c r="O105" s="11"/>
      <c r="P105" s="11">
        <f>Tabla245678[[#This Row],[VENTA ]]/1.19</f>
        <v>0</v>
      </c>
      <c r="Q105" s="11">
        <f>Tabla245678[[#This Row],[Columna2]]*19%</f>
        <v>0</v>
      </c>
      <c r="R105" s="11">
        <f>Tabla245678[[#This Row],[IVA VENTA ]]-Tabla245678[[#This Row],[IV COMPRA]]</f>
        <v>0</v>
      </c>
      <c r="S105" s="11">
        <f>(Tabla245678[[#This Row],[VENTA ]]-(Tabla245678[[#This Row],[MONTO DE COMPRA]]+Tabla245678[[#This Row],[DIFERENCIA IVA ]]))</f>
        <v>0</v>
      </c>
      <c r="T105" s="2"/>
      <c r="U105" s="1"/>
    </row>
    <row r="106" spans="1:21" x14ac:dyDescent="0.25">
      <c r="A106" s="56">
        <v>44795</v>
      </c>
      <c r="B106" s="4" t="s">
        <v>2823</v>
      </c>
      <c r="C106" s="4" t="s">
        <v>2824</v>
      </c>
      <c r="D106" s="4" t="s">
        <v>2825</v>
      </c>
      <c r="E106" s="1" t="s">
        <v>59</v>
      </c>
      <c r="F106" s="1" t="s">
        <v>603</v>
      </c>
      <c r="G106" s="10" t="s">
        <v>687</v>
      </c>
      <c r="H106" s="15">
        <v>40000</v>
      </c>
      <c r="I106" s="2">
        <f>Tabla245678[[#This Row],[TOTAL FACTURA]]*0.6</f>
        <v>24000</v>
      </c>
      <c r="J106" s="104">
        <f t="shared" si="1"/>
        <v>16000</v>
      </c>
      <c r="K106" s="10"/>
      <c r="L106" s="11"/>
      <c r="M106" s="11">
        <f>Tabla245678[[#This Row],[MONTO DE COMPRA]]/1.19</f>
        <v>0</v>
      </c>
      <c r="N106" s="11">
        <f>Tabla245678[[#This Row],[Columna1]]*19%</f>
        <v>0</v>
      </c>
      <c r="O106" s="11"/>
      <c r="P106" s="11">
        <f>Tabla245678[[#This Row],[VENTA ]]/1.19</f>
        <v>0</v>
      </c>
      <c r="Q106" s="11">
        <f>Tabla245678[[#This Row],[Columna2]]*19%</f>
        <v>0</v>
      </c>
      <c r="R106" s="11">
        <f>Tabla245678[[#This Row],[IVA VENTA ]]-Tabla245678[[#This Row],[IV COMPRA]]</f>
        <v>0</v>
      </c>
      <c r="S106" s="11">
        <f>(Tabla245678[[#This Row],[VENTA ]]-(Tabla245678[[#This Row],[MONTO DE COMPRA]]+Tabla245678[[#This Row],[DIFERENCIA IVA ]]))</f>
        <v>0</v>
      </c>
      <c r="T106" s="2"/>
      <c r="U106" s="1"/>
    </row>
    <row r="107" spans="1:21" x14ac:dyDescent="0.25">
      <c r="A107" s="56">
        <v>44795</v>
      </c>
      <c r="B107" s="4" t="s">
        <v>2826</v>
      </c>
      <c r="C107" s="4" t="s">
        <v>703</v>
      </c>
      <c r="D107" s="4" t="s">
        <v>705</v>
      </c>
      <c r="E107" s="1" t="s">
        <v>704</v>
      </c>
      <c r="F107" s="1" t="s">
        <v>10</v>
      </c>
      <c r="G107" s="10" t="s">
        <v>1407</v>
      </c>
      <c r="H107" s="15">
        <v>180000</v>
      </c>
      <c r="I107" s="2">
        <f>Tabla245678[[#This Row],[TOTAL FACTURA]]*0.7</f>
        <v>125999.99999999999</v>
      </c>
      <c r="J107" s="104">
        <f t="shared" si="1"/>
        <v>54000.000000000015</v>
      </c>
      <c r="K107" s="10"/>
      <c r="L107" s="11"/>
      <c r="M107" s="11">
        <f>Tabla245678[[#This Row],[MONTO DE COMPRA]]/1.19</f>
        <v>0</v>
      </c>
      <c r="N107" s="11">
        <f>Tabla245678[[#This Row],[Columna1]]*19%</f>
        <v>0</v>
      </c>
      <c r="O107" s="11"/>
      <c r="P107" s="11">
        <f>Tabla245678[[#This Row],[VENTA ]]/1.19</f>
        <v>0</v>
      </c>
      <c r="Q107" s="11">
        <f>Tabla245678[[#This Row],[Columna2]]*19%</f>
        <v>0</v>
      </c>
      <c r="R107" s="11">
        <f>Tabla245678[[#This Row],[IVA VENTA ]]-Tabla245678[[#This Row],[IV COMPRA]]</f>
        <v>0</v>
      </c>
      <c r="S107" s="11">
        <f>(Tabla245678[[#This Row],[VENTA ]]-(Tabla245678[[#This Row],[MONTO DE COMPRA]]+Tabla245678[[#This Row],[DIFERENCIA IVA ]]))</f>
        <v>0</v>
      </c>
      <c r="T107" s="2"/>
      <c r="U107" s="1"/>
    </row>
    <row r="108" spans="1:21" ht="30" x14ac:dyDescent="0.25">
      <c r="A108" s="56">
        <v>44796</v>
      </c>
      <c r="C108" s="4" t="s">
        <v>2827</v>
      </c>
      <c r="D108" s="4" t="s">
        <v>2828</v>
      </c>
      <c r="E108" s="1" t="s">
        <v>1345</v>
      </c>
      <c r="F108" s="1" t="s">
        <v>2446</v>
      </c>
      <c r="G108" s="10" t="s">
        <v>2829</v>
      </c>
      <c r="H108" s="15">
        <v>90000</v>
      </c>
      <c r="I108" s="2">
        <f>Tabla245678[[#This Row],[TOTAL FACTURA]]*0.7</f>
        <v>62999.999999999993</v>
      </c>
      <c r="J108" s="104">
        <f t="shared" si="1"/>
        <v>27000.000000000007</v>
      </c>
      <c r="K108" s="10" t="s">
        <v>2830</v>
      </c>
      <c r="L108" s="11">
        <v>15000</v>
      </c>
      <c r="M108" s="11">
        <f>Tabla245678[[#This Row],[MONTO DE COMPRA]]/1.19</f>
        <v>12605.042016806723</v>
      </c>
      <c r="N108" s="11">
        <f>Tabla245678[[#This Row],[Columna1]]*19%</f>
        <v>2394.9579831932774</v>
      </c>
      <c r="O108" s="11">
        <v>35000</v>
      </c>
      <c r="P108" s="11">
        <f>Tabla245678[[#This Row],[VENTA ]]/1.19</f>
        <v>29411.764705882353</v>
      </c>
      <c r="Q108" s="11">
        <f>Tabla245678[[#This Row],[Columna2]]*19%</f>
        <v>5588.2352941176468</v>
      </c>
      <c r="R108" s="11">
        <f>Tabla245678[[#This Row],[IVA VENTA ]]-Tabla245678[[#This Row],[IV COMPRA]]</f>
        <v>3193.2773109243694</v>
      </c>
      <c r="S108" s="11">
        <f>(Tabla245678[[#This Row],[VENTA ]]-(Tabla245678[[#This Row],[MONTO DE COMPRA]]+Tabla245678[[#This Row],[DIFERENCIA IVA ]]))</f>
        <v>16806.722689075632</v>
      </c>
      <c r="T108" s="2"/>
      <c r="U108" s="1"/>
    </row>
    <row r="109" spans="1:21" x14ac:dyDescent="0.25">
      <c r="A109" s="56">
        <v>44796</v>
      </c>
      <c r="C109" s="4" t="s">
        <v>2831</v>
      </c>
      <c r="D109" s="4" t="s">
        <v>2833</v>
      </c>
      <c r="E109" s="1" t="s">
        <v>2832</v>
      </c>
      <c r="F109" s="1" t="s">
        <v>2446</v>
      </c>
      <c r="G109" s="10" t="s">
        <v>2834</v>
      </c>
      <c r="H109" s="15">
        <v>50000</v>
      </c>
      <c r="I109" s="2">
        <f>Tabla245678[[#This Row],[TOTAL FACTURA]]*0.7</f>
        <v>35000</v>
      </c>
      <c r="J109" s="104">
        <f t="shared" si="1"/>
        <v>15000</v>
      </c>
      <c r="K109" s="10"/>
      <c r="L109" s="11"/>
      <c r="M109" s="11">
        <f>Tabla245678[[#This Row],[MONTO DE COMPRA]]/1.19</f>
        <v>0</v>
      </c>
      <c r="N109" s="11">
        <f>Tabla245678[[#This Row],[Columna1]]*19%</f>
        <v>0</v>
      </c>
      <c r="O109" s="11"/>
      <c r="P109" s="11">
        <f>Tabla245678[[#This Row],[VENTA ]]/1.19</f>
        <v>0</v>
      </c>
      <c r="Q109" s="11">
        <f>Tabla245678[[#This Row],[Columna2]]*19%</f>
        <v>0</v>
      </c>
      <c r="R109" s="11">
        <f>Tabla245678[[#This Row],[IVA VENTA ]]-Tabla245678[[#This Row],[IV COMPRA]]</f>
        <v>0</v>
      </c>
      <c r="S109" s="11">
        <f>(Tabla245678[[#This Row],[VENTA ]]-(Tabla245678[[#This Row],[MONTO DE COMPRA]]+Tabla245678[[#This Row],[DIFERENCIA IVA ]]))</f>
        <v>0</v>
      </c>
      <c r="T109" s="2"/>
      <c r="U109" s="1"/>
    </row>
    <row r="110" spans="1:21" ht="30" x14ac:dyDescent="0.25">
      <c r="A110" s="56">
        <v>44796</v>
      </c>
      <c r="B110" s="4" t="s">
        <v>2836</v>
      </c>
      <c r="C110" s="4" t="s">
        <v>2835</v>
      </c>
      <c r="D110" s="4" t="s">
        <v>2837</v>
      </c>
      <c r="E110" s="1" t="s">
        <v>2392</v>
      </c>
      <c r="F110" s="1" t="s">
        <v>2495</v>
      </c>
      <c r="G110" s="10" t="s">
        <v>2838</v>
      </c>
      <c r="H110" s="15">
        <v>230000</v>
      </c>
      <c r="I110" s="2">
        <f>Tabla245678[[#This Row],[TOTAL FACTURA]]*0.6</f>
        <v>138000</v>
      </c>
      <c r="J110" s="104">
        <f t="shared" si="1"/>
        <v>92000</v>
      </c>
      <c r="K110" s="10" t="s">
        <v>2839</v>
      </c>
      <c r="L110" s="11">
        <f>42000+20000+6000+36000+170000+30000+1000+29600</f>
        <v>334600</v>
      </c>
      <c r="M110" s="11">
        <f>Tabla245678[[#This Row],[MONTO DE COMPRA]]/1.19</f>
        <v>281176.4705882353</v>
      </c>
      <c r="N110" s="11">
        <f>Tabla245678[[#This Row],[Columna1]]*19%</f>
        <v>53423.529411764706</v>
      </c>
      <c r="O110" s="11">
        <v>515000</v>
      </c>
      <c r="P110" s="11">
        <f>Tabla245678[[#This Row],[VENTA ]]/1.19</f>
        <v>432773.10924369749</v>
      </c>
      <c r="Q110" s="11">
        <f>Tabla245678[[#This Row],[Columna2]]*19%</f>
        <v>82226.890756302528</v>
      </c>
      <c r="R110" s="11">
        <f>Tabla245678[[#This Row],[IVA VENTA ]]-Tabla245678[[#This Row],[IV COMPRA]]</f>
        <v>28803.361344537821</v>
      </c>
      <c r="S110" s="11">
        <f>(Tabla245678[[#This Row],[VENTA ]]-(Tabla245678[[#This Row],[MONTO DE COMPRA]]+Tabla245678[[#This Row],[DIFERENCIA IVA ]]))</f>
        <v>151596.63865546219</v>
      </c>
      <c r="T110" s="2"/>
      <c r="U110" s="1"/>
    </row>
    <row r="111" spans="1:21" ht="45" x14ac:dyDescent="0.25">
      <c r="A111" s="56">
        <v>44796</v>
      </c>
      <c r="B111" s="4" t="s">
        <v>2843</v>
      </c>
      <c r="C111" s="4" t="s">
        <v>2840</v>
      </c>
      <c r="D111" s="4" t="s">
        <v>2842</v>
      </c>
      <c r="E111" s="1" t="s">
        <v>2841</v>
      </c>
      <c r="F111" s="1" t="s">
        <v>2495</v>
      </c>
      <c r="G111" s="10" t="s">
        <v>140</v>
      </c>
      <c r="H111" s="15">
        <v>240000</v>
      </c>
      <c r="I111" s="2">
        <f>Tabla245678[[#This Row],[TOTAL FACTURA]]*0.6</f>
        <v>144000</v>
      </c>
      <c r="J111" s="104">
        <f t="shared" si="1"/>
        <v>96000</v>
      </c>
      <c r="K111" s="10" t="s">
        <v>2844</v>
      </c>
      <c r="L111" s="11">
        <f>20000+63000+220000+30000+14800+15000+5800</f>
        <v>368600</v>
      </c>
      <c r="M111" s="11">
        <f>Tabla245678[[#This Row],[MONTO DE COMPRA]]/1.19</f>
        <v>309747.89915966388</v>
      </c>
      <c r="N111" s="11">
        <f>Tabla245678[[#This Row],[Columna1]]*19%</f>
        <v>58852.100840336141</v>
      </c>
      <c r="O111" s="11">
        <v>638000</v>
      </c>
      <c r="P111" s="11">
        <f>Tabla245678[[#This Row],[VENTA ]]/1.19</f>
        <v>536134.45378151268</v>
      </c>
      <c r="Q111" s="11">
        <f>Tabla245678[[#This Row],[Columna2]]*19%</f>
        <v>101865.5462184874</v>
      </c>
      <c r="R111" s="11">
        <f>Tabla245678[[#This Row],[IVA VENTA ]]-Tabla245678[[#This Row],[IV COMPRA]]</f>
        <v>43013.445378151264</v>
      </c>
      <c r="S111" s="11">
        <f>(Tabla245678[[#This Row],[VENTA ]]-(Tabla245678[[#This Row],[MONTO DE COMPRA]]+Tabla245678[[#This Row],[DIFERENCIA IVA ]]))</f>
        <v>226386.55462184874</v>
      </c>
      <c r="T111" s="2"/>
      <c r="U111" s="1"/>
    </row>
    <row r="112" spans="1:21" ht="30" x14ac:dyDescent="0.25">
      <c r="A112" s="56">
        <v>44796</v>
      </c>
      <c r="C112" s="4" t="s">
        <v>34</v>
      </c>
      <c r="D112" s="4" t="s">
        <v>2846</v>
      </c>
      <c r="E112" s="1" t="s">
        <v>2845</v>
      </c>
      <c r="F112" s="1" t="s">
        <v>10</v>
      </c>
      <c r="G112" s="10" t="s">
        <v>2847</v>
      </c>
      <c r="H112" s="15" t="s">
        <v>655</v>
      </c>
      <c r="I112" s="2">
        <v>150000</v>
      </c>
      <c r="J112" s="104"/>
      <c r="K112" s="10" t="s">
        <v>2848</v>
      </c>
      <c r="L112" s="11"/>
      <c r="M112" s="11">
        <f>Tabla245678[[#This Row],[MONTO DE COMPRA]]/1.19</f>
        <v>0</v>
      </c>
      <c r="N112" s="11">
        <f>Tabla245678[[#This Row],[Columna1]]*19%</f>
        <v>0</v>
      </c>
      <c r="O112" s="11"/>
      <c r="P112" s="11">
        <f>Tabla245678[[#This Row],[VENTA ]]/1.19</f>
        <v>0</v>
      </c>
      <c r="Q112" s="11">
        <f>Tabla245678[[#This Row],[Columna2]]*19%</f>
        <v>0</v>
      </c>
      <c r="R112" s="11">
        <f>Tabla245678[[#This Row],[IVA VENTA ]]-Tabla245678[[#This Row],[IV COMPRA]]</f>
        <v>0</v>
      </c>
      <c r="S112" s="11">
        <f>(Tabla245678[[#This Row],[VENTA ]]-(Tabla245678[[#This Row],[MONTO DE COMPRA]]+Tabla245678[[#This Row],[DIFERENCIA IVA ]]))</f>
        <v>0</v>
      </c>
      <c r="T112" s="2"/>
      <c r="U112" s="1"/>
    </row>
    <row r="113" spans="1:21" x14ac:dyDescent="0.25">
      <c r="A113" s="56">
        <v>44796</v>
      </c>
      <c r="C113" s="4" t="s">
        <v>34</v>
      </c>
      <c r="D113" s="4" t="s">
        <v>2846</v>
      </c>
      <c r="E113" s="1" t="s">
        <v>2845</v>
      </c>
      <c r="F113" s="1" t="s">
        <v>2446</v>
      </c>
      <c r="G113" s="10" t="s">
        <v>206</v>
      </c>
      <c r="H113" s="15" t="s">
        <v>655</v>
      </c>
      <c r="I113" s="2">
        <v>50000</v>
      </c>
      <c r="J113" s="139"/>
      <c r="K113" s="10"/>
      <c r="L113" s="11"/>
      <c r="M113" s="11">
        <f>Tabla245678[[#This Row],[MONTO DE COMPRA]]/1.19</f>
        <v>0</v>
      </c>
      <c r="N113" s="11">
        <f>Tabla245678[[#This Row],[Columna1]]*19%</f>
        <v>0</v>
      </c>
      <c r="O113" s="11"/>
      <c r="P113" s="11">
        <f>Tabla245678[[#This Row],[VENTA ]]/1.19</f>
        <v>0</v>
      </c>
      <c r="Q113" s="11">
        <f>Tabla245678[[#This Row],[Columna2]]*19%</f>
        <v>0</v>
      </c>
      <c r="R113" s="11">
        <f>Tabla245678[[#This Row],[IVA VENTA ]]-Tabla245678[[#This Row],[IV COMPRA]]</f>
        <v>0</v>
      </c>
      <c r="S113" s="11">
        <f>(Tabla245678[[#This Row],[VENTA ]]-(Tabla245678[[#This Row],[MONTO DE COMPRA]]+Tabla245678[[#This Row],[DIFERENCIA IVA ]]))</f>
        <v>0</v>
      </c>
      <c r="T113" s="2"/>
      <c r="U113" s="1"/>
    </row>
    <row r="114" spans="1:21" ht="45" x14ac:dyDescent="0.25">
      <c r="A114" s="56">
        <v>44796</v>
      </c>
      <c r="B114" s="4" t="s">
        <v>2850</v>
      </c>
      <c r="C114" s="4" t="s">
        <v>2141</v>
      </c>
      <c r="D114" s="4" t="s">
        <v>546</v>
      </c>
      <c r="E114" s="1" t="s">
        <v>574</v>
      </c>
      <c r="F114" s="1" t="s">
        <v>2446</v>
      </c>
      <c r="G114" s="10" t="s">
        <v>2851</v>
      </c>
      <c r="H114" s="15">
        <v>500000</v>
      </c>
      <c r="I114" s="2">
        <f>Tabla245678[[#This Row],[TOTAL FACTURA]]*0.7</f>
        <v>350000</v>
      </c>
      <c r="J114" s="104">
        <f t="shared" si="1"/>
        <v>150000</v>
      </c>
      <c r="K114" s="10" t="s">
        <v>2849</v>
      </c>
      <c r="L114" s="11">
        <v>1685000</v>
      </c>
      <c r="M114" s="11">
        <f>Tabla245678[[#This Row],[MONTO DE COMPRA]]/1.19</f>
        <v>1415966.3865546219</v>
      </c>
      <c r="N114" s="11">
        <f>Tabla245678[[#This Row],[Columna1]]*19%</f>
        <v>269033.61344537814</v>
      </c>
      <c r="O114" s="11">
        <v>2185000</v>
      </c>
      <c r="P114" s="11">
        <f>Tabla245678[[#This Row],[VENTA ]]/1.19</f>
        <v>1836134.4537815128</v>
      </c>
      <c r="Q114" s="11">
        <f>Tabla245678[[#This Row],[Columna2]]*19%</f>
        <v>348865.54621848743</v>
      </c>
      <c r="R114" s="11">
        <f>Tabla245678[[#This Row],[IVA VENTA ]]-Tabla245678[[#This Row],[IV COMPRA]]</f>
        <v>79831.932773109293</v>
      </c>
      <c r="S114" s="11">
        <f>(Tabla245678[[#This Row],[VENTA ]]-(Tabla245678[[#This Row],[MONTO DE COMPRA]]+Tabla245678[[#This Row],[DIFERENCIA IVA ]]))</f>
        <v>420168.06722689071</v>
      </c>
      <c r="T114" s="2"/>
      <c r="U114" s="1"/>
    </row>
    <row r="115" spans="1:21" x14ac:dyDescent="0.25">
      <c r="A115" s="56">
        <v>44797</v>
      </c>
      <c r="C115" s="4"/>
      <c r="D115" s="4"/>
      <c r="E115" s="1" t="s">
        <v>2285</v>
      </c>
      <c r="F115" s="1" t="s">
        <v>2446</v>
      </c>
      <c r="G115" s="10" t="s">
        <v>21</v>
      </c>
      <c r="H115" s="15">
        <v>10000</v>
      </c>
      <c r="I115" s="2">
        <f>Tabla245678[[#This Row],[TOTAL FACTURA]]*0.7</f>
        <v>7000</v>
      </c>
      <c r="J115" s="104">
        <f t="shared" si="1"/>
        <v>3000</v>
      </c>
      <c r="K115" s="10"/>
      <c r="L115" s="11"/>
      <c r="M115" s="11">
        <f>Tabla245678[[#This Row],[MONTO DE COMPRA]]/1.19</f>
        <v>0</v>
      </c>
      <c r="N115" s="11">
        <f>Tabla245678[[#This Row],[Columna1]]*19%</f>
        <v>0</v>
      </c>
      <c r="O115" s="11"/>
      <c r="P115" s="11">
        <f>Tabla245678[[#This Row],[VENTA ]]/1.19</f>
        <v>0</v>
      </c>
      <c r="Q115" s="11">
        <f>Tabla245678[[#This Row],[Columna2]]*19%</f>
        <v>0</v>
      </c>
      <c r="R115" s="11">
        <f>Tabla245678[[#This Row],[IVA VENTA ]]-Tabla245678[[#This Row],[IV COMPRA]]</f>
        <v>0</v>
      </c>
      <c r="S115" s="11">
        <f>(Tabla245678[[#This Row],[VENTA ]]-(Tabla245678[[#This Row],[MONTO DE COMPRA]]+Tabla245678[[#This Row],[DIFERENCIA IVA ]]))</f>
        <v>0</v>
      </c>
      <c r="T115" s="2"/>
      <c r="U115" s="1"/>
    </row>
    <row r="116" spans="1:21" x14ac:dyDescent="0.25">
      <c r="A116" s="56">
        <v>44797</v>
      </c>
      <c r="C116" s="4" t="s">
        <v>1427</v>
      </c>
      <c r="D116" s="4" t="s">
        <v>2853</v>
      </c>
      <c r="E116" s="1" t="s">
        <v>1559</v>
      </c>
      <c r="F116" s="1" t="s">
        <v>2446</v>
      </c>
      <c r="G116" s="10" t="s">
        <v>2854</v>
      </c>
      <c r="H116" s="15">
        <v>120000</v>
      </c>
      <c r="I116" s="2">
        <f>Tabla245678[[#This Row],[TOTAL FACTURA]]*0.7</f>
        <v>84000</v>
      </c>
      <c r="J116" s="104">
        <f t="shared" si="1"/>
        <v>36000</v>
      </c>
      <c r="K116" s="10" t="s">
        <v>1015</v>
      </c>
      <c r="L116" s="11">
        <v>6000</v>
      </c>
      <c r="M116" s="11">
        <v>3000</v>
      </c>
      <c r="N116" s="11">
        <f>Tabla245678[[#This Row],[Columna1]]*19%</f>
        <v>570</v>
      </c>
      <c r="O116" s="11">
        <v>10000</v>
      </c>
      <c r="P116" s="11">
        <f>Tabla245678[[#This Row],[VENTA ]]/1.19</f>
        <v>8403.361344537816</v>
      </c>
      <c r="Q116" s="11">
        <f>Tabla245678[[#This Row],[Columna2]]*19%</f>
        <v>1596.6386554621849</v>
      </c>
      <c r="R116" s="11">
        <f>Tabla245678[[#This Row],[IVA VENTA ]]-Tabla245678[[#This Row],[IV COMPRA]]</f>
        <v>1026.6386554621849</v>
      </c>
      <c r="S116" s="11">
        <f>(Tabla245678[[#This Row],[VENTA ]]-(Tabla245678[[#This Row],[MONTO DE COMPRA]]+Tabla245678[[#This Row],[DIFERENCIA IVA ]]))</f>
        <v>2973.3613445378151</v>
      </c>
      <c r="T116" s="2"/>
      <c r="U116" s="1"/>
    </row>
    <row r="117" spans="1:21" x14ac:dyDescent="0.25">
      <c r="A117" s="56">
        <v>44797</v>
      </c>
      <c r="C117" s="4" t="s">
        <v>2855</v>
      </c>
      <c r="D117" s="4" t="s">
        <v>2857</v>
      </c>
      <c r="E117" s="1" t="s">
        <v>2856</v>
      </c>
      <c r="F117" s="1" t="s">
        <v>2495</v>
      </c>
      <c r="G117" s="10" t="s">
        <v>2858</v>
      </c>
      <c r="H117" s="15">
        <v>60000</v>
      </c>
      <c r="I117" s="2">
        <f>Tabla245678[[#This Row],[TOTAL FACTURA]]*0.6</f>
        <v>36000</v>
      </c>
      <c r="J117" s="104">
        <f t="shared" si="1"/>
        <v>24000</v>
      </c>
      <c r="K117" s="10" t="s">
        <v>1307</v>
      </c>
      <c r="L117" s="11">
        <v>123000</v>
      </c>
      <c r="M117" s="11">
        <f>Tabla245678[[#This Row],[MONTO DE COMPRA]]/1.19</f>
        <v>103361.34453781514</v>
      </c>
      <c r="N117" s="11">
        <f>Tabla245678[[#This Row],[Columna1]]*19%</f>
        <v>19638.655462184877</v>
      </c>
      <c r="O117" s="11">
        <v>170000</v>
      </c>
      <c r="P117" s="11">
        <f>Tabla245678[[#This Row],[VENTA ]]/1.19</f>
        <v>142857.14285714287</v>
      </c>
      <c r="Q117" s="11">
        <f>Tabla245678[[#This Row],[Columna2]]*19%</f>
        <v>27142.857142857145</v>
      </c>
      <c r="R117" s="11">
        <f>Tabla245678[[#This Row],[IVA VENTA ]]-Tabla245678[[#This Row],[IV COMPRA]]</f>
        <v>7504.2016806722677</v>
      </c>
      <c r="S117" s="11">
        <f>(Tabla245678[[#This Row],[VENTA ]]-(Tabla245678[[#This Row],[MONTO DE COMPRA]]+Tabla245678[[#This Row],[DIFERENCIA IVA ]]))</f>
        <v>39495.798319327732</v>
      </c>
      <c r="T117" s="2"/>
      <c r="U117" s="1"/>
    </row>
    <row r="118" spans="1:21" x14ac:dyDescent="0.25">
      <c r="A118" s="56">
        <v>44797</v>
      </c>
      <c r="B118" s="4" t="s">
        <v>2861</v>
      </c>
      <c r="C118" s="4" t="s">
        <v>2859</v>
      </c>
      <c r="D118" s="4" t="s">
        <v>2860</v>
      </c>
      <c r="E118" s="1" t="s">
        <v>389</v>
      </c>
      <c r="F118" s="1" t="s">
        <v>2446</v>
      </c>
      <c r="G118" s="10" t="s">
        <v>338</v>
      </c>
      <c r="H118" s="15">
        <v>100000</v>
      </c>
      <c r="I118" s="2">
        <f>Tabla245678[[#This Row],[TOTAL FACTURA]]*0.7</f>
        <v>70000</v>
      </c>
      <c r="J118" s="104">
        <f t="shared" si="1"/>
        <v>30000</v>
      </c>
      <c r="K118" s="10"/>
      <c r="L118" s="11"/>
      <c r="M118" s="11">
        <f>Tabla245678[[#This Row],[MONTO DE COMPRA]]/1.19</f>
        <v>0</v>
      </c>
      <c r="N118" s="11">
        <f>Tabla245678[[#This Row],[Columna1]]*19%</f>
        <v>0</v>
      </c>
      <c r="O118" s="11"/>
      <c r="P118" s="11">
        <f>Tabla245678[[#This Row],[VENTA ]]/1.19</f>
        <v>0</v>
      </c>
      <c r="Q118" s="11">
        <f>Tabla245678[[#This Row],[Columna2]]*19%</f>
        <v>0</v>
      </c>
      <c r="R118" s="11">
        <f>Tabla245678[[#This Row],[IVA VENTA ]]-Tabla245678[[#This Row],[IV COMPRA]]</f>
        <v>0</v>
      </c>
      <c r="S118" s="11">
        <f>(Tabla245678[[#This Row],[VENTA ]]-(Tabla245678[[#This Row],[MONTO DE COMPRA]]+Tabla245678[[#This Row],[DIFERENCIA IVA ]]))</f>
        <v>0</v>
      </c>
      <c r="T118" s="2"/>
      <c r="U118" s="1"/>
    </row>
    <row r="119" spans="1:21" x14ac:dyDescent="0.25">
      <c r="A119" s="56">
        <v>44797</v>
      </c>
      <c r="C119" s="4" t="s">
        <v>2370</v>
      </c>
      <c r="D119" s="4" t="s">
        <v>2862</v>
      </c>
      <c r="E119" s="1" t="s">
        <v>240</v>
      </c>
      <c r="F119" s="1" t="s">
        <v>16</v>
      </c>
      <c r="G119" s="10" t="s">
        <v>2863</v>
      </c>
      <c r="H119" s="15">
        <v>152000</v>
      </c>
      <c r="I119" s="2">
        <f>Tabla245678[[#This Row],[TOTAL FACTURA]]*0.6</f>
        <v>91200</v>
      </c>
      <c r="J119" s="104">
        <f t="shared" si="1"/>
        <v>60800</v>
      </c>
      <c r="K119" s="10"/>
      <c r="L119" s="11"/>
      <c r="M119" s="11">
        <f>Tabla245678[[#This Row],[MONTO DE COMPRA]]/1.19</f>
        <v>0</v>
      </c>
      <c r="N119" s="11">
        <f>Tabla245678[[#This Row],[Columna1]]*19%</f>
        <v>0</v>
      </c>
      <c r="O119" s="11"/>
      <c r="P119" s="11">
        <f>Tabla245678[[#This Row],[VENTA ]]/1.19</f>
        <v>0</v>
      </c>
      <c r="Q119" s="11">
        <f>Tabla245678[[#This Row],[Columna2]]*19%</f>
        <v>0</v>
      </c>
      <c r="R119" s="11">
        <f>Tabla245678[[#This Row],[IVA VENTA ]]-Tabla245678[[#This Row],[IV COMPRA]]</f>
        <v>0</v>
      </c>
      <c r="S119" s="11">
        <f>(Tabla245678[[#This Row],[VENTA ]]-(Tabla245678[[#This Row],[MONTO DE COMPRA]]+Tabla245678[[#This Row],[DIFERENCIA IVA ]]))</f>
        <v>0</v>
      </c>
      <c r="T119" s="2"/>
      <c r="U119" s="1"/>
    </row>
    <row r="120" spans="1:21" x14ac:dyDescent="0.25">
      <c r="A120" s="56">
        <v>44797</v>
      </c>
      <c r="B120" s="4" t="s">
        <v>2864</v>
      </c>
      <c r="C120" s="4" t="s">
        <v>2865</v>
      </c>
      <c r="D120" s="4" t="s">
        <v>2866</v>
      </c>
      <c r="E120" s="1" t="s">
        <v>76</v>
      </c>
      <c r="F120" s="1" t="s">
        <v>2495</v>
      </c>
      <c r="G120" s="10" t="s">
        <v>2867</v>
      </c>
      <c r="H120" s="15">
        <v>110000</v>
      </c>
      <c r="I120" s="2">
        <f>Tabla245678[[#This Row],[TOTAL FACTURA]]*0.6</f>
        <v>66000</v>
      </c>
      <c r="J120" s="104">
        <f t="shared" si="1"/>
        <v>44000</v>
      </c>
      <c r="K120" s="10" t="s">
        <v>2868</v>
      </c>
      <c r="L120" s="11">
        <f>336000+70000</f>
        <v>406000</v>
      </c>
      <c r="M120" s="11">
        <f>Tabla245678[[#This Row],[MONTO DE COMPRA]]/1.19</f>
        <v>341176.4705882353</v>
      </c>
      <c r="N120" s="11">
        <f>Tabla245678[[#This Row],[Columna1]]*19%</f>
        <v>64823.529411764706</v>
      </c>
      <c r="O120" s="11">
        <v>590000</v>
      </c>
      <c r="P120" s="11">
        <f>Tabla245678[[#This Row],[VENTA ]]/1.19</f>
        <v>495798.31932773109</v>
      </c>
      <c r="Q120" s="11">
        <f>Tabla245678[[#This Row],[Columna2]]*19%</f>
        <v>94201.680672268907</v>
      </c>
      <c r="R120" s="11">
        <f>Tabla245678[[#This Row],[IVA VENTA ]]-Tabla245678[[#This Row],[IV COMPRA]]</f>
        <v>29378.151260504201</v>
      </c>
      <c r="S120" s="11">
        <f>(Tabla245678[[#This Row],[VENTA ]]-(Tabla245678[[#This Row],[MONTO DE COMPRA]]+Tabla245678[[#This Row],[DIFERENCIA IVA ]]))</f>
        <v>154621.84873949579</v>
      </c>
      <c r="T120" s="2"/>
      <c r="U120" s="1"/>
    </row>
    <row r="121" spans="1:21" ht="30" x14ac:dyDescent="0.25">
      <c r="A121" s="56">
        <v>44797</v>
      </c>
      <c r="B121" s="4" t="s">
        <v>2869</v>
      </c>
      <c r="C121" s="4" t="s">
        <v>2870</v>
      </c>
      <c r="D121" s="4" t="s">
        <v>2871</v>
      </c>
      <c r="E121" s="1" t="s">
        <v>88</v>
      </c>
      <c r="F121" s="1" t="s">
        <v>2446</v>
      </c>
      <c r="G121" s="10" t="s">
        <v>2872</v>
      </c>
      <c r="H121" s="15">
        <v>300000</v>
      </c>
      <c r="I121" s="2">
        <f>Tabla245678[[#This Row],[TOTAL FACTURA]]*0.7</f>
        <v>210000</v>
      </c>
      <c r="J121" s="104">
        <f t="shared" si="1"/>
        <v>90000</v>
      </c>
      <c r="K121" s="10"/>
      <c r="L121" s="11"/>
      <c r="M121" s="11">
        <f>Tabla245678[[#This Row],[MONTO DE COMPRA]]/1.19</f>
        <v>0</v>
      </c>
      <c r="N121" s="11">
        <f>Tabla245678[[#This Row],[Columna1]]*19%</f>
        <v>0</v>
      </c>
      <c r="O121" s="11"/>
      <c r="P121" s="11">
        <f>Tabla245678[[#This Row],[VENTA ]]/1.19</f>
        <v>0</v>
      </c>
      <c r="Q121" s="11">
        <f>Tabla245678[[#This Row],[Columna2]]*19%</f>
        <v>0</v>
      </c>
      <c r="R121" s="11">
        <f>Tabla245678[[#This Row],[IVA VENTA ]]-Tabla245678[[#This Row],[IV COMPRA]]</f>
        <v>0</v>
      </c>
      <c r="S121" s="11">
        <f>(Tabla245678[[#This Row],[VENTA ]]-(Tabla245678[[#This Row],[MONTO DE COMPRA]]+Tabla245678[[#This Row],[DIFERENCIA IVA ]]))</f>
        <v>0</v>
      </c>
      <c r="T121" s="2"/>
      <c r="U121" s="1"/>
    </row>
    <row r="122" spans="1:21" x14ac:dyDescent="0.25">
      <c r="A122" s="56">
        <v>44798</v>
      </c>
      <c r="C122" s="4" t="s">
        <v>2873</v>
      </c>
      <c r="D122" s="4" t="s">
        <v>2874</v>
      </c>
      <c r="E122" s="1" t="s">
        <v>2631</v>
      </c>
      <c r="F122" s="1" t="s">
        <v>603</v>
      </c>
      <c r="G122" s="10" t="s">
        <v>1074</v>
      </c>
      <c r="H122" s="15">
        <v>20000</v>
      </c>
      <c r="I122" s="2">
        <f>Tabla245678[[#This Row],[TOTAL FACTURA]]*0.6</f>
        <v>12000</v>
      </c>
      <c r="J122" s="104">
        <f t="shared" si="1"/>
        <v>8000</v>
      </c>
      <c r="K122" s="10"/>
      <c r="L122" s="11"/>
      <c r="M122" s="11">
        <f>Tabla245678[[#This Row],[MONTO DE COMPRA]]/1.19</f>
        <v>0</v>
      </c>
      <c r="N122" s="11">
        <f>Tabla245678[[#This Row],[Columna1]]*19%</f>
        <v>0</v>
      </c>
      <c r="O122" s="11"/>
      <c r="P122" s="11">
        <f>Tabla245678[[#This Row],[VENTA ]]/1.19</f>
        <v>0</v>
      </c>
      <c r="Q122" s="11">
        <f>Tabla245678[[#This Row],[Columna2]]*19%</f>
        <v>0</v>
      </c>
      <c r="R122" s="11">
        <f>Tabla245678[[#This Row],[IVA VENTA ]]-Tabla245678[[#This Row],[IV COMPRA]]</f>
        <v>0</v>
      </c>
      <c r="S122" s="11">
        <f>(Tabla245678[[#This Row],[VENTA ]]-(Tabla245678[[#This Row],[MONTO DE COMPRA]]+Tabla245678[[#This Row],[DIFERENCIA IVA ]]))</f>
        <v>0</v>
      </c>
      <c r="T122" s="2"/>
      <c r="U122" s="1"/>
    </row>
    <row r="123" spans="1:21" x14ac:dyDescent="0.25">
      <c r="A123" s="56">
        <v>44798</v>
      </c>
      <c r="C123" s="4" t="s">
        <v>2875</v>
      </c>
      <c r="D123" s="4" t="s">
        <v>2846</v>
      </c>
      <c r="E123" s="1" t="s">
        <v>122</v>
      </c>
      <c r="F123" s="1" t="s">
        <v>2446</v>
      </c>
      <c r="G123" s="134" t="s">
        <v>2876</v>
      </c>
      <c r="H123" s="15"/>
      <c r="I123" s="2">
        <v>150000</v>
      </c>
      <c r="J123" s="104">
        <f t="shared" si="1"/>
        <v>-150000</v>
      </c>
      <c r="K123" s="10"/>
      <c r="L123" s="11"/>
      <c r="M123" s="11">
        <f>Tabla245678[[#This Row],[MONTO DE COMPRA]]/1.19</f>
        <v>0</v>
      </c>
      <c r="N123" s="11">
        <f>Tabla245678[[#This Row],[Columna1]]*19%</f>
        <v>0</v>
      </c>
      <c r="O123" s="11"/>
      <c r="P123" s="11">
        <f>Tabla245678[[#This Row],[VENTA ]]/1.19</f>
        <v>0</v>
      </c>
      <c r="Q123" s="11">
        <f>Tabla245678[[#This Row],[Columna2]]*19%</f>
        <v>0</v>
      </c>
      <c r="R123" s="11">
        <f>Tabla245678[[#This Row],[IVA VENTA ]]-Tabla245678[[#This Row],[IV COMPRA]]</f>
        <v>0</v>
      </c>
      <c r="S123" s="11">
        <f>(Tabla245678[[#This Row],[VENTA ]]-(Tabla245678[[#This Row],[MONTO DE COMPRA]]+Tabla245678[[#This Row],[DIFERENCIA IVA ]]))</f>
        <v>0</v>
      </c>
      <c r="T123" s="2"/>
      <c r="U123" s="1"/>
    </row>
    <row r="124" spans="1:21" x14ac:dyDescent="0.25">
      <c r="A124" s="56">
        <v>44798</v>
      </c>
      <c r="B124" s="4" t="s">
        <v>2877</v>
      </c>
      <c r="C124" s="4" t="s">
        <v>2878</v>
      </c>
      <c r="D124" s="4" t="s">
        <v>1275</v>
      </c>
      <c r="E124" s="1" t="s">
        <v>2893</v>
      </c>
      <c r="F124" s="1" t="s">
        <v>2446</v>
      </c>
      <c r="G124" s="10" t="s">
        <v>744</v>
      </c>
      <c r="H124" s="15">
        <v>40000</v>
      </c>
      <c r="I124" s="2">
        <f>Tabla245678[[#This Row],[TOTAL FACTURA]]*0.7</f>
        <v>28000</v>
      </c>
      <c r="J124" s="104">
        <f t="shared" si="1"/>
        <v>12000</v>
      </c>
      <c r="K124" s="10" t="s">
        <v>2879</v>
      </c>
      <c r="L124" s="11"/>
      <c r="M124" s="11">
        <f>Tabla245678[[#This Row],[MONTO DE COMPRA]]/1.19</f>
        <v>0</v>
      </c>
      <c r="N124" s="11">
        <f>Tabla245678[[#This Row],[Columna1]]*19%</f>
        <v>0</v>
      </c>
      <c r="O124" s="11"/>
      <c r="P124" s="11">
        <f>Tabla245678[[#This Row],[VENTA ]]/1.19</f>
        <v>0</v>
      </c>
      <c r="Q124" s="11">
        <f>Tabla245678[[#This Row],[Columna2]]*19%</f>
        <v>0</v>
      </c>
      <c r="R124" s="11">
        <f>Tabla245678[[#This Row],[IVA VENTA ]]-Tabla245678[[#This Row],[IV COMPRA]]</f>
        <v>0</v>
      </c>
      <c r="S124" s="11">
        <f>(Tabla245678[[#This Row],[VENTA ]]-(Tabla245678[[#This Row],[MONTO DE COMPRA]]+Tabla245678[[#This Row],[DIFERENCIA IVA ]]))</f>
        <v>0</v>
      </c>
      <c r="T124" s="2"/>
      <c r="U124" s="1"/>
    </row>
    <row r="125" spans="1:21" x14ac:dyDescent="0.25">
      <c r="A125" s="56">
        <v>44798</v>
      </c>
      <c r="C125" s="4" t="s">
        <v>2880</v>
      </c>
      <c r="D125" s="4" t="s">
        <v>2881</v>
      </c>
      <c r="E125" s="1" t="s">
        <v>452</v>
      </c>
      <c r="F125" s="1" t="s">
        <v>2446</v>
      </c>
      <c r="G125" s="134" t="s">
        <v>2575</v>
      </c>
      <c r="H125" s="15">
        <v>70000</v>
      </c>
      <c r="I125" s="2">
        <f>Tabla245678[[#This Row],[TOTAL FACTURA]]*0.7</f>
        <v>49000</v>
      </c>
      <c r="J125" s="104">
        <f>H125-I125</f>
        <v>21000</v>
      </c>
      <c r="K125" s="10"/>
      <c r="L125" s="11"/>
      <c r="M125" s="11">
        <f>Tabla245678[[#This Row],[MONTO DE COMPRA]]/1.19</f>
        <v>0</v>
      </c>
      <c r="N125" s="11">
        <f>Tabla245678[[#This Row],[Columna1]]*19%</f>
        <v>0</v>
      </c>
      <c r="O125" s="11"/>
      <c r="P125" s="11">
        <f>Tabla245678[[#This Row],[VENTA ]]/1.19</f>
        <v>0</v>
      </c>
      <c r="Q125" s="11">
        <f>Tabla245678[[#This Row],[Columna2]]*19%</f>
        <v>0</v>
      </c>
      <c r="R125" s="11">
        <f>Tabla245678[[#This Row],[IVA VENTA ]]-Tabla245678[[#This Row],[IV COMPRA]]</f>
        <v>0</v>
      </c>
      <c r="S125" s="11">
        <f>(Tabla245678[[#This Row],[VENTA ]]-(Tabla245678[[#This Row],[MONTO DE COMPRA]]+Tabla245678[[#This Row],[DIFERENCIA IVA ]]))</f>
        <v>0</v>
      </c>
      <c r="T125" s="2"/>
      <c r="U125" s="1"/>
    </row>
    <row r="126" spans="1:21" x14ac:dyDescent="0.25">
      <c r="A126" s="56">
        <v>44798</v>
      </c>
      <c r="B126" s="4" t="s">
        <v>2882</v>
      </c>
      <c r="C126" s="4" t="s">
        <v>1394</v>
      </c>
      <c r="D126" s="4" t="s">
        <v>1395</v>
      </c>
      <c r="E126" s="1" t="s">
        <v>240</v>
      </c>
      <c r="F126" s="1" t="s">
        <v>603</v>
      </c>
      <c r="G126" s="134" t="s">
        <v>2883</v>
      </c>
      <c r="H126" s="15">
        <v>40000</v>
      </c>
      <c r="I126" s="2">
        <f>Tabla245678[[#This Row],[TOTAL FACTURA]]*0.6</f>
        <v>24000</v>
      </c>
      <c r="J126" s="139">
        <f t="shared" ref="J126:J133" si="2">H126-I126</f>
        <v>16000</v>
      </c>
      <c r="K126" s="10"/>
      <c r="L126" s="11"/>
      <c r="M126" s="11">
        <f>Tabla245678[[#This Row],[MONTO DE COMPRA]]/1.19</f>
        <v>0</v>
      </c>
      <c r="N126" s="11">
        <f>Tabla245678[[#This Row],[Columna1]]*19%</f>
        <v>0</v>
      </c>
      <c r="O126" s="11"/>
      <c r="P126" s="11">
        <f>Tabla245678[[#This Row],[VENTA ]]/1.19</f>
        <v>0</v>
      </c>
      <c r="Q126" s="11">
        <f>Tabla245678[[#This Row],[Columna2]]*19%</f>
        <v>0</v>
      </c>
      <c r="R126" s="11">
        <f>Tabla245678[[#This Row],[IVA VENTA ]]-Tabla245678[[#This Row],[IV COMPRA]]</f>
        <v>0</v>
      </c>
      <c r="S126" s="11">
        <f>(Tabla245678[[#This Row],[VENTA ]]-(Tabla245678[[#This Row],[MONTO DE COMPRA]]+Tabla245678[[#This Row],[DIFERENCIA IVA ]]))</f>
        <v>0</v>
      </c>
      <c r="T126" s="2"/>
      <c r="U126" s="1"/>
    </row>
    <row r="127" spans="1:21" ht="45" x14ac:dyDescent="0.25">
      <c r="A127" s="56">
        <v>44798</v>
      </c>
      <c r="B127" s="4" t="s">
        <v>2884</v>
      </c>
      <c r="C127" s="4" t="s">
        <v>1010</v>
      </c>
      <c r="D127" s="4" t="s">
        <v>2885</v>
      </c>
      <c r="E127" s="1" t="s">
        <v>1011</v>
      </c>
      <c r="F127" s="1" t="s">
        <v>10</v>
      </c>
      <c r="G127" s="134" t="s">
        <v>2886</v>
      </c>
      <c r="H127" s="15">
        <v>700000</v>
      </c>
      <c r="I127" s="2">
        <f>Tabla245678[[#This Row],[TOTAL FACTURA]]*0.7</f>
        <v>489999.99999999994</v>
      </c>
      <c r="J127" s="139">
        <f t="shared" si="2"/>
        <v>210000.00000000006</v>
      </c>
      <c r="K127" s="10"/>
      <c r="L127" s="11"/>
      <c r="M127" s="11">
        <f>Tabla245678[[#This Row],[MONTO DE COMPRA]]/1.19</f>
        <v>0</v>
      </c>
      <c r="N127" s="11">
        <f>Tabla245678[[#This Row],[Columna1]]*19%</f>
        <v>0</v>
      </c>
      <c r="O127" s="11"/>
      <c r="P127" s="11">
        <f>Tabla245678[[#This Row],[VENTA ]]/1.19</f>
        <v>0</v>
      </c>
      <c r="Q127" s="11">
        <f>Tabla245678[[#This Row],[Columna2]]*19%</f>
        <v>0</v>
      </c>
      <c r="R127" s="11">
        <f>Tabla245678[[#This Row],[IVA VENTA ]]-Tabla245678[[#This Row],[IV COMPRA]]</f>
        <v>0</v>
      </c>
      <c r="S127" s="11">
        <f>(Tabla245678[[#This Row],[VENTA ]]-(Tabla245678[[#This Row],[MONTO DE COMPRA]]+Tabla245678[[#This Row],[DIFERENCIA IVA ]]))</f>
        <v>0</v>
      </c>
      <c r="T127" s="2"/>
      <c r="U127" s="1"/>
    </row>
    <row r="128" spans="1:21" x14ac:dyDescent="0.25">
      <c r="A128" s="56">
        <v>44799</v>
      </c>
      <c r="B128" s="4" t="s">
        <v>2887</v>
      </c>
      <c r="C128" s="4" t="s">
        <v>1991</v>
      </c>
      <c r="D128" s="4" t="s">
        <v>1760</v>
      </c>
      <c r="E128" s="1" t="s">
        <v>2894</v>
      </c>
      <c r="F128" s="1" t="s">
        <v>2446</v>
      </c>
      <c r="G128" s="134" t="s">
        <v>2888</v>
      </c>
      <c r="H128" s="15">
        <v>20000</v>
      </c>
      <c r="I128" s="2">
        <f>Tabla245678[[#This Row],[TOTAL FACTURA]]*0.7</f>
        <v>14000</v>
      </c>
      <c r="J128" s="139">
        <f t="shared" si="2"/>
        <v>6000</v>
      </c>
      <c r="K128" s="10"/>
      <c r="L128" s="11"/>
      <c r="M128" s="11">
        <f>Tabla245678[[#This Row],[MONTO DE COMPRA]]/1.19</f>
        <v>0</v>
      </c>
      <c r="N128" s="11">
        <f>Tabla245678[[#This Row],[Columna1]]*19%</f>
        <v>0</v>
      </c>
      <c r="O128" s="11"/>
      <c r="P128" s="11">
        <f>Tabla245678[[#This Row],[VENTA ]]/1.19</f>
        <v>0</v>
      </c>
      <c r="Q128" s="11">
        <f>Tabla245678[[#This Row],[Columna2]]*19%</f>
        <v>0</v>
      </c>
      <c r="R128" s="11">
        <f>Tabla245678[[#This Row],[IVA VENTA ]]-Tabla245678[[#This Row],[IV COMPRA]]</f>
        <v>0</v>
      </c>
      <c r="S128" s="11">
        <f>(Tabla245678[[#This Row],[VENTA ]]-(Tabla245678[[#This Row],[MONTO DE COMPRA]]+Tabla245678[[#This Row],[DIFERENCIA IVA ]]))</f>
        <v>0</v>
      </c>
      <c r="T128" s="2"/>
      <c r="U128" s="1"/>
    </row>
    <row r="129" spans="1:21" x14ac:dyDescent="0.25">
      <c r="A129" s="56">
        <v>44799</v>
      </c>
      <c r="B129" s="4" t="s">
        <v>2889</v>
      </c>
      <c r="C129" s="4" t="s">
        <v>2890</v>
      </c>
      <c r="D129" s="4" t="s">
        <v>1829</v>
      </c>
      <c r="E129" s="1" t="s">
        <v>1077</v>
      </c>
      <c r="F129" s="1" t="s">
        <v>603</v>
      </c>
      <c r="G129" s="134" t="s">
        <v>2891</v>
      </c>
      <c r="H129" s="15">
        <v>30000</v>
      </c>
      <c r="I129" s="2">
        <f>Tabla245678[[#This Row],[TOTAL FACTURA]]*0.6</f>
        <v>18000</v>
      </c>
      <c r="J129" s="139">
        <f t="shared" si="2"/>
        <v>12000</v>
      </c>
      <c r="K129" s="10"/>
      <c r="L129" s="11"/>
      <c r="M129" s="11">
        <f>Tabla245678[[#This Row],[MONTO DE COMPRA]]/1.19</f>
        <v>0</v>
      </c>
      <c r="N129" s="11">
        <f>Tabla245678[[#This Row],[Columna1]]*19%</f>
        <v>0</v>
      </c>
      <c r="O129" s="11"/>
      <c r="P129" s="11">
        <f>Tabla245678[[#This Row],[VENTA ]]/1.19</f>
        <v>0</v>
      </c>
      <c r="Q129" s="11">
        <f>Tabla245678[[#This Row],[Columna2]]*19%</f>
        <v>0</v>
      </c>
      <c r="R129" s="11">
        <f>Tabla245678[[#This Row],[IVA VENTA ]]-Tabla245678[[#This Row],[IV COMPRA]]</f>
        <v>0</v>
      </c>
      <c r="S129" s="11">
        <f>(Tabla245678[[#This Row],[VENTA ]]-(Tabla245678[[#This Row],[MONTO DE COMPRA]]+Tabla245678[[#This Row],[DIFERENCIA IVA ]]))</f>
        <v>0</v>
      </c>
      <c r="T129" s="2"/>
      <c r="U129" s="1"/>
    </row>
    <row r="130" spans="1:21" x14ac:dyDescent="0.25">
      <c r="A130" s="56">
        <v>44799</v>
      </c>
      <c r="C130" s="140"/>
      <c r="D130" s="4" t="s">
        <v>2892</v>
      </c>
      <c r="E130" s="1" t="s">
        <v>389</v>
      </c>
      <c r="F130" s="1" t="s">
        <v>1039</v>
      </c>
      <c r="G130" s="134" t="s">
        <v>2891</v>
      </c>
      <c r="H130" s="15">
        <v>30000</v>
      </c>
      <c r="I130" s="2">
        <f>Tabla245678[[#This Row],[TOTAL FACTURA]]*0.6</f>
        <v>18000</v>
      </c>
      <c r="J130" s="139">
        <f t="shared" si="2"/>
        <v>12000</v>
      </c>
      <c r="K130" s="10"/>
      <c r="L130" s="11"/>
      <c r="M130" s="11">
        <f>Tabla245678[[#This Row],[MONTO DE COMPRA]]/1.19</f>
        <v>0</v>
      </c>
      <c r="N130" s="11">
        <f>Tabla245678[[#This Row],[Columna1]]*19%</f>
        <v>0</v>
      </c>
      <c r="O130" s="11"/>
      <c r="P130" s="11">
        <f>Tabla245678[[#This Row],[VENTA ]]/1.19</f>
        <v>0</v>
      </c>
      <c r="Q130" s="11">
        <f>Tabla245678[[#This Row],[Columna2]]*19%</f>
        <v>0</v>
      </c>
      <c r="R130" s="11">
        <f>Tabla245678[[#This Row],[IVA VENTA ]]-Tabla245678[[#This Row],[IV COMPRA]]</f>
        <v>0</v>
      </c>
      <c r="S130" s="11">
        <f>(Tabla245678[[#This Row],[VENTA ]]-(Tabla245678[[#This Row],[MONTO DE COMPRA]]+Tabla245678[[#This Row],[DIFERENCIA IVA ]]))</f>
        <v>0</v>
      </c>
      <c r="T130" s="2"/>
      <c r="U130" s="1"/>
    </row>
    <row r="131" spans="1:21" x14ac:dyDescent="0.25">
      <c r="A131" s="56">
        <v>44800</v>
      </c>
      <c r="B131" s="4" t="s">
        <v>2902</v>
      </c>
      <c r="C131" s="4" t="s">
        <v>2898</v>
      </c>
      <c r="D131" s="4" t="s">
        <v>2900</v>
      </c>
      <c r="E131" s="1" t="s">
        <v>2899</v>
      </c>
      <c r="F131" s="1" t="s">
        <v>2446</v>
      </c>
      <c r="G131" s="134" t="s">
        <v>2901</v>
      </c>
      <c r="H131" s="15">
        <v>50000</v>
      </c>
      <c r="I131" s="2">
        <f>Tabla245678[[#This Row],[TOTAL FACTURA]]*0.7</f>
        <v>35000</v>
      </c>
      <c r="J131" s="139">
        <f t="shared" si="2"/>
        <v>15000</v>
      </c>
      <c r="K131" s="10" t="s">
        <v>1781</v>
      </c>
      <c r="L131" s="11">
        <v>110000</v>
      </c>
      <c r="M131" s="11">
        <f>Tabla245678[[#This Row],[MONTO DE COMPRA]]/1.19</f>
        <v>92436.97478991597</v>
      </c>
      <c r="N131" s="11">
        <f>Tabla245678[[#This Row],[Columna1]]*19%</f>
        <v>17563.025210084033</v>
      </c>
      <c r="O131" s="11">
        <v>135000</v>
      </c>
      <c r="P131" s="11">
        <f>Tabla245678[[#This Row],[VENTA ]]/1.19</f>
        <v>113445.37815126051</v>
      </c>
      <c r="Q131" s="11">
        <f>Tabla245678[[#This Row],[Columna2]]*19%</f>
        <v>21554.621848739498</v>
      </c>
      <c r="R131" s="11">
        <f>Tabla245678[[#This Row],[IVA VENTA ]]-Tabla245678[[#This Row],[IV COMPRA]]</f>
        <v>3991.5966386554646</v>
      </c>
      <c r="S131" s="11">
        <f>(Tabla245678[[#This Row],[VENTA ]]-(Tabla245678[[#This Row],[MONTO DE COMPRA]]+Tabla245678[[#This Row],[DIFERENCIA IVA ]]))</f>
        <v>21008.403361344535</v>
      </c>
      <c r="T131" s="2"/>
      <c r="U131" s="1"/>
    </row>
    <row r="132" spans="1:21" x14ac:dyDescent="0.25">
      <c r="A132" s="56">
        <v>44800</v>
      </c>
      <c r="B132" s="4" t="s">
        <v>2903</v>
      </c>
      <c r="C132" s="4" t="s">
        <v>2141</v>
      </c>
      <c r="D132" s="4" t="s">
        <v>546</v>
      </c>
      <c r="E132" s="1" t="s">
        <v>574</v>
      </c>
      <c r="F132" s="1" t="s">
        <v>603</v>
      </c>
      <c r="G132" s="134" t="s">
        <v>212</v>
      </c>
      <c r="H132" s="15">
        <v>80000</v>
      </c>
      <c r="I132" s="2">
        <f>Tabla245678[[#This Row],[TOTAL FACTURA]]*0.6</f>
        <v>48000</v>
      </c>
      <c r="J132" s="139">
        <f t="shared" si="2"/>
        <v>32000</v>
      </c>
      <c r="K132" s="10" t="s">
        <v>108</v>
      </c>
      <c r="L132" s="11">
        <v>470000</v>
      </c>
      <c r="M132" s="11"/>
      <c r="N132" s="11">
        <f>Tabla245678[[#This Row],[Columna1]]*19%</f>
        <v>0</v>
      </c>
      <c r="O132" s="11">
        <v>610000</v>
      </c>
      <c r="P132" s="11"/>
      <c r="Q132" s="11">
        <f>Tabla245678[[#This Row],[Columna2]]*19%</f>
        <v>0</v>
      </c>
      <c r="R132" s="11">
        <f>Tabla245678[[#This Row],[IVA VENTA ]]-Tabla245678[[#This Row],[IV COMPRA]]</f>
        <v>0</v>
      </c>
      <c r="S132" s="11">
        <f>(Tabla245678[[#This Row],[VENTA ]]-(Tabla245678[[#This Row],[MONTO DE COMPRA]]+Tabla245678[[#This Row],[DIFERENCIA IVA ]]))</f>
        <v>140000</v>
      </c>
      <c r="T132" s="2"/>
      <c r="U132" s="1"/>
    </row>
    <row r="133" spans="1:21" x14ac:dyDescent="0.25">
      <c r="A133" s="56">
        <v>44800</v>
      </c>
      <c r="B133" s="4" t="s">
        <v>2904</v>
      </c>
      <c r="C133" s="4" t="s">
        <v>2905</v>
      </c>
      <c r="D133" s="4" t="s">
        <v>2907</v>
      </c>
      <c r="E133" s="1" t="s">
        <v>2906</v>
      </c>
      <c r="F133" s="1" t="s">
        <v>2446</v>
      </c>
      <c r="G133" s="134" t="s">
        <v>2908</v>
      </c>
      <c r="H133" s="15">
        <v>30000</v>
      </c>
      <c r="I133" s="2">
        <f>Tabla245678[[#This Row],[TOTAL FACTURA]]*0.7</f>
        <v>21000</v>
      </c>
      <c r="J133" s="139">
        <f t="shared" si="2"/>
        <v>9000</v>
      </c>
      <c r="K133" s="10"/>
      <c r="L133" s="11"/>
      <c r="M133" s="11">
        <f>Tabla245678[[#This Row],[MONTO DE COMPRA]]/1.19</f>
        <v>0</v>
      </c>
      <c r="N133" s="11">
        <f>Tabla245678[[#This Row],[Columna1]]*19%</f>
        <v>0</v>
      </c>
      <c r="O133" s="11"/>
      <c r="P133" s="11">
        <f>Tabla245678[[#This Row],[VENTA ]]/1.19</f>
        <v>0</v>
      </c>
      <c r="Q133" s="11">
        <f>Tabla245678[[#This Row],[Columna2]]*19%</f>
        <v>0</v>
      </c>
      <c r="R133" s="11">
        <f>Tabla245678[[#This Row],[IVA VENTA ]]-Tabla245678[[#This Row],[IV COMPRA]]</f>
        <v>0</v>
      </c>
      <c r="S133" s="11">
        <f>(Tabla245678[[#This Row],[VENTA ]]-(Tabla245678[[#This Row],[MONTO DE COMPRA]]+Tabla245678[[#This Row],[DIFERENCIA IVA ]]))</f>
        <v>0</v>
      </c>
      <c r="T133" s="2"/>
      <c r="U133" s="1"/>
    </row>
    <row r="134" spans="1:21" x14ac:dyDescent="0.25">
      <c r="A134" s="56">
        <v>44800</v>
      </c>
      <c r="B134" s="4" t="s">
        <v>2904</v>
      </c>
      <c r="C134" s="4" t="s">
        <v>2905</v>
      </c>
      <c r="D134" s="4" t="s">
        <v>2907</v>
      </c>
      <c r="E134" s="1" t="s">
        <v>2906</v>
      </c>
      <c r="F134" s="1" t="s">
        <v>10</v>
      </c>
      <c r="G134" s="134" t="s">
        <v>2909</v>
      </c>
      <c r="H134" s="15">
        <v>80000</v>
      </c>
      <c r="I134" s="2">
        <f>Tabla245678[[#This Row],[TOTAL FACTURA]]*0.7</f>
        <v>56000</v>
      </c>
      <c r="J134" s="139">
        <f t="shared" ref="J134:J137" si="3">H134-I134</f>
        <v>24000</v>
      </c>
      <c r="K134" s="10" t="s">
        <v>2910</v>
      </c>
      <c r="L134" s="11">
        <v>40000</v>
      </c>
      <c r="M134" s="11">
        <f>Tabla245678[[#This Row],[MONTO DE COMPRA]]/1.19</f>
        <v>33613.445378151264</v>
      </c>
      <c r="N134" s="11">
        <f>Tabla245678[[#This Row],[Columna1]]*19%</f>
        <v>6386.5546218487398</v>
      </c>
      <c r="O134" s="11">
        <v>50000</v>
      </c>
      <c r="P134" s="11">
        <f>Tabla245678[[#This Row],[VENTA ]]/1.19</f>
        <v>42016.806722689078</v>
      </c>
      <c r="Q134" s="11">
        <f>Tabla245678[[#This Row],[Columna2]]*19%</f>
        <v>7983.1932773109247</v>
      </c>
      <c r="R134" s="11">
        <f>Tabla245678[[#This Row],[IVA VENTA ]]-Tabla245678[[#This Row],[IV COMPRA]]</f>
        <v>1596.6386554621849</v>
      </c>
      <c r="S134" s="11">
        <f>(Tabla245678[[#This Row],[VENTA ]]-(Tabla245678[[#This Row],[MONTO DE COMPRA]]+Tabla245678[[#This Row],[DIFERENCIA IVA ]]))</f>
        <v>8403.3613445378141</v>
      </c>
      <c r="T134" s="2"/>
      <c r="U134" s="1"/>
    </row>
    <row r="135" spans="1:21" x14ac:dyDescent="0.25">
      <c r="A135" s="56">
        <v>44800</v>
      </c>
      <c r="C135" s="140"/>
      <c r="D135" s="4"/>
      <c r="F135" s="1" t="s">
        <v>603</v>
      </c>
      <c r="G135" s="134" t="s">
        <v>128</v>
      </c>
      <c r="H135" s="15">
        <v>11000</v>
      </c>
      <c r="I135" s="2">
        <f>Tabla245678[[#This Row],[TOTAL FACTURA]]*0.6</f>
        <v>6600</v>
      </c>
      <c r="J135" s="139">
        <f t="shared" si="3"/>
        <v>4400</v>
      </c>
      <c r="K135" s="10"/>
      <c r="L135" s="11"/>
      <c r="M135" s="11">
        <f>Tabla245678[[#This Row],[MONTO DE COMPRA]]/1.19</f>
        <v>0</v>
      </c>
      <c r="N135" s="11">
        <f>Tabla245678[[#This Row],[Columna1]]*19%</f>
        <v>0</v>
      </c>
      <c r="O135" s="11"/>
      <c r="P135" s="11">
        <f>Tabla245678[[#This Row],[VENTA ]]/1.19</f>
        <v>0</v>
      </c>
      <c r="Q135" s="11">
        <f>Tabla245678[[#This Row],[Columna2]]*19%</f>
        <v>0</v>
      </c>
      <c r="R135" s="11">
        <f>Tabla245678[[#This Row],[IVA VENTA ]]-Tabla245678[[#This Row],[IV COMPRA]]</f>
        <v>0</v>
      </c>
      <c r="S135" s="11">
        <f>(Tabla245678[[#This Row],[VENTA ]]-(Tabla245678[[#This Row],[MONTO DE COMPRA]]+Tabla245678[[#This Row],[DIFERENCIA IVA ]]))</f>
        <v>0</v>
      </c>
      <c r="T135" s="2"/>
      <c r="U135" s="1"/>
    </row>
    <row r="136" spans="1:21" ht="30" x14ac:dyDescent="0.25">
      <c r="A136" s="56">
        <v>44802</v>
      </c>
      <c r="B136" s="4" t="s">
        <v>2911</v>
      </c>
      <c r="C136" s="4" t="s">
        <v>2912</v>
      </c>
      <c r="D136" s="4" t="s">
        <v>2913</v>
      </c>
      <c r="E136" s="1" t="s">
        <v>52</v>
      </c>
      <c r="F136" s="1" t="s">
        <v>2446</v>
      </c>
      <c r="G136" s="134" t="s">
        <v>2914</v>
      </c>
      <c r="H136" s="15">
        <v>40000</v>
      </c>
      <c r="I136" s="2">
        <f>Tabla245678[[#This Row],[TOTAL FACTURA]]*0.7</f>
        <v>28000</v>
      </c>
      <c r="J136" s="139">
        <f t="shared" si="3"/>
        <v>12000</v>
      </c>
      <c r="K136" s="10" t="s">
        <v>2915</v>
      </c>
      <c r="L136" s="11"/>
      <c r="M136" s="11">
        <f>Tabla245678[[#This Row],[MONTO DE COMPRA]]/1.19</f>
        <v>0</v>
      </c>
      <c r="N136" s="11">
        <f>Tabla245678[[#This Row],[Columna1]]*19%</f>
        <v>0</v>
      </c>
      <c r="O136" s="11"/>
      <c r="P136" s="11">
        <f>Tabla245678[[#This Row],[VENTA ]]/1.19</f>
        <v>0</v>
      </c>
      <c r="Q136" s="11">
        <f>Tabla245678[[#This Row],[Columna2]]*19%</f>
        <v>0</v>
      </c>
      <c r="R136" s="11">
        <f>Tabla245678[[#This Row],[IVA VENTA ]]-Tabla245678[[#This Row],[IV COMPRA]]</f>
        <v>0</v>
      </c>
      <c r="S136" s="11">
        <f>(Tabla245678[[#This Row],[VENTA ]]-(Tabla245678[[#This Row],[MONTO DE COMPRA]]+Tabla245678[[#This Row],[DIFERENCIA IVA ]]))</f>
        <v>0</v>
      </c>
      <c r="T136" s="2"/>
      <c r="U136" s="1"/>
    </row>
    <row r="137" spans="1:21" x14ac:dyDescent="0.25">
      <c r="A137" s="56">
        <v>44802</v>
      </c>
      <c r="B137" s="4" t="s">
        <v>2916</v>
      </c>
      <c r="C137" s="4" t="s">
        <v>2917</v>
      </c>
      <c r="D137" s="4" t="s">
        <v>2918</v>
      </c>
      <c r="E137" s="1" t="s">
        <v>2022</v>
      </c>
      <c r="F137" s="1" t="s">
        <v>2446</v>
      </c>
      <c r="G137" s="134" t="s">
        <v>2919</v>
      </c>
      <c r="H137" s="15">
        <v>100000</v>
      </c>
      <c r="I137" s="2">
        <f>Tabla245678[[#This Row],[TOTAL FACTURA]]*0.7</f>
        <v>70000</v>
      </c>
      <c r="J137" s="139">
        <f t="shared" si="3"/>
        <v>30000</v>
      </c>
      <c r="K137" s="10" t="s">
        <v>57</v>
      </c>
      <c r="L137" s="11">
        <v>42000</v>
      </c>
      <c r="M137" s="11">
        <f>Tabla245678[[#This Row],[MONTO DE COMPRA]]/1.19</f>
        <v>35294.117647058825</v>
      </c>
      <c r="N137" s="11">
        <f>Tabla245678[[#This Row],[Columna1]]*19%</f>
        <v>6705.8823529411766</v>
      </c>
      <c r="O137" s="11">
        <v>50000</v>
      </c>
      <c r="P137" s="11">
        <f>Tabla245678[[#This Row],[VENTA ]]/1.19</f>
        <v>42016.806722689078</v>
      </c>
      <c r="Q137" s="11">
        <f>Tabla245678[[#This Row],[Columna2]]*19%</f>
        <v>7983.1932773109247</v>
      </c>
      <c r="R137" s="11">
        <f>Tabla245678[[#This Row],[IVA VENTA ]]-Tabla245678[[#This Row],[IV COMPRA]]</f>
        <v>1277.3109243697481</v>
      </c>
      <c r="S137" s="11">
        <f>(Tabla245678[[#This Row],[VENTA ]]-(Tabla245678[[#This Row],[MONTO DE COMPRA]]+Tabla245678[[#This Row],[DIFERENCIA IVA ]]))</f>
        <v>6722.6890756302528</v>
      </c>
      <c r="T137" s="2"/>
      <c r="U137" s="1"/>
    </row>
    <row r="138" spans="1:21" x14ac:dyDescent="0.25">
      <c r="A138" s="56">
        <v>44802</v>
      </c>
      <c r="C138" s="140"/>
      <c r="D138" s="4" t="s">
        <v>2920</v>
      </c>
      <c r="E138" s="1" t="s">
        <v>2856</v>
      </c>
      <c r="F138" s="1" t="s">
        <v>603</v>
      </c>
      <c r="G138" s="134" t="s">
        <v>2921</v>
      </c>
      <c r="H138" s="15">
        <v>30000</v>
      </c>
      <c r="I138" s="2">
        <f>Tabla245678[[#This Row],[TOTAL FACTURA]]*0.6</f>
        <v>18000</v>
      </c>
      <c r="J138" s="139">
        <f t="shared" ref="J138:J140" si="4">H138-I138</f>
        <v>12000</v>
      </c>
      <c r="K138" s="10" t="s">
        <v>2922</v>
      </c>
      <c r="L138" s="11">
        <v>5000</v>
      </c>
      <c r="M138" s="11">
        <f>Tabla245678[[#This Row],[MONTO DE COMPRA]]/1.19</f>
        <v>4201.680672268908</v>
      </c>
      <c r="N138" s="11">
        <f>Tabla245678[[#This Row],[Columna1]]*19%</f>
        <v>798.31932773109247</v>
      </c>
      <c r="O138" s="11">
        <v>10000</v>
      </c>
      <c r="P138" s="11">
        <f>Tabla245678[[#This Row],[VENTA ]]/1.19</f>
        <v>8403.361344537816</v>
      </c>
      <c r="Q138" s="11">
        <f>Tabla245678[[#This Row],[Columna2]]*19%</f>
        <v>1596.6386554621849</v>
      </c>
      <c r="R138" s="11">
        <f>Tabla245678[[#This Row],[IVA VENTA ]]-Tabla245678[[#This Row],[IV COMPRA]]</f>
        <v>798.31932773109247</v>
      </c>
      <c r="S138" s="11">
        <f>(Tabla245678[[#This Row],[VENTA ]]-(Tabla245678[[#This Row],[MONTO DE COMPRA]]+Tabla245678[[#This Row],[DIFERENCIA IVA ]]))</f>
        <v>4201.6806722689071</v>
      </c>
      <c r="T138" s="2"/>
      <c r="U138" s="1"/>
    </row>
    <row r="139" spans="1:21" ht="60" x14ac:dyDescent="0.25">
      <c r="A139" s="56">
        <v>44802</v>
      </c>
      <c r="B139" s="4" t="s">
        <v>2936</v>
      </c>
      <c r="C139" s="4" t="s">
        <v>2351</v>
      </c>
      <c r="D139" s="4" t="s">
        <v>740</v>
      </c>
      <c r="E139" s="1" t="s">
        <v>2933</v>
      </c>
      <c r="F139" s="1" t="s">
        <v>2446</v>
      </c>
      <c r="G139" s="134" t="s">
        <v>2934</v>
      </c>
      <c r="H139" s="15">
        <v>300000</v>
      </c>
      <c r="I139" s="2">
        <f>Tabla245678[[#This Row],[TOTAL FACTURA]]*0.7</f>
        <v>210000</v>
      </c>
      <c r="J139" s="139">
        <f>H139-I139</f>
        <v>90000</v>
      </c>
      <c r="K139" s="10" t="s">
        <v>2935</v>
      </c>
      <c r="L139" s="11">
        <f>404000+246000</f>
        <v>650000</v>
      </c>
      <c r="M139" s="11">
        <f>Tabla245678[[#This Row],[MONTO DE COMPRA]]/1.19</f>
        <v>546218.48739495804</v>
      </c>
      <c r="N139" s="11">
        <f>Tabla245678[[#This Row],[Columna1]]*19%</f>
        <v>103781.51260504202</v>
      </c>
      <c r="O139" s="11">
        <v>1220587</v>
      </c>
      <c r="P139" s="11">
        <f>Tabla245678[[#This Row],[VENTA ]]/1.19</f>
        <v>1025703.3613445378</v>
      </c>
      <c r="Q139" s="11">
        <f>Tabla245678[[#This Row],[Columna2]]*19%</f>
        <v>194883.63865546219</v>
      </c>
      <c r="R139" s="11">
        <f>Tabla245678[[#This Row],[IVA VENTA ]]-Tabla245678[[#This Row],[IV COMPRA]]</f>
        <v>91102.126050420164</v>
      </c>
      <c r="S139" s="11">
        <f>(Tabla245678[[#This Row],[VENTA ]]-(Tabla245678[[#This Row],[MONTO DE COMPRA]]+Tabla245678[[#This Row],[DIFERENCIA IVA ]]))</f>
        <v>479484.87394957989</v>
      </c>
      <c r="T139" s="2"/>
      <c r="U139" s="1"/>
    </row>
    <row r="140" spans="1:21" x14ac:dyDescent="0.25">
      <c r="A140" s="56">
        <v>44803</v>
      </c>
      <c r="C140" s="4" t="s">
        <v>2923</v>
      </c>
      <c r="D140" s="4" t="s">
        <v>2924</v>
      </c>
      <c r="E140" s="1" t="s">
        <v>815</v>
      </c>
      <c r="F140" s="1" t="s">
        <v>2446</v>
      </c>
      <c r="G140" s="134" t="s">
        <v>211</v>
      </c>
      <c r="H140" s="15">
        <v>20000</v>
      </c>
      <c r="I140" s="2">
        <f>Tabla245678[[#This Row],[TOTAL FACTURA]]*0.7</f>
        <v>14000</v>
      </c>
      <c r="J140" s="139">
        <f t="shared" si="4"/>
        <v>6000</v>
      </c>
      <c r="K140" s="10"/>
      <c r="L140" s="11"/>
      <c r="M140" s="11">
        <f>Tabla245678[[#This Row],[MONTO DE COMPRA]]/1.19</f>
        <v>0</v>
      </c>
      <c r="N140" s="11">
        <f>Tabla245678[[#This Row],[Columna1]]*19%</f>
        <v>0</v>
      </c>
      <c r="O140" s="11"/>
      <c r="P140" s="11">
        <f>Tabla245678[[#This Row],[VENTA ]]/1.19</f>
        <v>0</v>
      </c>
      <c r="Q140" s="11">
        <f>Tabla245678[[#This Row],[Columna2]]*19%</f>
        <v>0</v>
      </c>
      <c r="R140" s="11">
        <f>Tabla245678[[#This Row],[IVA VENTA ]]-Tabla245678[[#This Row],[IV COMPRA]]</f>
        <v>0</v>
      </c>
      <c r="S140" s="11">
        <f>(Tabla245678[[#This Row],[VENTA ]]-(Tabla245678[[#This Row],[MONTO DE COMPRA]]+Tabla245678[[#This Row],[DIFERENCIA IVA ]]))</f>
        <v>0</v>
      </c>
      <c r="T140" s="2"/>
      <c r="U140" s="1"/>
    </row>
    <row r="141" spans="1:21" x14ac:dyDescent="0.25">
      <c r="C141" s="1" t="s">
        <v>2351</v>
      </c>
      <c r="D141" s="1" t="s">
        <v>2925</v>
      </c>
      <c r="E141" s="1" t="s">
        <v>200</v>
      </c>
      <c r="F141" s="1" t="s">
        <v>2446</v>
      </c>
      <c r="G141" s="22" t="s">
        <v>138</v>
      </c>
      <c r="H141" s="15"/>
      <c r="I141" s="2">
        <f>Tabla245678[[#This Row],[TOTAL FACTURA]]*0.7</f>
        <v>0</v>
      </c>
      <c r="J141" s="1"/>
      <c r="T141" s="2"/>
      <c r="U141" s="1"/>
    </row>
    <row r="142" spans="1:21" x14ac:dyDescent="0.25">
      <c r="A142" s="9">
        <v>44803</v>
      </c>
      <c r="C142" s="4" t="s">
        <v>2926</v>
      </c>
      <c r="D142" s="4" t="s">
        <v>2927</v>
      </c>
      <c r="E142" s="1" t="s">
        <v>1077</v>
      </c>
      <c r="F142" s="1" t="s">
        <v>10</v>
      </c>
      <c r="G142" s="134" t="s">
        <v>2928</v>
      </c>
      <c r="H142" s="15">
        <v>80000</v>
      </c>
      <c r="I142" s="2">
        <f>Tabla245678[[#This Row],[TOTAL FACTURA]]*0.7</f>
        <v>56000</v>
      </c>
      <c r="J142" s="139">
        <f>H142-I142</f>
        <v>24000</v>
      </c>
      <c r="K142" s="10" t="s">
        <v>2929</v>
      </c>
      <c r="L142" s="11">
        <v>40000</v>
      </c>
      <c r="M142" s="11">
        <f>Tabla245678[[#This Row],[MONTO DE COMPRA]]/1.19</f>
        <v>33613.445378151264</v>
      </c>
      <c r="N142" s="11">
        <f>Tabla245678[[#This Row],[Columna1]]*19%</f>
        <v>6386.5546218487398</v>
      </c>
      <c r="O142" s="11">
        <v>60000</v>
      </c>
      <c r="P142" s="11">
        <f>Tabla245678[[#This Row],[VENTA ]]/1.19</f>
        <v>50420.168067226892</v>
      </c>
      <c r="Q142" s="11">
        <f>Tabla245678[[#This Row],[Columna2]]*19%</f>
        <v>9579.8319327731097</v>
      </c>
      <c r="R142" s="11">
        <f>Tabla245678[[#This Row],[IVA VENTA ]]-Tabla245678[[#This Row],[IV COMPRA]]</f>
        <v>3193.2773109243699</v>
      </c>
      <c r="S142" s="11">
        <f>(Tabla245678[[#This Row],[VENTA ]]-(Tabla245678[[#This Row],[MONTO DE COMPRA]]+Tabla245678[[#This Row],[DIFERENCIA IVA ]]))</f>
        <v>16806.722689075628</v>
      </c>
      <c r="T142" s="2"/>
      <c r="U142" s="1"/>
    </row>
    <row r="143" spans="1:21" x14ac:dyDescent="0.25">
      <c r="A143" s="9">
        <v>44803</v>
      </c>
      <c r="C143" s="140"/>
      <c r="D143" s="4" t="s">
        <v>2931</v>
      </c>
      <c r="E143" s="1" t="s">
        <v>2930</v>
      </c>
      <c r="F143" s="1" t="s">
        <v>2446</v>
      </c>
      <c r="G143" s="134" t="s">
        <v>2932</v>
      </c>
      <c r="H143" s="15">
        <v>60000</v>
      </c>
      <c r="I143" s="2">
        <f>Tabla245678[[#This Row],[TOTAL FACTURA]]*0.7</f>
        <v>42000</v>
      </c>
      <c r="J143" s="139">
        <f t="shared" ref="J143:J154" si="5">H143-I143</f>
        <v>18000</v>
      </c>
      <c r="K143" s="10"/>
      <c r="L143" s="11"/>
      <c r="M143" s="11">
        <f>Tabla245678[[#This Row],[MONTO DE COMPRA]]/1.19</f>
        <v>0</v>
      </c>
      <c r="N143" s="11">
        <f>Tabla245678[[#This Row],[Columna1]]*19%</f>
        <v>0</v>
      </c>
      <c r="O143" s="11"/>
      <c r="P143" s="11">
        <f>Tabla245678[[#This Row],[VENTA ]]/1.19</f>
        <v>0</v>
      </c>
      <c r="Q143" s="11">
        <f>Tabla245678[[#This Row],[Columna2]]*19%</f>
        <v>0</v>
      </c>
      <c r="R143" s="11">
        <f>Tabla245678[[#This Row],[IVA VENTA ]]-Tabla245678[[#This Row],[IV COMPRA]]</f>
        <v>0</v>
      </c>
      <c r="S143" s="11">
        <f>(Tabla245678[[#This Row],[VENTA ]]-(Tabla245678[[#This Row],[MONTO DE COMPRA]]+Tabla245678[[#This Row],[DIFERENCIA IVA ]]))</f>
        <v>0</v>
      </c>
      <c r="T143" s="2"/>
      <c r="U143" s="1"/>
    </row>
    <row r="144" spans="1:21" x14ac:dyDescent="0.25">
      <c r="A144" s="56">
        <v>44803</v>
      </c>
      <c r="B144" s="4" t="s">
        <v>2939</v>
      </c>
      <c r="C144" s="4" t="s">
        <v>1394</v>
      </c>
      <c r="D144" s="4" t="s">
        <v>1395</v>
      </c>
      <c r="E144" s="1" t="s">
        <v>240</v>
      </c>
      <c r="F144" s="1" t="s">
        <v>10</v>
      </c>
      <c r="G144" s="134" t="s">
        <v>2937</v>
      </c>
      <c r="H144" s="15">
        <v>60000</v>
      </c>
      <c r="I144" s="2">
        <f>Tabla245678[[#This Row],[TOTAL FACTURA]]*0.7</f>
        <v>42000</v>
      </c>
      <c r="J144" s="139">
        <f t="shared" si="5"/>
        <v>18000</v>
      </c>
      <c r="K144" s="10" t="s">
        <v>2938</v>
      </c>
      <c r="L144" s="11">
        <v>90000</v>
      </c>
      <c r="M144" s="11">
        <f>Tabla245678[[#This Row],[MONTO DE COMPRA]]/1.19</f>
        <v>75630.252100840342</v>
      </c>
      <c r="N144" s="11">
        <f>Tabla245678[[#This Row],[Columna1]]*19%</f>
        <v>14369.747899159665</v>
      </c>
      <c r="O144" s="11">
        <v>120000</v>
      </c>
      <c r="P144" s="11">
        <f>Tabla245678[[#This Row],[VENTA ]]/1.19</f>
        <v>100840.33613445378</v>
      </c>
      <c r="Q144" s="11">
        <f>Tabla245678[[#This Row],[Columna2]]*19%</f>
        <v>19159.663865546219</v>
      </c>
      <c r="R144" s="11">
        <f>Tabla245678[[#This Row],[IVA VENTA ]]-Tabla245678[[#This Row],[IV COMPRA]]</f>
        <v>4789.9159663865539</v>
      </c>
      <c r="S144" s="11">
        <f>(Tabla245678[[#This Row],[VENTA ]]-(Tabla245678[[#This Row],[MONTO DE COMPRA]]+Tabla245678[[#This Row],[DIFERENCIA IVA ]]))</f>
        <v>25210.084033613442</v>
      </c>
      <c r="T144" s="2"/>
      <c r="U144" s="1"/>
    </row>
    <row r="145" spans="1:21" x14ac:dyDescent="0.25">
      <c r="A145" s="56">
        <v>44803</v>
      </c>
      <c r="B145" s="4" t="s">
        <v>2939</v>
      </c>
      <c r="C145" s="4" t="s">
        <v>1394</v>
      </c>
      <c r="D145" s="4" t="s">
        <v>1395</v>
      </c>
      <c r="E145" s="1" t="s">
        <v>240</v>
      </c>
      <c r="F145" s="1" t="s">
        <v>2446</v>
      </c>
      <c r="G145" s="134" t="s">
        <v>341</v>
      </c>
      <c r="H145" s="15">
        <v>10000</v>
      </c>
      <c r="I145" s="2">
        <f>Tabla245678[[#This Row],[TOTAL FACTURA]]*0.7</f>
        <v>7000</v>
      </c>
      <c r="J145" s="139">
        <f t="shared" si="5"/>
        <v>3000</v>
      </c>
      <c r="K145" s="10"/>
      <c r="L145" s="11"/>
      <c r="M145" s="11">
        <f>Tabla245678[[#This Row],[MONTO DE COMPRA]]/1.19</f>
        <v>0</v>
      </c>
      <c r="N145" s="11">
        <f>Tabla245678[[#This Row],[Columna1]]*19%</f>
        <v>0</v>
      </c>
      <c r="O145" s="11"/>
      <c r="P145" s="11">
        <f>Tabla245678[[#This Row],[VENTA ]]/1.19</f>
        <v>0</v>
      </c>
      <c r="Q145" s="11">
        <f>Tabla245678[[#This Row],[Columna2]]*19%</f>
        <v>0</v>
      </c>
      <c r="R145" s="11">
        <f>Tabla245678[[#This Row],[IVA VENTA ]]-Tabla245678[[#This Row],[IV COMPRA]]</f>
        <v>0</v>
      </c>
      <c r="S145" s="11">
        <f>(Tabla245678[[#This Row],[VENTA ]]-(Tabla245678[[#This Row],[MONTO DE COMPRA]]+Tabla245678[[#This Row],[DIFERENCIA IVA ]]))</f>
        <v>0</v>
      </c>
      <c r="T145" s="2"/>
      <c r="U145" s="1"/>
    </row>
    <row r="146" spans="1:21" x14ac:dyDescent="0.25">
      <c r="A146" s="56">
        <v>44803</v>
      </c>
      <c r="B146" s="4" t="s">
        <v>2940</v>
      </c>
      <c r="C146" s="4" t="s">
        <v>2941</v>
      </c>
      <c r="D146" s="4" t="s">
        <v>2943</v>
      </c>
      <c r="E146" s="1" t="s">
        <v>2942</v>
      </c>
      <c r="F146" s="1" t="s">
        <v>603</v>
      </c>
      <c r="G146" s="134" t="s">
        <v>2944</v>
      </c>
      <c r="H146" s="15">
        <v>60000</v>
      </c>
      <c r="I146" s="2">
        <v>50000</v>
      </c>
      <c r="J146" s="139">
        <f t="shared" si="5"/>
        <v>10000</v>
      </c>
      <c r="K146" s="10" t="s">
        <v>2945</v>
      </c>
      <c r="L146" s="11">
        <v>272000</v>
      </c>
      <c r="M146" s="11">
        <f>Tabla245678[[#This Row],[MONTO DE COMPRA]]/1.19</f>
        <v>228571.42857142858</v>
      </c>
      <c r="N146" s="11">
        <f>Tabla245678[[#This Row],[Columna1]]*19%</f>
        <v>43428.571428571428</v>
      </c>
      <c r="O146" s="11">
        <v>390000</v>
      </c>
      <c r="P146" s="11">
        <f>Tabla245678[[#This Row],[VENTA ]]/1.19</f>
        <v>327731.09243697481</v>
      </c>
      <c r="Q146" s="11">
        <f>Tabla245678[[#This Row],[Columna2]]*19%</f>
        <v>62268.907563025212</v>
      </c>
      <c r="R146" s="11">
        <f>Tabla245678[[#This Row],[IVA VENTA ]]-Tabla245678[[#This Row],[IV COMPRA]]</f>
        <v>18840.336134453784</v>
      </c>
      <c r="S146" s="11">
        <f>(Tabla245678[[#This Row],[VENTA ]]-(Tabla245678[[#This Row],[MONTO DE COMPRA]]+Tabla245678[[#This Row],[DIFERENCIA IVA ]]))</f>
        <v>99159.66386554623</v>
      </c>
      <c r="T146" s="2"/>
      <c r="U146" s="1"/>
    </row>
    <row r="147" spans="1:21" ht="30" x14ac:dyDescent="0.25">
      <c r="A147" s="56">
        <v>44803</v>
      </c>
      <c r="C147" s="4" t="s">
        <v>2946</v>
      </c>
      <c r="D147" s="4" t="s">
        <v>2948</v>
      </c>
      <c r="E147" s="1" t="s">
        <v>2947</v>
      </c>
      <c r="F147" s="1" t="s">
        <v>603</v>
      </c>
      <c r="G147" s="134" t="s">
        <v>2949</v>
      </c>
      <c r="H147" s="15">
        <v>100000</v>
      </c>
      <c r="I147" s="2">
        <f>Tabla245678[[#This Row],[TOTAL FACTURA]]*0.6</f>
        <v>60000</v>
      </c>
      <c r="J147" s="139">
        <f t="shared" si="5"/>
        <v>40000</v>
      </c>
      <c r="K147" s="10" t="s">
        <v>2950</v>
      </c>
      <c r="L147" s="11">
        <v>5400</v>
      </c>
      <c r="M147" s="11">
        <f>Tabla245678[[#This Row],[MONTO DE COMPRA]]/1.19</f>
        <v>4537.8151260504201</v>
      </c>
      <c r="N147" s="11">
        <f>Tabla245678[[#This Row],[Columna1]]*19%</f>
        <v>862.18487394957981</v>
      </c>
      <c r="O147" s="11">
        <v>13000</v>
      </c>
      <c r="P147" s="11">
        <f>Tabla245678[[#This Row],[VENTA ]]/1.19</f>
        <v>10924.36974789916</v>
      </c>
      <c r="Q147" s="11">
        <f>Tabla245678[[#This Row],[Columna2]]*19%</f>
        <v>2075.6302521008406</v>
      </c>
      <c r="R147" s="11">
        <f>Tabla245678[[#This Row],[IVA VENTA ]]-Tabla245678[[#This Row],[IV COMPRA]]</f>
        <v>1213.4453781512607</v>
      </c>
      <c r="S147" s="11">
        <f>(Tabla245678[[#This Row],[VENTA ]]-(Tabla245678[[#This Row],[MONTO DE COMPRA]]+Tabla245678[[#This Row],[DIFERENCIA IVA ]]))</f>
        <v>6386.5546218487398</v>
      </c>
      <c r="T147" s="2"/>
      <c r="U147" s="1"/>
    </row>
    <row r="148" spans="1:21" ht="30" x14ac:dyDescent="0.25">
      <c r="A148" s="56">
        <v>44803</v>
      </c>
      <c r="B148" s="4" t="s">
        <v>2951</v>
      </c>
      <c r="C148" s="4" t="s">
        <v>2952</v>
      </c>
      <c r="D148" s="4" t="s">
        <v>2953</v>
      </c>
      <c r="E148" s="1" t="s">
        <v>59</v>
      </c>
      <c r="F148" s="1" t="s">
        <v>2446</v>
      </c>
      <c r="G148" s="134" t="s">
        <v>2954</v>
      </c>
      <c r="H148" s="15">
        <v>60000</v>
      </c>
      <c r="I148" s="2">
        <f>Tabla245678[[#This Row],[TOTAL FACTURA]]*0.7</f>
        <v>42000</v>
      </c>
      <c r="J148" s="139">
        <f t="shared" si="5"/>
        <v>18000</v>
      </c>
      <c r="K148" s="10" t="s">
        <v>2955</v>
      </c>
      <c r="L148" s="11">
        <f>225000+1000+9000+9000+3000</f>
        <v>247000</v>
      </c>
      <c r="M148" s="11">
        <f>Tabla245678[[#This Row],[MONTO DE COMPRA]]/1.19</f>
        <v>207563.02521008404</v>
      </c>
      <c r="N148" s="11">
        <f>Tabla245678[[#This Row],[Columna1]]*19%</f>
        <v>39436.97478991597</v>
      </c>
      <c r="O148" s="11">
        <v>352000</v>
      </c>
      <c r="P148" s="11">
        <f>Tabla245678[[#This Row],[VENTA ]]/1.19</f>
        <v>295798.31932773109</v>
      </c>
      <c r="Q148" s="11">
        <f>Tabla245678[[#This Row],[Columna2]]*19%</f>
        <v>56201.680672268907</v>
      </c>
      <c r="R148" s="11">
        <f>Tabla245678[[#This Row],[IVA VENTA ]]-Tabla245678[[#This Row],[IV COMPRA]]</f>
        <v>16764.705882352937</v>
      </c>
      <c r="S148" s="11">
        <f>(Tabla245678[[#This Row],[VENTA ]]-(Tabla245678[[#This Row],[MONTO DE COMPRA]]+Tabla245678[[#This Row],[DIFERENCIA IVA ]]))</f>
        <v>88235.294117647049</v>
      </c>
      <c r="T148" s="2"/>
      <c r="U148" s="1"/>
    </row>
    <row r="149" spans="1:21" ht="43.5" customHeight="1" x14ac:dyDescent="0.25">
      <c r="A149" s="56">
        <v>44804</v>
      </c>
      <c r="B149" s="4" t="s">
        <v>2960</v>
      </c>
      <c r="C149" s="4" t="s">
        <v>2228</v>
      </c>
      <c r="D149" s="4" t="s">
        <v>2961</v>
      </c>
      <c r="E149" s="1" t="s">
        <v>168</v>
      </c>
      <c r="F149" s="1" t="s">
        <v>2446</v>
      </c>
      <c r="G149" s="134" t="s">
        <v>2986</v>
      </c>
      <c r="H149" s="15">
        <v>90000</v>
      </c>
      <c r="I149" s="2">
        <f>Tabla245678[[#This Row],[TOTAL FACTURA]]*0.7</f>
        <v>62999.999999999993</v>
      </c>
      <c r="J149" s="139">
        <f>H149-I149</f>
        <v>27000.000000000007</v>
      </c>
      <c r="K149" s="10"/>
      <c r="L149" s="11"/>
      <c r="M149" s="11"/>
      <c r="N149" s="11">
        <f>Tabla245678[[#This Row],[Columna1]]*19%</f>
        <v>0</v>
      </c>
      <c r="O149" s="11"/>
      <c r="P149" s="11"/>
      <c r="Q149" s="11">
        <f>Tabla245678[[#This Row],[Columna2]]*19%</f>
        <v>0</v>
      </c>
      <c r="R149" s="11">
        <f>Tabla245678[[#This Row],[IVA VENTA ]]-Tabla245678[[#This Row],[IV COMPRA]]</f>
        <v>0</v>
      </c>
      <c r="S149" s="11">
        <f>(Tabla245678[[#This Row],[VENTA ]]-(Tabla245678[[#This Row],[MONTO DE COMPRA]]+Tabla245678[[#This Row],[DIFERENCIA IVA ]]))</f>
        <v>0</v>
      </c>
      <c r="T149" s="2"/>
      <c r="U149" s="1"/>
    </row>
    <row r="150" spans="1:21" ht="37.5" customHeight="1" x14ac:dyDescent="0.25">
      <c r="A150" s="56">
        <v>44804</v>
      </c>
      <c r="B150" s="4" t="s">
        <v>2960</v>
      </c>
      <c r="C150" s="4" t="s">
        <v>2228</v>
      </c>
      <c r="D150" s="4" t="s">
        <v>2961</v>
      </c>
      <c r="E150" s="1" t="s">
        <v>168</v>
      </c>
      <c r="F150" s="1" t="s">
        <v>10</v>
      </c>
      <c r="G150" s="134" t="s">
        <v>2962</v>
      </c>
      <c r="H150" s="15">
        <v>360000</v>
      </c>
      <c r="I150" s="2">
        <f>Tabla245678[[#This Row],[TOTAL FACTURA]]*0.7</f>
        <v>251999.99999999997</v>
      </c>
      <c r="J150" s="139">
        <f>H150-I150</f>
        <v>108000.00000000003</v>
      </c>
      <c r="K150" s="10" t="s">
        <v>2963</v>
      </c>
      <c r="L150" s="11">
        <f>385000+30000+15000</f>
        <v>430000</v>
      </c>
      <c r="M150" s="11"/>
      <c r="N150" s="11">
        <f>Tabla245678[[#This Row],[Columna1]]*19%</f>
        <v>0</v>
      </c>
      <c r="O150" s="11">
        <v>562500</v>
      </c>
      <c r="P150" s="11"/>
      <c r="Q150" s="11">
        <f>Tabla245678[[#This Row],[Columna2]]*19%</f>
        <v>0</v>
      </c>
      <c r="R150" s="11">
        <f>Tabla245678[[#This Row],[IVA VENTA ]]-Tabla245678[[#This Row],[IV COMPRA]]</f>
        <v>0</v>
      </c>
      <c r="S150" s="11">
        <f>(Tabla245678[[#This Row],[VENTA ]]-(Tabla245678[[#This Row],[MONTO DE COMPRA]]+Tabla245678[[#This Row],[DIFERENCIA IVA ]]))</f>
        <v>132500</v>
      </c>
      <c r="T150" s="2"/>
      <c r="U150" s="1"/>
    </row>
    <row r="151" spans="1:21" ht="45" x14ac:dyDescent="0.25">
      <c r="A151" s="56">
        <v>44805</v>
      </c>
      <c r="B151" s="4" t="s">
        <v>2964</v>
      </c>
      <c r="C151" s="4" t="s">
        <v>2965</v>
      </c>
      <c r="D151" s="4" t="s">
        <v>2966</v>
      </c>
      <c r="E151" s="1" t="s">
        <v>2392</v>
      </c>
      <c r="F151" s="1" t="s">
        <v>2446</v>
      </c>
      <c r="G151" s="134" t="s">
        <v>2967</v>
      </c>
      <c r="H151" s="15">
        <v>90000</v>
      </c>
      <c r="I151" s="2">
        <f>Tabla245678[[#This Row],[TOTAL FACTURA]]*0.7</f>
        <v>62999.999999999993</v>
      </c>
      <c r="J151" s="139">
        <f t="shared" si="5"/>
        <v>27000.000000000007</v>
      </c>
      <c r="K151" s="10" t="s">
        <v>2968</v>
      </c>
      <c r="L151" s="11">
        <f>9000+3000+500+5500</f>
        <v>18000</v>
      </c>
      <c r="M151" s="11">
        <f>Tabla245678[[#This Row],[MONTO DE COMPRA]]/1.19</f>
        <v>15126.050420168069</v>
      </c>
      <c r="N151" s="11">
        <f>Tabla245678[[#This Row],[Columna1]]*19%</f>
        <v>2873.9495798319331</v>
      </c>
      <c r="O151" s="11">
        <v>41600</v>
      </c>
      <c r="P151" s="11">
        <f>Tabla245678[[#This Row],[VENTA ]]/1.19</f>
        <v>34957.983193277316</v>
      </c>
      <c r="Q151" s="11">
        <f>Tabla245678[[#This Row],[Columna2]]*19%</f>
        <v>6642.0168067226905</v>
      </c>
      <c r="R151" s="11">
        <f>Tabla245678[[#This Row],[IVA VENTA ]]-Tabla245678[[#This Row],[IV COMPRA]]</f>
        <v>3768.0672268907574</v>
      </c>
      <c r="S151" s="11">
        <f>(Tabla245678[[#This Row],[VENTA ]]-(Tabla245678[[#This Row],[MONTO DE COMPRA]]+Tabla245678[[#This Row],[DIFERENCIA IVA ]]))</f>
        <v>19831.932773109242</v>
      </c>
      <c r="T151" s="2"/>
      <c r="U151" s="1"/>
    </row>
    <row r="152" spans="1:21" x14ac:dyDescent="0.25">
      <c r="A152" s="56">
        <v>44806</v>
      </c>
      <c r="B152" s="4" t="s">
        <v>2969</v>
      </c>
      <c r="C152" s="4" t="s">
        <v>2970</v>
      </c>
      <c r="D152" s="4" t="s">
        <v>1719</v>
      </c>
      <c r="E152" s="1" t="s">
        <v>2631</v>
      </c>
      <c r="F152" s="1" t="s">
        <v>603</v>
      </c>
      <c r="G152" s="134" t="s">
        <v>2598</v>
      </c>
      <c r="H152" s="15">
        <v>40000</v>
      </c>
      <c r="I152" s="2">
        <f>Tabla245678[[#This Row],[TOTAL FACTURA]]*0.6</f>
        <v>24000</v>
      </c>
      <c r="J152" s="139">
        <f t="shared" si="5"/>
        <v>16000</v>
      </c>
      <c r="K152" s="10"/>
      <c r="L152" s="11"/>
      <c r="M152" s="11">
        <f>Tabla245678[[#This Row],[MONTO DE COMPRA]]/1.19</f>
        <v>0</v>
      </c>
      <c r="N152" s="11">
        <f>Tabla245678[[#This Row],[Columna1]]*19%</f>
        <v>0</v>
      </c>
      <c r="O152" s="11"/>
      <c r="P152" s="11">
        <f>Tabla245678[[#This Row],[VENTA ]]/1.19</f>
        <v>0</v>
      </c>
      <c r="Q152" s="11">
        <f>Tabla245678[[#This Row],[Columna2]]*19%</f>
        <v>0</v>
      </c>
      <c r="R152" s="11">
        <f>Tabla245678[[#This Row],[IVA VENTA ]]-Tabla245678[[#This Row],[IV COMPRA]]</f>
        <v>0</v>
      </c>
      <c r="S152" s="11">
        <f>(Tabla245678[[#This Row],[VENTA ]]-(Tabla245678[[#This Row],[MONTO DE COMPRA]]+Tabla245678[[#This Row],[DIFERENCIA IVA ]]))</f>
        <v>0</v>
      </c>
      <c r="T152" s="2"/>
      <c r="U152" s="1"/>
    </row>
    <row r="153" spans="1:21" ht="36" customHeight="1" x14ac:dyDescent="0.25">
      <c r="A153" s="56">
        <v>44806</v>
      </c>
      <c r="B153" s="4" t="s">
        <v>2971</v>
      </c>
      <c r="C153" s="4" t="s">
        <v>720</v>
      </c>
      <c r="D153" s="4" t="s">
        <v>633</v>
      </c>
      <c r="E153" s="1" t="s">
        <v>240</v>
      </c>
      <c r="F153" s="1" t="s">
        <v>2446</v>
      </c>
      <c r="G153" s="134" t="s">
        <v>2972</v>
      </c>
      <c r="H153" s="15">
        <v>30000</v>
      </c>
      <c r="I153" s="2">
        <f>Tabla245678[[#This Row],[TOTAL FACTURA]]*0.7</f>
        <v>21000</v>
      </c>
      <c r="J153" s="139">
        <f t="shared" si="5"/>
        <v>9000</v>
      </c>
      <c r="K153" s="10" t="s">
        <v>2973</v>
      </c>
      <c r="L153" s="11">
        <v>10000</v>
      </c>
      <c r="M153" s="11"/>
      <c r="N153" s="11">
        <f>Tabla245678[[#This Row],[Columna1]]*19%</f>
        <v>0</v>
      </c>
      <c r="O153" s="11">
        <v>30000</v>
      </c>
      <c r="P153" s="11"/>
      <c r="Q153" s="11">
        <f>Tabla245678[[#This Row],[Columna2]]*19%</f>
        <v>0</v>
      </c>
      <c r="R153" s="11">
        <f>Tabla245678[[#This Row],[IVA VENTA ]]-Tabla245678[[#This Row],[IV COMPRA]]</f>
        <v>0</v>
      </c>
      <c r="S153" s="11">
        <f>(Tabla245678[[#This Row],[VENTA ]]-(Tabla245678[[#This Row],[MONTO DE COMPRA]]+Tabla245678[[#This Row],[DIFERENCIA IVA ]]))</f>
        <v>20000</v>
      </c>
      <c r="T153" s="2"/>
      <c r="U153" s="1"/>
    </row>
    <row r="154" spans="1:21" ht="37.5" customHeight="1" x14ac:dyDescent="0.25">
      <c r="A154" s="56">
        <v>44806</v>
      </c>
      <c r="B154" s="4" t="s">
        <v>2974</v>
      </c>
      <c r="C154" s="4" t="s">
        <v>2975</v>
      </c>
      <c r="D154" s="4" t="s">
        <v>2976</v>
      </c>
      <c r="E154" s="1" t="s">
        <v>59</v>
      </c>
      <c r="F154" s="1" t="s">
        <v>2446</v>
      </c>
      <c r="G154" s="134" t="s">
        <v>2977</v>
      </c>
      <c r="H154" s="15">
        <v>160000</v>
      </c>
      <c r="I154" s="2">
        <f>Tabla245678[[#This Row],[TOTAL FACTURA]]*0.7</f>
        <v>112000</v>
      </c>
      <c r="J154" s="139">
        <f t="shared" si="5"/>
        <v>48000</v>
      </c>
      <c r="K154" s="10" t="s">
        <v>2978</v>
      </c>
      <c r="L154" s="11">
        <f>200000+24000</f>
        <v>224000</v>
      </c>
      <c r="M154" s="11">
        <f>Tabla245678[[#This Row],[MONTO DE COMPRA]]/1.19</f>
        <v>188235.29411764708</v>
      </c>
      <c r="N154" s="11">
        <f>Tabla245678[[#This Row],[Columna1]]*19%</f>
        <v>35764.705882352944</v>
      </c>
      <c r="O154" s="11">
        <v>340000</v>
      </c>
      <c r="P154" s="11">
        <f>Tabla245678[[#This Row],[VENTA ]]/1.19</f>
        <v>285714.28571428574</v>
      </c>
      <c r="Q154" s="11">
        <f>Tabla245678[[#This Row],[Columna2]]*19%</f>
        <v>54285.71428571429</v>
      </c>
      <c r="R154" s="11">
        <f>Tabla245678[[#This Row],[IVA VENTA ]]-Tabla245678[[#This Row],[IV COMPRA]]</f>
        <v>18521.008403361346</v>
      </c>
      <c r="S154" s="11">
        <f>(Tabla245678[[#This Row],[VENTA ]]-(Tabla245678[[#This Row],[MONTO DE COMPRA]]+Tabla245678[[#This Row],[DIFERENCIA IVA ]]))</f>
        <v>97478.991596638662</v>
      </c>
      <c r="T154" s="2"/>
      <c r="U154" s="1"/>
    </row>
    <row r="155" spans="1:21" ht="30" x14ac:dyDescent="0.25">
      <c r="A155" s="56">
        <v>44806</v>
      </c>
      <c r="B155" s="4" t="s">
        <v>2981</v>
      </c>
      <c r="C155" s="4" t="s">
        <v>2979</v>
      </c>
      <c r="D155" s="4" t="s">
        <v>2980</v>
      </c>
      <c r="E155" s="1" t="s">
        <v>2856</v>
      </c>
      <c r="F155" s="1" t="s">
        <v>2446</v>
      </c>
      <c r="G155" s="134" t="s">
        <v>3228</v>
      </c>
      <c r="H155" s="15">
        <v>170000</v>
      </c>
      <c r="I155" s="2">
        <f>Tabla245678[[#This Row],[TOTAL FACTURA]]*0.7</f>
        <v>118999.99999999999</v>
      </c>
      <c r="J155" s="139">
        <f>H155-I155</f>
        <v>51000.000000000015</v>
      </c>
      <c r="K155" s="10" t="s">
        <v>2983</v>
      </c>
      <c r="L155" s="11">
        <f>190000</f>
        <v>190000</v>
      </c>
      <c r="M155" s="11"/>
      <c r="N155" s="11"/>
      <c r="O155" s="11">
        <f>290000+40000</f>
        <v>330000</v>
      </c>
      <c r="P155" s="11"/>
      <c r="Q155" s="11"/>
      <c r="R155" s="11"/>
      <c r="S155" s="11">
        <f>(Tabla245678[[#This Row],[VENTA ]]-(Tabla245678[[#This Row],[MONTO DE COMPRA]]+Tabla245678[[#This Row],[DIFERENCIA IVA ]]))</f>
        <v>140000</v>
      </c>
      <c r="T155" s="2"/>
      <c r="U155" s="1"/>
    </row>
    <row r="156" spans="1:21" x14ac:dyDescent="0.25">
      <c r="A156" s="56">
        <v>44806</v>
      </c>
      <c r="C156" s="4"/>
      <c r="D156" s="4"/>
      <c r="E156" s="1" t="s">
        <v>566</v>
      </c>
      <c r="F156" s="1"/>
      <c r="G156" s="134" t="s">
        <v>374</v>
      </c>
      <c r="H156" s="15"/>
      <c r="I156" s="2">
        <v>200000</v>
      </c>
      <c r="J156" s="2">
        <f>H156-I156</f>
        <v>-200000</v>
      </c>
      <c r="K156" s="10"/>
      <c r="L156" s="11"/>
      <c r="M156" s="11">
        <f>Tabla245678[[#This Row],[MONTO DE COMPRA]]/1.19</f>
        <v>0</v>
      </c>
      <c r="N156" s="11">
        <f>Tabla245678[[#This Row],[Columna1]]*19%</f>
        <v>0</v>
      </c>
      <c r="O156" s="11"/>
      <c r="P156" s="11">
        <f>Tabla245678[[#This Row],[VENTA ]]/1.19</f>
        <v>0</v>
      </c>
      <c r="Q156" s="11">
        <f>Tabla245678[[#This Row],[Columna2]]*19%</f>
        <v>0</v>
      </c>
      <c r="R156" s="11">
        <f>Tabla245678[[#This Row],[IVA VENTA ]]-Tabla245678[[#This Row],[IV COMPRA]]</f>
        <v>0</v>
      </c>
      <c r="S156" s="11">
        <f>(Tabla245678[[#This Row],[VENTA ]]-(Tabla245678[[#This Row],[MONTO DE COMPRA]]+Tabla245678[[#This Row],[DIFERENCIA IVA ]]))</f>
        <v>0</v>
      </c>
      <c r="T156" s="2"/>
      <c r="U156" s="1"/>
    </row>
    <row r="157" spans="1:21" x14ac:dyDescent="0.25">
      <c r="A157" s="56">
        <v>44806</v>
      </c>
      <c r="B157" s="4" t="s">
        <v>2981</v>
      </c>
      <c r="C157" s="4" t="s">
        <v>2979</v>
      </c>
      <c r="D157" s="4" t="s">
        <v>2980</v>
      </c>
      <c r="E157" s="1" t="s">
        <v>2856</v>
      </c>
      <c r="F157" s="1" t="s">
        <v>10</v>
      </c>
      <c r="G157" s="10" t="s">
        <v>2982</v>
      </c>
      <c r="H157" s="11">
        <v>310000</v>
      </c>
      <c r="I157" s="2">
        <f>Tabla245678[[#This Row],[TOTAL FACTURA]]*0.7</f>
        <v>217000</v>
      </c>
      <c r="J157" s="139">
        <f t="shared" ref="J157" si="6">H157-I157</f>
        <v>93000</v>
      </c>
      <c r="K157" s="1" t="s">
        <v>2984</v>
      </c>
      <c r="L157" s="11">
        <f>196000+40000+10000</f>
        <v>246000</v>
      </c>
      <c r="M157" s="11"/>
      <c r="N157" s="11"/>
      <c r="O157" s="11">
        <f>190000+120000+10000+150000</f>
        <v>470000</v>
      </c>
      <c r="P157" s="11"/>
      <c r="Q157" s="11"/>
      <c r="R157" s="11"/>
      <c r="S157" s="11">
        <f>(Tabla245678[[#This Row],[VENTA ]]-(Tabla245678[[#This Row],[MONTO DE COMPRA]]+Tabla245678[[#This Row],[DIFERENCIA IVA ]]))</f>
        <v>224000</v>
      </c>
      <c r="T157" s="11"/>
      <c r="U157" s="1"/>
    </row>
    <row r="158" spans="1:21" x14ac:dyDescent="0.25">
      <c r="A158" s="56">
        <v>44807</v>
      </c>
      <c r="B158" s="4" t="s">
        <v>2987</v>
      </c>
      <c r="C158" s="4" t="s">
        <v>2988</v>
      </c>
      <c r="D158" s="4" t="s">
        <v>2989</v>
      </c>
      <c r="E158" s="1" t="s">
        <v>213</v>
      </c>
      <c r="F158" s="1" t="s">
        <v>2446</v>
      </c>
      <c r="G158" s="10" t="s">
        <v>2990</v>
      </c>
      <c r="H158" s="11">
        <v>50000</v>
      </c>
      <c r="I158" s="2">
        <f>Tabla245678[[#This Row],[TOTAL FACTURA]]*0.7</f>
        <v>35000</v>
      </c>
      <c r="J158" s="139">
        <f t="shared" ref="J158:J169" si="7">H158-I158</f>
        <v>15000</v>
      </c>
      <c r="K158" s="1" t="s">
        <v>2991</v>
      </c>
      <c r="L158" s="11">
        <v>10000</v>
      </c>
      <c r="M158" s="11">
        <f>Tabla245678[[#This Row],[MONTO DE COMPRA]]/1.19</f>
        <v>8403.361344537816</v>
      </c>
      <c r="N158" s="11">
        <f>Tabla245678[[#This Row],[Columna1]]*19%</f>
        <v>1596.6386554621849</v>
      </c>
      <c r="O158" s="11">
        <v>20000</v>
      </c>
      <c r="P158" s="11">
        <f>Tabla245678[[#This Row],[VENTA ]]/1.19</f>
        <v>16806.722689075632</v>
      </c>
      <c r="Q158" s="11">
        <f>Tabla245678[[#This Row],[Columna2]]*19%</f>
        <v>3193.2773109243699</v>
      </c>
      <c r="R158" s="11">
        <f>Tabla245678[[#This Row],[IVA VENTA ]]-Tabla245678[[#This Row],[IV COMPRA]]</f>
        <v>1596.6386554621849</v>
      </c>
      <c r="S158" s="11">
        <f>(Tabla245678[[#This Row],[VENTA ]]-(Tabla245678[[#This Row],[MONTO DE COMPRA]]+Tabla245678[[#This Row],[DIFERENCIA IVA ]]))</f>
        <v>8403.3613445378141</v>
      </c>
      <c r="T158" s="11"/>
      <c r="U158" s="1"/>
    </row>
    <row r="159" spans="1:21" x14ac:dyDescent="0.25">
      <c r="A159" s="56">
        <v>44807</v>
      </c>
      <c r="C159" s="4"/>
      <c r="D159" s="4" t="s">
        <v>2025</v>
      </c>
      <c r="F159" s="1" t="s">
        <v>603</v>
      </c>
      <c r="G159" s="10" t="s">
        <v>1026</v>
      </c>
      <c r="H159" s="11"/>
      <c r="I159" s="2">
        <v>20000</v>
      </c>
      <c r="J159" s="139">
        <f t="shared" si="7"/>
        <v>-20000</v>
      </c>
      <c r="L159" s="11"/>
      <c r="M159" s="11">
        <f>Tabla245678[[#This Row],[MONTO DE COMPRA]]/1.19</f>
        <v>0</v>
      </c>
      <c r="N159" s="11">
        <f>Tabla245678[[#This Row],[Columna1]]*19%</f>
        <v>0</v>
      </c>
      <c r="O159" s="11"/>
      <c r="P159" s="11">
        <f>Tabla245678[[#This Row],[VENTA ]]/1.19</f>
        <v>0</v>
      </c>
      <c r="Q159" s="11">
        <f>Tabla245678[[#This Row],[Columna2]]*19%</f>
        <v>0</v>
      </c>
      <c r="R159" s="11">
        <f>Tabla245678[[#This Row],[IVA VENTA ]]-Tabla245678[[#This Row],[IV COMPRA]]</f>
        <v>0</v>
      </c>
      <c r="S159" s="11">
        <f>(Tabla245678[[#This Row],[VENTA ]]-(Tabla245678[[#This Row],[MONTO DE COMPRA]]+Tabla245678[[#This Row],[DIFERENCIA IVA ]]))</f>
        <v>0</v>
      </c>
      <c r="T159" s="11"/>
      <c r="U159" s="1"/>
    </row>
    <row r="160" spans="1:21" x14ac:dyDescent="0.25">
      <c r="A160" s="56">
        <v>44807</v>
      </c>
      <c r="B160" s="4" t="s">
        <v>1539</v>
      </c>
      <c r="C160" s="4" t="s">
        <v>2992</v>
      </c>
      <c r="D160" s="4" t="s">
        <v>2994</v>
      </c>
      <c r="E160" s="1" t="s">
        <v>2993</v>
      </c>
      <c r="F160" s="1" t="s">
        <v>2446</v>
      </c>
      <c r="G160" s="10" t="s">
        <v>2995</v>
      </c>
      <c r="H160" s="11">
        <v>80000</v>
      </c>
      <c r="I160" s="2">
        <f>Tabla245678[[#This Row],[TOTAL FACTURA]]*0.7</f>
        <v>56000</v>
      </c>
      <c r="J160" s="139">
        <f t="shared" si="7"/>
        <v>24000</v>
      </c>
      <c r="K160" s="1" t="s">
        <v>2996</v>
      </c>
      <c r="L160" s="11">
        <v>500</v>
      </c>
      <c r="M160" s="11">
        <f>Tabla245678[[#This Row],[MONTO DE COMPRA]]/1.19</f>
        <v>420.1680672268908</v>
      </c>
      <c r="N160" s="11">
        <f>Tabla245678[[#This Row],[Columna1]]*19%</f>
        <v>79.831932773109259</v>
      </c>
      <c r="O160" s="11">
        <v>1000</v>
      </c>
      <c r="P160" s="11">
        <f>Tabla245678[[#This Row],[VENTA ]]/1.19</f>
        <v>840.3361344537816</v>
      </c>
      <c r="Q160" s="11">
        <f>Tabla245678[[#This Row],[Columna2]]*19%</f>
        <v>159.66386554621852</v>
      </c>
      <c r="R160" s="11">
        <f>Tabla245678[[#This Row],[IVA VENTA ]]-Tabla245678[[#This Row],[IV COMPRA]]</f>
        <v>79.831932773109259</v>
      </c>
      <c r="S160" s="11">
        <f>(Tabla245678[[#This Row],[VENTA ]]-(Tabla245678[[#This Row],[MONTO DE COMPRA]]+Tabla245678[[#This Row],[DIFERENCIA IVA ]]))</f>
        <v>420.1680672268908</v>
      </c>
      <c r="T160" s="11"/>
      <c r="U160" s="1"/>
    </row>
    <row r="161" spans="1:20" s="1" customFormat="1" x14ac:dyDescent="0.25">
      <c r="A161" s="56"/>
      <c r="B161" s="4"/>
      <c r="C161" s="145"/>
      <c r="D161" s="4"/>
      <c r="E161" s="1" t="s">
        <v>59</v>
      </c>
      <c r="F161" s="1" t="s">
        <v>2446</v>
      </c>
      <c r="G161" s="10" t="s">
        <v>21</v>
      </c>
      <c r="H161" s="15">
        <v>10000</v>
      </c>
      <c r="I161" s="2">
        <f>Tabla245678[[#This Row],[TOTAL FACTURA]]*0.7</f>
        <v>7000</v>
      </c>
      <c r="J161" s="146">
        <f>H161-I161</f>
        <v>3000</v>
      </c>
      <c r="K161" s="10"/>
      <c r="L161" s="11"/>
      <c r="M161" s="11">
        <f>Tabla245678[[#This Row],[MONTO DE COMPRA]]/1.19</f>
        <v>0</v>
      </c>
      <c r="N161" s="11">
        <f>Tabla245678[[#This Row],[Columna1]]*19%</f>
        <v>0</v>
      </c>
      <c r="O161" s="11"/>
      <c r="P161" s="11">
        <f>Tabla245678[[#This Row],[VENTA ]]/1.19</f>
        <v>0</v>
      </c>
      <c r="Q161" s="11">
        <f>Tabla245678[[#This Row],[Columna2]]*19%</f>
        <v>0</v>
      </c>
      <c r="R161" s="11">
        <f>Tabla245678[[#This Row],[IVA VENTA ]]-Tabla245678[[#This Row],[IV COMPRA]]</f>
        <v>0</v>
      </c>
      <c r="S161" s="11">
        <f>(Tabla245678[[#This Row],[VENTA ]]-(Tabla245678[[#This Row],[MONTO DE COMPRA]]+Tabla245678[[#This Row],[DIFERENCIA IVA ]]))</f>
        <v>0</v>
      </c>
      <c r="T161" s="11"/>
    </row>
    <row r="162" spans="1:20" s="1" customFormat="1" x14ac:dyDescent="0.25">
      <c r="A162" s="56">
        <v>44807</v>
      </c>
      <c r="B162" s="4" t="s">
        <v>2997</v>
      </c>
      <c r="C162" s="4" t="s">
        <v>2998</v>
      </c>
      <c r="D162" s="4" t="s">
        <v>3000</v>
      </c>
      <c r="E162" s="1" t="s">
        <v>2999</v>
      </c>
      <c r="F162" s="1" t="s">
        <v>2446</v>
      </c>
      <c r="G162" s="10" t="s">
        <v>3001</v>
      </c>
      <c r="H162" s="11">
        <v>60000</v>
      </c>
      <c r="I162" s="2">
        <f>Tabla245678[[#This Row],[TOTAL FACTURA]]*0.7</f>
        <v>42000</v>
      </c>
      <c r="J162" s="139">
        <f t="shared" si="7"/>
        <v>18000</v>
      </c>
      <c r="K162" s="1" t="s">
        <v>3002</v>
      </c>
      <c r="L162" s="11">
        <v>123000</v>
      </c>
      <c r="M162" s="11">
        <f>Tabla245678[[#This Row],[MONTO DE COMPRA]]/1.19</f>
        <v>103361.34453781514</v>
      </c>
      <c r="N162" s="11">
        <f>Tabla245678[[#This Row],[Columna1]]*19%</f>
        <v>19638.655462184877</v>
      </c>
      <c r="O162" s="11">
        <v>170000</v>
      </c>
      <c r="P162" s="11">
        <f>Tabla245678[[#This Row],[VENTA ]]/1.19</f>
        <v>142857.14285714287</v>
      </c>
      <c r="Q162" s="11">
        <f>Tabla245678[[#This Row],[Columna2]]*19%</f>
        <v>27142.857142857145</v>
      </c>
      <c r="R162" s="11">
        <f>Tabla245678[[#This Row],[IVA VENTA ]]-Tabla245678[[#This Row],[IV COMPRA]]</f>
        <v>7504.2016806722677</v>
      </c>
      <c r="S162" s="11">
        <f>(Tabla245678[[#This Row],[VENTA ]]-(Tabla245678[[#This Row],[MONTO DE COMPRA]]+Tabla245678[[#This Row],[DIFERENCIA IVA ]]))</f>
        <v>39495.798319327732</v>
      </c>
      <c r="T162" s="11"/>
    </row>
    <row r="163" spans="1:20" s="1" customFormat="1" x14ac:dyDescent="0.25">
      <c r="A163" s="56">
        <v>44807</v>
      </c>
      <c r="B163" s="4" t="s">
        <v>3003</v>
      </c>
      <c r="C163" s="4" t="s">
        <v>1702</v>
      </c>
      <c r="D163" s="4" t="s">
        <v>674</v>
      </c>
      <c r="E163" s="1" t="s">
        <v>3004</v>
      </c>
      <c r="F163" s="1" t="s">
        <v>603</v>
      </c>
      <c r="G163" s="10" t="s">
        <v>20</v>
      </c>
      <c r="H163" s="11">
        <v>40000</v>
      </c>
      <c r="I163" s="2">
        <f>Tabla245678[[#This Row],[TOTAL FACTURA]]*0.6</f>
        <v>24000</v>
      </c>
      <c r="J163" s="139">
        <f t="shared" si="7"/>
        <v>16000</v>
      </c>
      <c r="K163" s="1" t="s">
        <v>1585</v>
      </c>
      <c r="L163" s="11">
        <v>126000</v>
      </c>
      <c r="M163" s="11">
        <f>Tabla245678[[#This Row],[MONTO DE COMPRA]]/1.19</f>
        <v>105882.35294117648</v>
      </c>
      <c r="N163" s="11">
        <f>Tabla245678[[#This Row],[Columna1]]*19%</f>
        <v>20117.647058823532</v>
      </c>
      <c r="O163" s="11">
        <v>185000</v>
      </c>
      <c r="P163" s="11">
        <f>Tabla245678[[#This Row],[VENTA ]]/1.19</f>
        <v>155462.18487394959</v>
      </c>
      <c r="Q163" s="11">
        <f>Tabla245678[[#This Row],[Columna2]]*19%</f>
        <v>29537.815126050424</v>
      </c>
      <c r="R163" s="11">
        <f>Tabla245678[[#This Row],[IVA VENTA ]]-Tabla245678[[#This Row],[IV COMPRA]]</f>
        <v>9420.1680672268922</v>
      </c>
      <c r="S163" s="11">
        <f>(Tabla245678[[#This Row],[VENTA ]]-(Tabla245678[[#This Row],[MONTO DE COMPRA]]+Tabla245678[[#This Row],[DIFERENCIA IVA ]]))</f>
        <v>49579.831932773115</v>
      </c>
      <c r="T163" s="11"/>
    </row>
    <row r="164" spans="1:20" s="1" customFormat="1" ht="30" x14ac:dyDescent="0.25">
      <c r="A164" s="56">
        <v>44808</v>
      </c>
      <c r="B164" s="4" t="s">
        <v>3009</v>
      </c>
      <c r="C164" s="4" t="s">
        <v>3005</v>
      </c>
      <c r="D164" s="4" t="s">
        <v>3006</v>
      </c>
      <c r="E164" s="1" t="s">
        <v>136</v>
      </c>
      <c r="F164" s="1" t="s">
        <v>2446</v>
      </c>
      <c r="G164" s="10" t="s">
        <v>3007</v>
      </c>
      <c r="H164" s="11">
        <v>100000</v>
      </c>
      <c r="I164" s="2">
        <v>40000</v>
      </c>
      <c r="J164" s="139">
        <v>30000</v>
      </c>
      <c r="K164" s="1" t="s">
        <v>3008</v>
      </c>
      <c r="L164" s="11">
        <f>326058+82000</f>
        <v>408058</v>
      </c>
      <c r="M164" s="11">
        <f>Tabla245678[[#This Row],[MONTO DE COMPRA]]/1.19</f>
        <v>342905.8823529412</v>
      </c>
      <c r="N164" s="11">
        <f>Tabla245678[[#This Row],[Columna1]]*19%</f>
        <v>65152.117647058833</v>
      </c>
      <c r="O164" s="11">
        <v>700000</v>
      </c>
      <c r="P164" s="11">
        <f>Tabla245678[[#This Row],[VENTA ]]/1.19</f>
        <v>588235.29411764711</v>
      </c>
      <c r="Q164" s="11">
        <f>Tabla245678[[#This Row],[Columna2]]*19%</f>
        <v>111764.70588235295</v>
      </c>
      <c r="R164" s="11">
        <f>Tabla245678[[#This Row],[IVA VENTA ]]-Tabla245678[[#This Row],[IV COMPRA]]</f>
        <v>46612.588235294119</v>
      </c>
      <c r="S164" s="11">
        <f>(Tabla245678[[#This Row],[VENTA ]]-(Tabla245678[[#This Row],[MONTO DE COMPRA]]+Tabla245678[[#This Row],[DIFERENCIA IVA ]]))</f>
        <v>245329.4117647059</v>
      </c>
      <c r="T164" s="11"/>
    </row>
    <row r="165" spans="1:20" s="1" customFormat="1" x14ac:dyDescent="0.25">
      <c r="A165" s="56">
        <v>44809</v>
      </c>
      <c r="B165" s="4" t="s">
        <v>3010</v>
      </c>
      <c r="C165" s="4" t="s">
        <v>1702</v>
      </c>
      <c r="D165" s="4" t="s">
        <v>674</v>
      </c>
      <c r="E165" s="1" t="s">
        <v>574</v>
      </c>
      <c r="F165" s="1" t="s">
        <v>603</v>
      </c>
      <c r="G165" s="10" t="s">
        <v>3011</v>
      </c>
      <c r="H165" s="11">
        <v>80000</v>
      </c>
      <c r="I165" s="2">
        <f>Tabla245678[[#This Row],[TOTAL FACTURA]]*0.6</f>
        <v>48000</v>
      </c>
      <c r="J165" s="139">
        <f t="shared" si="7"/>
        <v>32000</v>
      </c>
      <c r="K165" s="1" t="s">
        <v>3012</v>
      </c>
      <c r="L165" s="11">
        <v>90000</v>
      </c>
      <c r="M165" s="11">
        <f>Tabla245678[[#This Row],[MONTO DE COMPRA]]/1.19</f>
        <v>75630.252100840342</v>
      </c>
      <c r="N165" s="11">
        <f>Tabla245678[[#This Row],[Columna1]]*19%</f>
        <v>14369.747899159665</v>
      </c>
      <c r="O165" s="11">
        <v>180000</v>
      </c>
      <c r="P165" s="11">
        <f>Tabla245678[[#This Row],[VENTA ]]/1.19</f>
        <v>151260.50420168068</v>
      </c>
      <c r="Q165" s="11">
        <f>Tabla245678[[#This Row],[Columna2]]*19%</f>
        <v>28739.495798319331</v>
      </c>
      <c r="R165" s="11">
        <f>Tabla245678[[#This Row],[IVA VENTA ]]-Tabla245678[[#This Row],[IV COMPRA]]</f>
        <v>14369.747899159665</v>
      </c>
      <c r="S165" s="11">
        <f>(Tabla245678[[#This Row],[VENTA ]]-(Tabla245678[[#This Row],[MONTO DE COMPRA]]+Tabla245678[[#This Row],[DIFERENCIA IVA ]]))</f>
        <v>75630.252100840327</v>
      </c>
      <c r="T165" s="11"/>
    </row>
    <row r="166" spans="1:20" s="1" customFormat="1" x14ac:dyDescent="0.25">
      <c r="A166" s="56">
        <v>44809</v>
      </c>
      <c r="B166" s="4"/>
      <c r="C166" s="4"/>
      <c r="D166" s="4" t="s">
        <v>3013</v>
      </c>
      <c r="E166" s="1" t="s">
        <v>48</v>
      </c>
      <c r="F166" s="1" t="s">
        <v>2446</v>
      </c>
      <c r="G166" s="10" t="s">
        <v>21</v>
      </c>
      <c r="H166" s="11">
        <v>10000</v>
      </c>
      <c r="I166" s="2">
        <f>Tabla245678[[#This Row],[TOTAL FACTURA]]*0.7</f>
        <v>7000</v>
      </c>
      <c r="J166" s="139">
        <f t="shared" si="7"/>
        <v>3000</v>
      </c>
      <c r="L166" s="11"/>
      <c r="M166" s="11">
        <f>Tabla245678[[#This Row],[MONTO DE COMPRA]]/1.19</f>
        <v>0</v>
      </c>
      <c r="N166" s="11">
        <f>Tabla245678[[#This Row],[Columna1]]*19%</f>
        <v>0</v>
      </c>
      <c r="O166" s="11"/>
      <c r="P166" s="11">
        <f>Tabla245678[[#This Row],[VENTA ]]/1.19</f>
        <v>0</v>
      </c>
      <c r="Q166" s="11">
        <f>Tabla245678[[#This Row],[Columna2]]*19%</f>
        <v>0</v>
      </c>
      <c r="R166" s="11">
        <f>Tabla245678[[#This Row],[IVA VENTA ]]-Tabla245678[[#This Row],[IV COMPRA]]</f>
        <v>0</v>
      </c>
      <c r="S166" s="11">
        <f>(Tabla245678[[#This Row],[VENTA ]]-(Tabla245678[[#This Row],[MONTO DE COMPRA]]+Tabla245678[[#This Row],[DIFERENCIA IVA ]]))</f>
        <v>0</v>
      </c>
      <c r="T166" s="11"/>
    </row>
    <row r="167" spans="1:20" s="1" customFormat="1" x14ac:dyDescent="0.25">
      <c r="A167" s="56">
        <v>44809</v>
      </c>
      <c r="B167" s="4" t="s">
        <v>3014</v>
      </c>
      <c r="C167" s="4" t="s">
        <v>2946</v>
      </c>
      <c r="D167" s="4" t="s">
        <v>3016</v>
      </c>
      <c r="E167" s="1" t="s">
        <v>3015</v>
      </c>
      <c r="F167" s="1" t="s">
        <v>603</v>
      </c>
      <c r="G167" s="10" t="s">
        <v>3017</v>
      </c>
      <c r="H167" s="11">
        <v>110000</v>
      </c>
      <c r="I167" s="2">
        <f>Tabla245678[[#This Row],[TOTAL FACTURA]]*0.6</f>
        <v>66000</v>
      </c>
      <c r="J167" s="139">
        <f t="shared" si="7"/>
        <v>44000</v>
      </c>
      <c r="L167" s="11"/>
      <c r="M167" s="11">
        <f>Tabla245678[[#This Row],[MONTO DE COMPRA]]/1.19</f>
        <v>0</v>
      </c>
      <c r="N167" s="11">
        <f>Tabla245678[[#This Row],[Columna1]]*19%</f>
        <v>0</v>
      </c>
      <c r="O167" s="11"/>
      <c r="P167" s="11">
        <f>Tabla245678[[#This Row],[VENTA ]]/1.19</f>
        <v>0</v>
      </c>
      <c r="Q167" s="11">
        <f>Tabla245678[[#This Row],[Columna2]]*19%</f>
        <v>0</v>
      </c>
      <c r="R167" s="11">
        <f>Tabla245678[[#This Row],[IVA VENTA ]]-Tabla245678[[#This Row],[IV COMPRA]]</f>
        <v>0</v>
      </c>
      <c r="S167" s="11">
        <f>(Tabla245678[[#This Row],[VENTA ]]-(Tabla245678[[#This Row],[MONTO DE COMPRA]]+Tabla245678[[#This Row],[DIFERENCIA IVA ]]))</f>
        <v>0</v>
      </c>
      <c r="T167" s="11"/>
    </row>
    <row r="168" spans="1:20" s="1" customFormat="1" x14ac:dyDescent="0.25">
      <c r="A168" s="56">
        <v>44809</v>
      </c>
      <c r="B168" s="4" t="s">
        <v>3014</v>
      </c>
      <c r="C168" s="4" t="s">
        <v>2946</v>
      </c>
      <c r="D168" s="4" t="s">
        <v>3019</v>
      </c>
      <c r="E168" s="1" t="s">
        <v>122</v>
      </c>
      <c r="F168" s="1" t="s">
        <v>603</v>
      </c>
      <c r="G168" s="10" t="s">
        <v>3018</v>
      </c>
      <c r="H168" s="11">
        <v>110000</v>
      </c>
      <c r="I168" s="2">
        <f>Tabla245678[[#This Row],[TOTAL FACTURA]]*0.6</f>
        <v>66000</v>
      </c>
      <c r="J168" s="139">
        <f t="shared" si="7"/>
        <v>44000</v>
      </c>
      <c r="L168" s="11"/>
      <c r="M168" s="11">
        <f>Tabla245678[[#This Row],[MONTO DE COMPRA]]/1.19</f>
        <v>0</v>
      </c>
      <c r="N168" s="11">
        <f>Tabla245678[[#This Row],[Columna1]]*19%</f>
        <v>0</v>
      </c>
      <c r="O168" s="11"/>
      <c r="P168" s="11">
        <f>Tabla245678[[#This Row],[VENTA ]]/1.19</f>
        <v>0</v>
      </c>
      <c r="Q168" s="11">
        <f>Tabla245678[[#This Row],[Columna2]]*19%</f>
        <v>0</v>
      </c>
      <c r="R168" s="11">
        <f>Tabla245678[[#This Row],[IVA VENTA ]]-Tabla245678[[#This Row],[IV COMPRA]]</f>
        <v>0</v>
      </c>
      <c r="S168" s="11">
        <f>(Tabla245678[[#This Row],[VENTA ]]-(Tabla245678[[#This Row],[MONTO DE COMPRA]]+Tabla245678[[#This Row],[DIFERENCIA IVA ]]))</f>
        <v>0</v>
      </c>
      <c r="T168" s="11"/>
    </row>
    <row r="169" spans="1:20" s="1" customFormat="1" x14ac:dyDescent="0.25">
      <c r="A169" s="56">
        <v>44810</v>
      </c>
      <c r="B169" s="4" t="s">
        <v>3020</v>
      </c>
      <c r="C169" s="4" t="s">
        <v>3021</v>
      </c>
      <c r="D169" s="4" t="s">
        <v>3022</v>
      </c>
      <c r="E169" s="1" t="s">
        <v>122</v>
      </c>
      <c r="F169" s="1" t="s">
        <v>603</v>
      </c>
      <c r="G169" s="10" t="s">
        <v>74</v>
      </c>
      <c r="H169" s="11">
        <v>30000</v>
      </c>
      <c r="I169" s="2">
        <f>Tabla245678[[#This Row],[TOTAL FACTURA]]*0.6</f>
        <v>18000</v>
      </c>
      <c r="J169" s="139">
        <f t="shared" si="7"/>
        <v>12000</v>
      </c>
      <c r="K169" s="1" t="s">
        <v>3023</v>
      </c>
      <c r="L169" s="11">
        <v>2000</v>
      </c>
      <c r="M169" s="11">
        <f>Tabla245678[[#This Row],[MONTO DE COMPRA]]/1.19</f>
        <v>1680.6722689075632</v>
      </c>
      <c r="N169" s="11">
        <f>Tabla245678[[#This Row],[Columna1]]*19%</f>
        <v>319.32773109243703</v>
      </c>
      <c r="O169" s="11">
        <v>3500</v>
      </c>
      <c r="P169" s="11">
        <f>Tabla245678[[#This Row],[VENTA ]]/1.19</f>
        <v>2941.1764705882356</v>
      </c>
      <c r="Q169" s="11">
        <f>Tabla245678[[#This Row],[Columna2]]*19%</f>
        <v>558.82352941176475</v>
      </c>
      <c r="R169" s="11">
        <f>Tabla245678[[#This Row],[IVA VENTA ]]-Tabla245678[[#This Row],[IV COMPRA]]</f>
        <v>239.49579831932772</v>
      </c>
      <c r="S169" s="11">
        <f>(Tabla245678[[#This Row],[VENTA ]]-(Tabla245678[[#This Row],[MONTO DE COMPRA]]+Tabla245678[[#This Row],[DIFERENCIA IVA ]]))</f>
        <v>1260.5042016806724</v>
      </c>
      <c r="T169" s="11"/>
    </row>
    <row r="170" spans="1:20" s="1" customFormat="1" x14ac:dyDescent="0.25">
      <c r="A170" s="56">
        <v>44811</v>
      </c>
      <c r="B170" s="4" t="s">
        <v>3027</v>
      </c>
      <c r="C170" s="4" t="s">
        <v>814</v>
      </c>
      <c r="D170" s="4" t="s">
        <v>816</v>
      </c>
      <c r="E170" s="1" t="s">
        <v>815</v>
      </c>
      <c r="F170" s="1" t="s">
        <v>603</v>
      </c>
      <c r="G170" s="10" t="s">
        <v>1157</v>
      </c>
      <c r="H170" s="11">
        <v>60000</v>
      </c>
      <c r="I170" s="2">
        <f>Tabla245678[[#This Row],[TOTAL FACTURA]]*0.6</f>
        <v>36000</v>
      </c>
      <c r="J170" s="139">
        <f t="shared" ref="J170:J174" si="8">H170-I170</f>
        <v>24000</v>
      </c>
      <c r="K170" s="1" t="s">
        <v>3028</v>
      </c>
      <c r="L170" s="11">
        <v>36000</v>
      </c>
      <c r="M170" s="11">
        <f>Tabla245678[[#This Row],[MONTO DE COMPRA]]/1.19</f>
        <v>30252.100840336137</v>
      </c>
      <c r="N170" s="11">
        <f>Tabla245678[[#This Row],[Columna1]]*19%</f>
        <v>5747.8991596638662</v>
      </c>
      <c r="O170" s="11">
        <v>50000</v>
      </c>
      <c r="P170" s="11">
        <f>Tabla245678[[#This Row],[VENTA ]]/1.19</f>
        <v>42016.806722689078</v>
      </c>
      <c r="Q170" s="11">
        <f>Tabla245678[[#This Row],[Columna2]]*19%</f>
        <v>7983.1932773109247</v>
      </c>
      <c r="R170" s="11">
        <f>Tabla245678[[#This Row],[IVA VENTA ]]-Tabla245678[[#This Row],[IV COMPRA]]</f>
        <v>2235.2941176470586</v>
      </c>
      <c r="S170" s="11">
        <f>(Tabla245678[[#This Row],[VENTA ]]-(Tabla245678[[#This Row],[MONTO DE COMPRA]]+Tabla245678[[#This Row],[DIFERENCIA IVA ]]))</f>
        <v>11764.705882352944</v>
      </c>
      <c r="T170" s="11"/>
    </row>
    <row r="171" spans="1:20" s="1" customFormat="1" x14ac:dyDescent="0.25">
      <c r="A171" s="56">
        <v>44811</v>
      </c>
      <c r="B171" s="4" t="s">
        <v>3029</v>
      </c>
      <c r="C171" s="4" t="s">
        <v>2141</v>
      </c>
      <c r="D171" s="4" t="s">
        <v>546</v>
      </c>
      <c r="E171" s="1" t="s">
        <v>574</v>
      </c>
      <c r="F171" s="1" t="s">
        <v>603</v>
      </c>
      <c r="G171" s="10" t="s">
        <v>3030</v>
      </c>
      <c r="H171" s="11">
        <v>50000</v>
      </c>
      <c r="I171" s="2">
        <f>Tabla245678[[#This Row],[TOTAL FACTURA]]*0.6</f>
        <v>30000</v>
      </c>
      <c r="J171" s="139">
        <f t="shared" si="8"/>
        <v>20000</v>
      </c>
      <c r="L171" s="11"/>
      <c r="M171" s="11">
        <f>Tabla245678[[#This Row],[MONTO DE COMPRA]]/1.19</f>
        <v>0</v>
      </c>
      <c r="N171" s="11">
        <f>Tabla245678[[#This Row],[Columna1]]*19%</f>
        <v>0</v>
      </c>
      <c r="O171" s="11"/>
      <c r="P171" s="11">
        <f>Tabla245678[[#This Row],[VENTA ]]/1.19</f>
        <v>0</v>
      </c>
      <c r="Q171" s="11">
        <f>Tabla245678[[#This Row],[Columna2]]*19%</f>
        <v>0</v>
      </c>
      <c r="R171" s="11">
        <f>Tabla245678[[#This Row],[IVA VENTA ]]-Tabla245678[[#This Row],[IV COMPRA]]</f>
        <v>0</v>
      </c>
      <c r="S171" s="11">
        <f>(Tabla245678[[#This Row],[VENTA ]]-(Tabla245678[[#This Row],[MONTO DE COMPRA]]+Tabla245678[[#This Row],[DIFERENCIA IVA ]]))</f>
        <v>0</v>
      </c>
      <c r="T171" s="11"/>
    </row>
    <row r="172" spans="1:20" s="1" customFormat="1" x14ac:dyDescent="0.25">
      <c r="A172" s="56">
        <v>44811</v>
      </c>
      <c r="B172" s="4" t="s">
        <v>3031</v>
      </c>
      <c r="C172" s="4" t="s">
        <v>646</v>
      </c>
      <c r="D172" s="4" t="s">
        <v>1435</v>
      </c>
      <c r="E172" s="1" t="s">
        <v>1434</v>
      </c>
      <c r="F172" s="1" t="s">
        <v>2446</v>
      </c>
      <c r="G172" s="10" t="s">
        <v>2464</v>
      </c>
      <c r="H172" s="11">
        <v>300000</v>
      </c>
      <c r="I172" s="2">
        <f>Tabla245678[[#This Row],[TOTAL FACTURA]]*0.7</f>
        <v>210000</v>
      </c>
      <c r="J172" s="139">
        <f t="shared" si="8"/>
        <v>90000</v>
      </c>
      <c r="L172" s="11"/>
      <c r="M172" s="11">
        <f>Tabla245678[[#This Row],[MONTO DE COMPRA]]/1.19</f>
        <v>0</v>
      </c>
      <c r="N172" s="11">
        <f>Tabla245678[[#This Row],[Columna1]]*19%</f>
        <v>0</v>
      </c>
      <c r="O172" s="11"/>
      <c r="P172" s="11">
        <f>Tabla245678[[#This Row],[VENTA ]]/1.19</f>
        <v>0</v>
      </c>
      <c r="Q172" s="11">
        <f>Tabla245678[[#This Row],[Columna2]]*19%</f>
        <v>0</v>
      </c>
      <c r="R172" s="11">
        <f>Tabla245678[[#This Row],[IVA VENTA ]]-Tabla245678[[#This Row],[IV COMPRA]]</f>
        <v>0</v>
      </c>
      <c r="S172" s="11">
        <f>(Tabla245678[[#This Row],[VENTA ]]-(Tabla245678[[#This Row],[MONTO DE COMPRA]]+Tabla245678[[#This Row],[DIFERENCIA IVA ]]))</f>
        <v>0</v>
      </c>
      <c r="T172" s="11"/>
    </row>
    <row r="173" spans="1:20" s="1" customFormat="1" ht="30" x14ac:dyDescent="0.25">
      <c r="A173" s="56">
        <v>44811</v>
      </c>
      <c r="B173" s="4" t="s">
        <v>3037</v>
      </c>
      <c r="C173" s="4" t="s">
        <v>3032</v>
      </c>
      <c r="D173" s="4" t="s">
        <v>3034</v>
      </c>
      <c r="E173" s="1" t="s">
        <v>3033</v>
      </c>
      <c r="F173" s="1" t="s">
        <v>2446</v>
      </c>
      <c r="G173" s="10" t="s">
        <v>3035</v>
      </c>
      <c r="H173" s="11">
        <v>350000</v>
      </c>
      <c r="I173" s="2">
        <f>Tabla245678[[#This Row],[TOTAL FACTURA]]*0.7</f>
        <v>244999.99999999997</v>
      </c>
      <c r="J173" s="139">
        <f t="shared" si="8"/>
        <v>105000.00000000003</v>
      </c>
      <c r="K173" s="10" t="s">
        <v>3036</v>
      </c>
      <c r="L173" s="11">
        <f>440000+700000+180000</f>
        <v>1320000</v>
      </c>
      <c r="M173" s="11"/>
      <c r="N173" s="11">
        <f>Tabla245678[[#This Row],[Columna1]]*19%</f>
        <v>0</v>
      </c>
      <c r="O173" s="11">
        <v>2016000</v>
      </c>
      <c r="P173" s="11"/>
      <c r="Q173" s="11">
        <f>Tabla245678[[#This Row],[Columna2]]*19%</f>
        <v>0</v>
      </c>
      <c r="R173" s="11">
        <f>Tabla245678[[#This Row],[IVA VENTA ]]-Tabla245678[[#This Row],[IV COMPRA]]</f>
        <v>0</v>
      </c>
      <c r="S173" s="11">
        <f>(Tabla245678[[#This Row],[VENTA ]]-(Tabla245678[[#This Row],[MONTO DE COMPRA]]+Tabla245678[[#This Row],[DIFERENCIA IVA ]]))</f>
        <v>696000</v>
      </c>
      <c r="T173" s="11"/>
    </row>
    <row r="174" spans="1:20" s="1" customFormat="1" x14ac:dyDescent="0.25">
      <c r="A174" s="56">
        <v>44812</v>
      </c>
      <c r="B174" s="4" t="s">
        <v>3038</v>
      </c>
      <c r="C174" s="4" t="s">
        <v>3039</v>
      </c>
      <c r="D174" s="1" t="s">
        <v>3040</v>
      </c>
      <c r="E174" s="1" t="s">
        <v>1414</v>
      </c>
      <c r="F174" s="1" t="s">
        <v>10</v>
      </c>
      <c r="G174" s="10" t="s">
        <v>1407</v>
      </c>
      <c r="H174" s="11">
        <v>300000</v>
      </c>
      <c r="I174" s="2">
        <f>Tabla245678[[#This Row],[TOTAL FACTURA]]*0.7</f>
        <v>210000</v>
      </c>
      <c r="J174" s="139">
        <f t="shared" si="8"/>
        <v>90000</v>
      </c>
      <c r="K174" s="1" t="s">
        <v>3041</v>
      </c>
      <c r="L174" s="11">
        <f>408000+20000</f>
        <v>428000</v>
      </c>
      <c r="M174" s="11"/>
      <c r="N174" s="11">
        <f>Tabla245678[[#This Row],[Columna1]]*19%</f>
        <v>0</v>
      </c>
      <c r="O174" s="11">
        <v>580000</v>
      </c>
      <c r="P174" s="11"/>
      <c r="Q174" s="11">
        <f>Tabla245678[[#This Row],[Columna2]]*19%</f>
        <v>0</v>
      </c>
      <c r="R174" s="11">
        <f>Tabla245678[[#This Row],[IVA VENTA ]]-Tabla245678[[#This Row],[IV COMPRA]]</f>
        <v>0</v>
      </c>
      <c r="S174" s="11">
        <f>(Tabla245678[[#This Row],[VENTA ]]-(Tabla245678[[#This Row],[MONTO DE COMPRA]]+Tabla245678[[#This Row],[DIFERENCIA IVA ]]))</f>
        <v>152000</v>
      </c>
      <c r="T174" s="11"/>
    </row>
    <row r="175" spans="1:20" s="1" customFormat="1" x14ac:dyDescent="0.25">
      <c r="A175" s="56">
        <v>44812</v>
      </c>
      <c r="B175" s="4" t="s">
        <v>3042</v>
      </c>
      <c r="C175" s="4" t="s">
        <v>3043</v>
      </c>
      <c r="D175" s="4" t="s">
        <v>3044</v>
      </c>
      <c r="E175" s="1" t="s">
        <v>218</v>
      </c>
      <c r="F175" s="1" t="s">
        <v>603</v>
      </c>
      <c r="G175" s="10" t="s">
        <v>3045</v>
      </c>
      <c r="H175" s="11">
        <v>90000</v>
      </c>
      <c r="I175" s="2">
        <f>Tabla245678[[#This Row],[TOTAL FACTURA]]*0.6</f>
        <v>54000</v>
      </c>
      <c r="J175" s="139">
        <f t="shared" ref="J175:J177" si="9">H175-I175</f>
        <v>36000</v>
      </c>
      <c r="L175" s="11"/>
      <c r="M175" s="11">
        <f>Tabla245678[[#This Row],[MONTO DE COMPRA]]/1.19</f>
        <v>0</v>
      </c>
      <c r="N175" s="11">
        <f>Tabla245678[[#This Row],[Columna1]]*19%</f>
        <v>0</v>
      </c>
      <c r="O175" s="11"/>
      <c r="P175" s="11">
        <f>Tabla245678[[#This Row],[VENTA ]]/1.19</f>
        <v>0</v>
      </c>
      <c r="Q175" s="11">
        <f>Tabla245678[[#This Row],[Columna2]]*19%</f>
        <v>0</v>
      </c>
      <c r="R175" s="11">
        <f>Tabla245678[[#This Row],[IVA VENTA ]]-Tabla245678[[#This Row],[IV COMPRA]]</f>
        <v>0</v>
      </c>
      <c r="S175" s="11">
        <f>(Tabla245678[[#This Row],[VENTA ]]-(Tabla245678[[#This Row],[MONTO DE COMPRA]]+Tabla245678[[#This Row],[DIFERENCIA IVA ]]))</f>
        <v>0</v>
      </c>
      <c r="T175" s="11"/>
    </row>
    <row r="176" spans="1:20" s="1" customFormat="1" x14ac:dyDescent="0.25">
      <c r="A176" s="56">
        <v>44812</v>
      </c>
      <c r="B176" s="4"/>
      <c r="C176" s="4"/>
      <c r="D176" s="4"/>
      <c r="E176" s="1" t="s">
        <v>3046</v>
      </c>
      <c r="F176" s="1" t="s">
        <v>34</v>
      </c>
      <c r="G176" s="10" t="s">
        <v>3047</v>
      </c>
      <c r="H176" s="11">
        <v>20000</v>
      </c>
      <c r="I176" s="2">
        <f>Tabla245678[[#This Row],[TOTAL FACTURA]]*0.6</f>
        <v>12000</v>
      </c>
      <c r="J176" s="139">
        <f t="shared" si="9"/>
        <v>8000</v>
      </c>
      <c r="L176" s="11"/>
      <c r="M176" s="11">
        <f>Tabla245678[[#This Row],[MONTO DE COMPRA]]/1.19</f>
        <v>0</v>
      </c>
      <c r="N176" s="11">
        <f>Tabla245678[[#This Row],[Columna1]]*19%</f>
        <v>0</v>
      </c>
      <c r="O176" s="11"/>
      <c r="P176" s="11">
        <f>Tabla245678[[#This Row],[VENTA ]]/1.19</f>
        <v>0</v>
      </c>
      <c r="Q176" s="11">
        <f>Tabla245678[[#This Row],[Columna2]]*19%</f>
        <v>0</v>
      </c>
      <c r="R176" s="11">
        <f>Tabla245678[[#This Row],[IVA VENTA ]]-Tabla245678[[#This Row],[IV COMPRA]]</f>
        <v>0</v>
      </c>
      <c r="S176" s="11">
        <f>(Tabla245678[[#This Row],[VENTA ]]-(Tabla245678[[#This Row],[MONTO DE COMPRA]]+Tabla245678[[#This Row],[DIFERENCIA IVA ]]))</f>
        <v>0</v>
      </c>
      <c r="T176" s="11"/>
    </row>
    <row r="177" spans="1:20" s="1" customFormat="1" ht="23.25" customHeight="1" x14ac:dyDescent="0.25">
      <c r="A177" s="56">
        <v>44812</v>
      </c>
      <c r="B177" s="4" t="s">
        <v>3049</v>
      </c>
      <c r="C177" s="4" t="s">
        <v>3048</v>
      </c>
      <c r="D177" s="4" t="s">
        <v>3050</v>
      </c>
      <c r="E177" s="1" t="s">
        <v>213</v>
      </c>
      <c r="F177" s="1" t="s">
        <v>2446</v>
      </c>
      <c r="G177" s="10" t="s">
        <v>3051</v>
      </c>
      <c r="H177" s="11">
        <v>60000</v>
      </c>
      <c r="I177" s="2">
        <f>Tabla245678[[#This Row],[TOTAL FACTURA]]*0.7</f>
        <v>42000</v>
      </c>
      <c r="J177" s="139">
        <f t="shared" si="9"/>
        <v>18000</v>
      </c>
      <c r="K177" s="1" t="s">
        <v>3052</v>
      </c>
      <c r="L177" s="11">
        <f>90000+6000</f>
        <v>96000</v>
      </c>
      <c r="M177" s="11">
        <f>Tabla245678[[#This Row],[MONTO DE COMPRA]]/1.19</f>
        <v>80672.268907563033</v>
      </c>
      <c r="N177" s="11">
        <f>Tabla245678[[#This Row],[Columna1]]*19%</f>
        <v>15327.731092436976</v>
      </c>
      <c r="O177" s="11">
        <f>170000</f>
        <v>170000</v>
      </c>
      <c r="P177" s="11">
        <f>Tabla245678[[#This Row],[VENTA ]]/1.19</f>
        <v>142857.14285714287</v>
      </c>
      <c r="Q177" s="11">
        <f>Tabla245678[[#This Row],[Columna2]]*19%</f>
        <v>27142.857142857145</v>
      </c>
      <c r="R177" s="11">
        <f>Tabla245678[[#This Row],[IVA VENTA ]]-Tabla245678[[#This Row],[IV COMPRA]]</f>
        <v>11815.126050420169</v>
      </c>
      <c r="S177" s="11">
        <f>(Tabla245678[[#This Row],[VENTA ]]-(Tabla245678[[#This Row],[MONTO DE COMPRA]]+Tabla245678[[#This Row],[DIFERENCIA IVA ]]))</f>
        <v>62184.873949579836</v>
      </c>
      <c r="T177" s="11"/>
    </row>
    <row r="178" spans="1:20" s="1" customFormat="1" ht="30" x14ac:dyDescent="0.25">
      <c r="A178" s="56">
        <v>44812</v>
      </c>
      <c r="B178" s="4" t="s">
        <v>3053</v>
      </c>
      <c r="C178" s="4" t="s">
        <v>3054</v>
      </c>
      <c r="D178" s="4" t="s">
        <v>2173</v>
      </c>
      <c r="E178" s="1" t="s">
        <v>566</v>
      </c>
      <c r="F178" s="1" t="s">
        <v>10</v>
      </c>
      <c r="G178" s="10" t="s">
        <v>2183</v>
      </c>
      <c r="H178" s="11">
        <v>1000000</v>
      </c>
      <c r="I178" s="2">
        <v>500000</v>
      </c>
      <c r="J178" s="139">
        <v>300000</v>
      </c>
      <c r="K178" s="10" t="s">
        <v>3055</v>
      </c>
      <c r="L178" s="11">
        <v>2010000</v>
      </c>
      <c r="M178" s="11"/>
      <c r="N178" s="11">
        <f>Tabla245678[[#This Row],[Columna1]]*19%</f>
        <v>0</v>
      </c>
      <c r="O178" s="11">
        <v>2638000</v>
      </c>
      <c r="P178" s="11"/>
      <c r="Q178" s="11">
        <f>Tabla245678[[#This Row],[Columna2]]*19%</f>
        <v>0</v>
      </c>
      <c r="R178" s="11">
        <f>Tabla245678[[#This Row],[IVA VENTA ]]-Tabla245678[[#This Row],[IV COMPRA]]</f>
        <v>0</v>
      </c>
      <c r="S178" s="11">
        <f>(Tabla245678[[#This Row],[VENTA ]]-(Tabla245678[[#This Row],[MONTO DE COMPRA]]+Tabla245678[[#This Row],[DIFERENCIA IVA ]]))</f>
        <v>628000</v>
      </c>
      <c r="T178" s="11"/>
    </row>
    <row r="179" spans="1:20" s="1" customFormat="1" ht="30" x14ac:dyDescent="0.25">
      <c r="A179" s="56">
        <v>44810</v>
      </c>
      <c r="B179" s="4" t="s">
        <v>3024</v>
      </c>
      <c r="C179" s="4" t="s">
        <v>3025</v>
      </c>
      <c r="D179" s="4" t="s">
        <v>3026</v>
      </c>
      <c r="E179" s="1" t="s">
        <v>3070</v>
      </c>
      <c r="F179" s="1" t="s">
        <v>2446</v>
      </c>
      <c r="G179" s="10" t="s">
        <v>3056</v>
      </c>
      <c r="H179" s="11">
        <v>280000</v>
      </c>
      <c r="I179" s="2">
        <f>Tabla245678[[#This Row],[TOTAL FACTURA]]*0.7</f>
        <v>196000</v>
      </c>
      <c r="J179" s="139">
        <f>H179-I179</f>
        <v>84000</v>
      </c>
      <c r="K179" s="10" t="s">
        <v>3057</v>
      </c>
      <c r="L179" s="11">
        <f>140000+140000+180000</f>
        <v>460000</v>
      </c>
      <c r="M179" s="11"/>
      <c r="N179" s="11">
        <f>Tabla245678[[#This Row],[Columna1]]*19%</f>
        <v>0</v>
      </c>
      <c r="O179" s="11">
        <v>580000</v>
      </c>
      <c r="P179" s="11"/>
      <c r="Q179" s="11">
        <f>Tabla245678[[#This Row],[Columna2]]*19%</f>
        <v>0</v>
      </c>
      <c r="R179" s="11">
        <f>Tabla245678[[#This Row],[IVA VENTA ]]-Tabla245678[[#This Row],[IV COMPRA]]</f>
        <v>0</v>
      </c>
      <c r="S179" s="11">
        <f>(Tabla245678[[#This Row],[VENTA ]]-(Tabla245678[[#This Row],[MONTO DE COMPRA]]+Tabla245678[[#This Row],[DIFERENCIA IVA ]]))</f>
        <v>120000</v>
      </c>
      <c r="T179" s="11"/>
    </row>
    <row r="180" spans="1:20" s="1" customFormat="1" x14ac:dyDescent="0.25">
      <c r="A180" s="56">
        <v>44813</v>
      </c>
      <c r="B180" s="4" t="s">
        <v>3058</v>
      </c>
      <c r="C180" s="4" t="s">
        <v>2522</v>
      </c>
      <c r="D180" s="4" t="s">
        <v>1971</v>
      </c>
      <c r="E180" s="1" t="s">
        <v>1970</v>
      </c>
      <c r="F180" s="1" t="s">
        <v>2446</v>
      </c>
      <c r="G180" s="10" t="s">
        <v>3059</v>
      </c>
      <c r="H180" s="11">
        <v>20000</v>
      </c>
      <c r="I180" s="2">
        <f>Tabla245678[[#This Row],[TOTAL FACTURA]]*0.7</f>
        <v>14000</v>
      </c>
      <c r="J180" s="139">
        <f t="shared" ref="J180:J183" si="10">H180-I180</f>
        <v>6000</v>
      </c>
      <c r="K180" s="10"/>
      <c r="L180" s="11"/>
      <c r="M180" s="11">
        <f>Tabla245678[[#This Row],[MONTO DE COMPRA]]/1.19</f>
        <v>0</v>
      </c>
      <c r="N180" s="11">
        <f>Tabla245678[[#This Row],[Columna1]]*19%</f>
        <v>0</v>
      </c>
      <c r="O180" s="11"/>
      <c r="P180" s="11">
        <f>Tabla245678[[#This Row],[VENTA ]]/1.19</f>
        <v>0</v>
      </c>
      <c r="Q180" s="11">
        <f>Tabla245678[[#This Row],[Columna2]]*19%</f>
        <v>0</v>
      </c>
      <c r="R180" s="11">
        <f>Tabla245678[[#This Row],[IVA VENTA ]]-Tabla245678[[#This Row],[IV COMPRA]]</f>
        <v>0</v>
      </c>
      <c r="S180" s="11">
        <f>(Tabla245678[[#This Row],[VENTA ]]-(Tabla245678[[#This Row],[MONTO DE COMPRA]]+Tabla245678[[#This Row],[DIFERENCIA IVA ]]))</f>
        <v>0</v>
      </c>
      <c r="T180" s="11"/>
    </row>
    <row r="181" spans="1:20" s="1" customFormat="1" ht="30" x14ac:dyDescent="0.25">
      <c r="A181" s="56">
        <v>44813</v>
      </c>
      <c r="B181" s="4" t="s">
        <v>3060</v>
      </c>
      <c r="C181" s="4" t="s">
        <v>2649</v>
      </c>
      <c r="D181" s="4" t="s">
        <v>3061</v>
      </c>
      <c r="E181" s="1" t="s">
        <v>1865</v>
      </c>
      <c r="F181" s="1" t="s">
        <v>2446</v>
      </c>
      <c r="G181" s="10" t="s">
        <v>3062</v>
      </c>
      <c r="H181" s="11">
        <v>50000</v>
      </c>
      <c r="I181" s="2">
        <f>Tabla245678[[#This Row],[TOTAL FACTURA]]*0.7</f>
        <v>35000</v>
      </c>
      <c r="J181" s="139">
        <f t="shared" si="10"/>
        <v>15000</v>
      </c>
      <c r="K181" s="10" t="s">
        <v>3063</v>
      </c>
      <c r="L181" s="11">
        <f>135000+180000</f>
        <v>315000</v>
      </c>
      <c r="M181" s="11"/>
      <c r="N181" s="11">
        <f>Tabla245678[[#This Row],[Columna1]]*19%</f>
        <v>0</v>
      </c>
      <c r="O181" s="11">
        <f>160000+240000+15000</f>
        <v>415000</v>
      </c>
      <c r="P181" s="11"/>
      <c r="Q181" s="11">
        <f>Tabla245678[[#This Row],[Columna2]]*19%</f>
        <v>0</v>
      </c>
      <c r="R181" s="11">
        <f>Tabla245678[[#This Row],[IVA VENTA ]]-Tabla245678[[#This Row],[IV COMPRA]]</f>
        <v>0</v>
      </c>
      <c r="S181" s="11">
        <f>(Tabla245678[[#This Row],[VENTA ]]-(Tabla245678[[#This Row],[MONTO DE COMPRA]]+Tabla245678[[#This Row],[DIFERENCIA IVA ]]))</f>
        <v>100000</v>
      </c>
      <c r="T181" s="11"/>
    </row>
    <row r="182" spans="1:20" s="1" customFormat="1" x14ac:dyDescent="0.25">
      <c r="A182" s="56">
        <v>44813</v>
      </c>
      <c r="B182" s="4" t="s">
        <v>3064</v>
      </c>
      <c r="C182" s="4" t="s">
        <v>3065</v>
      </c>
      <c r="D182" s="4" t="s">
        <v>889</v>
      </c>
      <c r="F182" s="1" t="s">
        <v>10</v>
      </c>
      <c r="G182" s="10" t="s">
        <v>3066</v>
      </c>
      <c r="H182" s="11">
        <v>60000</v>
      </c>
      <c r="I182" s="2">
        <f>Tabla245678[[#This Row],[TOTAL FACTURA]]*0.7</f>
        <v>42000</v>
      </c>
      <c r="J182" s="139">
        <f t="shared" si="10"/>
        <v>18000</v>
      </c>
      <c r="K182" s="10" t="s">
        <v>3067</v>
      </c>
      <c r="L182" s="11">
        <v>42000</v>
      </c>
      <c r="M182" s="11">
        <f>Tabla245678[[#This Row],[MONTO DE COMPRA]]/1.19</f>
        <v>35294.117647058825</v>
      </c>
      <c r="N182" s="11">
        <f>Tabla245678[[#This Row],[Columna1]]*19%</f>
        <v>6705.8823529411766</v>
      </c>
      <c r="O182" s="11">
        <v>50000</v>
      </c>
      <c r="P182" s="11"/>
      <c r="Q182" s="11">
        <f>Tabla245678[[#This Row],[Columna2]]*19%</f>
        <v>0</v>
      </c>
      <c r="R182" s="11"/>
      <c r="S182" s="11">
        <f>(Tabla245678[[#This Row],[VENTA ]]-(Tabla245678[[#This Row],[MONTO DE COMPRA]]+Tabla245678[[#This Row],[DIFERENCIA IVA ]]))</f>
        <v>8000</v>
      </c>
      <c r="T182" s="11"/>
    </row>
    <row r="183" spans="1:20" s="1" customFormat="1" x14ac:dyDescent="0.25">
      <c r="A183" s="56">
        <v>44813</v>
      </c>
      <c r="B183" s="4"/>
      <c r="C183" s="4" t="s">
        <v>215</v>
      </c>
      <c r="D183" s="4"/>
      <c r="E183" s="1" t="s">
        <v>1610</v>
      </c>
      <c r="F183" s="1" t="s">
        <v>603</v>
      </c>
      <c r="G183" s="10" t="s">
        <v>341</v>
      </c>
      <c r="H183" s="11">
        <v>10000</v>
      </c>
      <c r="I183" s="2">
        <f>Tabla245678[[#This Row],[TOTAL FACTURA]]*0.6</f>
        <v>6000</v>
      </c>
      <c r="J183" s="139">
        <f t="shared" si="10"/>
        <v>4000</v>
      </c>
      <c r="K183" s="10"/>
      <c r="L183" s="11"/>
      <c r="M183" s="11">
        <f>Tabla245678[[#This Row],[MONTO DE COMPRA]]/1.19</f>
        <v>0</v>
      </c>
      <c r="N183" s="11">
        <f>Tabla245678[[#This Row],[Columna1]]*19%</f>
        <v>0</v>
      </c>
      <c r="O183" s="11"/>
      <c r="P183" s="11">
        <f>Tabla245678[[#This Row],[VENTA ]]/1.19</f>
        <v>0</v>
      </c>
      <c r="Q183" s="11">
        <f>Tabla245678[[#This Row],[Columna2]]*19%</f>
        <v>0</v>
      </c>
      <c r="R183" s="11">
        <f>Tabla245678[[#This Row],[IVA VENTA ]]-Tabla245678[[#This Row],[IV COMPRA]]</f>
        <v>0</v>
      </c>
      <c r="S183" s="11">
        <f>(Tabla245678[[#This Row],[VENTA ]]-(Tabla245678[[#This Row],[MONTO DE COMPRA]]+Tabla245678[[#This Row],[DIFERENCIA IVA ]]))</f>
        <v>0</v>
      </c>
      <c r="T183" s="11"/>
    </row>
    <row r="184" spans="1:20" s="1" customFormat="1" x14ac:dyDescent="0.25">
      <c r="A184" s="56">
        <v>44813</v>
      </c>
      <c r="B184" s="4"/>
      <c r="C184" s="4" t="s">
        <v>2761</v>
      </c>
      <c r="D184" s="4" t="s">
        <v>48</v>
      </c>
      <c r="E184" s="1" t="s">
        <v>2762</v>
      </c>
      <c r="F184" s="1" t="s">
        <v>2446</v>
      </c>
      <c r="G184" s="10" t="s">
        <v>3068</v>
      </c>
      <c r="H184" s="11">
        <v>40000</v>
      </c>
      <c r="I184" s="2">
        <f>Tabla245678[[#This Row],[TOTAL FACTURA]]*0.7</f>
        <v>28000</v>
      </c>
      <c r="J184" s="139">
        <f t="shared" ref="J184:J185" si="11">H184-I184</f>
        <v>12000</v>
      </c>
      <c r="K184" s="10"/>
      <c r="L184" s="11"/>
      <c r="M184" s="11">
        <f>Tabla245678[[#This Row],[MONTO DE COMPRA]]/1.19</f>
        <v>0</v>
      </c>
      <c r="N184" s="11">
        <f>Tabla245678[[#This Row],[Columna1]]*19%</f>
        <v>0</v>
      </c>
      <c r="O184" s="11"/>
      <c r="P184" s="11">
        <f>Tabla245678[[#This Row],[VENTA ]]/1.19</f>
        <v>0</v>
      </c>
      <c r="Q184" s="11">
        <f>Tabla245678[[#This Row],[Columna2]]*19%</f>
        <v>0</v>
      </c>
      <c r="R184" s="11">
        <f>Tabla245678[[#This Row],[IVA VENTA ]]-Tabla245678[[#This Row],[IV COMPRA]]</f>
        <v>0</v>
      </c>
      <c r="S184" s="11">
        <f>(Tabla245678[[#This Row],[VENTA ]]-(Tabla245678[[#This Row],[MONTO DE COMPRA]]+Tabla245678[[#This Row],[DIFERENCIA IVA ]]))</f>
        <v>0</v>
      </c>
      <c r="T184" s="11"/>
    </row>
    <row r="185" spans="1:20" s="1" customFormat="1" x14ac:dyDescent="0.25">
      <c r="A185" s="56">
        <v>44814</v>
      </c>
      <c r="B185" s="4"/>
      <c r="C185" s="4" t="s">
        <v>1646</v>
      </c>
      <c r="D185" s="4" t="s">
        <v>3071</v>
      </c>
      <c r="E185" s="1" t="s">
        <v>3072</v>
      </c>
      <c r="F185" s="1" t="s">
        <v>34</v>
      </c>
      <c r="G185" s="10" t="s">
        <v>502</v>
      </c>
      <c r="H185" s="11">
        <v>20000</v>
      </c>
      <c r="I185" s="2">
        <f>Tabla245678[[#This Row],[TOTAL FACTURA]]*0.7</f>
        <v>14000</v>
      </c>
      <c r="J185" s="139">
        <f t="shared" si="11"/>
        <v>6000</v>
      </c>
      <c r="K185" s="10" t="s">
        <v>3073</v>
      </c>
      <c r="L185" s="11">
        <v>45000</v>
      </c>
      <c r="M185" s="11"/>
      <c r="N185" s="11">
        <f>Tabla245678[[#This Row],[Columna1]]*19%</f>
        <v>0</v>
      </c>
      <c r="O185" s="11">
        <v>60000</v>
      </c>
      <c r="P185" s="11"/>
      <c r="Q185" s="11">
        <f>Tabla245678[[#This Row],[Columna2]]*19%</f>
        <v>0</v>
      </c>
      <c r="R185" s="11">
        <f>Tabla245678[[#This Row],[IVA VENTA ]]-Tabla245678[[#This Row],[IV COMPRA]]</f>
        <v>0</v>
      </c>
      <c r="S185" s="11">
        <f>(Tabla245678[[#This Row],[VENTA ]]-(Tabla245678[[#This Row],[MONTO DE COMPRA]]+Tabla245678[[#This Row],[DIFERENCIA IVA ]]))</f>
        <v>15000</v>
      </c>
      <c r="T185" s="11"/>
    </row>
    <row r="186" spans="1:20" s="1" customFormat="1" x14ac:dyDescent="0.25">
      <c r="A186" s="56">
        <v>44814</v>
      </c>
      <c r="B186" s="4" t="s">
        <v>3074</v>
      </c>
      <c r="C186" s="4" t="s">
        <v>885</v>
      </c>
      <c r="D186" s="4" t="s">
        <v>403</v>
      </c>
      <c r="E186" s="1" t="s">
        <v>3075</v>
      </c>
      <c r="F186" s="1" t="s">
        <v>2446</v>
      </c>
      <c r="G186" s="10" t="s">
        <v>3076</v>
      </c>
      <c r="H186" s="11">
        <v>80000</v>
      </c>
      <c r="I186" s="2">
        <f>Tabla245678[[#This Row],[TOTAL FACTURA]]*0.7</f>
        <v>56000</v>
      </c>
      <c r="J186" s="139">
        <f t="shared" ref="J186:J196" si="12">H186-I186</f>
        <v>24000</v>
      </c>
      <c r="K186" s="10" t="s">
        <v>217</v>
      </c>
      <c r="L186" s="11">
        <v>134000</v>
      </c>
      <c r="M186" s="11">
        <f>Tabla245678[[#This Row],[MONTO DE COMPRA]]/1.19</f>
        <v>112605.04201680672</v>
      </c>
      <c r="N186" s="11">
        <f>Tabla245678[[#This Row],[Columna1]]*19%</f>
        <v>21394.957983193279</v>
      </c>
      <c r="O186" s="11">
        <v>190000</v>
      </c>
      <c r="P186" s="11">
        <f>Tabla245678[[#This Row],[VENTA ]]/1.19</f>
        <v>159663.8655462185</v>
      </c>
      <c r="Q186" s="11">
        <f>Tabla245678[[#This Row],[Columna2]]*19%</f>
        <v>30336.134453781517</v>
      </c>
      <c r="R186" s="11">
        <f>Tabla245678[[#This Row],[IVA VENTA ]]-Tabla245678[[#This Row],[IV COMPRA]]</f>
        <v>8941.1764705882379</v>
      </c>
      <c r="S186" s="11">
        <f>(Tabla245678[[#This Row],[VENTA ]]-(Tabla245678[[#This Row],[MONTO DE COMPRA]]+Tabla245678[[#This Row],[DIFERENCIA IVA ]]))</f>
        <v>47058.823529411748</v>
      </c>
      <c r="T186" s="11"/>
    </row>
    <row r="187" spans="1:20" s="1" customFormat="1" x14ac:dyDescent="0.25">
      <c r="A187" s="56">
        <v>44814</v>
      </c>
      <c r="B187" s="4"/>
      <c r="C187" s="4"/>
      <c r="D187" s="4" t="s">
        <v>2842</v>
      </c>
      <c r="F187" s="1" t="s">
        <v>2446</v>
      </c>
      <c r="G187" s="10" t="s">
        <v>21</v>
      </c>
      <c r="H187" s="11">
        <v>10000</v>
      </c>
      <c r="I187" s="2">
        <f>Tabla245678[[#This Row],[TOTAL FACTURA]]*0.6</f>
        <v>6000</v>
      </c>
      <c r="J187" s="139">
        <f t="shared" si="12"/>
        <v>4000</v>
      </c>
      <c r="K187" s="10"/>
      <c r="L187" s="11"/>
      <c r="M187" s="11">
        <f>Tabla245678[[#This Row],[MONTO DE COMPRA]]/1.19</f>
        <v>0</v>
      </c>
      <c r="N187" s="11">
        <f>Tabla245678[[#This Row],[Columna1]]*19%</f>
        <v>0</v>
      </c>
      <c r="O187" s="11"/>
      <c r="P187" s="11">
        <f>Tabla245678[[#This Row],[VENTA ]]/1.19</f>
        <v>0</v>
      </c>
      <c r="Q187" s="11">
        <f>Tabla245678[[#This Row],[Columna2]]*19%</f>
        <v>0</v>
      </c>
      <c r="R187" s="11">
        <f>Tabla245678[[#This Row],[IVA VENTA ]]-Tabla245678[[#This Row],[IV COMPRA]]</f>
        <v>0</v>
      </c>
      <c r="S187" s="11">
        <f>(Tabla245678[[#This Row],[VENTA ]]-(Tabla245678[[#This Row],[MONTO DE COMPRA]]+Tabla245678[[#This Row],[DIFERENCIA IVA ]]))</f>
        <v>0</v>
      </c>
      <c r="T187" s="11"/>
    </row>
    <row r="188" spans="1:20" s="1" customFormat="1" x14ac:dyDescent="0.25">
      <c r="A188" s="56">
        <v>44814</v>
      </c>
      <c r="B188" s="4"/>
      <c r="C188" s="4"/>
      <c r="D188" s="4" t="s">
        <v>3077</v>
      </c>
      <c r="E188" s="1" t="s">
        <v>48</v>
      </c>
      <c r="F188" s="1" t="s">
        <v>2446</v>
      </c>
      <c r="G188" s="10" t="s">
        <v>21</v>
      </c>
      <c r="H188" s="11">
        <v>10000</v>
      </c>
      <c r="I188" s="2">
        <f>Tabla245678[[#This Row],[TOTAL FACTURA]]*0.7</f>
        <v>7000</v>
      </c>
      <c r="J188" s="139">
        <f t="shared" si="12"/>
        <v>3000</v>
      </c>
      <c r="K188" s="10"/>
      <c r="L188" s="11"/>
      <c r="M188" s="11">
        <f>Tabla245678[[#This Row],[MONTO DE COMPRA]]/1.19</f>
        <v>0</v>
      </c>
      <c r="N188" s="11">
        <f>Tabla245678[[#This Row],[Columna1]]*19%</f>
        <v>0</v>
      </c>
      <c r="O188" s="11"/>
      <c r="P188" s="11">
        <f>Tabla245678[[#This Row],[VENTA ]]/1.19</f>
        <v>0</v>
      </c>
      <c r="Q188" s="11">
        <f>Tabla245678[[#This Row],[Columna2]]*19%</f>
        <v>0</v>
      </c>
      <c r="R188" s="11">
        <f>Tabla245678[[#This Row],[IVA VENTA ]]-Tabla245678[[#This Row],[IV COMPRA]]</f>
        <v>0</v>
      </c>
      <c r="S188" s="11">
        <f>(Tabla245678[[#This Row],[VENTA ]]-(Tabla245678[[#This Row],[MONTO DE COMPRA]]+Tabla245678[[#This Row],[DIFERENCIA IVA ]]))</f>
        <v>0</v>
      </c>
      <c r="T188" s="11"/>
    </row>
    <row r="189" spans="1:20" s="1" customFormat="1" x14ac:dyDescent="0.25">
      <c r="A189" s="56">
        <v>44814</v>
      </c>
      <c r="B189" s="4"/>
      <c r="C189" s="4"/>
      <c r="D189" s="4" t="s">
        <v>200</v>
      </c>
      <c r="F189" s="1" t="s">
        <v>2446</v>
      </c>
      <c r="G189" s="10" t="s">
        <v>1373</v>
      </c>
      <c r="H189" s="11">
        <v>30000</v>
      </c>
      <c r="I189" s="2">
        <v>30000</v>
      </c>
      <c r="J189" s="139">
        <f t="shared" si="12"/>
        <v>0</v>
      </c>
      <c r="K189" s="10"/>
      <c r="L189" s="11"/>
      <c r="M189" s="11">
        <f>Tabla245678[[#This Row],[MONTO DE COMPRA]]/1.19</f>
        <v>0</v>
      </c>
      <c r="N189" s="11">
        <f>Tabla245678[[#This Row],[Columna1]]*19%</f>
        <v>0</v>
      </c>
      <c r="O189" s="11"/>
      <c r="P189" s="11">
        <f>Tabla245678[[#This Row],[VENTA ]]/1.19</f>
        <v>0</v>
      </c>
      <c r="Q189" s="11">
        <f>Tabla245678[[#This Row],[Columna2]]*19%</f>
        <v>0</v>
      </c>
      <c r="R189" s="11">
        <f>Tabla245678[[#This Row],[IVA VENTA ]]-Tabla245678[[#This Row],[IV COMPRA]]</f>
        <v>0</v>
      </c>
      <c r="S189" s="11">
        <f>(Tabla245678[[#This Row],[VENTA ]]-(Tabla245678[[#This Row],[MONTO DE COMPRA]]+Tabla245678[[#This Row],[DIFERENCIA IVA ]]))</f>
        <v>0</v>
      </c>
      <c r="T189" s="11"/>
    </row>
    <row r="190" spans="1:20" s="1" customFormat="1" x14ac:dyDescent="0.25">
      <c r="A190" s="56">
        <v>44816</v>
      </c>
      <c r="B190" s="4" t="s">
        <v>3078</v>
      </c>
      <c r="C190" s="4" t="s">
        <v>3079</v>
      </c>
      <c r="D190" s="150" t="s">
        <v>3081</v>
      </c>
      <c r="E190" s="4" t="s">
        <v>3080</v>
      </c>
      <c r="F190" s="1" t="s">
        <v>2446</v>
      </c>
      <c r="G190" s="10" t="s">
        <v>3082</v>
      </c>
      <c r="H190" s="11">
        <v>30000</v>
      </c>
      <c r="I190" s="2">
        <f>Tabla245678[[#This Row],[TOTAL FACTURA]]*0.7</f>
        <v>21000</v>
      </c>
      <c r="J190" s="139">
        <f t="shared" si="12"/>
        <v>9000</v>
      </c>
      <c r="K190" s="10" t="s">
        <v>3083</v>
      </c>
      <c r="L190" s="11">
        <v>57000</v>
      </c>
      <c r="M190" s="11">
        <f>Tabla245678[[#This Row],[MONTO DE COMPRA]]/1.19</f>
        <v>47899.159663865546</v>
      </c>
      <c r="N190" s="11">
        <f>Tabla245678[[#This Row],[Columna1]]*19%</f>
        <v>9100.8403361344535</v>
      </c>
      <c r="O190" s="11">
        <v>80000</v>
      </c>
      <c r="P190" s="11"/>
      <c r="Q190" s="11">
        <f>Tabla245678[[#This Row],[Columna2]]*19%</f>
        <v>0</v>
      </c>
      <c r="R190" s="11">
        <f>Tabla245678[[#This Row],[IVA VENTA ]]-Tabla245678[[#This Row],[IV COMPRA]]</f>
        <v>-9100.8403361344535</v>
      </c>
      <c r="S190" s="11">
        <f>(Tabla245678[[#This Row],[VENTA ]]-(Tabla245678[[#This Row],[MONTO DE COMPRA]]+Tabla245678[[#This Row],[DIFERENCIA IVA ]]))</f>
        <v>32100.840336134454</v>
      </c>
      <c r="T190" s="11"/>
    </row>
    <row r="191" spans="1:20" s="1" customFormat="1" ht="30" x14ac:dyDescent="0.25">
      <c r="A191" s="56">
        <v>44816</v>
      </c>
      <c r="B191" s="4" t="s">
        <v>3084</v>
      </c>
      <c r="C191" s="4" t="s">
        <v>3085</v>
      </c>
      <c r="D191" s="151" t="s">
        <v>3086</v>
      </c>
      <c r="E191" s="4" t="s">
        <v>168</v>
      </c>
      <c r="F191" s="1" t="s">
        <v>2446</v>
      </c>
      <c r="G191" s="10" t="s">
        <v>3087</v>
      </c>
      <c r="H191" s="11">
        <v>60000</v>
      </c>
      <c r="I191" s="2">
        <f>Tabla245678[[#This Row],[TOTAL FACTURA]]*0.7</f>
        <v>42000</v>
      </c>
      <c r="J191" s="139">
        <f t="shared" si="12"/>
        <v>18000</v>
      </c>
      <c r="K191" s="10" t="s">
        <v>3088</v>
      </c>
      <c r="L191" s="11">
        <f>18000+35000</f>
        <v>53000</v>
      </c>
      <c r="M191" s="11">
        <f>Tabla245678[[#This Row],[MONTO DE COMPRA]]/1.19</f>
        <v>44537.815126050424</v>
      </c>
      <c r="N191" s="11">
        <f>Tabla245678[[#This Row],[Columna1]]*19%</f>
        <v>8462.1848739495799</v>
      </c>
      <c r="O191" s="11">
        <v>60000</v>
      </c>
      <c r="P191" s="11">
        <f>Tabla245678[[#This Row],[VENTA ]]/1.19</f>
        <v>50420.168067226892</v>
      </c>
      <c r="Q191" s="11">
        <f>Tabla245678[[#This Row],[Columna2]]*19%</f>
        <v>9579.8319327731097</v>
      </c>
      <c r="R191" s="11">
        <f>Tabla245678[[#This Row],[IVA VENTA ]]-Tabla245678[[#This Row],[IV COMPRA]]</f>
        <v>1117.6470588235297</v>
      </c>
      <c r="S191" s="11">
        <f>(Tabla245678[[#This Row],[VENTA ]]-(Tabla245678[[#This Row],[MONTO DE COMPRA]]+Tabla245678[[#This Row],[DIFERENCIA IVA ]]))</f>
        <v>5882.3529411764684</v>
      </c>
      <c r="T191" s="11"/>
    </row>
    <row r="192" spans="1:20" s="1" customFormat="1" x14ac:dyDescent="0.25">
      <c r="A192" s="56">
        <v>44816</v>
      </c>
      <c r="B192" s="4"/>
      <c r="C192" s="4"/>
      <c r="D192" s="150" t="s">
        <v>2948</v>
      </c>
      <c r="E192" s="4" t="s">
        <v>3089</v>
      </c>
      <c r="F192" s="1" t="s">
        <v>2446</v>
      </c>
      <c r="G192" s="10" t="s">
        <v>21</v>
      </c>
      <c r="H192" s="11">
        <v>10000</v>
      </c>
      <c r="I192" s="2">
        <f>Tabla245678[[#This Row],[TOTAL FACTURA]]*0.7</f>
        <v>7000</v>
      </c>
      <c r="J192" s="139">
        <f t="shared" si="12"/>
        <v>3000</v>
      </c>
      <c r="K192" s="10"/>
      <c r="L192" s="11"/>
      <c r="M192" s="11">
        <f>Tabla245678[[#This Row],[MONTO DE COMPRA]]/1.19</f>
        <v>0</v>
      </c>
      <c r="N192" s="11">
        <f>Tabla245678[[#This Row],[Columna1]]*19%</f>
        <v>0</v>
      </c>
      <c r="O192" s="11"/>
      <c r="P192" s="11">
        <f>Tabla245678[[#This Row],[VENTA ]]/1.19</f>
        <v>0</v>
      </c>
      <c r="Q192" s="11">
        <f>Tabla245678[[#This Row],[Columna2]]*19%</f>
        <v>0</v>
      </c>
      <c r="R192" s="11">
        <f>Tabla245678[[#This Row],[IVA VENTA ]]-Tabla245678[[#This Row],[IV COMPRA]]</f>
        <v>0</v>
      </c>
      <c r="S192" s="11">
        <f>(Tabla245678[[#This Row],[VENTA ]]-(Tabla245678[[#This Row],[MONTO DE COMPRA]]+Tabla245678[[#This Row],[DIFERENCIA IVA ]]))</f>
        <v>0</v>
      </c>
      <c r="T192" s="11"/>
    </row>
    <row r="193" spans="1:21" x14ac:dyDescent="0.25">
      <c r="A193" s="56">
        <v>44816</v>
      </c>
      <c r="B193" s="4" t="s">
        <v>3090</v>
      </c>
      <c r="C193" s="4" t="s">
        <v>2965</v>
      </c>
      <c r="D193" s="151" t="s">
        <v>2966</v>
      </c>
      <c r="E193" s="4" t="s">
        <v>2392</v>
      </c>
      <c r="F193" s="1" t="s">
        <v>2446</v>
      </c>
      <c r="G193" s="10" t="s">
        <v>3091</v>
      </c>
      <c r="H193" s="11">
        <v>30000</v>
      </c>
      <c r="I193" s="15">
        <f>Tabla245678[[#This Row],[TOTAL FACTURA]]*0.7</f>
        <v>21000</v>
      </c>
      <c r="J193" s="147">
        <f t="shared" si="12"/>
        <v>9000</v>
      </c>
      <c r="K193" s="10" t="s">
        <v>3092</v>
      </c>
      <c r="L193" s="11">
        <v>200000</v>
      </c>
      <c r="M193" s="11"/>
      <c r="N193" s="11">
        <f>Tabla245678[[#This Row],[Columna1]]*19%</f>
        <v>0</v>
      </c>
      <c r="O193" s="11">
        <v>230000</v>
      </c>
      <c r="P193" s="11"/>
      <c r="Q193" s="11">
        <f>Tabla245678[[#This Row],[Columna2]]*19%</f>
        <v>0</v>
      </c>
      <c r="R193" s="11">
        <f>Tabla245678[[#This Row],[IVA VENTA ]]-Tabla245678[[#This Row],[IV COMPRA]]</f>
        <v>0</v>
      </c>
      <c r="S193" s="11">
        <f>(Tabla245678[[#This Row],[VENTA ]]-(Tabla245678[[#This Row],[MONTO DE COMPRA]]+Tabla245678[[#This Row],[DIFERENCIA IVA ]]))</f>
        <v>30000</v>
      </c>
      <c r="T193" s="11"/>
      <c r="U193" s="1"/>
    </row>
    <row r="194" spans="1:21" ht="30" x14ac:dyDescent="0.25">
      <c r="A194" s="56">
        <v>44816</v>
      </c>
      <c r="B194" s="4" t="s">
        <v>3093</v>
      </c>
      <c r="C194" s="4" t="s">
        <v>3094</v>
      </c>
      <c r="D194" s="150" t="s">
        <v>3095</v>
      </c>
      <c r="E194" s="4" t="s">
        <v>76</v>
      </c>
      <c r="F194" s="1" t="s">
        <v>2446</v>
      </c>
      <c r="G194" s="10" t="s">
        <v>3096</v>
      </c>
      <c r="H194" s="11">
        <v>80000</v>
      </c>
      <c r="I194" s="2">
        <f>Tabla245678[[#This Row],[TOTAL FACTURA]]*0.7</f>
        <v>56000</v>
      </c>
      <c r="J194" s="139">
        <f t="shared" si="12"/>
        <v>24000</v>
      </c>
      <c r="K194" s="10" t="s">
        <v>2727</v>
      </c>
      <c r="L194" s="11">
        <v>85000</v>
      </c>
      <c r="M194" s="11"/>
      <c r="N194" s="11">
        <f>Tabla245678[[#This Row],[Columna1]]*19%</f>
        <v>0</v>
      </c>
      <c r="O194" s="11">
        <v>130000</v>
      </c>
      <c r="P194" s="11"/>
      <c r="Q194" s="11">
        <f>Tabla245678[[#This Row],[Columna2]]*19%</f>
        <v>0</v>
      </c>
      <c r="R194" s="11">
        <f>Tabla245678[[#This Row],[IVA VENTA ]]-Tabla245678[[#This Row],[IV COMPRA]]</f>
        <v>0</v>
      </c>
      <c r="S194" s="11">
        <f>(Tabla245678[[#This Row],[VENTA ]]-(Tabla245678[[#This Row],[MONTO DE COMPRA]]+Tabla245678[[#This Row],[DIFERENCIA IVA ]]))</f>
        <v>45000</v>
      </c>
      <c r="T194" s="11"/>
      <c r="U194" s="1"/>
    </row>
    <row r="195" spans="1:21" ht="30" x14ac:dyDescent="0.25">
      <c r="A195" s="56">
        <v>44817</v>
      </c>
      <c r="B195" s="4" t="s">
        <v>3097</v>
      </c>
      <c r="C195" s="4" t="s">
        <v>3098</v>
      </c>
      <c r="D195" s="151" t="s">
        <v>3099</v>
      </c>
      <c r="E195" s="4" t="s">
        <v>815</v>
      </c>
      <c r="F195" s="1" t="s">
        <v>10</v>
      </c>
      <c r="G195" s="10" t="s">
        <v>3100</v>
      </c>
      <c r="H195" s="11">
        <v>50000</v>
      </c>
      <c r="I195" s="2">
        <f>Tabla245678[[#This Row],[TOTAL FACTURA]]*0.7</f>
        <v>35000</v>
      </c>
      <c r="J195" s="139">
        <f t="shared" si="12"/>
        <v>15000</v>
      </c>
      <c r="K195" s="10" t="s">
        <v>3101</v>
      </c>
      <c r="L195" s="11">
        <v>80000</v>
      </c>
      <c r="M195" s="11">
        <f>Tabla245678[[#This Row],[MONTO DE COMPRA]]/1.19</f>
        <v>67226.890756302528</v>
      </c>
      <c r="N195" s="11">
        <f>Tabla245678[[#This Row],[Columna1]]*19%</f>
        <v>12773.10924369748</v>
      </c>
      <c r="O195" s="11">
        <v>70000</v>
      </c>
      <c r="P195" s="11">
        <f>Tabla245678[[#This Row],[VENTA ]]/1.19</f>
        <v>58823.529411764706</v>
      </c>
      <c r="Q195" s="11">
        <f>Tabla245678[[#This Row],[Columna2]]*19%</f>
        <v>11176.470588235294</v>
      </c>
      <c r="R195" s="11">
        <f>Tabla245678[[#This Row],[IVA VENTA ]]-Tabla245678[[#This Row],[IV COMPRA]]</f>
        <v>-1596.6386554621859</v>
      </c>
      <c r="S195" s="11">
        <f>(Tabla245678[[#This Row],[VENTA ]]-(Tabla245678[[#This Row],[MONTO DE COMPRA]]+Tabla245678[[#This Row],[DIFERENCIA IVA ]]))</f>
        <v>-8403.3613445378141</v>
      </c>
      <c r="T195" s="11"/>
      <c r="U195" s="1"/>
    </row>
    <row r="196" spans="1:21" x14ac:dyDescent="0.25">
      <c r="A196" s="56">
        <v>44817</v>
      </c>
      <c r="C196" s="4" t="s">
        <v>1702</v>
      </c>
      <c r="D196" s="150" t="s">
        <v>674</v>
      </c>
      <c r="E196" s="4" t="s">
        <v>545</v>
      </c>
      <c r="F196" s="1" t="s">
        <v>10</v>
      </c>
      <c r="G196" s="10" t="s">
        <v>3102</v>
      </c>
      <c r="H196" s="11">
        <v>20000</v>
      </c>
      <c r="I196" s="2">
        <f>Tabla245678[[#This Row],[TOTAL FACTURA]]*0.7</f>
        <v>14000</v>
      </c>
      <c r="J196" s="139">
        <f t="shared" si="12"/>
        <v>6000</v>
      </c>
      <c r="K196" s="10"/>
      <c r="L196" s="11"/>
      <c r="M196" s="11">
        <f>Tabla245678[[#This Row],[MONTO DE COMPRA]]/1.19</f>
        <v>0</v>
      </c>
      <c r="N196" s="11">
        <f>Tabla245678[[#This Row],[Columna1]]*19%</f>
        <v>0</v>
      </c>
      <c r="O196" s="11"/>
      <c r="P196" s="11">
        <f>Tabla245678[[#This Row],[VENTA ]]/1.19</f>
        <v>0</v>
      </c>
      <c r="Q196" s="11">
        <f>Tabla245678[[#This Row],[Columna2]]*19%</f>
        <v>0</v>
      </c>
      <c r="R196" s="11">
        <f>Tabla245678[[#This Row],[IVA VENTA ]]-Tabla245678[[#This Row],[IV COMPRA]]</f>
        <v>0</v>
      </c>
      <c r="S196" s="11">
        <f>(Tabla245678[[#This Row],[VENTA ]]-(Tabla245678[[#This Row],[MONTO DE COMPRA]]+Tabla245678[[#This Row],[DIFERENCIA IVA ]]))</f>
        <v>0</v>
      </c>
      <c r="T196" s="11"/>
      <c r="U196" s="1"/>
    </row>
    <row r="197" spans="1:21" x14ac:dyDescent="0.25">
      <c r="A197" s="56">
        <v>44817</v>
      </c>
      <c r="B197" s="4" t="s">
        <v>3105</v>
      </c>
      <c r="C197" s="4" t="s">
        <v>2912</v>
      </c>
      <c r="D197" s="151" t="s">
        <v>3103</v>
      </c>
      <c r="E197" s="4" t="s">
        <v>52</v>
      </c>
      <c r="F197" s="1" t="s">
        <v>2446</v>
      </c>
      <c r="G197" s="10" t="s">
        <v>2324</v>
      </c>
      <c r="H197" s="11">
        <v>60000</v>
      </c>
      <c r="I197" s="2">
        <f>Tabla245678[[#This Row],[TOTAL FACTURA]]*0.7</f>
        <v>42000</v>
      </c>
      <c r="J197" s="139">
        <f t="shared" ref="J197:J202" si="13">H197-I197</f>
        <v>18000</v>
      </c>
      <c r="K197" s="10" t="s">
        <v>3104</v>
      </c>
      <c r="L197" s="11">
        <f>6000+10000+10000</f>
        <v>26000</v>
      </c>
      <c r="M197" s="11">
        <f>Tabla245678[[#This Row],[MONTO DE COMPRA]]/1.19</f>
        <v>21848.73949579832</v>
      </c>
      <c r="N197" s="11">
        <f>Tabla245678[[#This Row],[Columna1]]*19%</f>
        <v>4151.2605042016812</v>
      </c>
      <c r="O197" s="11">
        <v>47000</v>
      </c>
      <c r="P197" s="11">
        <f>Tabla245678[[#This Row],[VENTA ]]/1.19</f>
        <v>39495.798319327732</v>
      </c>
      <c r="Q197" s="11">
        <f>Tabla245678[[#This Row],[Columna2]]*19%</f>
        <v>7504.2016806722695</v>
      </c>
      <c r="R197" s="11">
        <f>Tabla245678[[#This Row],[IVA VENTA ]]-Tabla245678[[#This Row],[IV COMPRA]]</f>
        <v>3352.9411764705883</v>
      </c>
      <c r="S197" s="11">
        <f>(Tabla245678[[#This Row],[VENTA ]]-(Tabla245678[[#This Row],[MONTO DE COMPRA]]+Tabla245678[[#This Row],[DIFERENCIA IVA ]]))</f>
        <v>17647.058823529413</v>
      </c>
      <c r="T197" s="11"/>
      <c r="U197" s="1"/>
    </row>
    <row r="198" spans="1:21" x14ac:dyDescent="0.25">
      <c r="A198" s="56">
        <v>44817</v>
      </c>
      <c r="C198" s="4"/>
      <c r="D198" s="150" t="s">
        <v>3106</v>
      </c>
      <c r="E198" s="4" t="s">
        <v>815</v>
      </c>
      <c r="F198" s="1" t="s">
        <v>2446</v>
      </c>
      <c r="G198" s="10" t="s">
        <v>341</v>
      </c>
      <c r="H198" s="11">
        <v>10000</v>
      </c>
      <c r="I198" s="2">
        <f>Tabla245678[[#This Row],[TOTAL FACTURA]]*0.7</f>
        <v>7000</v>
      </c>
      <c r="J198" s="139">
        <f t="shared" si="13"/>
        <v>3000</v>
      </c>
      <c r="K198" s="10"/>
      <c r="L198" s="11"/>
      <c r="M198" s="11">
        <f>Tabla245678[[#This Row],[MONTO DE COMPRA]]/1.19</f>
        <v>0</v>
      </c>
      <c r="N198" s="11">
        <f>Tabla245678[[#This Row],[Columna1]]*19%</f>
        <v>0</v>
      </c>
      <c r="O198" s="11"/>
      <c r="P198" s="11">
        <f>Tabla245678[[#This Row],[VENTA ]]/1.19</f>
        <v>0</v>
      </c>
      <c r="Q198" s="11">
        <f>Tabla245678[[#This Row],[Columna2]]*19%</f>
        <v>0</v>
      </c>
      <c r="R198" s="11">
        <f>Tabla245678[[#This Row],[IVA VENTA ]]-Tabla245678[[#This Row],[IV COMPRA]]</f>
        <v>0</v>
      </c>
      <c r="S198" s="11">
        <f>(Tabla245678[[#This Row],[VENTA ]]-(Tabla245678[[#This Row],[MONTO DE COMPRA]]+Tabla245678[[#This Row],[DIFERENCIA IVA ]]))</f>
        <v>0</v>
      </c>
      <c r="T198" s="11"/>
      <c r="U198" s="1"/>
    </row>
    <row r="199" spans="1:21" x14ac:dyDescent="0.25">
      <c r="A199" s="56">
        <v>44817</v>
      </c>
      <c r="C199" s="4" t="s">
        <v>3085</v>
      </c>
      <c r="D199" s="151" t="s">
        <v>3107</v>
      </c>
      <c r="E199" s="4" t="s">
        <v>168</v>
      </c>
      <c r="F199" s="1" t="s">
        <v>10</v>
      </c>
      <c r="G199" s="10" t="s">
        <v>3108</v>
      </c>
      <c r="H199" s="11">
        <v>250000</v>
      </c>
      <c r="I199" s="2">
        <f>Tabla245678[[#This Row],[TOTAL FACTURA]]*0.7</f>
        <v>175000</v>
      </c>
      <c r="J199" s="139">
        <f t="shared" si="13"/>
        <v>75000</v>
      </c>
      <c r="K199" s="10" t="s">
        <v>447</v>
      </c>
      <c r="L199" s="11">
        <v>260000</v>
      </c>
      <c r="M199" s="11">
        <f>Tabla245678[[#This Row],[MONTO DE COMPRA]]/1.19</f>
        <v>218487.3949579832</v>
      </c>
      <c r="N199" s="11">
        <f>Tabla245678[[#This Row],[Columna1]]*19%</f>
        <v>41512.60504201681</v>
      </c>
      <c r="O199" s="11">
        <v>350000</v>
      </c>
      <c r="P199" s="11">
        <f>Tabla245678[[#This Row],[VENTA ]]/1.19</f>
        <v>294117.64705882355</v>
      </c>
      <c r="Q199" s="11">
        <f>Tabla245678[[#This Row],[Columna2]]*19%</f>
        <v>55882.352941176476</v>
      </c>
      <c r="R199" s="11">
        <f>Tabla245678[[#This Row],[IVA VENTA ]]-Tabla245678[[#This Row],[IV COMPRA]]</f>
        <v>14369.747899159665</v>
      </c>
      <c r="S199" s="11">
        <f>(Tabla245678[[#This Row],[VENTA ]]-(Tabla245678[[#This Row],[MONTO DE COMPRA]]+Tabla245678[[#This Row],[DIFERENCIA IVA ]]))</f>
        <v>75630.252100840327</v>
      </c>
      <c r="T199" s="11"/>
      <c r="U199" s="1"/>
    </row>
    <row r="200" spans="1:21" x14ac:dyDescent="0.25">
      <c r="A200" s="56">
        <v>44818</v>
      </c>
      <c r="B200" s="4" t="s">
        <v>3109</v>
      </c>
      <c r="C200" s="4" t="s">
        <v>3110</v>
      </c>
      <c r="D200" s="150" t="s">
        <v>3111</v>
      </c>
      <c r="E200" s="4" t="s">
        <v>1947</v>
      </c>
      <c r="F200" s="1" t="s">
        <v>2446</v>
      </c>
      <c r="G200" s="10" t="s">
        <v>206</v>
      </c>
      <c r="H200" s="11">
        <v>50000</v>
      </c>
      <c r="I200" s="2">
        <f>Tabla245678[[#This Row],[TOTAL FACTURA]]*0.7</f>
        <v>35000</v>
      </c>
      <c r="J200" s="139">
        <f t="shared" si="13"/>
        <v>15000</v>
      </c>
      <c r="K200" s="10"/>
      <c r="L200" s="11"/>
      <c r="M200" s="11">
        <f>Tabla245678[[#This Row],[MONTO DE COMPRA]]/1.19</f>
        <v>0</v>
      </c>
      <c r="N200" s="11">
        <f>Tabla245678[[#This Row],[Columna1]]*19%</f>
        <v>0</v>
      </c>
      <c r="O200" s="11"/>
      <c r="P200" s="11">
        <f>Tabla245678[[#This Row],[VENTA ]]/1.19</f>
        <v>0</v>
      </c>
      <c r="Q200" s="11">
        <f>Tabla245678[[#This Row],[Columna2]]*19%</f>
        <v>0</v>
      </c>
      <c r="R200" s="11">
        <f>Tabla245678[[#This Row],[IVA VENTA ]]-Tabla245678[[#This Row],[IV COMPRA]]</f>
        <v>0</v>
      </c>
      <c r="S200" s="11">
        <f>(Tabla245678[[#This Row],[VENTA ]]-(Tabla245678[[#This Row],[MONTO DE COMPRA]]+Tabla245678[[#This Row],[DIFERENCIA IVA ]]))</f>
        <v>0</v>
      </c>
      <c r="T200" s="11"/>
      <c r="U200" s="1"/>
    </row>
    <row r="201" spans="1:21" x14ac:dyDescent="0.25">
      <c r="A201" s="56">
        <v>44818</v>
      </c>
      <c r="B201" s="4" t="s">
        <v>3112</v>
      </c>
      <c r="C201" s="4" t="s">
        <v>3113</v>
      </c>
      <c r="D201" s="151" t="s">
        <v>3114</v>
      </c>
      <c r="E201" s="4" t="s">
        <v>54</v>
      </c>
      <c r="F201" s="1" t="s">
        <v>10</v>
      </c>
      <c r="G201" s="10" t="s">
        <v>3115</v>
      </c>
      <c r="H201" s="11">
        <v>60000</v>
      </c>
      <c r="I201" s="2">
        <f>Tabla245678[[#This Row],[TOTAL FACTURA]]*0.7</f>
        <v>42000</v>
      </c>
      <c r="J201" s="139">
        <f t="shared" si="13"/>
        <v>18000</v>
      </c>
      <c r="K201" s="10"/>
      <c r="L201" s="11"/>
      <c r="M201" s="11">
        <f>Tabla245678[[#This Row],[MONTO DE COMPRA]]/1.19</f>
        <v>0</v>
      </c>
      <c r="N201" s="11">
        <f>Tabla245678[[#This Row],[Columna1]]*19%</f>
        <v>0</v>
      </c>
      <c r="O201" s="11"/>
      <c r="P201" s="11">
        <f>Tabla245678[[#This Row],[VENTA ]]/1.19</f>
        <v>0</v>
      </c>
      <c r="Q201" s="11">
        <f>Tabla245678[[#This Row],[Columna2]]*19%</f>
        <v>0</v>
      </c>
      <c r="R201" s="11">
        <f>Tabla245678[[#This Row],[IVA VENTA ]]-Tabla245678[[#This Row],[IV COMPRA]]</f>
        <v>0</v>
      </c>
      <c r="S201" s="11">
        <f>(Tabla245678[[#This Row],[VENTA ]]-(Tabla245678[[#This Row],[MONTO DE COMPRA]]+Tabla245678[[#This Row],[DIFERENCIA IVA ]]))</f>
        <v>0</v>
      </c>
      <c r="T201" s="11"/>
      <c r="U201" s="15"/>
    </row>
    <row r="202" spans="1:21" ht="45" x14ac:dyDescent="0.25">
      <c r="A202" s="9">
        <v>44818</v>
      </c>
      <c r="B202" s="4" t="s">
        <v>3121</v>
      </c>
      <c r="C202" s="1" t="s">
        <v>3122</v>
      </c>
      <c r="D202" s="150" t="s">
        <v>3123</v>
      </c>
      <c r="E202" s="1" t="s">
        <v>268</v>
      </c>
      <c r="F202" s="1" t="s">
        <v>2446</v>
      </c>
      <c r="G202" s="10" t="s">
        <v>3124</v>
      </c>
      <c r="H202" s="148">
        <v>430000</v>
      </c>
      <c r="I202" s="15">
        <f>Tabla245678[[#This Row],[TOTAL FACTURA]]*0.7</f>
        <v>301000</v>
      </c>
      <c r="J202" s="147">
        <f t="shared" si="13"/>
        <v>129000</v>
      </c>
      <c r="K202" s="10"/>
      <c r="L202" s="11"/>
      <c r="M202" s="11"/>
      <c r="N202" s="11">
        <f>Tabla245678[[#This Row],[Columna1]]*19%</f>
        <v>0</v>
      </c>
      <c r="O202" s="11"/>
      <c r="S202" s="11">
        <f>(Tabla245678[[#This Row],[VENTA ]]-(Tabla245678[[#This Row],[MONTO DE COMPRA]]+Tabla245678[[#This Row],[DIFERENCIA IVA ]]))</f>
        <v>0</v>
      </c>
    </row>
    <row r="203" spans="1:21" ht="45" x14ac:dyDescent="0.25">
      <c r="A203" s="9">
        <v>44818</v>
      </c>
      <c r="B203" s="4" t="s">
        <v>3121</v>
      </c>
      <c r="C203" s="1" t="s">
        <v>3122</v>
      </c>
      <c r="D203" s="151" t="s">
        <v>3123</v>
      </c>
      <c r="E203" s="1" t="s">
        <v>268</v>
      </c>
      <c r="F203" s="1" t="s">
        <v>10</v>
      </c>
      <c r="G203" s="10" t="s">
        <v>3124</v>
      </c>
      <c r="H203" s="148">
        <v>300000</v>
      </c>
      <c r="I203" s="2">
        <f>Tabla245678[[#This Row],[TOTAL FACTURA]]*0.7</f>
        <v>210000</v>
      </c>
      <c r="J203" s="139">
        <f t="shared" ref="J203" si="14">H203-I203</f>
        <v>90000</v>
      </c>
      <c r="K203" s="10" t="s">
        <v>3124</v>
      </c>
      <c r="L203" s="11">
        <v>815000</v>
      </c>
      <c r="M203" s="11"/>
      <c r="N203" s="11">
        <f>Tabla245678[[#This Row],[Columna1]]*19%</f>
        <v>0</v>
      </c>
      <c r="O203" s="11">
        <v>1135000</v>
      </c>
      <c r="S203" s="11">
        <f>(Tabla245678[[#This Row],[VENTA ]]-(Tabla245678[[#This Row],[MONTO DE COMPRA]]+Tabla245678[[#This Row],[DIFERENCIA IVA ]]))</f>
        <v>320000</v>
      </c>
    </row>
    <row r="204" spans="1:21" ht="30" x14ac:dyDescent="0.25">
      <c r="A204" s="9">
        <v>44818</v>
      </c>
      <c r="B204" s="4" t="s">
        <v>3128</v>
      </c>
      <c r="C204" s="1" t="s">
        <v>3125</v>
      </c>
      <c r="D204" s="150" t="s">
        <v>3126</v>
      </c>
      <c r="E204" s="1" t="s">
        <v>2168</v>
      </c>
      <c r="F204" s="1" t="s">
        <v>2446</v>
      </c>
      <c r="G204" s="10" t="s">
        <v>3127</v>
      </c>
      <c r="H204" s="148">
        <v>160000</v>
      </c>
      <c r="I204" s="2">
        <f>Tabla245678[[#This Row],[TOTAL FACTURA]]*0.7</f>
        <v>112000</v>
      </c>
      <c r="J204" s="2">
        <f>H204-I204</f>
        <v>48000</v>
      </c>
      <c r="K204" s="1" t="s">
        <v>3129</v>
      </c>
      <c r="L204" s="11">
        <v>1010000</v>
      </c>
      <c r="M204" s="11">
        <f>Tabla245678[[#This Row],[MONTO DE COMPRA]]/1.19</f>
        <v>848739.49579831935</v>
      </c>
      <c r="N204" s="11">
        <f>Tabla245678[[#This Row],[Columna1]]*19%</f>
        <v>161260.50420168068</v>
      </c>
      <c r="O204" s="11">
        <v>1270000</v>
      </c>
      <c r="P204" s="11">
        <f>Tabla245678[[#This Row],[VENTA ]]/1.19</f>
        <v>1067226.8907563025</v>
      </c>
      <c r="Q204" s="11">
        <f>Tabla245678[[#This Row],[Columna2]]*19%</f>
        <v>202773.10924369749</v>
      </c>
      <c r="R204" s="11">
        <f>Tabla245678[[#This Row],[IVA VENTA ]]-Tabla245678[[#This Row],[IV COMPRA]]</f>
        <v>41512.605042016803</v>
      </c>
      <c r="S204" s="11">
        <f>(Tabla245678[[#This Row],[VENTA ]]-(Tabla245678[[#This Row],[MONTO DE COMPRA]]+Tabla245678[[#This Row],[DIFERENCIA IVA ]]))</f>
        <v>218487.39495798317</v>
      </c>
      <c r="U204" s="1"/>
    </row>
    <row r="205" spans="1:21" x14ac:dyDescent="0.25">
      <c r="A205" s="56">
        <v>44819</v>
      </c>
      <c r="B205" s="4" t="s">
        <v>3116</v>
      </c>
      <c r="C205" s="4" t="s">
        <v>3117</v>
      </c>
      <c r="D205" s="151" t="s">
        <v>3118</v>
      </c>
      <c r="E205" s="4" t="s">
        <v>122</v>
      </c>
      <c r="F205" s="1" t="s">
        <v>2446</v>
      </c>
      <c r="G205" s="10" t="s">
        <v>3119</v>
      </c>
      <c r="H205" s="11">
        <v>90000</v>
      </c>
      <c r="I205" s="2">
        <f>Tabla245678[[#This Row],[TOTAL FACTURA]]*0.7</f>
        <v>62999.999999999993</v>
      </c>
      <c r="J205" s="139">
        <f>H205-I205</f>
        <v>27000.000000000007</v>
      </c>
      <c r="K205" s="10" t="s">
        <v>3120</v>
      </c>
      <c r="L205" s="11">
        <v>100000</v>
      </c>
      <c r="M205" s="11"/>
      <c r="N205" s="11">
        <f>Tabla245678[[#This Row],[Columna1]]*19%</f>
        <v>0</v>
      </c>
      <c r="O205" s="11">
        <v>140000</v>
      </c>
      <c r="P205" s="11"/>
      <c r="Q205" s="11">
        <f>Tabla245678[[#This Row],[Columna2]]*19%</f>
        <v>0</v>
      </c>
      <c r="R205" s="11">
        <f>Tabla245678[[#This Row],[IVA VENTA ]]-Tabla245678[[#This Row],[IV COMPRA]]</f>
        <v>0</v>
      </c>
      <c r="S205" s="11">
        <f>(Tabla245678[[#This Row],[VENTA ]]-(Tabla245678[[#This Row],[MONTO DE COMPRA]]+Tabla245678[[#This Row],[DIFERENCIA IVA ]]))</f>
        <v>40000</v>
      </c>
      <c r="T205" s="11"/>
      <c r="U205" s="1"/>
    </row>
    <row r="206" spans="1:21" x14ac:dyDescent="0.25">
      <c r="A206" s="56">
        <v>44819</v>
      </c>
      <c r="C206" s="145"/>
      <c r="D206" s="150" t="s">
        <v>3130</v>
      </c>
      <c r="E206" s="4"/>
      <c r="F206" s="1" t="s">
        <v>34</v>
      </c>
      <c r="G206" s="10" t="s">
        <v>138</v>
      </c>
      <c r="H206" s="11">
        <v>50000</v>
      </c>
      <c r="I206" s="2">
        <f>Tabla245678[[#This Row],[TOTAL FACTURA]]*0.7</f>
        <v>35000</v>
      </c>
      <c r="J206" s="139">
        <f t="shared" ref="J206:J221" si="15">H206-I206</f>
        <v>15000</v>
      </c>
      <c r="K206" s="10"/>
      <c r="L206" s="11"/>
      <c r="M206" s="11">
        <f>Tabla245678[[#This Row],[MONTO DE COMPRA]]/1.19</f>
        <v>0</v>
      </c>
      <c r="N206" s="11">
        <f>Tabla245678[[#This Row],[Columna1]]*19%</f>
        <v>0</v>
      </c>
      <c r="O206" s="11"/>
      <c r="P206" s="11">
        <f>Tabla245678[[#This Row],[VENTA ]]/1.19</f>
        <v>0</v>
      </c>
      <c r="Q206" s="11">
        <f>Tabla245678[[#This Row],[Columna2]]*19%</f>
        <v>0</v>
      </c>
      <c r="R206" s="11">
        <f>Tabla245678[[#This Row],[IVA VENTA ]]-Tabla245678[[#This Row],[IV COMPRA]]</f>
        <v>0</v>
      </c>
      <c r="S206" s="11">
        <f>(Tabla245678[[#This Row],[VENTA ]]-(Tabla245678[[#This Row],[MONTO DE COMPRA]]+Tabla245678[[#This Row],[DIFERENCIA IVA ]]))</f>
        <v>0</v>
      </c>
      <c r="T206" s="11"/>
      <c r="U206" s="1"/>
    </row>
    <row r="207" spans="1:21" x14ac:dyDescent="0.25">
      <c r="A207" s="56">
        <v>44819</v>
      </c>
      <c r="B207" s="4" t="s">
        <v>3131</v>
      </c>
      <c r="C207" s="4" t="s">
        <v>2556</v>
      </c>
      <c r="D207" s="151" t="s">
        <v>223</v>
      </c>
      <c r="E207" s="4" t="s">
        <v>84</v>
      </c>
      <c r="F207" s="1" t="s">
        <v>2446</v>
      </c>
      <c r="G207" s="10" t="s">
        <v>3132</v>
      </c>
      <c r="H207" s="11">
        <v>40000</v>
      </c>
      <c r="I207" s="2">
        <f>Tabla245678[[#This Row],[TOTAL FACTURA]]*0.7</f>
        <v>28000</v>
      </c>
      <c r="J207" s="139">
        <f t="shared" si="15"/>
        <v>12000</v>
      </c>
      <c r="K207" s="10"/>
      <c r="L207" s="11"/>
      <c r="M207" s="11">
        <f>Tabla245678[[#This Row],[MONTO DE COMPRA]]/1.19</f>
        <v>0</v>
      </c>
      <c r="N207" s="11">
        <f>Tabla245678[[#This Row],[Columna1]]*19%</f>
        <v>0</v>
      </c>
      <c r="O207" s="11"/>
      <c r="P207" s="11">
        <f>Tabla245678[[#This Row],[VENTA ]]/1.19</f>
        <v>0</v>
      </c>
      <c r="Q207" s="11">
        <f>Tabla245678[[#This Row],[Columna2]]*19%</f>
        <v>0</v>
      </c>
      <c r="R207" s="11">
        <f>Tabla245678[[#This Row],[IVA VENTA ]]-Tabla245678[[#This Row],[IV COMPRA]]</f>
        <v>0</v>
      </c>
      <c r="S207" s="11">
        <f>(Tabla245678[[#This Row],[VENTA ]]-(Tabla245678[[#This Row],[MONTO DE COMPRA]]+Tabla245678[[#This Row],[DIFERENCIA IVA ]]))</f>
        <v>0</v>
      </c>
      <c r="T207" s="11"/>
      <c r="U207" s="1"/>
    </row>
    <row r="208" spans="1:21" ht="39.75" customHeight="1" x14ac:dyDescent="0.25">
      <c r="A208" s="56">
        <v>44819</v>
      </c>
      <c r="B208" s="4" t="s">
        <v>3133</v>
      </c>
      <c r="C208" s="4" t="s">
        <v>3134</v>
      </c>
      <c r="D208" s="150" t="s">
        <v>3136</v>
      </c>
      <c r="E208" s="4" t="s">
        <v>3135</v>
      </c>
      <c r="F208" s="1" t="s">
        <v>2446</v>
      </c>
      <c r="G208" s="10" t="s">
        <v>3137</v>
      </c>
      <c r="H208" s="11">
        <v>30000</v>
      </c>
      <c r="I208" s="2">
        <f>Tabla245678[[#This Row],[TOTAL FACTURA]]*0.7</f>
        <v>21000</v>
      </c>
      <c r="J208" s="139">
        <f t="shared" si="15"/>
        <v>9000</v>
      </c>
      <c r="K208" s="10" t="s">
        <v>71</v>
      </c>
      <c r="L208" s="11">
        <v>120000</v>
      </c>
      <c r="M208" s="11">
        <f>Tabla245678[[#This Row],[MONTO DE COMPRA]]/1.19</f>
        <v>100840.33613445378</v>
      </c>
      <c r="N208" s="11">
        <f>Tabla245678[[#This Row],[Columna1]]*19%</f>
        <v>19159.663865546219</v>
      </c>
      <c r="O208" s="11">
        <v>150000</v>
      </c>
      <c r="P208" s="11">
        <f>Tabla245678[[#This Row],[VENTA ]]/1.19</f>
        <v>126050.42016806723</v>
      </c>
      <c r="Q208" s="11">
        <f>Tabla245678[[#This Row],[Columna2]]*19%</f>
        <v>23949.579831932773</v>
      </c>
      <c r="R208" s="11">
        <f>Tabla245678[[#This Row],[IVA VENTA ]]-Tabla245678[[#This Row],[IV COMPRA]]</f>
        <v>4789.9159663865539</v>
      </c>
      <c r="S208" s="11">
        <f>(Tabla245678[[#This Row],[VENTA ]]-(Tabla245678[[#This Row],[MONTO DE COMPRA]]+Tabla245678[[#This Row],[DIFERENCIA IVA ]]))</f>
        <v>25210.084033613442</v>
      </c>
      <c r="T208" s="11"/>
      <c r="U208" s="1"/>
    </row>
    <row r="209" spans="1:21" ht="45" x14ac:dyDescent="0.25">
      <c r="A209" s="56">
        <v>44819</v>
      </c>
      <c r="B209" s="4" t="s">
        <v>3138</v>
      </c>
      <c r="C209" s="4" t="s">
        <v>3140</v>
      </c>
      <c r="D209" s="151" t="s">
        <v>3141</v>
      </c>
      <c r="E209" s="4" t="s">
        <v>213</v>
      </c>
      <c r="F209" s="1" t="s">
        <v>2446</v>
      </c>
      <c r="G209" s="10" t="s">
        <v>3139</v>
      </c>
      <c r="H209" s="11">
        <v>100000</v>
      </c>
      <c r="I209" s="2">
        <f>Tabla245678[[#This Row],[TOTAL FACTURA]]*0.7</f>
        <v>70000</v>
      </c>
      <c r="J209" s="139">
        <f t="shared" si="15"/>
        <v>30000</v>
      </c>
      <c r="K209" s="10"/>
      <c r="L209" s="11"/>
      <c r="M209" s="11">
        <f>Tabla245678[[#This Row],[MONTO DE COMPRA]]/1.19</f>
        <v>0</v>
      </c>
      <c r="N209" s="11">
        <f>Tabla245678[[#This Row],[Columna1]]*19%</f>
        <v>0</v>
      </c>
      <c r="O209" s="11"/>
      <c r="P209" s="11">
        <f>Tabla245678[[#This Row],[VENTA ]]/1.19</f>
        <v>0</v>
      </c>
      <c r="Q209" s="11">
        <f>Tabla245678[[#This Row],[Columna2]]*19%</f>
        <v>0</v>
      </c>
      <c r="R209" s="11">
        <f>Tabla245678[[#This Row],[IVA VENTA ]]-Tabla245678[[#This Row],[IV COMPRA]]</f>
        <v>0</v>
      </c>
      <c r="S209" s="11">
        <f>(Tabla245678[[#This Row],[VENTA ]]-(Tabla245678[[#This Row],[MONTO DE COMPRA]]+Tabla245678[[#This Row],[DIFERENCIA IVA ]]))</f>
        <v>0</v>
      </c>
      <c r="T209" s="11"/>
      <c r="U209" s="1"/>
    </row>
    <row r="210" spans="1:21" x14ac:dyDescent="0.25">
      <c r="A210" s="56">
        <v>44820</v>
      </c>
      <c r="C210" s="4"/>
      <c r="D210" s="150" t="s">
        <v>3142</v>
      </c>
      <c r="E210" s="4"/>
      <c r="F210" s="1" t="s">
        <v>34</v>
      </c>
      <c r="G210" s="10" t="s">
        <v>3143</v>
      </c>
      <c r="H210" s="11">
        <v>60000</v>
      </c>
      <c r="I210" s="2"/>
      <c r="J210" s="139">
        <f t="shared" si="15"/>
        <v>60000</v>
      </c>
      <c r="K210" s="10"/>
      <c r="L210" s="11"/>
      <c r="M210" s="11">
        <f>Tabla245678[[#This Row],[MONTO DE COMPRA]]/1.19</f>
        <v>0</v>
      </c>
      <c r="N210" s="11">
        <f>Tabla245678[[#This Row],[Columna1]]*19%</f>
        <v>0</v>
      </c>
      <c r="O210" s="11"/>
      <c r="P210" s="11">
        <f>Tabla245678[[#This Row],[VENTA ]]/1.19</f>
        <v>0</v>
      </c>
      <c r="Q210" s="11">
        <f>Tabla245678[[#This Row],[Columna2]]*19%</f>
        <v>0</v>
      </c>
      <c r="R210" s="11">
        <f>Tabla245678[[#This Row],[IVA VENTA ]]-Tabla245678[[#This Row],[IV COMPRA]]</f>
        <v>0</v>
      </c>
      <c r="S210" s="11">
        <f>(Tabla245678[[#This Row],[VENTA ]]-(Tabla245678[[#This Row],[MONTO DE COMPRA]]+Tabla245678[[#This Row],[DIFERENCIA IVA ]]))</f>
        <v>0</v>
      </c>
      <c r="T210" s="11"/>
      <c r="U210" s="1"/>
    </row>
    <row r="211" spans="1:21" x14ac:dyDescent="0.25">
      <c r="A211" s="56">
        <v>44820</v>
      </c>
      <c r="B211" s="4" t="s">
        <v>3145</v>
      </c>
      <c r="C211" s="4"/>
      <c r="D211" s="151" t="s">
        <v>3144</v>
      </c>
      <c r="E211" s="4"/>
      <c r="F211" s="1" t="s">
        <v>34</v>
      </c>
      <c r="G211" s="10" t="s">
        <v>206</v>
      </c>
      <c r="H211" s="11">
        <v>40000</v>
      </c>
      <c r="I211" s="2"/>
      <c r="J211" s="139">
        <f t="shared" si="15"/>
        <v>40000</v>
      </c>
      <c r="K211" s="10"/>
      <c r="L211" s="11"/>
      <c r="M211" s="11">
        <f>Tabla245678[[#This Row],[MONTO DE COMPRA]]/1.19</f>
        <v>0</v>
      </c>
      <c r="N211" s="11">
        <f>Tabla245678[[#This Row],[Columna1]]*19%</f>
        <v>0</v>
      </c>
      <c r="O211" s="11"/>
      <c r="P211" s="11">
        <f>Tabla245678[[#This Row],[VENTA ]]/1.19</f>
        <v>0</v>
      </c>
      <c r="Q211" s="11">
        <f>Tabla245678[[#This Row],[Columna2]]*19%</f>
        <v>0</v>
      </c>
      <c r="R211" s="11">
        <f>Tabla245678[[#This Row],[IVA VENTA ]]-Tabla245678[[#This Row],[IV COMPRA]]</f>
        <v>0</v>
      </c>
      <c r="S211" s="11">
        <f>(Tabla245678[[#This Row],[VENTA ]]-(Tabla245678[[#This Row],[MONTO DE COMPRA]]+Tabla245678[[#This Row],[DIFERENCIA IVA ]]))</f>
        <v>0</v>
      </c>
      <c r="T211" s="11"/>
      <c r="U211" s="1"/>
    </row>
    <row r="212" spans="1:21" ht="30" x14ac:dyDescent="0.25">
      <c r="A212" s="56">
        <v>44820</v>
      </c>
      <c r="B212" s="4" t="s">
        <v>3169</v>
      </c>
      <c r="C212" s="4" t="s">
        <v>3146</v>
      </c>
      <c r="D212" s="152" t="s">
        <v>3147</v>
      </c>
      <c r="E212" s="4" t="s">
        <v>52</v>
      </c>
      <c r="F212" s="1" t="s">
        <v>2446</v>
      </c>
      <c r="G212" s="10" t="s">
        <v>3148</v>
      </c>
      <c r="H212" s="11">
        <v>150000</v>
      </c>
      <c r="I212" s="2">
        <f>Tabla245678[[#This Row],[TOTAL FACTURA]]*0.7</f>
        <v>105000</v>
      </c>
      <c r="J212" s="139">
        <f t="shared" ref="J212" si="16">H212-I212</f>
        <v>45000</v>
      </c>
      <c r="K212" s="10" t="s">
        <v>3149</v>
      </c>
      <c r="L212" s="11">
        <f>180000+350000</f>
        <v>530000</v>
      </c>
      <c r="M212" s="11">
        <v>151260.5</v>
      </c>
      <c r="N212" s="11">
        <f>Tabla245678[[#This Row],[Columna1]]*19%</f>
        <v>28739.494999999999</v>
      </c>
      <c r="O212" s="11">
        <f>280000+500000</f>
        <v>780000</v>
      </c>
      <c r="P212" s="11">
        <v>235294.11</v>
      </c>
      <c r="Q212" s="11">
        <f>Tabla245678[[#This Row],[Columna2]]*19%</f>
        <v>44705.880899999996</v>
      </c>
      <c r="R212" s="11">
        <f>Tabla245678[[#This Row],[IVA VENTA ]]-Tabla245678[[#This Row],[IV COMPRA]]</f>
        <v>15966.385899999997</v>
      </c>
      <c r="S212" s="11">
        <f>(Tabla245678[[#This Row],[VENTA ]]-(Tabla245678[[#This Row],[MONTO DE COMPRA]]+Tabla245678[[#This Row],[DIFERENCIA IVA ]]))</f>
        <v>234033.61410000001</v>
      </c>
      <c r="T212" s="11"/>
      <c r="U212" s="1"/>
    </row>
    <row r="213" spans="1:21" ht="30" x14ac:dyDescent="0.25">
      <c r="A213" s="56">
        <v>44820</v>
      </c>
      <c r="B213" s="4" t="s">
        <v>3150</v>
      </c>
      <c r="C213" s="4" t="s">
        <v>3151</v>
      </c>
      <c r="D213" s="151" t="s">
        <v>3152</v>
      </c>
      <c r="E213" s="4" t="s">
        <v>688</v>
      </c>
      <c r="F213" s="1" t="s">
        <v>2446</v>
      </c>
      <c r="G213" s="10" t="s">
        <v>3153</v>
      </c>
      <c r="H213" s="11">
        <v>180000</v>
      </c>
      <c r="I213" s="2">
        <f>Tabla245678[[#This Row],[TOTAL FACTURA]]*0.7</f>
        <v>125999.99999999999</v>
      </c>
      <c r="J213" s="139">
        <f t="shared" si="15"/>
        <v>54000.000000000015</v>
      </c>
      <c r="K213" s="10" t="s">
        <v>3154</v>
      </c>
      <c r="L213" s="11">
        <v>150000</v>
      </c>
      <c r="M213" s="11">
        <f>Tabla245678[[#This Row],[MONTO DE COMPRA]]/1.19</f>
        <v>126050.42016806723</v>
      </c>
      <c r="N213" s="11">
        <f>Tabla245678[[#This Row],[Columna1]]*19%</f>
        <v>23949.579831932773</v>
      </c>
      <c r="O213" s="11">
        <v>200000</v>
      </c>
      <c r="P213" s="11">
        <f>Tabla245678[[#This Row],[VENTA ]]/1.19</f>
        <v>168067.22689075631</v>
      </c>
      <c r="Q213" s="11">
        <f>Tabla245678[[#This Row],[Columna2]]*19%</f>
        <v>31932.773109243699</v>
      </c>
      <c r="R213" s="11">
        <f>Tabla245678[[#This Row],[IVA VENTA ]]-Tabla245678[[#This Row],[IV COMPRA]]</f>
        <v>7983.1932773109256</v>
      </c>
      <c r="S213" s="11">
        <f>(Tabla245678[[#This Row],[VENTA ]]-(Tabla245678[[#This Row],[MONTO DE COMPRA]]+Tabla245678[[#This Row],[DIFERENCIA IVA ]]))</f>
        <v>42016.806722689071</v>
      </c>
      <c r="T213" s="11"/>
      <c r="U213" s="1"/>
    </row>
    <row r="214" spans="1:21" x14ac:dyDescent="0.25">
      <c r="A214" s="56">
        <v>44820</v>
      </c>
      <c r="B214" s="4" t="s">
        <v>1678</v>
      </c>
      <c r="C214" s="4" t="s">
        <v>3155</v>
      </c>
      <c r="D214" s="150" t="s">
        <v>3156</v>
      </c>
      <c r="E214" s="4" t="s">
        <v>46</v>
      </c>
      <c r="F214" s="1" t="s">
        <v>10</v>
      </c>
      <c r="G214" s="10" t="s">
        <v>3157</v>
      </c>
      <c r="H214" s="11">
        <v>160000</v>
      </c>
      <c r="I214" s="2">
        <f>Tabla245678[[#This Row],[TOTAL FACTURA]]*0.7</f>
        <v>112000</v>
      </c>
      <c r="J214" s="139">
        <f t="shared" si="15"/>
        <v>48000</v>
      </c>
      <c r="K214" s="10" t="s">
        <v>3158</v>
      </c>
      <c r="L214" s="11">
        <v>515000</v>
      </c>
      <c r="M214" s="11"/>
      <c r="N214" s="11">
        <f>Tabla245678[[#This Row],[Columna1]]*19%</f>
        <v>0</v>
      </c>
      <c r="O214" s="11">
        <v>643000</v>
      </c>
      <c r="P214" s="11"/>
      <c r="Q214" s="11">
        <f>Tabla245678[[#This Row],[Columna2]]*19%</f>
        <v>0</v>
      </c>
      <c r="R214" s="11">
        <f>Tabla245678[[#This Row],[IVA VENTA ]]-Tabla245678[[#This Row],[IV COMPRA]]</f>
        <v>0</v>
      </c>
      <c r="S214" s="11">
        <f>(Tabla245678[[#This Row],[VENTA ]]-(Tabla245678[[#This Row],[MONTO DE COMPRA]]+Tabla245678[[#This Row],[DIFERENCIA IVA ]]))</f>
        <v>128000</v>
      </c>
      <c r="T214" s="11"/>
      <c r="U214" s="1"/>
    </row>
    <row r="215" spans="1:21" ht="30" x14ac:dyDescent="0.25">
      <c r="A215" s="56">
        <v>44820</v>
      </c>
      <c r="B215" s="4" t="s">
        <v>3166</v>
      </c>
      <c r="C215" s="4" t="s">
        <v>2840</v>
      </c>
      <c r="D215" s="151" t="s">
        <v>3159</v>
      </c>
      <c r="E215" s="4" t="s">
        <v>76</v>
      </c>
      <c r="F215" s="1" t="s">
        <v>10</v>
      </c>
      <c r="G215" s="10" t="s">
        <v>3160</v>
      </c>
      <c r="H215" s="11">
        <v>150000</v>
      </c>
      <c r="I215" s="2">
        <f>Tabla245678[[#This Row],[TOTAL FACTURA]]*0.7</f>
        <v>105000</v>
      </c>
      <c r="J215" s="139">
        <f t="shared" si="15"/>
        <v>45000</v>
      </c>
      <c r="K215" s="10" t="s">
        <v>3161</v>
      </c>
      <c r="L215" s="11">
        <f>25000+70000+140000</f>
        <v>235000</v>
      </c>
      <c r="M215" s="11"/>
      <c r="N215" s="11">
        <f>Tabla245678[[#This Row],[Columna1]]*19%</f>
        <v>0</v>
      </c>
      <c r="O215" s="11">
        <v>340000</v>
      </c>
      <c r="P215" s="11">
        <f>Tabla245678[[#This Row],[VENTA ]]/1.19</f>
        <v>285714.28571428574</v>
      </c>
      <c r="Q215" s="11">
        <f>Tabla245678[[#This Row],[Columna2]]*19%</f>
        <v>54285.71428571429</v>
      </c>
      <c r="R215" s="11">
        <f>Tabla245678[[#This Row],[IVA VENTA ]]-Tabla245678[[#This Row],[IV COMPRA]]</f>
        <v>54285.71428571429</v>
      </c>
      <c r="S215" s="11">
        <f>(Tabla245678[[#This Row],[VENTA ]]-(Tabla245678[[#This Row],[MONTO DE COMPRA]]+Tabla245678[[#This Row],[DIFERENCIA IVA ]]))</f>
        <v>50714.285714285681</v>
      </c>
      <c r="T215" s="11"/>
      <c r="U215" s="1"/>
    </row>
    <row r="216" spans="1:21" x14ac:dyDescent="0.25">
      <c r="A216" s="56">
        <v>44820</v>
      </c>
      <c r="B216" s="4" t="s">
        <v>3167</v>
      </c>
      <c r="C216" s="4" t="s">
        <v>2827</v>
      </c>
      <c r="D216" s="150" t="s">
        <v>3163</v>
      </c>
      <c r="E216" s="4" t="s">
        <v>3162</v>
      </c>
      <c r="F216" s="1" t="s">
        <v>2446</v>
      </c>
      <c r="G216" s="10" t="s">
        <v>2934</v>
      </c>
      <c r="H216" s="11">
        <v>350000</v>
      </c>
      <c r="I216" s="2">
        <f>Tabla245678[[#This Row],[TOTAL FACTURA]]*0.7</f>
        <v>244999.99999999997</v>
      </c>
      <c r="J216" s="139">
        <f t="shared" si="15"/>
        <v>105000.00000000003</v>
      </c>
      <c r="K216" s="10"/>
      <c r="L216" s="11"/>
      <c r="M216" s="11">
        <f>Tabla245678[[#This Row],[MONTO DE COMPRA]]/1.19</f>
        <v>0</v>
      </c>
      <c r="N216" s="11">
        <f>Tabla245678[[#This Row],[Columna1]]*19%</f>
        <v>0</v>
      </c>
      <c r="O216" s="11"/>
      <c r="P216" s="11">
        <f>Tabla245678[[#This Row],[VENTA ]]/1.19</f>
        <v>0</v>
      </c>
      <c r="Q216" s="11">
        <f>Tabla245678[[#This Row],[Columna2]]*19%</f>
        <v>0</v>
      </c>
      <c r="R216" s="11">
        <f>Tabla245678[[#This Row],[IVA VENTA ]]-Tabla245678[[#This Row],[IV COMPRA]]</f>
        <v>0</v>
      </c>
      <c r="S216" s="11">
        <f>(Tabla245678[[#This Row],[VENTA ]]-(Tabla245678[[#This Row],[MONTO DE COMPRA]]+Tabla245678[[#This Row],[DIFERENCIA IVA ]]))</f>
        <v>0</v>
      </c>
      <c r="T216" s="11"/>
      <c r="U216" s="1"/>
    </row>
    <row r="217" spans="1:21" x14ac:dyDescent="0.25">
      <c r="A217" s="56">
        <v>44820</v>
      </c>
      <c r="B217" s="4" t="s">
        <v>3168</v>
      </c>
      <c r="C217" s="4" t="s">
        <v>1958</v>
      </c>
      <c r="D217" s="151" t="s">
        <v>1959</v>
      </c>
      <c r="E217" s="4" t="s">
        <v>521</v>
      </c>
      <c r="F217" s="1" t="s">
        <v>10</v>
      </c>
      <c r="G217" s="134" t="s">
        <v>3165</v>
      </c>
      <c r="H217" s="15">
        <v>160000</v>
      </c>
      <c r="I217" s="2">
        <f>Tabla245678[[#This Row],[TOTAL FACTURA]]*0.7</f>
        <v>112000</v>
      </c>
      <c r="J217" s="146">
        <f>H217-I217</f>
        <v>48000</v>
      </c>
      <c r="K217" s="10"/>
      <c r="L217" s="11"/>
      <c r="M217" s="11">
        <f>Tabla245678[[#This Row],[MONTO DE COMPRA]]/1.19</f>
        <v>0</v>
      </c>
      <c r="N217" s="11">
        <f>Tabla245678[[#This Row],[Columna1]]*19%</f>
        <v>0</v>
      </c>
      <c r="O217" s="11"/>
      <c r="P217" s="11">
        <f>Tabla245678[[#This Row],[VENTA ]]/1.19</f>
        <v>0</v>
      </c>
      <c r="Q217" s="11">
        <f>Tabla245678[[#This Row],[Columna2]]*19%</f>
        <v>0</v>
      </c>
      <c r="R217" s="11">
        <f>Tabla245678[[#This Row],[IVA VENTA ]]-Tabla245678[[#This Row],[IV COMPRA]]</f>
        <v>0</v>
      </c>
      <c r="S217" s="11">
        <f>(Tabla245678[[#This Row],[VENTA ]]-(Tabla245678[[#This Row],[MONTO DE COMPRA]]+Tabla245678[[#This Row],[DIFERENCIA IVA ]]))</f>
        <v>0</v>
      </c>
      <c r="T217" s="11"/>
      <c r="U217" s="1"/>
    </row>
    <row r="218" spans="1:21" ht="30" x14ac:dyDescent="0.25">
      <c r="A218" s="56">
        <v>44821</v>
      </c>
      <c r="B218" s="4" t="s">
        <v>3170</v>
      </c>
      <c r="C218" s="4" t="s">
        <v>1527</v>
      </c>
      <c r="D218" s="152" t="s">
        <v>1528</v>
      </c>
      <c r="E218" s="4" t="s">
        <v>385</v>
      </c>
      <c r="F218" s="1" t="s">
        <v>2446</v>
      </c>
      <c r="G218" s="10" t="s">
        <v>3171</v>
      </c>
      <c r="H218" s="11">
        <v>150000</v>
      </c>
      <c r="I218" s="2">
        <f>Tabla245678[[#This Row],[TOTAL FACTURA]]*0.7</f>
        <v>105000</v>
      </c>
      <c r="J218" s="139">
        <f t="shared" si="15"/>
        <v>45000</v>
      </c>
      <c r="K218" s="10" t="s">
        <v>3172</v>
      </c>
      <c r="L218" s="11">
        <v>208000</v>
      </c>
      <c r="M218" s="11">
        <f>Tabla245678[[#This Row],[MONTO DE COMPRA]]/1.19</f>
        <v>174789.91596638656</v>
      </c>
      <c r="N218" s="11">
        <f>Tabla245678[[#This Row],[Columna1]]*19%</f>
        <v>33210.08403361345</v>
      </c>
      <c r="O218" s="11">
        <v>309000</v>
      </c>
      <c r="P218" s="11">
        <f>Tabla245678[[#This Row],[VENTA ]]/1.19</f>
        <v>259663.8655462185</v>
      </c>
      <c r="Q218" s="11">
        <f>Tabla245678[[#This Row],[Columna2]]*19%</f>
        <v>49336.134453781517</v>
      </c>
      <c r="R218" s="11">
        <f>Tabla245678[[#This Row],[IVA VENTA ]]-Tabla245678[[#This Row],[IV COMPRA]]</f>
        <v>16126.050420168067</v>
      </c>
      <c r="S218" s="11">
        <f>(Tabla245678[[#This Row],[VENTA ]]-(Tabla245678[[#This Row],[MONTO DE COMPRA]]+Tabla245678[[#This Row],[DIFERENCIA IVA ]]))</f>
        <v>84873.94957983194</v>
      </c>
      <c r="T218" s="11"/>
      <c r="U218" s="1"/>
    </row>
    <row r="219" spans="1:21" x14ac:dyDescent="0.25">
      <c r="A219" s="56">
        <v>44821</v>
      </c>
      <c r="B219" s="4" t="s">
        <v>1690</v>
      </c>
      <c r="C219" s="4" t="s">
        <v>3155</v>
      </c>
      <c r="D219" s="151" t="s">
        <v>3156</v>
      </c>
      <c r="E219" s="4" t="s">
        <v>46</v>
      </c>
      <c r="F219" s="1" t="s">
        <v>10</v>
      </c>
      <c r="G219" s="10" t="s">
        <v>3173</v>
      </c>
      <c r="H219" s="11">
        <v>50000</v>
      </c>
      <c r="I219" s="2">
        <f>Tabla245678[[#This Row],[TOTAL FACTURA]]*0.7</f>
        <v>35000</v>
      </c>
      <c r="J219" s="139">
        <f t="shared" si="15"/>
        <v>15000</v>
      </c>
      <c r="K219" s="10" t="s">
        <v>3174</v>
      </c>
      <c r="L219" s="11">
        <v>340000</v>
      </c>
      <c r="M219" s="11"/>
      <c r="N219" s="11">
        <f>Tabla245678[[#This Row],[Columna1]]*19%</f>
        <v>0</v>
      </c>
      <c r="O219" s="11">
        <v>440000</v>
      </c>
      <c r="P219" s="11">
        <f>Tabla245678[[#This Row],[VENTA ]]/1.19</f>
        <v>369747.89915966388</v>
      </c>
      <c r="Q219" s="11"/>
      <c r="R219" s="11">
        <f>Tabla245678[[#This Row],[IVA VENTA ]]-Tabla245678[[#This Row],[IV COMPRA]]</f>
        <v>0</v>
      </c>
      <c r="S219" s="11">
        <f>(Tabla245678[[#This Row],[VENTA ]]-(Tabla245678[[#This Row],[MONTO DE COMPRA]]+Tabla245678[[#This Row],[DIFERENCIA IVA ]]))</f>
        <v>100000</v>
      </c>
      <c r="T219" s="11"/>
      <c r="U219" s="1"/>
    </row>
    <row r="220" spans="1:21" x14ac:dyDescent="0.25">
      <c r="A220" s="56">
        <v>44821</v>
      </c>
      <c r="C220" s="4" t="s">
        <v>2351</v>
      </c>
      <c r="D220" s="150" t="s">
        <v>404</v>
      </c>
      <c r="E220" s="4"/>
      <c r="F220" s="1" t="s">
        <v>2446</v>
      </c>
      <c r="G220" s="10" t="s">
        <v>341</v>
      </c>
      <c r="H220" s="11">
        <v>10000</v>
      </c>
      <c r="I220" s="2">
        <f>Tabla245678[[#This Row],[TOTAL FACTURA]]*0.7</f>
        <v>7000</v>
      </c>
      <c r="J220" s="139">
        <f t="shared" si="15"/>
        <v>3000</v>
      </c>
      <c r="L220" s="11"/>
      <c r="M220" s="11">
        <f>Tabla245678[[#This Row],[MONTO DE COMPRA]]/1.19</f>
        <v>0</v>
      </c>
      <c r="N220" s="11">
        <f>Tabla245678[[#This Row],[Columna1]]*19%</f>
        <v>0</v>
      </c>
      <c r="O220" s="11"/>
      <c r="P220" s="11">
        <f>Tabla245678[[#This Row],[VENTA ]]/1.19</f>
        <v>0</v>
      </c>
      <c r="Q220" s="11">
        <f>Tabla245678[[#This Row],[Columna2]]*19%</f>
        <v>0</v>
      </c>
      <c r="R220" s="11">
        <f>Tabla245678[[#This Row],[IVA VENTA ]]-Tabla245678[[#This Row],[IV COMPRA]]</f>
        <v>0</v>
      </c>
      <c r="S220" s="11">
        <f>(Tabla245678[[#This Row],[VENTA ]]-(Tabla245678[[#This Row],[MONTO DE COMPRA]]+Tabla245678[[#This Row],[DIFERENCIA IVA ]]))</f>
        <v>0</v>
      </c>
      <c r="T220" s="11"/>
      <c r="U220" s="1"/>
    </row>
    <row r="221" spans="1:21" x14ac:dyDescent="0.25">
      <c r="A221" s="56">
        <v>44821</v>
      </c>
      <c r="D221" s="151" t="s">
        <v>3175</v>
      </c>
      <c r="E221" s="1" t="s">
        <v>540</v>
      </c>
      <c r="F221" s="1" t="s">
        <v>34</v>
      </c>
      <c r="G221" s="22" t="s">
        <v>3176</v>
      </c>
      <c r="H221" s="15">
        <v>40000</v>
      </c>
      <c r="I221" s="2">
        <f>Tabla245678[[#This Row],[TOTAL FACTURA]]*0.7</f>
        <v>28000</v>
      </c>
      <c r="J221" s="139">
        <f t="shared" si="15"/>
        <v>12000</v>
      </c>
      <c r="T221" s="2"/>
      <c r="U221" s="1"/>
    </row>
    <row r="222" spans="1:21" ht="15.75" customHeight="1" x14ac:dyDescent="0.25">
      <c r="A222" s="56">
        <v>44820</v>
      </c>
      <c r="B222" s="4" t="s">
        <v>25</v>
      </c>
      <c r="C222" s="145"/>
      <c r="D222" s="150" t="s">
        <v>3177</v>
      </c>
      <c r="E222" s="4" t="s">
        <v>136</v>
      </c>
      <c r="F222" s="1" t="s">
        <v>2446</v>
      </c>
      <c r="G222" s="134" t="s">
        <v>3178</v>
      </c>
      <c r="H222" s="148">
        <v>50000</v>
      </c>
      <c r="I222" s="2">
        <f>Tabla245678[[#This Row],[TOTAL FACTURA]]*0.7</f>
        <v>35000</v>
      </c>
      <c r="J222" s="149">
        <f t="shared" ref="J222:J264" si="17">H222-I222</f>
        <v>15000</v>
      </c>
      <c r="K222" s="148" t="s">
        <v>3179</v>
      </c>
      <c r="L222" s="15">
        <v>39532</v>
      </c>
      <c r="M222" s="15">
        <f>Tabla245678[[#This Row],[MONTO DE COMPRA]]/1.19</f>
        <v>33220.168067226892</v>
      </c>
      <c r="N222" s="15">
        <f>Tabla245678[[#This Row],[Columna1]]*19%</f>
        <v>6311.8319327731097</v>
      </c>
      <c r="O222" s="15">
        <v>60000</v>
      </c>
      <c r="P222" s="15"/>
      <c r="Q222" s="11">
        <f>Tabla245678[[#This Row],[Columna2]]*19%</f>
        <v>0</v>
      </c>
      <c r="R222" s="11">
        <f>Tabla245678[[#This Row],[IVA VENTA ]]-Tabla245678[[#This Row],[IV COMPRA]]</f>
        <v>-6311.8319327731097</v>
      </c>
      <c r="S222" s="11">
        <f>(Tabla245678[[#This Row],[VENTA ]]-(Tabla245678[[#This Row],[MONTO DE COMPRA]]+Tabla245678[[#This Row],[DIFERENCIA IVA ]]))</f>
        <v>26779.831932773108</v>
      </c>
      <c r="T222" s="11" t="s">
        <v>25</v>
      </c>
    </row>
    <row r="223" spans="1:21" x14ac:dyDescent="0.25">
      <c r="A223" s="56">
        <v>44823</v>
      </c>
      <c r="B223" s="4" t="s">
        <v>3180</v>
      </c>
      <c r="C223" s="4" t="s">
        <v>3181</v>
      </c>
      <c r="D223" s="151" t="s">
        <v>396</v>
      </c>
      <c r="E223" s="4" t="s">
        <v>815</v>
      </c>
      <c r="F223" s="1" t="s">
        <v>10</v>
      </c>
      <c r="G223" s="134" t="s">
        <v>3182</v>
      </c>
      <c r="H223" s="148">
        <v>50000</v>
      </c>
      <c r="I223" s="2">
        <f>Tabla245678[[#This Row],[TOTAL FACTURA]]*0.7</f>
        <v>35000</v>
      </c>
      <c r="J223" s="146">
        <f t="shared" si="17"/>
        <v>15000</v>
      </c>
      <c r="K223" s="10"/>
      <c r="L223" s="11"/>
      <c r="M223" s="11">
        <f>Tabla245678[[#This Row],[MONTO DE COMPRA]]/1.19</f>
        <v>0</v>
      </c>
      <c r="N223" s="11">
        <f>Tabla245678[[#This Row],[Columna1]]*19%</f>
        <v>0</v>
      </c>
      <c r="O223" s="11"/>
      <c r="P223" s="11">
        <f>Tabla245678[[#This Row],[VENTA ]]/1.19</f>
        <v>0</v>
      </c>
      <c r="Q223" s="11">
        <f>Tabla245678[[#This Row],[Columna2]]*19%</f>
        <v>0</v>
      </c>
      <c r="R223" s="11">
        <f>Tabla245678[[#This Row],[IVA VENTA ]]-Tabla245678[[#This Row],[IV COMPRA]]</f>
        <v>0</v>
      </c>
      <c r="S223" s="11">
        <f>(Tabla245678[[#This Row],[VENTA ]]-(Tabla245678[[#This Row],[MONTO DE COMPRA]]+Tabla245678[[#This Row],[DIFERENCIA IVA ]]))</f>
        <v>0</v>
      </c>
    </row>
    <row r="224" spans="1:21" x14ac:dyDescent="0.25">
      <c r="A224" s="56">
        <v>44823</v>
      </c>
      <c r="B224" s="4" t="s">
        <v>3183</v>
      </c>
      <c r="C224" s="4" t="s">
        <v>1417</v>
      </c>
      <c r="D224" s="152" t="s">
        <v>1419</v>
      </c>
      <c r="E224" s="4" t="s">
        <v>3184</v>
      </c>
      <c r="F224" s="1" t="s">
        <v>2446</v>
      </c>
      <c r="G224" s="134" t="s">
        <v>3185</v>
      </c>
      <c r="H224" s="148">
        <v>50000</v>
      </c>
      <c r="I224" s="2">
        <f>Tabla245678[[#This Row],[TOTAL FACTURA]]*0.7</f>
        <v>35000</v>
      </c>
      <c r="J224" s="146">
        <f t="shared" si="17"/>
        <v>15000</v>
      </c>
      <c r="K224" s="10" t="s">
        <v>3186</v>
      </c>
      <c r="L224" s="11">
        <v>50000</v>
      </c>
      <c r="M224" s="11">
        <f>Tabla245678[[#This Row],[MONTO DE COMPRA]]/1.19</f>
        <v>42016.806722689078</v>
      </c>
      <c r="N224" s="11">
        <f>Tabla245678[[#This Row],[Columna1]]*19%</f>
        <v>7983.1932773109247</v>
      </c>
      <c r="O224" s="11">
        <v>76000</v>
      </c>
      <c r="P224" s="11">
        <f>Tabla245678[[#This Row],[VENTA ]]/1.19</f>
        <v>63865.546218487398</v>
      </c>
      <c r="Q224" s="11">
        <f>Tabla245678[[#This Row],[Columna2]]*19%</f>
        <v>12134.453781512606</v>
      </c>
      <c r="R224" s="11">
        <f>Tabla245678[[#This Row],[IVA VENTA ]]-Tabla245678[[#This Row],[IV COMPRA]]</f>
        <v>4151.2605042016812</v>
      </c>
      <c r="S224" s="11">
        <f>(Tabla245678[[#This Row],[VENTA ]]-(Tabla245678[[#This Row],[MONTO DE COMPRA]]+Tabla245678[[#This Row],[DIFERENCIA IVA ]]))</f>
        <v>21848.73949579832</v>
      </c>
    </row>
    <row r="225" spans="1:19" x14ac:dyDescent="0.25">
      <c r="A225" s="56">
        <v>44823</v>
      </c>
      <c r="C225" s="145"/>
      <c r="D225" s="4" t="s">
        <v>3187</v>
      </c>
      <c r="E225" s="1" t="s">
        <v>815</v>
      </c>
      <c r="F225" s="1" t="s">
        <v>2446</v>
      </c>
      <c r="G225" s="134" t="s">
        <v>341</v>
      </c>
      <c r="H225" s="148">
        <v>5000</v>
      </c>
      <c r="I225" s="2">
        <f>Tabla245678[[#This Row],[TOTAL FACTURA]]*0.7</f>
        <v>3500</v>
      </c>
      <c r="J225" s="146">
        <f t="shared" si="17"/>
        <v>1500</v>
      </c>
      <c r="K225" s="10"/>
      <c r="L225" s="11"/>
      <c r="M225" s="11">
        <f>Tabla245678[[#This Row],[MONTO DE COMPRA]]/1.19</f>
        <v>0</v>
      </c>
      <c r="N225" s="11">
        <f>Tabla245678[[#This Row],[Columna1]]*19%</f>
        <v>0</v>
      </c>
      <c r="O225" s="11"/>
      <c r="P225" s="11">
        <f>Tabla245678[[#This Row],[VENTA ]]/1.19</f>
        <v>0</v>
      </c>
      <c r="Q225" s="11">
        <f>Tabla245678[[#This Row],[Columna2]]*19%</f>
        <v>0</v>
      </c>
      <c r="R225" s="11">
        <f>Tabla245678[[#This Row],[IVA VENTA ]]-Tabla245678[[#This Row],[IV COMPRA]]</f>
        <v>0</v>
      </c>
      <c r="S225" s="11">
        <f>(Tabla245678[[#This Row],[VENTA ]]-(Tabla245678[[#This Row],[MONTO DE COMPRA]]+Tabla245678[[#This Row],[DIFERENCIA IVA ]]))</f>
        <v>0</v>
      </c>
    </row>
    <row r="226" spans="1:19" ht="75" x14ac:dyDescent="0.25">
      <c r="A226" s="56">
        <v>44823</v>
      </c>
      <c r="B226" s="4" t="s">
        <v>3188</v>
      </c>
      <c r="C226" s="4" t="s">
        <v>2979</v>
      </c>
      <c r="D226" s="4" t="s">
        <v>2980</v>
      </c>
      <c r="E226" s="1" t="s">
        <v>2856</v>
      </c>
      <c r="F226" s="1" t="s">
        <v>2446</v>
      </c>
      <c r="G226" s="134" t="s">
        <v>3189</v>
      </c>
      <c r="H226" s="148">
        <v>400000</v>
      </c>
      <c r="I226" s="2">
        <f>Tabla245678[[#This Row],[TOTAL FACTURA]]*0.7</f>
        <v>280000</v>
      </c>
      <c r="J226" s="146">
        <f t="shared" si="17"/>
        <v>120000</v>
      </c>
      <c r="K226" s="10" t="s">
        <v>3262</v>
      </c>
      <c r="L226" s="11">
        <f>280000+928000+440000</f>
        <v>1648000</v>
      </c>
      <c r="M226" s="11">
        <f>Tabla245678[[#This Row],[MONTO DE COMPRA]]/1.19</f>
        <v>1384873.9495798319</v>
      </c>
      <c r="N226" s="11">
        <f>Tabla245678[[#This Row],[Columna1]]*19%</f>
        <v>263126.05042016809</v>
      </c>
      <c r="O226" s="11">
        <v>2187000</v>
      </c>
      <c r="P226" s="11">
        <f>Tabla245678[[#This Row],[VENTA ]]/1.19</f>
        <v>1837815.1260504203</v>
      </c>
      <c r="Q226" s="11">
        <f>Tabla245678[[#This Row],[Columna2]]*19%</f>
        <v>349184.87394957989</v>
      </c>
      <c r="R226" s="11">
        <f>Tabla245678[[#This Row],[IVA VENTA ]]-Tabla245678[[#This Row],[IV COMPRA]]</f>
        <v>86058.823529411806</v>
      </c>
      <c r="S226" s="11">
        <f>(Tabla245678[[#This Row],[VENTA ]]-(Tabla245678[[#This Row],[MONTO DE COMPRA]]+Tabla245678[[#This Row],[DIFERENCIA IVA ]]))</f>
        <v>452941.17647058819</v>
      </c>
    </row>
    <row r="227" spans="1:19" x14ac:dyDescent="0.25">
      <c r="A227" s="56">
        <v>44824</v>
      </c>
      <c r="C227" s="145"/>
      <c r="D227" s="4" t="s">
        <v>3194</v>
      </c>
      <c r="E227" s="1" t="s">
        <v>200</v>
      </c>
      <c r="F227" s="1" t="s">
        <v>10</v>
      </c>
      <c r="G227" s="134" t="s">
        <v>3195</v>
      </c>
      <c r="H227" s="148">
        <v>50000</v>
      </c>
      <c r="I227" s="2">
        <f>Tabla245678[[#This Row],[TOTAL FACTURA]]*0.7</f>
        <v>35000</v>
      </c>
      <c r="J227" s="146">
        <f t="shared" ref="J227:J232" si="18">H227-I227</f>
        <v>15000</v>
      </c>
      <c r="K227" s="10"/>
      <c r="L227" s="11"/>
      <c r="M227" s="11">
        <f>Tabla245678[[#This Row],[MONTO DE COMPRA]]/1.19</f>
        <v>0</v>
      </c>
      <c r="N227" s="11">
        <f>Tabla245678[[#This Row],[Columna1]]*19%</f>
        <v>0</v>
      </c>
      <c r="O227" s="11"/>
      <c r="P227" s="11">
        <f>Tabla245678[[#This Row],[VENTA ]]/1.19</f>
        <v>0</v>
      </c>
      <c r="Q227" s="11">
        <f>Tabla245678[[#This Row],[Columna2]]*19%</f>
        <v>0</v>
      </c>
      <c r="R227" s="11">
        <f>Tabla245678[[#This Row],[IVA VENTA ]]-Tabla245678[[#This Row],[IV COMPRA]]</f>
        <v>0</v>
      </c>
      <c r="S227" s="11">
        <f>(Tabla245678[[#This Row],[VENTA ]]-(Tabla245678[[#This Row],[MONTO DE COMPRA]]+Tabla245678[[#This Row],[DIFERENCIA IVA ]]))</f>
        <v>0</v>
      </c>
    </row>
    <row r="228" spans="1:19" x14ac:dyDescent="0.25">
      <c r="A228" s="56">
        <v>44824</v>
      </c>
      <c r="B228" s="4" t="s">
        <v>3196</v>
      </c>
      <c r="C228" s="4" t="s">
        <v>3197</v>
      </c>
      <c r="D228" s="4" t="s">
        <v>3198</v>
      </c>
      <c r="E228" s="1" t="s">
        <v>218</v>
      </c>
      <c r="F228" s="1" t="s">
        <v>2446</v>
      </c>
      <c r="G228" s="134" t="s">
        <v>3199</v>
      </c>
      <c r="H228" s="148">
        <v>50000</v>
      </c>
      <c r="I228" s="2">
        <f>Tabla245678[[#This Row],[TOTAL FACTURA]]*0.7</f>
        <v>35000</v>
      </c>
      <c r="J228" s="146">
        <f t="shared" si="18"/>
        <v>15000</v>
      </c>
      <c r="K228" s="10" t="s">
        <v>3200</v>
      </c>
      <c r="L228" s="11">
        <v>60000</v>
      </c>
      <c r="M228" s="11">
        <f>Tabla245678[[#This Row],[MONTO DE COMPRA]]/1.19</f>
        <v>50420.168067226892</v>
      </c>
      <c r="N228" s="11">
        <f>Tabla245678[[#This Row],[Columna1]]*19%</f>
        <v>9579.8319327731097</v>
      </c>
      <c r="O228" s="11">
        <v>90000</v>
      </c>
      <c r="P228" s="11">
        <f>Tabla245678[[#This Row],[VENTA ]]/1.19</f>
        <v>75630.252100840342</v>
      </c>
      <c r="Q228" s="11">
        <f>Tabla245678[[#This Row],[Columna2]]*19%</f>
        <v>14369.747899159665</v>
      </c>
      <c r="R228" s="11">
        <f>Tabla245678[[#This Row],[IVA VENTA ]]-Tabla245678[[#This Row],[IV COMPRA]]</f>
        <v>4789.9159663865557</v>
      </c>
      <c r="S228" s="11">
        <f>(Tabla245678[[#This Row],[VENTA ]]-(Tabla245678[[#This Row],[MONTO DE COMPRA]]+Tabla245678[[#This Row],[DIFERENCIA IVA ]]))</f>
        <v>25210.084033613442</v>
      </c>
    </row>
    <row r="229" spans="1:19" x14ac:dyDescent="0.25">
      <c r="A229" s="56">
        <v>44824</v>
      </c>
      <c r="B229" s="4" t="s">
        <v>3196</v>
      </c>
      <c r="C229" s="4" t="s">
        <v>3197</v>
      </c>
      <c r="D229" s="4" t="s">
        <v>3198</v>
      </c>
      <c r="E229" s="1" t="s">
        <v>218</v>
      </c>
      <c r="F229" s="1" t="s">
        <v>10</v>
      </c>
      <c r="G229" s="134" t="s">
        <v>434</v>
      </c>
      <c r="H229" s="148">
        <v>80000</v>
      </c>
      <c r="I229" s="2">
        <f>Tabla245678[[#This Row],[TOTAL FACTURA]]*0.7</f>
        <v>56000</v>
      </c>
      <c r="J229" s="146">
        <f>H229-I229</f>
        <v>24000</v>
      </c>
      <c r="K229" s="10"/>
      <c r="L229" s="11"/>
      <c r="M229" s="11">
        <f>Tabla245678[[#This Row],[MONTO DE COMPRA]]/1.19</f>
        <v>0</v>
      </c>
      <c r="N229" s="11">
        <f>Tabla245678[[#This Row],[Columna1]]*19%</f>
        <v>0</v>
      </c>
      <c r="O229" s="11"/>
      <c r="P229" s="11">
        <f>Tabla245678[[#This Row],[VENTA ]]/1.19</f>
        <v>0</v>
      </c>
      <c r="Q229" s="11">
        <f>Tabla245678[[#This Row],[Columna2]]*19%</f>
        <v>0</v>
      </c>
      <c r="R229" s="11">
        <f>Tabla245678[[#This Row],[IVA VENTA ]]-Tabla245678[[#This Row],[IV COMPRA]]</f>
        <v>0</v>
      </c>
      <c r="S229" s="11">
        <f>(Tabla245678[[#This Row],[VENTA ]]-(Tabla245678[[#This Row],[MONTO DE COMPRA]]+Tabla245678[[#This Row],[DIFERENCIA IVA ]]))</f>
        <v>0</v>
      </c>
    </row>
    <row r="230" spans="1:19" ht="30" x14ac:dyDescent="0.25">
      <c r="A230" s="56">
        <v>44824</v>
      </c>
      <c r="B230" s="4" t="s">
        <v>3196</v>
      </c>
      <c r="C230" s="4" t="s">
        <v>3197</v>
      </c>
      <c r="D230" s="4" t="s">
        <v>3198</v>
      </c>
      <c r="E230" s="1" t="s">
        <v>218</v>
      </c>
      <c r="F230" s="1" t="s">
        <v>16</v>
      </c>
      <c r="G230" s="134" t="s">
        <v>3201</v>
      </c>
      <c r="H230" s="148">
        <v>150000</v>
      </c>
      <c r="I230" s="2">
        <v>150000</v>
      </c>
      <c r="J230" s="146">
        <f t="shared" si="18"/>
        <v>0</v>
      </c>
      <c r="K230" s="10" t="s">
        <v>3202</v>
      </c>
      <c r="L230" s="11">
        <f>7000+5000+4500+7600+2400</f>
        <v>26500</v>
      </c>
      <c r="M230" s="11">
        <f>Tabla245678[[#This Row],[MONTO DE COMPRA]]/1.19</f>
        <v>22268.907563025212</v>
      </c>
      <c r="N230" s="11">
        <f>Tabla245678[[#This Row],[Columna1]]*19%</f>
        <v>4231.09243697479</v>
      </c>
      <c r="O230" s="11">
        <v>141000</v>
      </c>
      <c r="P230" s="11">
        <f>Tabla245678[[#This Row],[VENTA ]]/1.19</f>
        <v>118487.3949579832</v>
      </c>
      <c r="Q230" s="11">
        <f>Tabla245678[[#This Row],[Columna2]]*19%</f>
        <v>22512.605042016807</v>
      </c>
      <c r="R230" s="11">
        <f>Tabla245678[[#This Row],[IVA VENTA ]]-Tabla245678[[#This Row],[IV COMPRA]]</f>
        <v>18281.512605042015</v>
      </c>
      <c r="S230" s="11">
        <f>(Tabla245678[[#This Row],[VENTA ]]-(Tabla245678[[#This Row],[MONTO DE COMPRA]]+Tabla245678[[#This Row],[DIFERENCIA IVA ]]))</f>
        <v>96218.487394957978</v>
      </c>
    </row>
    <row r="231" spans="1:19" x14ac:dyDescent="0.25">
      <c r="A231" s="56">
        <v>44824</v>
      </c>
      <c r="B231" s="4" t="s">
        <v>3203</v>
      </c>
      <c r="C231" s="4" t="s">
        <v>3204</v>
      </c>
      <c r="D231" s="4" t="s">
        <v>3205</v>
      </c>
      <c r="E231" s="1" t="s">
        <v>240</v>
      </c>
      <c r="F231" s="1" t="s">
        <v>2446</v>
      </c>
      <c r="G231" s="134" t="s">
        <v>3206</v>
      </c>
      <c r="H231" s="148">
        <v>40000</v>
      </c>
      <c r="I231" s="2">
        <f>Tabla245678[[#This Row],[TOTAL FACTURA]]*0.7</f>
        <v>28000</v>
      </c>
      <c r="J231" s="146">
        <f t="shared" si="18"/>
        <v>12000</v>
      </c>
      <c r="K231" s="10" t="s">
        <v>3207</v>
      </c>
      <c r="L231" s="11">
        <v>10000</v>
      </c>
      <c r="M231" s="11"/>
      <c r="N231" s="11">
        <f>Tabla245678[[#This Row],[Columna1]]*19%</f>
        <v>0</v>
      </c>
      <c r="O231" s="11">
        <f>8500*2</f>
        <v>17000</v>
      </c>
      <c r="P231" s="11">
        <f>Tabla245678[[#This Row],[VENTA ]]/1.19</f>
        <v>14285.714285714286</v>
      </c>
      <c r="Q231" s="11">
        <f>Tabla245678[[#This Row],[Columna2]]*19%</f>
        <v>2714.2857142857142</v>
      </c>
      <c r="R231" s="11">
        <f>Tabla245678[[#This Row],[IVA VENTA ]]-Tabla245678[[#This Row],[IV COMPRA]]</f>
        <v>2714.2857142857142</v>
      </c>
      <c r="S231" s="11">
        <f>(Tabla245678[[#This Row],[VENTA ]]-(Tabla245678[[#This Row],[MONTO DE COMPRA]]+Tabla245678[[#This Row],[DIFERENCIA IVA ]]))</f>
        <v>4285.7142857142862</v>
      </c>
    </row>
    <row r="232" spans="1:19" x14ac:dyDescent="0.25">
      <c r="A232" s="56">
        <v>44824</v>
      </c>
      <c r="C232" s="145"/>
      <c r="D232" s="4" t="s">
        <v>1435</v>
      </c>
      <c r="E232" s="1" t="s">
        <v>1434</v>
      </c>
      <c r="F232" s="1" t="s">
        <v>2446</v>
      </c>
      <c r="G232" s="134" t="s">
        <v>2231</v>
      </c>
      <c r="H232" s="148">
        <v>20000</v>
      </c>
      <c r="I232" s="2">
        <f>Tabla245678[[#This Row],[TOTAL FACTURA]]*0.6</f>
        <v>12000</v>
      </c>
      <c r="J232" s="146">
        <f t="shared" si="18"/>
        <v>8000</v>
      </c>
      <c r="K232" s="10"/>
      <c r="L232" s="11"/>
      <c r="M232" s="11">
        <f>Tabla245678[[#This Row],[MONTO DE COMPRA]]/1.19</f>
        <v>0</v>
      </c>
      <c r="N232" s="11">
        <f>Tabla245678[[#This Row],[Columna1]]*19%</f>
        <v>0</v>
      </c>
      <c r="O232" s="11"/>
      <c r="P232" s="11">
        <f>Tabla245678[[#This Row],[VENTA ]]/1.19</f>
        <v>0</v>
      </c>
      <c r="Q232" s="11">
        <f>Tabla245678[[#This Row],[Columna2]]*19%</f>
        <v>0</v>
      </c>
      <c r="R232" s="11">
        <f>Tabla245678[[#This Row],[IVA VENTA ]]-Tabla245678[[#This Row],[IV COMPRA]]</f>
        <v>0</v>
      </c>
      <c r="S232" s="11">
        <f>(Tabla245678[[#This Row],[VENTA ]]-(Tabla245678[[#This Row],[MONTO DE COMPRA]]+Tabla245678[[#This Row],[DIFERENCIA IVA ]]))</f>
        <v>0</v>
      </c>
    </row>
    <row r="233" spans="1:19" x14ac:dyDescent="0.25">
      <c r="A233" s="56">
        <v>44824</v>
      </c>
      <c r="B233" s="4" t="s">
        <v>3190</v>
      </c>
      <c r="C233" s="4" t="s">
        <v>3191</v>
      </c>
      <c r="D233" s="4" t="s">
        <v>3192</v>
      </c>
      <c r="E233" s="1" t="s">
        <v>989</v>
      </c>
      <c r="F233" s="1" t="s">
        <v>2446</v>
      </c>
      <c r="G233" s="134" t="s">
        <v>3193</v>
      </c>
      <c r="H233" s="148">
        <v>50000</v>
      </c>
      <c r="I233" s="2">
        <f>Tabla245678[[#This Row],[TOTAL FACTURA]]*0.7</f>
        <v>35000</v>
      </c>
      <c r="J233" s="146">
        <f>H233-I233</f>
        <v>15000</v>
      </c>
      <c r="K233" s="10"/>
      <c r="L233" s="11"/>
      <c r="M233" s="11">
        <f>Tabla245678[[#This Row],[MONTO DE COMPRA]]/1.19</f>
        <v>0</v>
      </c>
      <c r="N233" s="11">
        <f>Tabla245678[[#This Row],[Columna1]]*19%</f>
        <v>0</v>
      </c>
      <c r="O233" s="11"/>
      <c r="P233" s="11">
        <f>Tabla245678[[#This Row],[VENTA ]]/1.19</f>
        <v>0</v>
      </c>
      <c r="Q233" s="11">
        <f>Tabla245678[[#This Row],[Columna2]]*19%</f>
        <v>0</v>
      </c>
      <c r="R233" s="11">
        <f>Tabla245678[[#This Row],[IVA VENTA ]]-Tabla245678[[#This Row],[IV COMPRA]]</f>
        <v>0</v>
      </c>
      <c r="S233" s="11">
        <f>(Tabla245678[[#This Row],[VENTA ]]-(Tabla245678[[#This Row],[MONTO DE COMPRA]]+Tabla245678[[#This Row],[DIFERENCIA IVA ]]))</f>
        <v>0</v>
      </c>
    </row>
    <row r="234" spans="1:19" x14ac:dyDescent="0.25">
      <c r="A234" s="56">
        <v>44825</v>
      </c>
      <c r="B234" s="4" t="s">
        <v>3208</v>
      </c>
      <c r="C234" s="4" t="s">
        <v>3209</v>
      </c>
      <c r="D234" s="4" t="s">
        <v>3210</v>
      </c>
      <c r="E234" s="1" t="s">
        <v>688</v>
      </c>
      <c r="F234" s="1" t="s">
        <v>2446</v>
      </c>
      <c r="G234" s="134" t="s">
        <v>3211</v>
      </c>
      <c r="H234" s="148">
        <v>35000</v>
      </c>
      <c r="I234" s="2">
        <f>Tabla245678[[#This Row],[TOTAL FACTURA]]*0.7+7500</f>
        <v>32000</v>
      </c>
      <c r="J234" s="146">
        <f t="shared" ref="J234:J241" si="19">H234-I234</f>
        <v>3000</v>
      </c>
      <c r="K234" s="10"/>
      <c r="L234" s="11"/>
      <c r="M234" s="11">
        <f>Tabla245678[[#This Row],[MONTO DE COMPRA]]/1.19</f>
        <v>0</v>
      </c>
      <c r="N234" s="11">
        <f>Tabla245678[[#This Row],[Columna1]]*19%</f>
        <v>0</v>
      </c>
      <c r="O234" s="11"/>
      <c r="P234" s="11">
        <f>Tabla245678[[#This Row],[VENTA ]]/1.19</f>
        <v>0</v>
      </c>
      <c r="Q234" s="11">
        <f>Tabla245678[[#This Row],[Columna2]]*19%</f>
        <v>0</v>
      </c>
      <c r="R234" s="11">
        <f>Tabla245678[[#This Row],[IVA VENTA ]]-Tabla245678[[#This Row],[IV COMPRA]]</f>
        <v>0</v>
      </c>
      <c r="S234" s="11">
        <f>(Tabla245678[[#This Row],[VENTA ]]-(Tabla245678[[#This Row],[MONTO DE COMPRA]]+Tabla245678[[#This Row],[DIFERENCIA IVA ]]))</f>
        <v>0</v>
      </c>
    </row>
    <row r="235" spans="1:19" x14ac:dyDescent="0.25">
      <c r="A235" s="56">
        <v>44825</v>
      </c>
      <c r="B235" s="4" t="s">
        <v>3212</v>
      </c>
      <c r="C235" s="4" t="s">
        <v>3213</v>
      </c>
      <c r="D235" s="4" t="s">
        <v>3214</v>
      </c>
      <c r="E235" s="1" t="s">
        <v>1196</v>
      </c>
      <c r="F235" s="1" t="s">
        <v>2446</v>
      </c>
      <c r="G235" s="134" t="s">
        <v>3216</v>
      </c>
      <c r="H235" s="148">
        <v>55000</v>
      </c>
      <c r="I235" s="2">
        <f>Tabla245678[[#This Row],[TOTAL FACTURA]]*0.7</f>
        <v>38500</v>
      </c>
      <c r="J235" s="146">
        <f t="shared" si="19"/>
        <v>16500</v>
      </c>
      <c r="K235" s="10" t="s">
        <v>3215</v>
      </c>
      <c r="L235" s="11">
        <v>85000</v>
      </c>
      <c r="M235" s="11">
        <f>Tabla245678[[#This Row],[MONTO DE COMPRA]]/1.19</f>
        <v>71428.571428571435</v>
      </c>
      <c r="N235" s="11">
        <f>Tabla245678[[#This Row],[Columna1]]*19%</f>
        <v>13571.428571428572</v>
      </c>
      <c r="O235" s="11">
        <f>52000+65000</f>
        <v>117000</v>
      </c>
      <c r="P235" s="11">
        <f>Tabla245678[[#This Row],[VENTA ]]/1.19</f>
        <v>98319.327731092446</v>
      </c>
      <c r="Q235" s="11">
        <f>Tabla245678[[#This Row],[Columna2]]*19%</f>
        <v>18680.672268907565</v>
      </c>
      <c r="R235" s="11">
        <f>Tabla245678[[#This Row],[IVA VENTA ]]-Tabla245678[[#This Row],[IV COMPRA]]</f>
        <v>5109.2436974789925</v>
      </c>
      <c r="S235" s="11">
        <f>(Tabla245678[[#This Row],[VENTA ]]-(Tabla245678[[#This Row],[MONTO DE COMPRA]]+Tabla245678[[#This Row],[DIFERENCIA IVA ]]))</f>
        <v>26890.756302521011</v>
      </c>
    </row>
    <row r="236" spans="1:19" x14ac:dyDescent="0.25">
      <c r="A236" s="56">
        <v>44825</v>
      </c>
      <c r="C236" s="145"/>
      <c r="D236" s="4" t="s">
        <v>3217</v>
      </c>
      <c r="E236" s="1" t="s">
        <v>889</v>
      </c>
      <c r="F236" s="1" t="s">
        <v>2446</v>
      </c>
      <c r="G236" s="134" t="s">
        <v>3218</v>
      </c>
      <c r="H236" s="148">
        <v>40000</v>
      </c>
      <c r="I236" s="2">
        <f>Tabla245678[[#This Row],[TOTAL FACTURA]]*0.7</f>
        <v>28000</v>
      </c>
      <c r="J236" s="146">
        <f t="shared" si="19"/>
        <v>12000</v>
      </c>
      <c r="K236" s="10"/>
      <c r="L236" s="11"/>
      <c r="M236" s="11">
        <f>Tabla245678[[#This Row],[MONTO DE COMPRA]]/1.19</f>
        <v>0</v>
      </c>
      <c r="N236" s="11">
        <f>Tabla245678[[#This Row],[Columna1]]*19%</f>
        <v>0</v>
      </c>
      <c r="O236" s="11"/>
      <c r="P236" s="11">
        <f>Tabla245678[[#This Row],[VENTA ]]/1.19</f>
        <v>0</v>
      </c>
      <c r="Q236" s="11">
        <f>Tabla245678[[#This Row],[Columna2]]*19%</f>
        <v>0</v>
      </c>
      <c r="R236" s="11">
        <f>Tabla245678[[#This Row],[IVA VENTA ]]-Tabla245678[[#This Row],[IV COMPRA]]</f>
        <v>0</v>
      </c>
      <c r="S236" s="11">
        <f>(Tabla245678[[#This Row],[VENTA ]]-(Tabla245678[[#This Row],[MONTO DE COMPRA]]+Tabla245678[[#This Row],[DIFERENCIA IVA ]]))</f>
        <v>0</v>
      </c>
    </row>
    <row r="237" spans="1:19" x14ac:dyDescent="0.25">
      <c r="A237" s="56">
        <v>44825</v>
      </c>
      <c r="B237" s="4" t="s">
        <v>3220</v>
      </c>
      <c r="C237" s="4" t="s">
        <v>3219</v>
      </c>
      <c r="D237" s="4" t="s">
        <v>1693</v>
      </c>
      <c r="E237" s="1" t="s">
        <v>540</v>
      </c>
      <c r="F237" s="1" t="s">
        <v>2446</v>
      </c>
      <c r="G237" s="134" t="s">
        <v>3227</v>
      </c>
      <c r="H237" s="148">
        <v>100000</v>
      </c>
      <c r="I237" s="2">
        <f>Tabla245678[[#This Row],[TOTAL FACTURA]]*0.7</f>
        <v>70000</v>
      </c>
      <c r="J237" s="146">
        <f t="shared" si="19"/>
        <v>30000</v>
      </c>
      <c r="K237" s="10"/>
      <c r="L237" s="11"/>
      <c r="M237" s="11">
        <f>Tabla245678[[#This Row],[MONTO DE COMPRA]]/1.19</f>
        <v>0</v>
      </c>
      <c r="N237" s="11">
        <f>Tabla245678[[#This Row],[Columna1]]*19%</f>
        <v>0</v>
      </c>
      <c r="O237" s="11"/>
      <c r="P237" s="11">
        <f>Tabla245678[[#This Row],[VENTA ]]/1.19</f>
        <v>0</v>
      </c>
      <c r="Q237" s="11">
        <f>Tabla245678[[#This Row],[Columna2]]*19%</f>
        <v>0</v>
      </c>
      <c r="R237" s="11">
        <f>Tabla245678[[#This Row],[IVA VENTA ]]-Tabla245678[[#This Row],[IV COMPRA]]</f>
        <v>0</v>
      </c>
      <c r="S237" s="11">
        <f>(Tabla245678[[#This Row],[VENTA ]]-(Tabla245678[[#This Row],[MONTO DE COMPRA]]+Tabla245678[[#This Row],[DIFERENCIA IVA ]]))</f>
        <v>0</v>
      </c>
    </row>
    <row r="238" spans="1:19" x14ac:dyDescent="0.25">
      <c r="A238" s="56">
        <v>44825</v>
      </c>
      <c r="B238" s="4" t="s">
        <v>3225</v>
      </c>
      <c r="C238" s="4" t="s">
        <v>3221</v>
      </c>
      <c r="D238" s="4" t="s">
        <v>3222</v>
      </c>
      <c r="E238" s="1" t="s">
        <v>136</v>
      </c>
      <c r="F238" s="1" t="s">
        <v>2446</v>
      </c>
      <c r="G238" s="134" t="s">
        <v>3223</v>
      </c>
      <c r="H238" s="148">
        <v>60000</v>
      </c>
      <c r="I238" s="2">
        <f>Tabla245678[[#This Row],[TOTAL FACTURA]]*0.7</f>
        <v>42000</v>
      </c>
      <c r="J238" s="146">
        <f t="shared" si="19"/>
        <v>18000</v>
      </c>
      <c r="K238" s="10" t="s">
        <v>3224</v>
      </c>
      <c r="L238" s="11">
        <v>132000</v>
      </c>
      <c r="M238" s="11">
        <f>Tabla245678[[#This Row],[MONTO DE COMPRA]]/1.19</f>
        <v>110924.36974789917</v>
      </c>
      <c r="N238" s="11">
        <f>Tabla245678[[#This Row],[Columna1]]*19%</f>
        <v>21075.630252100844</v>
      </c>
      <c r="O238" s="11">
        <v>175000</v>
      </c>
      <c r="P238" s="11">
        <f>Tabla245678[[#This Row],[VENTA ]]/1.19</f>
        <v>147058.82352941178</v>
      </c>
      <c r="Q238" s="11">
        <f>Tabla245678[[#This Row],[Columna2]]*19%</f>
        <v>27941.176470588238</v>
      </c>
      <c r="R238" s="11">
        <f>Tabla245678[[#This Row],[IVA VENTA ]]-Tabla245678[[#This Row],[IV COMPRA]]</f>
        <v>6865.5462184873941</v>
      </c>
      <c r="S238" s="11">
        <f>(Tabla245678[[#This Row],[VENTA ]]-(Tabla245678[[#This Row],[MONTO DE COMPRA]]+Tabla245678[[#This Row],[DIFERENCIA IVA ]]))</f>
        <v>36134.453781512595</v>
      </c>
    </row>
    <row r="239" spans="1:19" x14ac:dyDescent="0.25">
      <c r="A239" s="56">
        <v>44825</v>
      </c>
      <c r="C239" s="145"/>
      <c r="D239" s="4" t="s">
        <v>3226</v>
      </c>
      <c r="E239" s="1" t="s">
        <v>65</v>
      </c>
      <c r="F239" s="1" t="s">
        <v>10</v>
      </c>
      <c r="G239" s="134" t="s">
        <v>2183</v>
      </c>
      <c r="H239" s="148">
        <v>500000</v>
      </c>
      <c r="I239" s="2">
        <f>Tabla245678[[#This Row],[TOTAL FACTURA]]*0.7</f>
        <v>350000</v>
      </c>
      <c r="J239" s="146">
        <f t="shared" si="19"/>
        <v>150000</v>
      </c>
      <c r="K239" s="10"/>
      <c r="L239" s="11"/>
      <c r="M239" s="11">
        <f>Tabla245678[[#This Row],[MONTO DE COMPRA]]/1.19</f>
        <v>0</v>
      </c>
      <c r="N239" s="11">
        <f>Tabla245678[[#This Row],[Columna1]]*19%</f>
        <v>0</v>
      </c>
      <c r="O239" s="11"/>
      <c r="P239" s="11">
        <f>Tabla245678[[#This Row],[VENTA ]]/1.19</f>
        <v>0</v>
      </c>
      <c r="Q239" s="11">
        <f>Tabla245678[[#This Row],[Columna2]]*19%</f>
        <v>0</v>
      </c>
      <c r="R239" s="11">
        <f>Tabla245678[[#This Row],[IVA VENTA ]]-Tabla245678[[#This Row],[IV COMPRA]]</f>
        <v>0</v>
      </c>
      <c r="S239" s="11">
        <f>(Tabla245678[[#This Row],[VENTA ]]-(Tabla245678[[#This Row],[MONTO DE COMPRA]]+Tabla245678[[#This Row],[DIFERENCIA IVA ]]))</f>
        <v>0</v>
      </c>
    </row>
    <row r="240" spans="1:19" x14ac:dyDescent="0.25">
      <c r="A240" s="56">
        <v>44827</v>
      </c>
      <c r="B240" s="4" t="s">
        <v>3229</v>
      </c>
      <c r="C240" s="4" t="s">
        <v>3230</v>
      </c>
      <c r="D240" s="4" t="s">
        <v>3231</v>
      </c>
      <c r="E240" s="1" t="s">
        <v>76</v>
      </c>
      <c r="F240" s="1" t="s">
        <v>2446</v>
      </c>
      <c r="G240" s="134" t="s">
        <v>3232</v>
      </c>
      <c r="H240" s="148">
        <v>100000</v>
      </c>
      <c r="I240" s="2">
        <f>Tabla245678[[#This Row],[TOTAL FACTURA]]*0.7</f>
        <v>70000</v>
      </c>
      <c r="J240" s="146">
        <f t="shared" si="19"/>
        <v>30000</v>
      </c>
      <c r="K240" s="10" t="s">
        <v>57</v>
      </c>
      <c r="L240" s="11">
        <v>24000</v>
      </c>
      <c r="M240" s="11">
        <f>Tabla245678[[#This Row],[MONTO DE COMPRA]]/1.19</f>
        <v>20168.067226890758</v>
      </c>
      <c r="N240" s="11">
        <f>Tabla245678[[#This Row],[Columna1]]*19%</f>
        <v>3831.932773109244</v>
      </c>
      <c r="O240" s="11">
        <v>35000</v>
      </c>
      <c r="P240" s="11">
        <f>Tabla245678[[#This Row],[VENTA ]]/1.19</f>
        <v>29411.764705882353</v>
      </c>
      <c r="Q240" s="11">
        <f>Tabla245678[[#This Row],[Columna2]]*19%</f>
        <v>5588.2352941176468</v>
      </c>
      <c r="R240" s="11">
        <f>Tabla245678[[#This Row],[IVA VENTA ]]-Tabla245678[[#This Row],[IV COMPRA]]</f>
        <v>1756.3025210084029</v>
      </c>
      <c r="S240" s="11">
        <f>(Tabla245678[[#This Row],[VENTA ]]-(Tabla245678[[#This Row],[MONTO DE COMPRA]]+Tabla245678[[#This Row],[DIFERENCIA IVA ]]))</f>
        <v>9243.6974789915985</v>
      </c>
    </row>
    <row r="241" spans="1:19" x14ac:dyDescent="0.25">
      <c r="A241" s="56">
        <v>44827</v>
      </c>
      <c r="B241" s="4" t="s">
        <v>3233</v>
      </c>
      <c r="C241" s="4" t="s">
        <v>3234</v>
      </c>
      <c r="D241" s="4" t="s">
        <v>3235</v>
      </c>
      <c r="E241" s="1" t="s">
        <v>704</v>
      </c>
      <c r="F241" s="1" t="s">
        <v>2446</v>
      </c>
      <c r="G241" s="134" t="s">
        <v>3236</v>
      </c>
      <c r="H241" s="148">
        <v>60000</v>
      </c>
      <c r="I241" s="2">
        <f>Tabla245678[[#This Row],[TOTAL FACTURA]]*0.7</f>
        <v>42000</v>
      </c>
      <c r="J241" s="146">
        <f t="shared" si="19"/>
        <v>18000</v>
      </c>
      <c r="K241" s="10" t="s">
        <v>3237</v>
      </c>
      <c r="L241" s="11">
        <v>6400</v>
      </c>
      <c r="M241" s="11">
        <f>Tabla245678[[#This Row],[MONTO DE COMPRA]]/1.19</f>
        <v>5378.1512605042017</v>
      </c>
      <c r="N241" s="11">
        <f>Tabla245678[[#This Row],[Columna1]]*19%</f>
        <v>1021.8487394957983</v>
      </c>
      <c r="O241" s="11">
        <v>15000</v>
      </c>
      <c r="P241" s="11">
        <f>Tabla245678[[#This Row],[VENTA ]]/1.19</f>
        <v>12605.042016806723</v>
      </c>
      <c r="Q241" s="11">
        <f>Tabla245678[[#This Row],[Columna2]]*19%</f>
        <v>2394.9579831932774</v>
      </c>
      <c r="R241" s="11">
        <f>Tabla245678[[#This Row],[IVA VENTA ]]-Tabla245678[[#This Row],[IV COMPRA]]</f>
        <v>1373.1092436974791</v>
      </c>
      <c r="S241" s="11">
        <f>(Tabla245678[[#This Row],[VENTA ]]-(Tabla245678[[#This Row],[MONTO DE COMPRA]]+Tabla245678[[#This Row],[DIFERENCIA IVA ]]))</f>
        <v>7226.8907563025205</v>
      </c>
    </row>
    <row r="242" spans="1:19" x14ac:dyDescent="0.25">
      <c r="A242" s="56">
        <v>44827</v>
      </c>
      <c r="B242" s="4" t="s">
        <v>3233</v>
      </c>
      <c r="C242" s="4" t="s">
        <v>3234</v>
      </c>
      <c r="D242" s="4" t="s">
        <v>3235</v>
      </c>
      <c r="E242" s="1" t="s">
        <v>704</v>
      </c>
      <c r="F242" s="1" t="s">
        <v>10</v>
      </c>
      <c r="G242" s="134" t="s">
        <v>3108</v>
      </c>
      <c r="H242" s="148">
        <v>160000</v>
      </c>
      <c r="I242" s="2">
        <f>Tabla245678[[#This Row],[TOTAL FACTURA]]*0.7</f>
        <v>112000</v>
      </c>
      <c r="J242" s="146">
        <f t="shared" ref="J242:J245" si="20">H242-I242</f>
        <v>48000</v>
      </c>
      <c r="K242" s="10"/>
      <c r="L242" s="11"/>
      <c r="M242" s="11">
        <f>Tabla245678[[#This Row],[MONTO DE COMPRA]]/1.19</f>
        <v>0</v>
      </c>
      <c r="N242" s="11">
        <f>Tabla245678[[#This Row],[Columna1]]*19%</f>
        <v>0</v>
      </c>
      <c r="O242" s="11"/>
      <c r="P242" s="11">
        <f>Tabla245678[[#This Row],[VENTA ]]/1.19</f>
        <v>0</v>
      </c>
      <c r="Q242" s="11">
        <f>Tabla245678[[#This Row],[Columna2]]*19%</f>
        <v>0</v>
      </c>
      <c r="R242" s="11">
        <f>Tabla245678[[#This Row],[IVA VENTA ]]-Tabla245678[[#This Row],[IV COMPRA]]</f>
        <v>0</v>
      </c>
      <c r="S242" s="11">
        <f>(Tabla245678[[#This Row],[VENTA ]]-(Tabla245678[[#This Row],[MONTO DE COMPRA]]+Tabla245678[[#This Row],[DIFERENCIA IVA ]]))</f>
        <v>0</v>
      </c>
    </row>
    <row r="243" spans="1:19" ht="30" x14ac:dyDescent="0.25">
      <c r="A243" s="56">
        <v>44827</v>
      </c>
      <c r="B243" s="4" t="s">
        <v>3238</v>
      </c>
      <c r="C243" s="4" t="s">
        <v>1278</v>
      </c>
      <c r="D243" s="4" t="s">
        <v>386</v>
      </c>
      <c r="E243" s="1" t="s">
        <v>46</v>
      </c>
      <c r="F243" s="1" t="s">
        <v>34</v>
      </c>
      <c r="G243" s="134" t="s">
        <v>3239</v>
      </c>
      <c r="H243" s="148">
        <v>50000</v>
      </c>
      <c r="I243" s="2">
        <f>Tabla245678[[#This Row],[TOTAL FACTURA]]*0.7</f>
        <v>35000</v>
      </c>
      <c r="J243" s="146">
        <f t="shared" si="20"/>
        <v>15000</v>
      </c>
      <c r="K243" s="10" t="s">
        <v>3240</v>
      </c>
      <c r="L243" s="11">
        <f>30000+6400+500</f>
        <v>36900</v>
      </c>
      <c r="M243" s="11">
        <f>Tabla245678[[#This Row],[MONTO DE COMPRA]]/1.19</f>
        <v>31008.403361344539</v>
      </c>
      <c r="N243" s="11">
        <f>Tabla245678[[#This Row],[Columna1]]*19%</f>
        <v>5891.5966386554628</v>
      </c>
      <c r="O243" s="11">
        <f>60000+16000</f>
        <v>76000</v>
      </c>
      <c r="P243" s="11">
        <f>Tabla245678[[#This Row],[VENTA ]]/1.19</f>
        <v>63865.546218487398</v>
      </c>
      <c r="Q243" s="11">
        <f>Tabla245678[[#This Row],[Columna2]]*19%</f>
        <v>12134.453781512606</v>
      </c>
      <c r="R243" s="11">
        <f>Tabla245678[[#This Row],[IVA VENTA ]]-Tabla245678[[#This Row],[IV COMPRA]]</f>
        <v>6242.8571428571431</v>
      </c>
      <c r="S243" s="11">
        <f>(Tabla245678[[#This Row],[VENTA ]]-(Tabla245678[[#This Row],[MONTO DE COMPRA]]+Tabla245678[[#This Row],[DIFERENCIA IVA ]]))</f>
        <v>32857.142857142855</v>
      </c>
    </row>
    <row r="244" spans="1:19" x14ac:dyDescent="0.25">
      <c r="A244" s="56">
        <v>44827</v>
      </c>
      <c r="C244" s="4" t="s">
        <v>3241</v>
      </c>
      <c r="D244" s="4" t="s">
        <v>3242</v>
      </c>
      <c r="E244" s="1" t="s">
        <v>3243</v>
      </c>
      <c r="F244" s="1" t="s">
        <v>2446</v>
      </c>
      <c r="G244" s="134" t="s">
        <v>3244</v>
      </c>
      <c r="H244" s="148">
        <v>90000</v>
      </c>
      <c r="I244" s="2">
        <f>Tabla245678[[#This Row],[TOTAL FACTURA]]*0.7</f>
        <v>62999.999999999993</v>
      </c>
      <c r="J244" s="146">
        <f t="shared" si="20"/>
        <v>27000.000000000007</v>
      </c>
      <c r="K244" s="10"/>
      <c r="L244" s="11"/>
      <c r="M244" s="11">
        <f>Tabla245678[[#This Row],[MONTO DE COMPRA]]/1.19</f>
        <v>0</v>
      </c>
      <c r="N244" s="11">
        <f>Tabla245678[[#This Row],[Columna1]]*19%</f>
        <v>0</v>
      </c>
      <c r="O244" s="11"/>
      <c r="P244" s="11">
        <f>Tabla245678[[#This Row],[VENTA ]]/1.19</f>
        <v>0</v>
      </c>
      <c r="Q244" s="11">
        <f>Tabla245678[[#This Row],[Columna2]]*19%</f>
        <v>0</v>
      </c>
      <c r="R244" s="11">
        <f>Tabla245678[[#This Row],[IVA VENTA ]]-Tabla245678[[#This Row],[IV COMPRA]]</f>
        <v>0</v>
      </c>
      <c r="S244" s="11">
        <f>(Tabla245678[[#This Row],[VENTA ]]-(Tabla245678[[#This Row],[MONTO DE COMPRA]]+Tabla245678[[#This Row],[DIFERENCIA IVA ]]))</f>
        <v>0</v>
      </c>
    </row>
    <row r="245" spans="1:19" x14ac:dyDescent="0.25">
      <c r="A245" s="56">
        <v>44827</v>
      </c>
      <c r="B245" s="4" t="s">
        <v>3245</v>
      </c>
      <c r="C245" s="4" t="s">
        <v>3098</v>
      </c>
      <c r="D245" s="4" t="s">
        <v>3099</v>
      </c>
      <c r="E245" s="1" t="s">
        <v>3246</v>
      </c>
      <c r="F245" s="1" t="s">
        <v>10</v>
      </c>
      <c r="G245" s="134" t="s">
        <v>3108</v>
      </c>
      <c r="H245" s="148">
        <v>250000</v>
      </c>
      <c r="I245" s="2">
        <f>Tabla245678[[#This Row],[TOTAL FACTURA]]*0.7</f>
        <v>175000</v>
      </c>
      <c r="J245" s="146">
        <f t="shared" si="20"/>
        <v>75000</v>
      </c>
      <c r="K245" s="10" t="s">
        <v>3247</v>
      </c>
      <c r="L245" s="11">
        <v>310000</v>
      </c>
      <c r="M245" s="11">
        <f>Tabla245678[[#This Row],[MONTO DE COMPRA]]/1.19</f>
        <v>260504.20168067227</v>
      </c>
      <c r="N245" s="11">
        <f>Tabla245678[[#This Row],[Columna1]]*19%</f>
        <v>49495.798319327732</v>
      </c>
      <c r="O245" s="11">
        <v>420000</v>
      </c>
      <c r="P245" s="11">
        <f>Tabla245678[[#This Row],[VENTA ]]/1.19</f>
        <v>352941.17647058825</v>
      </c>
      <c r="Q245" s="11">
        <f>Tabla245678[[#This Row],[Columna2]]*19%</f>
        <v>67058.823529411762</v>
      </c>
      <c r="R245" s="11">
        <f>Tabla245678[[#This Row],[IVA VENTA ]]-Tabla245678[[#This Row],[IV COMPRA]]</f>
        <v>17563.02521008403</v>
      </c>
      <c r="S245" s="11">
        <f>(Tabla245678[[#This Row],[VENTA ]]-(Tabla245678[[#This Row],[MONTO DE COMPRA]]+Tabla245678[[#This Row],[DIFERENCIA IVA ]]))</f>
        <v>92436.974789915956</v>
      </c>
    </row>
    <row r="246" spans="1:19" ht="34.5" customHeight="1" x14ac:dyDescent="0.25">
      <c r="A246" s="56">
        <v>44827</v>
      </c>
      <c r="C246" s="4" t="s">
        <v>1144</v>
      </c>
      <c r="D246" s="4" t="s">
        <v>1629</v>
      </c>
      <c r="E246" s="1" t="s">
        <v>122</v>
      </c>
      <c r="F246" s="1" t="s">
        <v>2446</v>
      </c>
      <c r="G246" s="134" t="s">
        <v>1074</v>
      </c>
      <c r="H246" s="148">
        <v>30000</v>
      </c>
      <c r="I246" s="2">
        <f>Tabla245678[[#This Row],[TOTAL FACTURA]]*0.7</f>
        <v>21000</v>
      </c>
      <c r="J246" s="146">
        <f t="shared" si="17"/>
        <v>9000</v>
      </c>
      <c r="K246" s="10"/>
      <c r="L246" s="11"/>
      <c r="M246" s="11">
        <f>Tabla245678[[#This Row],[MONTO DE COMPRA]]/1.19</f>
        <v>0</v>
      </c>
      <c r="N246" s="11">
        <f>Tabla245678[[#This Row],[Columna1]]*19%</f>
        <v>0</v>
      </c>
      <c r="O246" s="11"/>
      <c r="P246" s="11">
        <f>Tabla245678[[#This Row],[VENTA ]]/1.19</f>
        <v>0</v>
      </c>
      <c r="Q246" s="11">
        <f>Tabla245678[[#This Row],[Columna2]]*19%</f>
        <v>0</v>
      </c>
      <c r="R246" s="11">
        <f>Tabla245678[[#This Row],[IVA VENTA ]]-Tabla245678[[#This Row],[IV COMPRA]]</f>
        <v>0</v>
      </c>
      <c r="S246" s="11">
        <f>(Tabla245678[[#This Row],[VENTA ]]-(Tabla245678[[#This Row],[MONTO DE COMPRA]]+Tabla245678[[#This Row],[DIFERENCIA IVA ]]))</f>
        <v>0</v>
      </c>
    </row>
    <row r="247" spans="1:19" x14ac:dyDescent="0.25">
      <c r="A247" s="56">
        <v>44827</v>
      </c>
      <c r="B247" s="4" t="s">
        <v>3248</v>
      </c>
      <c r="C247" s="4" t="s">
        <v>1988</v>
      </c>
      <c r="D247" s="4" t="s">
        <v>1987</v>
      </c>
      <c r="E247" s="1" t="s">
        <v>122</v>
      </c>
      <c r="F247" s="1" t="s">
        <v>10</v>
      </c>
      <c r="G247" s="134" t="s">
        <v>3249</v>
      </c>
      <c r="H247" s="148">
        <v>120000</v>
      </c>
      <c r="I247" s="2">
        <f>Tabla245678[[#This Row],[TOTAL FACTURA]]*0.7</f>
        <v>84000</v>
      </c>
      <c r="J247" s="146">
        <f t="shared" si="17"/>
        <v>36000</v>
      </c>
      <c r="K247" s="10" t="s">
        <v>3250</v>
      </c>
      <c r="L247" s="11">
        <f>280000+65000+12500+5000</f>
        <v>362500</v>
      </c>
      <c r="M247" s="11">
        <v>16806.72</v>
      </c>
      <c r="N247" s="11">
        <f>Tabla245678[[#This Row],[Columna1]]*19%</f>
        <v>3193.2768000000001</v>
      </c>
      <c r="O247" s="11">
        <v>480000</v>
      </c>
      <c r="P247" s="11">
        <f>Tabla245678[[#This Row],[VENTA ]]/1.19</f>
        <v>403361.34453781514</v>
      </c>
      <c r="Q247" s="11">
        <f>Tabla245678[[#This Row],[Columna2]]*19%</f>
        <v>76638.655462184877</v>
      </c>
      <c r="R247" s="11">
        <f>Tabla245678[[#This Row],[IVA VENTA ]]-Tabla245678[[#This Row],[IV COMPRA]]</f>
        <v>73445.37866218487</v>
      </c>
      <c r="S247" s="11">
        <f>(Tabla245678[[#This Row],[VENTA ]]-(Tabla245678[[#This Row],[MONTO DE COMPRA]]+Tabla245678[[#This Row],[DIFERENCIA IVA ]]))</f>
        <v>44054.62133781513</v>
      </c>
    </row>
    <row r="248" spans="1:19" ht="30" x14ac:dyDescent="0.25">
      <c r="A248" s="56">
        <v>44827</v>
      </c>
      <c r="B248" s="4" t="s">
        <v>3251</v>
      </c>
      <c r="C248" s="4" t="s">
        <v>3252</v>
      </c>
      <c r="D248" s="4" t="s">
        <v>3111</v>
      </c>
      <c r="E248" s="1" t="s">
        <v>1947</v>
      </c>
      <c r="F248" s="1" t="s">
        <v>2446</v>
      </c>
      <c r="G248" s="134" t="s">
        <v>3253</v>
      </c>
      <c r="H248" s="148">
        <v>230000</v>
      </c>
      <c r="I248" s="2">
        <f>Tabla245678[[#This Row],[TOTAL FACTURA]]*0.7</f>
        <v>161000</v>
      </c>
      <c r="J248" s="146">
        <f t="shared" si="17"/>
        <v>69000</v>
      </c>
      <c r="K248" s="10" t="s">
        <v>3254</v>
      </c>
      <c r="L248" s="11">
        <v>336490</v>
      </c>
      <c r="M248" s="11">
        <f>Tabla245678[[#This Row],[MONTO DE COMPRA]]/1.19</f>
        <v>282764.70588235295</v>
      </c>
      <c r="N248" s="11">
        <f>Tabla245678[[#This Row],[Columna1]]*19%</f>
        <v>53725.294117647063</v>
      </c>
      <c r="O248" s="11">
        <v>557000</v>
      </c>
      <c r="P248" s="11">
        <f>Tabla245678[[#This Row],[VENTA ]]/1.19</f>
        <v>468067.22689075634</v>
      </c>
      <c r="Q248" s="11">
        <f>Tabla245678[[#This Row],[Columna2]]*19%</f>
        <v>88932.773109243702</v>
      </c>
      <c r="R248" s="11">
        <f>Tabla245678[[#This Row],[IVA VENTA ]]-Tabla245678[[#This Row],[IV COMPRA]]</f>
        <v>35207.478991596639</v>
      </c>
      <c r="S248" s="11">
        <f>(Tabla245678[[#This Row],[VENTA ]]-(Tabla245678[[#This Row],[MONTO DE COMPRA]]+Tabla245678[[#This Row],[DIFERENCIA IVA ]]))</f>
        <v>185302.52100840339</v>
      </c>
    </row>
    <row r="249" spans="1:19" x14ac:dyDescent="0.25">
      <c r="A249" s="56">
        <v>44828</v>
      </c>
      <c r="B249" s="4" t="s">
        <v>3256</v>
      </c>
      <c r="C249" s="4" t="s">
        <v>3257</v>
      </c>
      <c r="D249" s="4" t="s">
        <v>3258</v>
      </c>
      <c r="E249" s="1" t="s">
        <v>3259</v>
      </c>
      <c r="F249" s="1" t="s">
        <v>2446</v>
      </c>
      <c r="G249" s="134" t="s">
        <v>3260</v>
      </c>
      <c r="H249" s="148">
        <v>80000</v>
      </c>
      <c r="I249" s="2">
        <f>Tabla245678[[#This Row],[TOTAL FACTURA]]*0.7</f>
        <v>56000</v>
      </c>
      <c r="J249" s="146">
        <f t="shared" ref="J249:J256" si="21">H249-I249</f>
        <v>24000</v>
      </c>
      <c r="K249" s="10" t="s">
        <v>3261</v>
      </c>
      <c r="L249" s="11">
        <v>175000</v>
      </c>
      <c r="M249" s="11">
        <f>Tabla245678[[#This Row],[MONTO DE COMPRA]]/1.19</f>
        <v>147058.82352941178</v>
      </c>
      <c r="N249" s="11">
        <f>Tabla245678[[#This Row],[Columna1]]*19%</f>
        <v>27941.176470588238</v>
      </c>
      <c r="O249" s="11">
        <f>130000+95000</f>
        <v>225000</v>
      </c>
      <c r="P249" s="11">
        <f>Tabla245678[[#This Row],[VENTA ]]/1.19</f>
        <v>189075.63025210085</v>
      </c>
      <c r="Q249" s="11">
        <f>Tabla245678[[#This Row],[Columna2]]*19%</f>
        <v>35924.36974789916</v>
      </c>
      <c r="R249" s="11">
        <f>Tabla245678[[#This Row],[IVA VENTA ]]-Tabla245678[[#This Row],[IV COMPRA]]</f>
        <v>7983.193277310922</v>
      </c>
      <c r="S249" s="11">
        <f>(Tabla245678[[#This Row],[VENTA ]]-(Tabla245678[[#This Row],[MONTO DE COMPRA]]+Tabla245678[[#This Row],[DIFERENCIA IVA ]]))</f>
        <v>42016.806722689071</v>
      </c>
    </row>
    <row r="250" spans="1:19" x14ac:dyDescent="0.25">
      <c r="A250" s="56">
        <v>44828</v>
      </c>
      <c r="C250" s="145"/>
      <c r="D250" s="4" t="s">
        <v>3144</v>
      </c>
      <c r="E250" s="1" t="s">
        <v>704</v>
      </c>
      <c r="F250" s="1" t="s">
        <v>2446</v>
      </c>
      <c r="G250" s="134" t="s">
        <v>844</v>
      </c>
      <c r="H250" s="148">
        <v>40000</v>
      </c>
      <c r="I250" s="2">
        <f>Tabla245678[[#This Row],[TOTAL FACTURA]]*0.7</f>
        <v>28000</v>
      </c>
      <c r="J250" s="146">
        <f t="shared" si="21"/>
        <v>12000</v>
      </c>
      <c r="K250" s="10"/>
      <c r="L250" s="11"/>
      <c r="M250" s="11">
        <f>Tabla245678[[#This Row],[MONTO DE COMPRA]]/1.19</f>
        <v>0</v>
      </c>
      <c r="N250" s="11">
        <f>Tabla245678[[#This Row],[Columna1]]*19%</f>
        <v>0</v>
      </c>
      <c r="O250" s="11"/>
      <c r="P250" s="11">
        <f>Tabla245678[[#This Row],[VENTA ]]/1.19</f>
        <v>0</v>
      </c>
      <c r="Q250" s="11">
        <f>Tabla245678[[#This Row],[Columna2]]*19%</f>
        <v>0</v>
      </c>
      <c r="R250" s="11">
        <f>Tabla245678[[#This Row],[IVA VENTA ]]-Tabla245678[[#This Row],[IV COMPRA]]</f>
        <v>0</v>
      </c>
      <c r="S250" s="11">
        <f>(Tabla245678[[#This Row],[VENTA ]]-(Tabla245678[[#This Row],[MONTO DE COMPRA]]+Tabla245678[[#This Row],[DIFERENCIA IVA ]]))</f>
        <v>0</v>
      </c>
    </row>
    <row r="251" spans="1:19" x14ac:dyDescent="0.25">
      <c r="A251" s="56">
        <v>44828</v>
      </c>
      <c r="C251" s="4" t="s">
        <v>3085</v>
      </c>
      <c r="D251" s="4" t="s">
        <v>3107</v>
      </c>
      <c r="E251" s="1" t="s">
        <v>168</v>
      </c>
      <c r="F251" s="1" t="s">
        <v>2446</v>
      </c>
      <c r="G251" s="134" t="s">
        <v>3185</v>
      </c>
      <c r="H251" s="148">
        <v>50000</v>
      </c>
      <c r="I251" s="2">
        <f>Tabla245678[[#This Row],[TOTAL FACTURA]]*0.7</f>
        <v>35000</v>
      </c>
      <c r="J251" s="146">
        <f t="shared" si="21"/>
        <v>15000</v>
      </c>
      <c r="K251" s="10"/>
      <c r="L251" s="11">
        <v>44000</v>
      </c>
      <c r="M251" s="11">
        <f>Tabla245678[[#This Row],[MONTO DE COMPRA]]/1.19</f>
        <v>36974.789915966387</v>
      </c>
      <c r="N251" s="11">
        <f>Tabla245678[[#This Row],[Columna1]]*19%</f>
        <v>7025.2100840336134</v>
      </c>
      <c r="O251" s="11">
        <v>60000</v>
      </c>
      <c r="P251" s="11">
        <f>Tabla245678[[#This Row],[VENTA ]]/1.19</f>
        <v>50420.168067226892</v>
      </c>
      <c r="Q251" s="11">
        <f>Tabla245678[[#This Row],[Columna2]]*19%</f>
        <v>9579.8319327731097</v>
      </c>
      <c r="R251" s="11">
        <f>Tabla245678[[#This Row],[IVA VENTA ]]-Tabla245678[[#This Row],[IV COMPRA]]</f>
        <v>2554.6218487394963</v>
      </c>
      <c r="S251" s="11">
        <f>(Tabla245678[[#This Row],[VENTA ]]-(Tabla245678[[#This Row],[MONTO DE COMPRA]]+Tabla245678[[#This Row],[DIFERENCIA IVA ]]))</f>
        <v>13445.378151260506</v>
      </c>
    </row>
    <row r="252" spans="1:19" x14ac:dyDescent="0.25">
      <c r="A252" s="56">
        <v>44828</v>
      </c>
      <c r="B252" s="4" t="s">
        <v>3263</v>
      </c>
      <c r="C252" s="4" t="s">
        <v>703</v>
      </c>
      <c r="D252" s="4" t="s">
        <v>705</v>
      </c>
      <c r="E252" s="1" t="s">
        <v>704</v>
      </c>
      <c r="F252" s="1" t="s">
        <v>10</v>
      </c>
      <c r="G252" s="134" t="s">
        <v>3264</v>
      </c>
      <c r="H252" s="148">
        <v>40000</v>
      </c>
      <c r="I252" s="2">
        <f>Tabla245678[[#This Row],[TOTAL FACTURA]]*0.7</f>
        <v>28000</v>
      </c>
      <c r="J252" s="146">
        <f t="shared" si="21"/>
        <v>12000</v>
      </c>
      <c r="K252" s="10" t="s">
        <v>3265</v>
      </c>
      <c r="L252" s="11">
        <f>85000+1500</f>
        <v>86500</v>
      </c>
      <c r="M252" s="11">
        <f>Tabla245678[[#This Row],[MONTO DE COMPRA]]/1.19</f>
        <v>72689.075630252104</v>
      </c>
      <c r="N252" s="11">
        <f>Tabla245678[[#This Row],[Columna1]]*19%</f>
        <v>13810.9243697479</v>
      </c>
      <c r="O252" s="11">
        <v>107000</v>
      </c>
      <c r="P252" s="11">
        <f>Tabla245678[[#This Row],[VENTA ]]/1.19</f>
        <v>89915.966386554632</v>
      </c>
      <c r="Q252" s="11">
        <f>Tabla245678[[#This Row],[Columna2]]*19%</f>
        <v>17084.033613445379</v>
      </c>
      <c r="R252" s="11">
        <f>Tabla245678[[#This Row],[IVA VENTA ]]-Tabla245678[[#This Row],[IV COMPRA]]</f>
        <v>3273.1092436974795</v>
      </c>
      <c r="S252" s="11">
        <f>(Tabla245678[[#This Row],[VENTA ]]-(Tabla245678[[#This Row],[MONTO DE COMPRA]]+Tabla245678[[#This Row],[DIFERENCIA IVA ]]))</f>
        <v>17226.890756302513</v>
      </c>
    </row>
    <row r="253" spans="1:19" ht="45" x14ac:dyDescent="0.25">
      <c r="A253" s="56">
        <v>44830</v>
      </c>
      <c r="B253" s="4" t="s">
        <v>3266</v>
      </c>
      <c r="C253" s="4" t="s">
        <v>3267</v>
      </c>
      <c r="D253" s="4" t="s">
        <v>3283</v>
      </c>
      <c r="E253" s="1" t="s">
        <v>3269</v>
      </c>
      <c r="F253" s="1" t="s">
        <v>10</v>
      </c>
      <c r="G253" s="134" t="s">
        <v>2183</v>
      </c>
      <c r="H253" s="148">
        <v>700000</v>
      </c>
      <c r="I253" s="2">
        <f>Tabla245678[[#This Row],[TOTAL FACTURA]]*0.7</f>
        <v>489999.99999999994</v>
      </c>
      <c r="J253" s="146">
        <f t="shared" si="21"/>
        <v>210000.00000000006</v>
      </c>
      <c r="K253" s="10" t="s">
        <v>3270</v>
      </c>
      <c r="L253" s="11">
        <f>630000+120000</f>
        <v>750000</v>
      </c>
      <c r="M253" s="11">
        <f>Tabla245678[[#This Row],[MONTO DE COMPRA]]/1.19</f>
        <v>630252.10084033618</v>
      </c>
      <c r="N253" s="11">
        <f>Tabla245678[[#This Row],[Columna1]]*19%</f>
        <v>119747.89915966388</v>
      </c>
      <c r="O253" s="11">
        <v>1122500</v>
      </c>
      <c r="P253" s="11">
        <f>Tabla245678[[#This Row],[VENTA ]]/1.19</f>
        <v>943277.31092436984</v>
      </c>
      <c r="Q253" s="11">
        <f>Tabla245678[[#This Row],[Columna2]]*19%</f>
        <v>179222.68907563027</v>
      </c>
      <c r="R253" s="11">
        <f>Tabla245678[[#This Row],[IVA VENTA ]]-Tabla245678[[#This Row],[IV COMPRA]]</f>
        <v>59474.789915966394</v>
      </c>
      <c r="S253" s="11">
        <f>(Tabla245678[[#This Row],[VENTA ]]-(Tabla245678[[#This Row],[MONTO DE COMPRA]]+Tabla245678[[#This Row],[DIFERENCIA IVA ]]))</f>
        <v>313025.21008403366</v>
      </c>
    </row>
    <row r="254" spans="1:19" x14ac:dyDescent="0.25">
      <c r="A254" s="56">
        <v>44830</v>
      </c>
      <c r="B254" s="4" t="s">
        <v>3266</v>
      </c>
      <c r="C254" s="4" t="s">
        <v>3267</v>
      </c>
      <c r="D254" s="4" t="s">
        <v>3268</v>
      </c>
      <c r="E254" s="1" t="s">
        <v>3269</v>
      </c>
      <c r="F254" s="1" t="s">
        <v>2446</v>
      </c>
      <c r="G254" s="134" t="s">
        <v>3272</v>
      </c>
      <c r="H254" s="148">
        <v>60000</v>
      </c>
      <c r="I254" s="2"/>
      <c r="J254" s="146">
        <f t="shared" si="21"/>
        <v>60000</v>
      </c>
      <c r="K254" s="10" t="s">
        <v>3271</v>
      </c>
      <c r="L254" s="11">
        <f>20282+36000</f>
        <v>56282</v>
      </c>
      <c r="M254" s="11">
        <f>Tabla245678[[#This Row],[MONTO DE COMPRA]]/1.19</f>
        <v>47295.798319327732</v>
      </c>
      <c r="N254" s="11">
        <f>Tabla245678[[#This Row],[Columna1]]*19%</f>
        <v>8986.2016806722695</v>
      </c>
      <c r="O254" s="11">
        <f>105000</f>
        <v>105000</v>
      </c>
      <c r="P254" s="11">
        <f>Tabla245678[[#This Row],[VENTA ]]/1.19</f>
        <v>88235.294117647063</v>
      </c>
      <c r="Q254" s="11">
        <f>Tabla245678[[#This Row],[Columna2]]*19%</f>
        <v>16764.705882352941</v>
      </c>
      <c r="R254" s="11">
        <f>Tabla245678[[#This Row],[IVA VENTA ]]-Tabla245678[[#This Row],[IV COMPRA]]</f>
        <v>7778.504201680671</v>
      </c>
      <c r="S254" s="11">
        <f>(Tabla245678[[#This Row],[VENTA ]]-(Tabla245678[[#This Row],[MONTO DE COMPRA]]+Tabla245678[[#This Row],[DIFERENCIA IVA ]]))</f>
        <v>40939.495798319331</v>
      </c>
    </row>
    <row r="255" spans="1:19" x14ac:dyDescent="0.25">
      <c r="A255" s="56">
        <v>44830</v>
      </c>
      <c r="B255" s="4" t="s">
        <v>3273</v>
      </c>
      <c r="C255" s="4" t="s">
        <v>2141</v>
      </c>
      <c r="D255" s="4" t="s">
        <v>546</v>
      </c>
      <c r="E255" s="1" t="s">
        <v>574</v>
      </c>
      <c r="F255" s="1" t="s">
        <v>2446</v>
      </c>
      <c r="G255" s="134" t="s">
        <v>3274</v>
      </c>
      <c r="H255" s="148">
        <v>30000</v>
      </c>
      <c r="I255" s="2">
        <f>Tabla245678[[#This Row],[TOTAL FACTURA]]*0.7</f>
        <v>21000</v>
      </c>
      <c r="J255" s="146">
        <f t="shared" si="21"/>
        <v>9000</v>
      </c>
      <c r="K255" s="10" t="s">
        <v>2938</v>
      </c>
      <c r="L255" s="11">
        <v>70000</v>
      </c>
      <c r="M255" s="11">
        <f>Tabla245678[[#This Row],[MONTO DE COMPRA]]/1.19</f>
        <v>58823.529411764706</v>
      </c>
      <c r="N255" s="11">
        <f>Tabla245678[[#This Row],[Columna1]]*19%</f>
        <v>11176.470588235294</v>
      </c>
      <c r="O255" s="11">
        <v>100000</v>
      </c>
      <c r="P255" s="11">
        <f>Tabla245678[[#This Row],[VENTA ]]/1.19</f>
        <v>84033.613445378156</v>
      </c>
      <c r="Q255" s="11"/>
      <c r="R255" s="11"/>
      <c r="S255" s="11">
        <f>(Tabla245678[[#This Row],[VENTA ]]-(Tabla245678[[#This Row],[MONTO DE COMPRA]]+Tabla245678[[#This Row],[DIFERENCIA IVA ]]))</f>
        <v>30000</v>
      </c>
    </row>
    <row r="256" spans="1:19" x14ac:dyDescent="0.25">
      <c r="A256" s="56">
        <v>44831</v>
      </c>
      <c r="B256" s="4" t="s">
        <v>3275</v>
      </c>
      <c r="C256" s="145"/>
      <c r="D256" s="4" t="s">
        <v>3276</v>
      </c>
      <c r="E256" s="1" t="s">
        <v>2193</v>
      </c>
      <c r="F256" s="1" t="s">
        <v>2446</v>
      </c>
      <c r="G256" s="134" t="s">
        <v>744</v>
      </c>
      <c r="H256" s="148">
        <v>30000</v>
      </c>
      <c r="I256" s="2">
        <f>Tabla245678[[#This Row],[TOTAL FACTURA]]*0.7</f>
        <v>21000</v>
      </c>
      <c r="J256" s="146">
        <f t="shared" si="21"/>
        <v>9000</v>
      </c>
      <c r="K256" s="10" t="s">
        <v>3277</v>
      </c>
      <c r="L256" s="11">
        <v>44000</v>
      </c>
      <c r="M256" s="11">
        <f>Tabla245678[[#This Row],[MONTO DE COMPRA]]/1.19</f>
        <v>36974.789915966387</v>
      </c>
      <c r="N256" s="11">
        <f>Tabla245678[[#This Row],[Columna1]]*19%</f>
        <v>7025.2100840336134</v>
      </c>
      <c r="O256" s="11">
        <v>60000</v>
      </c>
      <c r="P256" s="11"/>
      <c r="Q256" s="11">
        <f>Tabla245678[[#This Row],[Columna2]]*19%</f>
        <v>0</v>
      </c>
      <c r="R256" s="11">
        <f>Tabla245678[[#This Row],[IVA VENTA ]]-Tabla245678[[#This Row],[IV COMPRA]]</f>
        <v>-7025.2100840336134</v>
      </c>
      <c r="S256" s="11">
        <f>(Tabla245678[[#This Row],[VENTA ]]-(Tabla245678[[#This Row],[MONTO DE COMPRA]]+Tabla245678[[#This Row],[DIFERENCIA IVA ]]))</f>
        <v>23025.210084033613</v>
      </c>
    </row>
    <row r="257" spans="1:20" ht="30" x14ac:dyDescent="0.25">
      <c r="A257" s="56">
        <v>44832</v>
      </c>
      <c r="B257" s="4" t="s">
        <v>3278</v>
      </c>
      <c r="C257" s="4" t="s">
        <v>3279</v>
      </c>
      <c r="D257" s="4" t="s">
        <v>3280</v>
      </c>
      <c r="E257" s="1" t="s">
        <v>1907</v>
      </c>
      <c r="F257" s="1" t="s">
        <v>2446</v>
      </c>
      <c r="G257" s="134" t="s">
        <v>3281</v>
      </c>
      <c r="H257" s="148">
        <v>30000</v>
      </c>
      <c r="I257" s="2">
        <f>Tabla245678[[#This Row],[TOTAL FACTURA]]*0.7</f>
        <v>21000</v>
      </c>
      <c r="J257" s="146">
        <f t="shared" ref="J257:J260" si="22">H257-I257</f>
        <v>9000</v>
      </c>
      <c r="K257" s="10" t="s">
        <v>3073</v>
      </c>
      <c r="L257" s="11">
        <v>20000</v>
      </c>
      <c r="M257" s="11"/>
      <c r="N257" s="11">
        <f>Tabla245678[[#This Row],[Columna1]]*19%</f>
        <v>0</v>
      </c>
      <c r="O257" s="11">
        <v>35000</v>
      </c>
      <c r="P257" s="11"/>
      <c r="Q257" s="11">
        <f>Tabla245678[[#This Row],[Columna2]]*19%</f>
        <v>0</v>
      </c>
      <c r="R257" s="11">
        <f>Tabla245678[[#This Row],[IVA VENTA ]]-Tabla245678[[#This Row],[IV COMPRA]]</f>
        <v>0</v>
      </c>
      <c r="S257" s="11">
        <f>(Tabla245678[[#This Row],[VENTA ]]-(Tabla245678[[#This Row],[MONTO DE COMPRA]]+Tabla245678[[#This Row],[DIFERENCIA IVA ]]))</f>
        <v>15000</v>
      </c>
    </row>
    <row r="258" spans="1:20" x14ac:dyDescent="0.25">
      <c r="A258" s="56">
        <v>44832</v>
      </c>
      <c r="C258" s="4" t="s">
        <v>1278</v>
      </c>
      <c r="D258" s="4" t="s">
        <v>380</v>
      </c>
      <c r="E258" s="1" t="s">
        <v>59</v>
      </c>
      <c r="F258" s="1" t="s">
        <v>2446</v>
      </c>
      <c r="G258" s="134" t="s">
        <v>3282</v>
      </c>
      <c r="H258" s="148">
        <v>25000</v>
      </c>
      <c r="I258" s="2">
        <f>Tabla245678[[#This Row],[TOTAL FACTURA]]*0.7</f>
        <v>17500</v>
      </c>
      <c r="J258" s="146">
        <f t="shared" si="22"/>
        <v>7500</v>
      </c>
      <c r="K258" s="10"/>
      <c r="L258" s="11"/>
      <c r="M258" s="11">
        <f>Tabla245678[[#This Row],[MONTO DE COMPRA]]/1.19</f>
        <v>0</v>
      </c>
      <c r="N258" s="11">
        <f>Tabla245678[[#This Row],[Columna1]]*19%</f>
        <v>0</v>
      </c>
      <c r="O258" s="11"/>
      <c r="P258" s="11">
        <f>Tabla245678[[#This Row],[VENTA ]]/1.19</f>
        <v>0</v>
      </c>
      <c r="Q258" s="11">
        <f>Tabla245678[[#This Row],[Columna2]]*19%</f>
        <v>0</v>
      </c>
      <c r="R258" s="11">
        <f>Tabla245678[[#This Row],[IVA VENTA ]]-Tabla245678[[#This Row],[IV COMPRA]]</f>
        <v>0</v>
      </c>
      <c r="S258" s="11">
        <f>(Tabla245678[[#This Row],[VENTA ]]-(Tabla245678[[#This Row],[MONTO DE COMPRA]]+Tabla245678[[#This Row],[DIFERENCIA IVA ]]))</f>
        <v>0</v>
      </c>
    </row>
    <row r="259" spans="1:20" x14ac:dyDescent="0.25">
      <c r="A259" s="56">
        <v>44833</v>
      </c>
      <c r="C259" s="145"/>
      <c r="D259" s="4" t="s">
        <v>3284</v>
      </c>
      <c r="E259" s="1" t="s">
        <v>435</v>
      </c>
      <c r="F259" s="1" t="s">
        <v>10</v>
      </c>
      <c r="G259" s="134" t="s">
        <v>3285</v>
      </c>
      <c r="H259" s="148">
        <v>180000</v>
      </c>
      <c r="I259" s="2">
        <f>Tabla245678[[#This Row],[TOTAL FACTURA]]*0.7</f>
        <v>125999.99999999999</v>
      </c>
      <c r="J259" s="146">
        <f t="shared" si="22"/>
        <v>54000.000000000015</v>
      </c>
      <c r="K259" s="10"/>
      <c r="L259" s="11"/>
      <c r="M259" s="11">
        <f>Tabla245678[[#This Row],[MONTO DE COMPRA]]/1.19</f>
        <v>0</v>
      </c>
      <c r="N259" s="11">
        <f>Tabla245678[[#This Row],[Columna1]]*19%</f>
        <v>0</v>
      </c>
      <c r="O259" s="11"/>
      <c r="P259" s="11">
        <f>Tabla245678[[#This Row],[VENTA ]]/1.19</f>
        <v>0</v>
      </c>
      <c r="Q259" s="11">
        <f>Tabla245678[[#This Row],[Columna2]]*19%</f>
        <v>0</v>
      </c>
      <c r="R259" s="11">
        <f>Tabla245678[[#This Row],[IVA VENTA ]]-Tabla245678[[#This Row],[IV COMPRA]]</f>
        <v>0</v>
      </c>
      <c r="S259" s="11">
        <f>(Tabla245678[[#This Row],[VENTA ]]-(Tabla245678[[#This Row],[MONTO DE COMPRA]]+Tabla245678[[#This Row],[DIFERENCIA IVA ]]))</f>
        <v>0</v>
      </c>
    </row>
    <row r="260" spans="1:20" ht="75" x14ac:dyDescent="0.25">
      <c r="A260" s="56">
        <v>44833</v>
      </c>
      <c r="C260" s="4" t="s">
        <v>3325</v>
      </c>
      <c r="D260" s="4" t="s">
        <v>3286</v>
      </c>
      <c r="E260" s="1" t="s">
        <v>3135</v>
      </c>
      <c r="F260" s="1" t="s">
        <v>10</v>
      </c>
      <c r="G260" s="134" t="s">
        <v>2183</v>
      </c>
      <c r="H260" s="148">
        <v>1000000</v>
      </c>
      <c r="I260" s="2">
        <f>Tabla245678[[#This Row],[TOTAL FACTURA]]*0.7</f>
        <v>700000</v>
      </c>
      <c r="J260" s="146">
        <f t="shared" si="22"/>
        <v>300000</v>
      </c>
      <c r="K260" s="10" t="s">
        <v>3849</v>
      </c>
      <c r="L260" s="11">
        <v>1715000</v>
      </c>
      <c r="M260" s="11"/>
      <c r="N260" s="11">
        <f>Tabla245678[[#This Row],[Columna1]]*19%</f>
        <v>0</v>
      </c>
      <c r="O260" s="11">
        <v>2224000</v>
      </c>
      <c r="P260" s="11"/>
      <c r="Q260" s="11">
        <f>Tabla245678[[#This Row],[Columna2]]*19%</f>
        <v>0</v>
      </c>
      <c r="R260" s="11">
        <f>Tabla245678[[#This Row],[IVA VENTA ]]-Tabla245678[[#This Row],[IV COMPRA]]</f>
        <v>0</v>
      </c>
      <c r="S260" s="11">
        <f>(Tabla245678[[#This Row],[VENTA ]]-(Tabla245678[[#This Row],[MONTO DE COMPRA]]+Tabla245678[[#This Row],[DIFERENCIA IVA ]]))</f>
        <v>509000</v>
      </c>
    </row>
    <row r="261" spans="1:20" ht="30" x14ac:dyDescent="0.25">
      <c r="A261" s="56">
        <v>44833</v>
      </c>
      <c r="B261" s="4" t="s">
        <v>3290</v>
      </c>
      <c r="C261" s="4" t="s">
        <v>3287</v>
      </c>
      <c r="D261" s="4" t="s">
        <v>3288</v>
      </c>
      <c r="E261" s="1" t="s">
        <v>311</v>
      </c>
      <c r="F261" s="1" t="s">
        <v>2446</v>
      </c>
      <c r="G261" s="134" t="s">
        <v>3289</v>
      </c>
      <c r="H261" s="148">
        <v>180000</v>
      </c>
      <c r="I261" s="2">
        <f>Tabla245678[[#This Row],[TOTAL FACTURA]]*0.7</f>
        <v>125999.99999999999</v>
      </c>
      <c r="J261" s="146">
        <f t="shared" ref="J261:J262" si="23">H261-I261</f>
        <v>54000.000000000015</v>
      </c>
      <c r="K261" s="10" t="s">
        <v>3291</v>
      </c>
      <c r="L261" s="11">
        <f>300000+65000+100000+120000+25000+8000</f>
        <v>618000</v>
      </c>
      <c r="M261" s="11">
        <f>Tabla245678[[#This Row],[MONTO DE COMPRA]]/1.19</f>
        <v>519327.731092437</v>
      </c>
      <c r="N261" s="11">
        <f>Tabla245678[[#This Row],[Columna1]]*19%</f>
        <v>98672.268907563033</v>
      </c>
      <c r="O261" s="11">
        <v>835000</v>
      </c>
      <c r="P261" s="11">
        <f>Tabla245678[[#This Row],[VENTA ]]/1.19</f>
        <v>701680.67226890754</v>
      </c>
      <c r="Q261" s="11">
        <f>Tabla245678[[#This Row],[Columna2]]*19%</f>
        <v>133319.32773109243</v>
      </c>
      <c r="R261" s="11">
        <f>Tabla245678[[#This Row],[IVA VENTA ]]-Tabla245678[[#This Row],[IV COMPRA]]</f>
        <v>34647.058823529398</v>
      </c>
      <c r="S261" s="11">
        <f>(Tabla245678[[#This Row],[VENTA ]]-(Tabla245678[[#This Row],[MONTO DE COMPRA]]+Tabla245678[[#This Row],[DIFERENCIA IVA ]]))</f>
        <v>182352.9411764706</v>
      </c>
    </row>
    <row r="262" spans="1:20" ht="35.25" customHeight="1" x14ac:dyDescent="0.25">
      <c r="A262" s="56">
        <v>44833</v>
      </c>
      <c r="B262" s="4" t="s">
        <v>3292</v>
      </c>
      <c r="C262" s="4" t="s">
        <v>1278</v>
      </c>
      <c r="D262" s="4" t="s">
        <v>3293</v>
      </c>
      <c r="E262" s="1" t="s">
        <v>28</v>
      </c>
      <c r="F262" s="1" t="s">
        <v>2446</v>
      </c>
      <c r="G262" s="134" t="s">
        <v>3294</v>
      </c>
      <c r="H262" s="148">
        <v>420000</v>
      </c>
      <c r="I262" s="2">
        <f>Tabla245678[[#This Row],[TOTAL FACTURA]]*0.7</f>
        <v>294000</v>
      </c>
      <c r="J262" s="146">
        <f t="shared" si="23"/>
        <v>126000</v>
      </c>
      <c r="K262" s="10" t="s">
        <v>3295</v>
      </c>
      <c r="L262" s="11">
        <f>193.615+41423.9+280263+16000+40000+600+120000+16000+90000+6000</f>
        <v>610480.51500000001</v>
      </c>
      <c r="M262" s="11">
        <f>Tabla245678[[#This Row],[MONTO DE COMPRA]]/1.19</f>
        <v>513008.83613445383</v>
      </c>
      <c r="N262" s="11">
        <f>Tabla245678[[#This Row],[Columna1]]*19%</f>
        <v>97471.67886554623</v>
      </c>
      <c r="O262" s="11">
        <v>1101500</v>
      </c>
      <c r="P262" s="11">
        <f>Tabla245678[[#This Row],[VENTA ]]/1.19</f>
        <v>925630.25210084033</v>
      </c>
      <c r="Q262" s="11">
        <f>Tabla245678[[#This Row],[Columna2]]*19%</f>
        <v>175869.74789915967</v>
      </c>
      <c r="R262" s="11">
        <f>Tabla245678[[#This Row],[IVA VENTA ]]-Tabla245678[[#This Row],[IV COMPRA]]</f>
        <v>78398.069033613443</v>
      </c>
      <c r="S262" s="11">
        <f>(Tabla245678[[#This Row],[VENTA ]]-(Tabla245678[[#This Row],[MONTO DE COMPRA]]+Tabla245678[[#This Row],[DIFERENCIA IVA ]]))</f>
        <v>412621.41596638656</v>
      </c>
    </row>
    <row r="263" spans="1:20" ht="90" x14ac:dyDescent="0.25">
      <c r="A263" s="56">
        <v>44834</v>
      </c>
      <c r="B263" s="4" t="s">
        <v>3316</v>
      </c>
      <c r="C263" s="4" t="s">
        <v>3296</v>
      </c>
      <c r="D263" s="4" t="s">
        <v>3297</v>
      </c>
      <c r="E263" s="1" t="s">
        <v>385</v>
      </c>
      <c r="F263" s="1" t="s">
        <v>2446</v>
      </c>
      <c r="G263" s="134" t="s">
        <v>3298</v>
      </c>
      <c r="H263" s="148">
        <v>450000</v>
      </c>
      <c r="I263" s="2">
        <f>Tabla245678[[#This Row],[TOTAL FACTURA]]*0.7</f>
        <v>315000</v>
      </c>
      <c r="J263" s="146">
        <f>H263-I263</f>
        <v>135000</v>
      </c>
      <c r="K263" s="10" t="s">
        <v>3319</v>
      </c>
      <c r="L263" s="11">
        <f>650000+200000+1600+20000+180000</f>
        <v>1051600</v>
      </c>
      <c r="M263" s="11">
        <f>Tabla245678[[#This Row],[MONTO DE COMPRA]]/1.19</f>
        <v>883697.47899159673</v>
      </c>
      <c r="N263" s="11">
        <f>Tabla245678[[#This Row],[Columna1]]*19%</f>
        <v>167902.52100840339</v>
      </c>
      <c r="O263" s="11">
        <v>1426700</v>
      </c>
      <c r="P263" s="11">
        <f>Tabla245678[[#This Row],[VENTA ]]/1.19</f>
        <v>1198907.5630252101</v>
      </c>
      <c r="Q263" s="11">
        <f>Tabla245678[[#This Row],[Columna2]]*19%</f>
        <v>227792.43697478992</v>
      </c>
      <c r="R263" s="11">
        <f>Tabla245678[[#This Row],[IVA VENTA ]]-Tabla245678[[#This Row],[IV COMPRA]]</f>
        <v>59889.915966386528</v>
      </c>
      <c r="S263" s="11">
        <f>(Tabla245678[[#This Row],[VENTA ]]-(Tabla245678[[#This Row],[MONTO DE COMPRA]]+Tabla245678[[#This Row],[DIFERENCIA IVA ]]))</f>
        <v>315210.08403361356</v>
      </c>
    </row>
    <row r="264" spans="1:20" ht="60" x14ac:dyDescent="0.25">
      <c r="A264" s="56">
        <v>44834</v>
      </c>
      <c r="B264" s="4" t="s">
        <v>3317</v>
      </c>
      <c r="C264" s="4" t="s">
        <v>3299</v>
      </c>
      <c r="D264" s="4" t="s">
        <v>3300</v>
      </c>
      <c r="E264" s="1" t="s">
        <v>975</v>
      </c>
      <c r="F264" s="1" t="s">
        <v>2446</v>
      </c>
      <c r="G264" s="134" t="s">
        <v>3301</v>
      </c>
      <c r="H264" s="148">
        <v>320000</v>
      </c>
      <c r="I264" s="2">
        <f>Tabla245678[[#This Row],[TOTAL FACTURA]]*0.7</f>
        <v>224000</v>
      </c>
      <c r="J264" s="146">
        <f t="shared" si="17"/>
        <v>96000</v>
      </c>
      <c r="K264" s="10" t="s">
        <v>3302</v>
      </c>
      <c r="L264" s="11">
        <f>150000+430000+44000+110000</f>
        <v>734000</v>
      </c>
      <c r="M264" s="11">
        <f>Tabla245678[[#This Row],[MONTO DE COMPRA]]/1.19</f>
        <v>616806.72268907563</v>
      </c>
      <c r="N264" s="11">
        <f>Tabla245678[[#This Row],[Columna1]]*19%</f>
        <v>117193.27731092437</v>
      </c>
      <c r="O264" s="11">
        <v>966000</v>
      </c>
      <c r="P264" s="11">
        <f>Tabla245678[[#This Row],[VENTA ]]/1.19</f>
        <v>811764.70588235301</v>
      </c>
      <c r="Q264" s="11">
        <f>Tabla245678[[#This Row],[Columna2]]*19%</f>
        <v>154235.29411764708</v>
      </c>
      <c r="R264" s="11">
        <f>Tabla245678[[#This Row],[IVA VENTA ]]-Tabla245678[[#This Row],[IV COMPRA]]</f>
        <v>37042.016806722706</v>
      </c>
      <c r="S264" s="11">
        <f>(Tabla245678[[#This Row],[VENTA ]]-(Tabla245678[[#This Row],[MONTO DE COMPRA]]+Tabla245678[[#This Row],[DIFERENCIA IVA ]]))</f>
        <v>194957.98319327726</v>
      </c>
    </row>
    <row r="265" spans="1:20" x14ac:dyDescent="0.25">
      <c r="A265" s="56">
        <v>44834</v>
      </c>
      <c r="C265" s="4" t="s">
        <v>3305</v>
      </c>
      <c r="D265" s="4"/>
      <c r="F265" s="1" t="s">
        <v>34</v>
      </c>
      <c r="G265" s="134" t="s">
        <v>341</v>
      </c>
      <c r="H265" s="148">
        <v>10000</v>
      </c>
      <c r="J265" s="146">
        <f t="shared" ref="J265:J266" si="24">H265-I265</f>
        <v>10000</v>
      </c>
      <c r="K265" s="10"/>
      <c r="L265" s="11"/>
      <c r="M265" s="11">
        <f>Tabla245678[[#This Row],[MONTO DE COMPRA]]/1.19</f>
        <v>0</v>
      </c>
      <c r="N265" s="11">
        <f>Tabla245678[[#This Row],[Columna1]]*19%</f>
        <v>0</v>
      </c>
      <c r="O265" s="11"/>
      <c r="P265" s="11">
        <f>Tabla245678[[#This Row],[VENTA ]]/1.19</f>
        <v>0</v>
      </c>
      <c r="Q265" s="11">
        <f>Tabla245678[[#This Row],[Columna2]]*19%</f>
        <v>0</v>
      </c>
      <c r="R265" s="11">
        <f>Tabla245678[[#This Row],[IVA VENTA ]]-Tabla245678[[#This Row],[IV COMPRA]]</f>
        <v>0</v>
      </c>
      <c r="S265" s="11">
        <f>(Tabla245678[[#This Row],[VENTA ]]-(Tabla245678[[#This Row],[MONTO DE COMPRA]]+Tabla245678[[#This Row],[DIFERENCIA IVA ]]))</f>
        <v>0</v>
      </c>
    </row>
    <row r="266" spans="1:20" x14ac:dyDescent="0.25">
      <c r="A266" s="56">
        <v>44834</v>
      </c>
      <c r="C266" s="4" t="s">
        <v>3313</v>
      </c>
      <c r="D266" s="4" t="s">
        <v>3314</v>
      </c>
      <c r="E266" s="1" t="s">
        <v>59</v>
      </c>
      <c r="F266" s="1" t="s">
        <v>16</v>
      </c>
      <c r="G266" s="144" t="s">
        <v>3315</v>
      </c>
      <c r="H266" s="148">
        <v>30000</v>
      </c>
      <c r="I266" s="15">
        <v>20000</v>
      </c>
      <c r="J266" s="146">
        <f t="shared" si="24"/>
        <v>10000</v>
      </c>
      <c r="K266" s="10"/>
      <c r="L266" s="11"/>
      <c r="M266" s="11">
        <f>Tabla245678[[#This Row],[MONTO DE COMPRA]]/1.19</f>
        <v>0</v>
      </c>
      <c r="N266" s="11">
        <f>Tabla245678[[#This Row],[Columna1]]*19%</f>
        <v>0</v>
      </c>
      <c r="O266" s="11"/>
      <c r="P266" s="11">
        <f>Tabla245678[[#This Row],[VENTA ]]/1.19</f>
        <v>0</v>
      </c>
      <c r="Q266" s="11">
        <f>Tabla245678[[#This Row],[Columna2]]*19%</f>
        <v>0</v>
      </c>
      <c r="R266" s="11">
        <f>Tabla245678[[#This Row],[IVA VENTA ]]-Tabla245678[[#This Row],[IV COMPRA]]</f>
        <v>0</v>
      </c>
      <c r="S266" s="11">
        <f>(Tabla245678[[#This Row],[VENTA ]]-(Tabla245678[[#This Row],[MONTO DE COMPRA]]+Tabla245678[[#This Row],[DIFERENCIA IVA ]]))</f>
        <v>0</v>
      </c>
    </row>
    <row r="267" spans="1:20" x14ac:dyDescent="0.25">
      <c r="F267" s="1"/>
      <c r="H267" s="11"/>
      <c r="I267" s="11"/>
      <c r="J267" s="1"/>
      <c r="T267" s="11"/>
    </row>
    <row r="268" spans="1:20" x14ac:dyDescent="0.25">
      <c r="L268" s="163">
        <f>840000+480000+360000+20000+15000</f>
        <v>1715000</v>
      </c>
      <c r="O268" s="163">
        <v>2224000</v>
      </c>
    </row>
  </sheetData>
  <phoneticPr fontId="21" type="noConversion"/>
  <pageMargins left="0.70866141732283472" right="0.70866141732283472" top="0.74803149606299213" bottom="0.74803149606299213" header="0.31496062992125984" footer="0.31496062992125984"/>
  <pageSetup paperSize="9" scale="55" orientation="landscape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66B1E45-A81C-49BA-AE4A-A78D1C255D6F}">
          <x14:formula1>
            <xm:f>DETALLES!$A$1:$A$2</xm:f>
          </x14:formula1>
          <xm:sqref>T2</xm:sqref>
        </x14:dataValidation>
        <x14:dataValidation type="list" allowBlank="1" showInputMessage="1" showErrorMessage="1" xr:uid="{1C59B101-5E21-4A1F-BC5F-EBF4CB4F0F11}">
          <x14:formula1>
            <xm:f>AREA!$A$2:$A$12</xm:f>
          </x14:formula1>
          <xm:sqref>F145 F148:F149 F92:F141 F151:F202 F143 F3:F90 F204:F264 D268:D1048576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CDC6-3A93-4501-A6C1-472D18A5F873}">
  <sheetPr>
    <tabColor rgb="FFFF0000"/>
  </sheetPr>
  <dimension ref="A1:U427"/>
  <sheetViews>
    <sheetView topLeftCell="A409" zoomScale="93" zoomScaleNormal="93" workbookViewId="0">
      <selection activeCell="H422" sqref="H422:H424"/>
    </sheetView>
  </sheetViews>
  <sheetFormatPr baseColWidth="10" defaultRowHeight="15" x14ac:dyDescent="0.25"/>
  <cols>
    <col min="1" max="1" width="11.140625" style="9" customWidth="1"/>
    <col min="2" max="2" width="22.140625" style="4" hidden="1" customWidth="1"/>
    <col min="3" max="3" width="20" style="1" customWidth="1"/>
    <col min="4" max="4" width="15.7109375" style="1" customWidth="1"/>
    <col min="5" max="5" width="19.85546875" style="1" customWidth="1"/>
    <col min="6" max="6" width="37.5703125" customWidth="1"/>
    <col min="7" max="7" width="33.42578125" style="1" customWidth="1"/>
    <col min="8" max="8" width="25" style="148" customWidth="1"/>
    <col min="9" max="9" width="17" style="15" customWidth="1"/>
    <col min="10" max="10" width="15.7109375" style="15" customWidth="1"/>
    <col min="11" max="11" width="71.5703125" style="1" customWidth="1"/>
    <col min="12" max="12" width="21.5703125" style="1" customWidth="1"/>
    <col min="13" max="13" width="15.42578125" style="1" customWidth="1"/>
    <col min="14" max="15" width="23.7109375" style="1" customWidth="1"/>
    <col min="16" max="16" width="18.140625" style="1" customWidth="1"/>
    <col min="17" max="17" width="23.7109375" style="1" customWidth="1"/>
    <col min="18" max="19" width="22.5703125" style="1" customWidth="1"/>
    <col min="20" max="20" width="15.7109375" style="1" customWidth="1"/>
    <col min="21" max="21" width="25.140625" style="15" customWidth="1"/>
    <col min="22" max="16384" width="11.42578125" style="1"/>
  </cols>
  <sheetData>
    <row r="1" spans="1:21" ht="30" x14ac:dyDescent="0.25">
      <c r="A1" s="9" t="s">
        <v>0</v>
      </c>
      <c r="B1" s="135" t="s">
        <v>1</v>
      </c>
      <c r="C1" s="4" t="s">
        <v>597</v>
      </c>
      <c r="D1" s="1" t="s">
        <v>3</v>
      </c>
      <c r="E1" s="1" t="s">
        <v>2</v>
      </c>
      <c r="F1" s="1" t="s">
        <v>15</v>
      </c>
      <c r="G1" s="10" t="s">
        <v>4</v>
      </c>
      <c r="H1" s="15" t="s">
        <v>5</v>
      </c>
      <c r="I1" s="148" t="s">
        <v>6</v>
      </c>
      <c r="J1" s="148" t="s">
        <v>130</v>
      </c>
      <c r="K1" s="1" t="s">
        <v>7</v>
      </c>
      <c r="L1" s="10" t="s">
        <v>8</v>
      </c>
      <c r="M1" s="1" t="s">
        <v>2065</v>
      </c>
      <c r="N1" s="1" t="s">
        <v>2432</v>
      </c>
      <c r="O1" s="1" t="s">
        <v>2433</v>
      </c>
      <c r="P1" s="1" t="s">
        <v>2474</v>
      </c>
      <c r="Q1" s="1" t="s">
        <v>2434</v>
      </c>
      <c r="R1" s="1" t="s">
        <v>2431</v>
      </c>
      <c r="S1" s="148" t="s">
        <v>2435</v>
      </c>
      <c r="T1" s="1" t="s">
        <v>24</v>
      </c>
      <c r="U1" s="1"/>
    </row>
    <row r="2" spans="1:21" x14ac:dyDescent="0.25">
      <c r="A2" s="56">
        <v>44835</v>
      </c>
      <c r="C2" s="4"/>
      <c r="D2" s="4" t="s">
        <v>3103</v>
      </c>
      <c r="E2" s="1" t="s">
        <v>59</v>
      </c>
      <c r="F2" s="1" t="s">
        <v>2446</v>
      </c>
      <c r="G2" s="154" t="s">
        <v>341</v>
      </c>
      <c r="H2" s="15">
        <v>10000</v>
      </c>
      <c r="I2" s="15">
        <f>Tabla2456789[[#This Row],[TOTAL FACTURA]]*0.7</f>
        <v>7000</v>
      </c>
      <c r="J2" s="149">
        <f t="shared" ref="J2:J64" si="0">H2-I2</f>
        <v>3000</v>
      </c>
      <c r="K2" s="10"/>
      <c r="L2" s="11"/>
      <c r="M2" s="11">
        <f>Tabla2456789[[#This Row],[MONTO DE COMPRA]]/1.19</f>
        <v>0</v>
      </c>
      <c r="N2" s="11">
        <f>Tabla2456789[[#This Row],[Columna1]]*19%</f>
        <v>0</v>
      </c>
      <c r="O2" s="11"/>
      <c r="P2" s="11">
        <f>Tabla2456789[[#This Row],[VENTA ]]/1.19</f>
        <v>0</v>
      </c>
      <c r="Q2" s="11">
        <f>Tabla2456789[[#This Row],[Columna2]]*19%</f>
        <v>0</v>
      </c>
      <c r="R2" s="11">
        <f>Tabla2456789[[#This Row],[IVA VENTA ]]-Tabla2456789[[#This Row],[IV COMPRA]]</f>
        <v>0</v>
      </c>
      <c r="S2" s="11">
        <f>(Tabla2456789[[#This Row],[VENTA ]]-(Tabla2456789[[#This Row],[MONTO DE COMPRA]]+Tabla2456789[[#This Row],[DIFERENCIA IVA ]]))</f>
        <v>0</v>
      </c>
      <c r="U2" s="1"/>
    </row>
    <row r="3" spans="1:21" x14ac:dyDescent="0.25">
      <c r="A3" s="56">
        <v>44835</v>
      </c>
      <c r="C3" s="4"/>
      <c r="D3" s="4"/>
      <c r="F3" s="1" t="s">
        <v>2446</v>
      </c>
      <c r="G3" s="154" t="s">
        <v>138</v>
      </c>
      <c r="H3" s="15">
        <v>60000</v>
      </c>
      <c r="I3" s="15">
        <f>Tabla2456789[[#This Row],[TOTAL FACTURA]]*0.7</f>
        <v>42000</v>
      </c>
      <c r="J3" s="149">
        <f t="shared" si="0"/>
        <v>18000</v>
      </c>
      <c r="K3" s="10"/>
      <c r="L3" s="11"/>
      <c r="M3" s="11">
        <f>Tabla2456789[[#This Row],[MONTO DE COMPRA]]/1.19</f>
        <v>0</v>
      </c>
      <c r="N3" s="11">
        <f>Tabla2456789[[#This Row],[Columna1]]*19%</f>
        <v>0</v>
      </c>
      <c r="O3" s="11"/>
      <c r="P3" s="11">
        <f>Tabla2456789[[#This Row],[VENTA ]]/1.19</f>
        <v>0</v>
      </c>
      <c r="Q3" s="11">
        <f>Tabla2456789[[#This Row],[Columna2]]*19%</f>
        <v>0</v>
      </c>
      <c r="R3" s="11">
        <f>Tabla2456789[[#This Row],[IVA VENTA ]]-Tabla2456789[[#This Row],[IV COMPRA]]</f>
        <v>0</v>
      </c>
      <c r="S3" s="11">
        <f>(Tabla2456789[[#This Row],[VENTA ]]-(Tabla2456789[[#This Row],[MONTO DE COMPRA]]+Tabla2456789[[#This Row],[DIFERENCIA IVA ]]))</f>
        <v>0</v>
      </c>
      <c r="T3" s="15"/>
      <c r="U3" s="1"/>
    </row>
    <row r="4" spans="1:21" x14ac:dyDescent="0.25">
      <c r="A4" s="56">
        <v>44835</v>
      </c>
      <c r="B4" s="4" t="s">
        <v>3307</v>
      </c>
      <c r="C4" s="4" t="s">
        <v>3308</v>
      </c>
      <c r="D4" s="4" t="s">
        <v>3306</v>
      </c>
      <c r="E4" s="1" t="s">
        <v>704</v>
      </c>
      <c r="F4" s="1" t="s">
        <v>2446</v>
      </c>
      <c r="G4" s="154" t="s">
        <v>20</v>
      </c>
      <c r="H4" s="15">
        <v>30000</v>
      </c>
      <c r="I4" s="15">
        <f>Tabla2456789[[#This Row],[TOTAL FACTURA]]*0.7</f>
        <v>21000</v>
      </c>
      <c r="J4" s="149">
        <f t="shared" si="0"/>
        <v>9000</v>
      </c>
      <c r="K4" s="10" t="s">
        <v>71</v>
      </c>
      <c r="L4" s="11">
        <v>140000</v>
      </c>
      <c r="M4" s="11">
        <f>Tabla2456789[[#This Row],[MONTO DE COMPRA]]/1.19</f>
        <v>117647.05882352941</v>
      </c>
      <c r="N4" s="11">
        <f>Tabla2456789[[#This Row],[Columna1]]*19%</f>
        <v>22352.941176470587</v>
      </c>
      <c r="O4" s="11">
        <v>195000</v>
      </c>
      <c r="P4" s="11">
        <f>Tabla2456789[[#This Row],[VENTA ]]/1.19</f>
        <v>163865.5462184874</v>
      </c>
      <c r="Q4" s="11">
        <f>Tabla2456789[[#This Row],[Columna2]]*19%</f>
        <v>31134.453781512606</v>
      </c>
      <c r="R4" s="11">
        <f>Tabla2456789[[#This Row],[IVA VENTA ]]-Tabla2456789[[#This Row],[IV COMPRA]]</f>
        <v>8781.5126050420185</v>
      </c>
      <c r="S4" s="11">
        <f>(Tabla2456789[[#This Row],[VENTA ]]-(Tabla2456789[[#This Row],[MONTO DE COMPRA]]+Tabla2456789[[#This Row],[DIFERENCIA IVA ]]))</f>
        <v>46218.487394957978</v>
      </c>
      <c r="T4" s="15"/>
      <c r="U4" s="1"/>
    </row>
    <row r="5" spans="1:21" x14ac:dyDescent="0.25">
      <c r="A5" s="56">
        <v>44835</v>
      </c>
      <c r="B5" s="4" t="s">
        <v>3309</v>
      </c>
      <c r="C5" s="4" t="s">
        <v>3310</v>
      </c>
      <c r="D5" s="4" t="s">
        <v>3311</v>
      </c>
      <c r="E5" s="4" t="s">
        <v>3312</v>
      </c>
      <c r="F5" s="1" t="s">
        <v>2446</v>
      </c>
      <c r="G5" s="154" t="s">
        <v>2598</v>
      </c>
      <c r="H5" s="15">
        <v>30000</v>
      </c>
      <c r="I5" s="15">
        <f>Tabla2456789[[#This Row],[TOTAL FACTURA]]*0.7</f>
        <v>21000</v>
      </c>
      <c r="J5" s="149">
        <f t="shared" si="0"/>
        <v>9000</v>
      </c>
      <c r="K5" s="10" t="s">
        <v>1307</v>
      </c>
      <c r="L5" s="11">
        <v>92000</v>
      </c>
      <c r="M5" s="11">
        <f>Tabla2456789[[#This Row],[MONTO DE COMPRA]]/1.19</f>
        <v>77310.924369747896</v>
      </c>
      <c r="N5" s="11">
        <f>Tabla2456789[[#This Row],[Columna1]]*19%</f>
        <v>14689.0756302521</v>
      </c>
      <c r="O5" s="11">
        <v>125000</v>
      </c>
      <c r="P5" s="11">
        <f>Tabla2456789[[#This Row],[VENTA ]]/1.19</f>
        <v>105042.01680672269</v>
      </c>
      <c r="Q5" s="11">
        <f>Tabla2456789[[#This Row],[Columna2]]*19%</f>
        <v>19957.983193277312</v>
      </c>
      <c r="R5" s="11">
        <f>Tabla2456789[[#This Row],[IVA VENTA ]]-Tabla2456789[[#This Row],[IV COMPRA]]</f>
        <v>5268.9075630252119</v>
      </c>
      <c r="S5" s="11">
        <f>(Tabla2456789[[#This Row],[VENTA ]]-(Tabla2456789[[#This Row],[MONTO DE COMPRA]]+Tabla2456789[[#This Row],[DIFERENCIA IVA ]]))</f>
        <v>27731.092436974781</v>
      </c>
      <c r="T5" s="15"/>
      <c r="U5" s="1"/>
    </row>
    <row r="6" spans="1:21" x14ac:dyDescent="0.25">
      <c r="A6" s="56">
        <v>44835</v>
      </c>
      <c r="B6" s="4" t="s">
        <v>3317</v>
      </c>
      <c r="C6" s="4" t="s">
        <v>3296</v>
      </c>
      <c r="D6" s="4" t="s">
        <v>3297</v>
      </c>
      <c r="E6" s="1" t="s">
        <v>385</v>
      </c>
      <c r="F6" s="1" t="s">
        <v>2446</v>
      </c>
      <c r="G6" s="154" t="s">
        <v>3318</v>
      </c>
      <c r="H6" s="15">
        <v>100000</v>
      </c>
      <c r="I6" s="15">
        <f>Tabla2456789[[#This Row],[TOTAL FACTURA]]*0.7</f>
        <v>70000</v>
      </c>
      <c r="J6" s="149">
        <f t="shared" si="0"/>
        <v>30000</v>
      </c>
      <c r="K6" s="10"/>
      <c r="L6" s="11"/>
      <c r="M6" s="11">
        <f>Tabla2456789[[#This Row],[MONTO DE COMPRA]]/1.19</f>
        <v>0</v>
      </c>
      <c r="N6" s="11">
        <f>Tabla2456789[[#This Row],[Columna1]]*19%</f>
        <v>0</v>
      </c>
      <c r="O6" s="11"/>
      <c r="P6" s="11">
        <f>Tabla2456789[[#This Row],[VENTA ]]/1.19</f>
        <v>0</v>
      </c>
      <c r="Q6" s="11">
        <f>Tabla2456789[[#This Row],[Columna2]]*19%</f>
        <v>0</v>
      </c>
      <c r="R6" s="11">
        <f>Tabla2456789[[#This Row],[IVA VENTA ]]-Tabla2456789[[#This Row],[IV COMPRA]]</f>
        <v>0</v>
      </c>
      <c r="S6" s="11">
        <f>(Tabla2456789[[#This Row],[VENTA ]]-(Tabla2456789[[#This Row],[MONTO DE COMPRA]]+Tabla2456789[[#This Row],[DIFERENCIA IVA ]]))</f>
        <v>0</v>
      </c>
      <c r="T6" s="15"/>
      <c r="U6" s="1"/>
    </row>
    <row r="7" spans="1:21" x14ac:dyDescent="0.25">
      <c r="A7" s="56">
        <v>44837</v>
      </c>
      <c r="C7" s="4"/>
      <c r="D7" s="4" t="s">
        <v>3326</v>
      </c>
      <c r="E7" s="1" t="s">
        <v>3046</v>
      </c>
      <c r="F7" s="1" t="s">
        <v>2446</v>
      </c>
      <c r="G7" s="154" t="s">
        <v>341</v>
      </c>
      <c r="H7" s="15">
        <v>10000</v>
      </c>
      <c r="I7" s="15">
        <f>Tabla2456789[[#This Row],[TOTAL FACTURA]]*0.7</f>
        <v>7000</v>
      </c>
      <c r="J7" s="149">
        <f t="shared" si="0"/>
        <v>3000</v>
      </c>
      <c r="K7" s="10"/>
      <c r="L7" s="11"/>
      <c r="M7" s="11">
        <f>Tabla2456789[[#This Row],[MONTO DE COMPRA]]/1.19</f>
        <v>0</v>
      </c>
      <c r="N7" s="11">
        <f>Tabla2456789[[#This Row],[Columna1]]*19%</f>
        <v>0</v>
      </c>
      <c r="O7" s="11"/>
      <c r="P7" s="11">
        <f>Tabla2456789[[#This Row],[VENTA ]]/1.19</f>
        <v>0</v>
      </c>
      <c r="Q7" s="11">
        <f>Tabla2456789[[#This Row],[Columna2]]*19%</f>
        <v>0</v>
      </c>
      <c r="R7" s="11">
        <f>Tabla2456789[[#This Row],[IVA VENTA ]]-Tabla2456789[[#This Row],[IV COMPRA]]</f>
        <v>0</v>
      </c>
      <c r="S7" s="11">
        <f>(Tabla2456789[[#This Row],[VENTA ]]-(Tabla2456789[[#This Row],[MONTO DE COMPRA]]+Tabla2456789[[#This Row],[DIFERENCIA IVA ]]))</f>
        <v>0</v>
      </c>
      <c r="T7" s="15"/>
      <c r="U7" s="1"/>
    </row>
    <row r="8" spans="1:21" x14ac:dyDescent="0.25">
      <c r="A8" s="56">
        <v>44837</v>
      </c>
      <c r="B8" s="4" t="s">
        <v>3327</v>
      </c>
      <c r="C8" s="4" t="s">
        <v>3328</v>
      </c>
      <c r="D8" s="4" t="s">
        <v>3205</v>
      </c>
      <c r="E8" s="1" t="s">
        <v>240</v>
      </c>
      <c r="F8" s="1" t="s">
        <v>2446</v>
      </c>
      <c r="G8" s="154" t="s">
        <v>3329</v>
      </c>
      <c r="H8" s="15">
        <v>50000</v>
      </c>
      <c r="I8" s="15">
        <f>Tabla2456789[[#This Row],[TOTAL FACTURA]]*0.7</f>
        <v>35000</v>
      </c>
      <c r="J8" s="149">
        <f t="shared" si="0"/>
        <v>15000</v>
      </c>
      <c r="K8" s="10" t="s">
        <v>3330</v>
      </c>
      <c r="L8" s="11">
        <f>14000+9600</f>
        <v>23600</v>
      </c>
      <c r="M8" s="11">
        <f>Tabla2456789[[#This Row],[MONTO DE COMPRA]]/1.19</f>
        <v>19831.932773109245</v>
      </c>
      <c r="N8" s="11">
        <f>Tabla2456789[[#This Row],[Columna1]]*19%</f>
        <v>3768.0672268907565</v>
      </c>
      <c r="O8" s="11">
        <v>46000</v>
      </c>
      <c r="P8" s="11">
        <f>Tabla2456789[[#This Row],[VENTA ]]/1.19</f>
        <v>38655.462184873948</v>
      </c>
      <c r="Q8" s="11">
        <f>Tabla2456789[[#This Row],[Columna2]]*19%</f>
        <v>7344.5378151260502</v>
      </c>
      <c r="R8" s="11">
        <f>Tabla2456789[[#This Row],[IVA VENTA ]]-Tabla2456789[[#This Row],[IV COMPRA]]</f>
        <v>3576.4705882352937</v>
      </c>
      <c r="S8" s="11">
        <f>(Tabla2456789[[#This Row],[VENTA ]]-(Tabla2456789[[#This Row],[MONTO DE COMPRA]]+Tabla2456789[[#This Row],[DIFERENCIA IVA ]]))</f>
        <v>18823.529411764706</v>
      </c>
      <c r="T8" s="15"/>
      <c r="U8" s="1"/>
    </row>
    <row r="9" spans="1:21" x14ac:dyDescent="0.25">
      <c r="A9" s="56">
        <v>44837</v>
      </c>
      <c r="B9" s="4" t="s">
        <v>3331</v>
      </c>
      <c r="C9" s="4" t="s">
        <v>1399</v>
      </c>
      <c r="D9" s="4" t="s">
        <v>963</v>
      </c>
      <c r="E9" s="1" t="s">
        <v>962</v>
      </c>
      <c r="F9" s="1" t="s">
        <v>2446</v>
      </c>
      <c r="G9" s="154" t="s">
        <v>2619</v>
      </c>
      <c r="H9" s="15">
        <v>50000</v>
      </c>
      <c r="I9" s="15">
        <f>Tabla2456789[[#This Row],[TOTAL FACTURA]]*0.7</f>
        <v>35000</v>
      </c>
      <c r="J9" s="149">
        <f t="shared" si="0"/>
        <v>15000</v>
      </c>
      <c r="K9" s="10" t="s">
        <v>3332</v>
      </c>
      <c r="L9" s="11">
        <f>165000*2</f>
        <v>330000</v>
      </c>
      <c r="M9" s="11"/>
      <c r="N9" s="11">
        <f>Tabla2456789[[#This Row],[Columna1]]*19%</f>
        <v>0</v>
      </c>
      <c r="O9" s="11">
        <v>430000</v>
      </c>
      <c r="P9" s="11">
        <f>Tabla2456789[[#This Row],[VENTA ]]/1.19</f>
        <v>361344.53781512607</v>
      </c>
      <c r="Q9" s="11">
        <f>Tabla2456789[[#This Row],[Columna2]]*19%</f>
        <v>68655.462184873948</v>
      </c>
      <c r="R9" s="11">
        <f>Tabla2456789[[#This Row],[IVA VENTA ]]-Tabla2456789[[#This Row],[IV COMPRA]]</f>
        <v>68655.462184873948</v>
      </c>
      <c r="S9" s="11">
        <f>(Tabla2456789[[#This Row],[VENTA ]]-(Tabla2456789[[#This Row],[MONTO DE COMPRA]]+Tabla2456789[[#This Row],[DIFERENCIA IVA ]]))</f>
        <v>31344.537815126067</v>
      </c>
      <c r="T9" s="15"/>
      <c r="U9" s="1"/>
    </row>
    <row r="10" spans="1:21" x14ac:dyDescent="0.25">
      <c r="A10" s="56">
        <v>44838</v>
      </c>
      <c r="B10" s="4" t="s">
        <v>3333</v>
      </c>
      <c r="C10" s="4" t="s">
        <v>3334</v>
      </c>
      <c r="D10" s="4" t="s">
        <v>3335</v>
      </c>
      <c r="E10" s="1" t="s">
        <v>122</v>
      </c>
      <c r="F10" s="1" t="s">
        <v>2446</v>
      </c>
      <c r="G10" s="154" t="s">
        <v>3211</v>
      </c>
      <c r="H10" s="15">
        <v>50000</v>
      </c>
      <c r="I10" s="15">
        <f>Tabla2456789[[#This Row],[TOTAL FACTURA]]*0.7</f>
        <v>35000</v>
      </c>
      <c r="J10" s="149">
        <f t="shared" si="0"/>
        <v>15000</v>
      </c>
      <c r="K10" s="10" t="s">
        <v>3336</v>
      </c>
      <c r="L10" s="11">
        <v>90000</v>
      </c>
      <c r="M10" s="11">
        <f>Tabla2456789[[#This Row],[MONTO DE COMPRA]]/1.19</f>
        <v>75630.252100840342</v>
      </c>
      <c r="N10" s="11">
        <f>Tabla2456789[[#This Row],[Columna1]]*19%</f>
        <v>14369.747899159665</v>
      </c>
      <c r="O10" s="11">
        <v>115000</v>
      </c>
      <c r="P10" s="11">
        <f>Tabla2456789[[#This Row],[VENTA ]]/1.19</f>
        <v>96638.655462184877</v>
      </c>
      <c r="Q10" s="11">
        <f>Tabla2456789[[#This Row],[Columna2]]*19%</f>
        <v>18361.344537815126</v>
      </c>
      <c r="R10" s="11">
        <f>Tabla2456789[[#This Row],[IVA VENTA ]]-Tabla2456789[[#This Row],[IV COMPRA]]</f>
        <v>3991.596638655461</v>
      </c>
      <c r="S10" s="11">
        <f>(Tabla2456789[[#This Row],[VENTA ]]-(Tabla2456789[[#This Row],[MONTO DE COMPRA]]+Tabla2456789[[#This Row],[DIFERENCIA IVA ]]))</f>
        <v>21008.403361344535</v>
      </c>
      <c r="T10" s="15"/>
      <c r="U10" s="1"/>
    </row>
    <row r="11" spans="1:21" x14ac:dyDescent="0.25">
      <c r="A11" s="56">
        <v>44838</v>
      </c>
      <c r="B11" s="4" t="s">
        <v>3337</v>
      </c>
      <c r="C11" s="4" t="s">
        <v>3338</v>
      </c>
      <c r="D11" s="4" t="s">
        <v>387</v>
      </c>
      <c r="E11" s="1" t="s">
        <v>688</v>
      </c>
      <c r="F11" s="1" t="s">
        <v>2446</v>
      </c>
      <c r="G11" s="154" t="s">
        <v>3339</v>
      </c>
      <c r="H11" s="15">
        <v>200000</v>
      </c>
      <c r="I11" s="15">
        <f>Tabla2456789[[#This Row],[TOTAL FACTURA]]*0.7</f>
        <v>140000</v>
      </c>
      <c r="J11" s="149">
        <f t="shared" si="0"/>
        <v>60000</v>
      </c>
      <c r="K11" s="10"/>
      <c r="L11" s="11"/>
      <c r="M11" s="11">
        <f>Tabla2456789[[#This Row],[MONTO DE COMPRA]]/1.19</f>
        <v>0</v>
      </c>
      <c r="N11" s="11">
        <f>Tabla2456789[[#This Row],[Columna1]]*19%</f>
        <v>0</v>
      </c>
      <c r="O11" s="11"/>
      <c r="P11" s="11">
        <f>Tabla2456789[[#This Row],[VENTA ]]/1.19</f>
        <v>0</v>
      </c>
      <c r="Q11" s="11">
        <f>Tabla2456789[[#This Row],[Columna2]]*19%</f>
        <v>0</v>
      </c>
      <c r="R11" s="11">
        <f>Tabla2456789[[#This Row],[IVA VENTA ]]-Tabla2456789[[#This Row],[IV COMPRA]]</f>
        <v>0</v>
      </c>
      <c r="S11" s="11">
        <f>(Tabla2456789[[#This Row],[VENTA ]]-(Tabla2456789[[#This Row],[MONTO DE COMPRA]]+Tabla2456789[[#This Row],[DIFERENCIA IVA ]]))</f>
        <v>0</v>
      </c>
      <c r="T11" s="15"/>
      <c r="U11" s="1"/>
    </row>
    <row r="12" spans="1:21" x14ac:dyDescent="0.25">
      <c r="A12" s="56">
        <v>44838</v>
      </c>
      <c r="B12" s="4" t="s">
        <v>3340</v>
      </c>
      <c r="C12" s="4" t="s">
        <v>3341</v>
      </c>
      <c r="D12" s="4" t="s">
        <v>3342</v>
      </c>
      <c r="E12" s="1" t="s">
        <v>76</v>
      </c>
      <c r="F12" s="1" t="s">
        <v>2446</v>
      </c>
      <c r="G12" s="154" t="s">
        <v>3343</v>
      </c>
      <c r="H12" s="15">
        <v>80000</v>
      </c>
      <c r="I12" s="15">
        <f>Tabla2456789[[#This Row],[TOTAL FACTURA]]*0.7</f>
        <v>56000</v>
      </c>
      <c r="J12" s="149">
        <f t="shared" si="0"/>
        <v>24000</v>
      </c>
      <c r="K12" s="10" t="s">
        <v>3344</v>
      </c>
      <c r="L12" s="11">
        <v>18000</v>
      </c>
      <c r="M12" s="11">
        <f>Tabla2456789[[#This Row],[MONTO DE COMPRA]]/1.19</f>
        <v>15126.050420168069</v>
      </c>
      <c r="N12" s="11">
        <f>Tabla2456789[[#This Row],[Columna1]]*19%</f>
        <v>2873.9495798319331</v>
      </c>
      <c r="O12" s="11">
        <v>110000</v>
      </c>
      <c r="P12" s="11">
        <f>Tabla2456789[[#This Row],[VENTA ]]/1.19</f>
        <v>92436.97478991597</v>
      </c>
      <c r="Q12" s="11">
        <f>Tabla2456789[[#This Row],[Columna2]]*19%</f>
        <v>17563.025210084033</v>
      </c>
      <c r="R12" s="11">
        <f>Tabla2456789[[#This Row],[IVA VENTA ]]-Tabla2456789[[#This Row],[IV COMPRA]]</f>
        <v>14689.0756302521</v>
      </c>
      <c r="S12" s="11">
        <f>(Tabla2456789[[#This Row],[VENTA ]]-(Tabla2456789[[#This Row],[MONTO DE COMPRA]]+Tabla2456789[[#This Row],[DIFERENCIA IVA ]]))</f>
        <v>77310.924369747896</v>
      </c>
      <c r="T12" s="15"/>
      <c r="U12" s="1"/>
    </row>
    <row r="13" spans="1:21" x14ac:dyDescent="0.25">
      <c r="A13" s="56">
        <v>44838</v>
      </c>
      <c r="B13" s="4" t="s">
        <v>3345</v>
      </c>
      <c r="C13" s="4" t="s">
        <v>3346</v>
      </c>
      <c r="D13" s="4" t="s">
        <v>2966</v>
      </c>
      <c r="E13" s="1" t="s">
        <v>2392</v>
      </c>
      <c r="F13" s="1" t="s">
        <v>2446</v>
      </c>
      <c r="G13" s="154" t="s">
        <v>3347</v>
      </c>
      <c r="H13" s="15">
        <v>30000</v>
      </c>
      <c r="I13" s="15">
        <f>Tabla2456789[[#This Row],[TOTAL FACTURA]]*0.7</f>
        <v>21000</v>
      </c>
      <c r="J13" s="149">
        <f t="shared" si="0"/>
        <v>9000</v>
      </c>
      <c r="K13" s="10"/>
      <c r="L13" s="11"/>
      <c r="M13" s="11">
        <f>Tabla2456789[[#This Row],[MONTO DE COMPRA]]/1.19</f>
        <v>0</v>
      </c>
      <c r="N13" s="11">
        <f>Tabla2456789[[#This Row],[Columna1]]*19%</f>
        <v>0</v>
      </c>
      <c r="O13" s="11"/>
      <c r="P13" s="11">
        <f>Tabla2456789[[#This Row],[VENTA ]]/1.19</f>
        <v>0</v>
      </c>
      <c r="Q13" s="11">
        <f>Tabla2456789[[#This Row],[Columna2]]*19%</f>
        <v>0</v>
      </c>
      <c r="R13" s="11">
        <f>Tabla2456789[[#This Row],[IVA VENTA ]]-Tabla2456789[[#This Row],[IV COMPRA]]</f>
        <v>0</v>
      </c>
      <c r="S13" s="11">
        <f>(Tabla2456789[[#This Row],[VENTA ]]-(Tabla2456789[[#This Row],[MONTO DE COMPRA]]+Tabla2456789[[#This Row],[DIFERENCIA IVA ]]))</f>
        <v>0</v>
      </c>
      <c r="T13" s="15"/>
      <c r="U13" s="1"/>
    </row>
    <row r="14" spans="1:21" x14ac:dyDescent="0.25">
      <c r="A14" s="56">
        <v>44838</v>
      </c>
      <c r="B14" s="4" t="s">
        <v>3345</v>
      </c>
      <c r="C14" s="4" t="s">
        <v>3346</v>
      </c>
      <c r="D14" s="4" t="s">
        <v>2966</v>
      </c>
      <c r="E14" s="1" t="s">
        <v>2392</v>
      </c>
      <c r="F14" s="1" t="s">
        <v>10</v>
      </c>
      <c r="G14" s="154" t="s">
        <v>3348</v>
      </c>
      <c r="H14" s="15">
        <v>80000</v>
      </c>
      <c r="I14" s="15">
        <f>Tabla2456789[[#This Row],[TOTAL FACTURA]]*0.7</f>
        <v>56000</v>
      </c>
      <c r="J14" s="149">
        <f t="shared" si="0"/>
        <v>24000</v>
      </c>
      <c r="K14" s="10"/>
      <c r="L14" s="11"/>
      <c r="M14" s="11">
        <f>Tabla2456789[[#This Row],[MONTO DE COMPRA]]/1.19</f>
        <v>0</v>
      </c>
      <c r="N14" s="11">
        <f>Tabla2456789[[#This Row],[Columna1]]*19%</f>
        <v>0</v>
      </c>
      <c r="O14" s="11"/>
      <c r="P14" s="11">
        <f>Tabla2456789[[#This Row],[VENTA ]]/1.19</f>
        <v>0</v>
      </c>
      <c r="Q14" s="11">
        <f>Tabla2456789[[#This Row],[Columna2]]*19%</f>
        <v>0</v>
      </c>
      <c r="R14" s="11">
        <f>Tabla2456789[[#This Row],[IVA VENTA ]]-Tabla2456789[[#This Row],[IV COMPRA]]</f>
        <v>0</v>
      </c>
      <c r="S14" s="11">
        <f>(Tabla2456789[[#This Row],[VENTA ]]-(Tabla2456789[[#This Row],[MONTO DE COMPRA]]+Tabla2456789[[#This Row],[DIFERENCIA IVA ]]))</f>
        <v>0</v>
      </c>
      <c r="T14" s="15"/>
      <c r="U14" s="1"/>
    </row>
    <row r="15" spans="1:21" x14ac:dyDescent="0.25">
      <c r="A15" s="56">
        <v>44838</v>
      </c>
      <c r="B15" s="4" t="s">
        <v>3345</v>
      </c>
      <c r="C15" s="4" t="s">
        <v>3346</v>
      </c>
      <c r="D15" s="4" t="s">
        <v>2966</v>
      </c>
      <c r="E15" s="1" t="s">
        <v>2392</v>
      </c>
      <c r="F15" s="1" t="s">
        <v>16</v>
      </c>
      <c r="G15" s="154" t="s">
        <v>3349</v>
      </c>
      <c r="H15" s="15">
        <v>70000</v>
      </c>
      <c r="I15" s="15">
        <v>70000</v>
      </c>
      <c r="J15" s="15" t="s">
        <v>655</v>
      </c>
      <c r="K15" s="10"/>
      <c r="L15" s="11"/>
      <c r="M15" s="11">
        <f>Tabla2456789[[#This Row],[MONTO DE COMPRA]]/1.19</f>
        <v>0</v>
      </c>
      <c r="N15" s="11">
        <f>Tabla2456789[[#This Row],[Columna1]]*19%</f>
        <v>0</v>
      </c>
      <c r="O15" s="11"/>
      <c r="P15" s="11">
        <f>Tabla2456789[[#This Row],[VENTA ]]/1.19</f>
        <v>0</v>
      </c>
      <c r="Q15" s="11">
        <f>Tabla2456789[[#This Row],[Columna2]]*19%</f>
        <v>0</v>
      </c>
      <c r="R15" s="11">
        <f>Tabla2456789[[#This Row],[IVA VENTA ]]-Tabla2456789[[#This Row],[IV COMPRA]]</f>
        <v>0</v>
      </c>
      <c r="S15" s="11">
        <f>(Tabla2456789[[#This Row],[VENTA ]]-(Tabla2456789[[#This Row],[MONTO DE COMPRA]]+Tabla2456789[[#This Row],[DIFERENCIA IVA ]]))</f>
        <v>0</v>
      </c>
      <c r="T15" s="15"/>
      <c r="U15" s="1"/>
    </row>
    <row r="16" spans="1:21" x14ac:dyDescent="0.25">
      <c r="A16" s="56">
        <v>44839</v>
      </c>
      <c r="B16" s="4" t="s">
        <v>3350</v>
      </c>
      <c r="C16" s="4" t="s">
        <v>1399</v>
      </c>
      <c r="D16" s="4" t="s">
        <v>963</v>
      </c>
      <c r="E16" s="1" t="s">
        <v>962</v>
      </c>
      <c r="F16" s="1" t="s">
        <v>2446</v>
      </c>
      <c r="G16" s="154" t="s">
        <v>3351</v>
      </c>
      <c r="H16" s="15">
        <v>200000</v>
      </c>
      <c r="I16" s="15">
        <f>Tabla2456789[[#This Row],[TOTAL FACTURA]]*0.7</f>
        <v>140000</v>
      </c>
      <c r="J16" s="149">
        <f t="shared" si="0"/>
        <v>60000</v>
      </c>
      <c r="K16" s="10" t="s">
        <v>3352</v>
      </c>
      <c r="L16" s="11">
        <v>5000</v>
      </c>
      <c r="M16" s="11">
        <f>Tabla2456789[[#This Row],[MONTO DE COMPRA]]/1.19</f>
        <v>4201.680672268908</v>
      </c>
      <c r="N16" s="11">
        <f>Tabla2456789[[#This Row],[Columna1]]*19%</f>
        <v>798.31932773109247</v>
      </c>
      <c r="O16" s="11">
        <v>20000</v>
      </c>
      <c r="P16" s="11">
        <f>Tabla2456789[[#This Row],[VENTA ]]/1.19</f>
        <v>16806.722689075632</v>
      </c>
      <c r="Q16" s="11">
        <f>Tabla2456789[[#This Row],[Columna2]]*19%</f>
        <v>3193.2773109243699</v>
      </c>
      <c r="R16" s="11">
        <f>Tabla2456789[[#This Row],[IVA VENTA ]]-Tabla2456789[[#This Row],[IV COMPRA]]</f>
        <v>2394.9579831932774</v>
      </c>
      <c r="S16" s="11">
        <f>(Tabla2456789[[#This Row],[VENTA ]]-(Tabla2456789[[#This Row],[MONTO DE COMPRA]]+Tabla2456789[[#This Row],[DIFERENCIA IVA ]]))</f>
        <v>12605.042016806723</v>
      </c>
      <c r="T16" s="15"/>
      <c r="U16" s="1"/>
    </row>
    <row r="17" spans="1:20" s="1" customFormat="1" x14ac:dyDescent="0.25">
      <c r="A17" s="56">
        <v>44839</v>
      </c>
      <c r="B17" s="4" t="s">
        <v>3353</v>
      </c>
      <c r="C17" s="4" t="s">
        <v>3354</v>
      </c>
      <c r="D17" s="4" t="s">
        <v>3355</v>
      </c>
      <c r="E17" s="1" t="s">
        <v>3356</v>
      </c>
      <c r="F17" s="1" t="s">
        <v>2446</v>
      </c>
      <c r="G17" s="154" t="s">
        <v>3357</v>
      </c>
      <c r="H17" s="15">
        <v>40000</v>
      </c>
      <c r="I17" s="15">
        <f>Tabla2456789[[#This Row],[TOTAL FACTURA]]*0.7</f>
        <v>28000</v>
      </c>
      <c r="J17" s="149">
        <f t="shared" si="0"/>
        <v>12000</v>
      </c>
      <c r="K17" s="10" t="s">
        <v>3358</v>
      </c>
      <c r="L17" s="11">
        <f>151000+6000</f>
        <v>157000</v>
      </c>
      <c r="M17" s="11">
        <f>Tabla2456789[[#This Row],[MONTO DE COMPRA]]/1.19</f>
        <v>131932.77310924372</v>
      </c>
      <c r="N17" s="11">
        <f>Tabla2456789[[#This Row],[Columna1]]*19%</f>
        <v>25067.226890756305</v>
      </c>
      <c r="O17" s="11">
        <v>210000</v>
      </c>
      <c r="P17" s="11">
        <f>Tabla2456789[[#This Row],[VENTA ]]/1.19</f>
        <v>176470.58823529413</v>
      </c>
      <c r="Q17" s="11">
        <f>Tabla2456789[[#This Row],[Columna2]]*19%</f>
        <v>33529.411764705881</v>
      </c>
      <c r="R17" s="11">
        <f>Tabla2456789[[#This Row],[IVA VENTA ]]-Tabla2456789[[#This Row],[IV COMPRA]]</f>
        <v>8462.1848739495763</v>
      </c>
      <c r="S17" s="11">
        <f>(Tabla2456789[[#This Row],[VENTA ]]-(Tabla2456789[[#This Row],[MONTO DE COMPRA]]+Tabla2456789[[#This Row],[DIFERENCIA IVA ]]))</f>
        <v>44537.815126050438</v>
      </c>
      <c r="T17" s="15"/>
    </row>
    <row r="18" spans="1:20" s="1" customFormat="1" ht="30" x14ac:dyDescent="0.25">
      <c r="A18" s="56">
        <v>44839</v>
      </c>
      <c r="B18" s="4"/>
      <c r="D18" s="4" t="s">
        <v>3359</v>
      </c>
      <c r="E18" s="10" t="s">
        <v>3360</v>
      </c>
      <c r="F18" s="1" t="s">
        <v>34</v>
      </c>
      <c r="G18" s="154" t="s">
        <v>434</v>
      </c>
      <c r="H18" s="15">
        <v>30000</v>
      </c>
      <c r="I18" s="15"/>
      <c r="J18" s="149">
        <f t="shared" si="0"/>
        <v>30000</v>
      </c>
      <c r="K18" s="10"/>
      <c r="L18" s="11"/>
      <c r="M18" s="11">
        <f>Tabla2456789[[#This Row],[MONTO DE COMPRA]]/1.19</f>
        <v>0</v>
      </c>
      <c r="N18" s="11">
        <f>Tabla2456789[[#This Row],[Columna1]]*19%</f>
        <v>0</v>
      </c>
      <c r="O18" s="11"/>
      <c r="P18" s="11">
        <f>Tabla2456789[[#This Row],[VENTA ]]/1.19</f>
        <v>0</v>
      </c>
      <c r="Q18" s="11">
        <f>Tabla2456789[[#This Row],[Columna2]]*19%</f>
        <v>0</v>
      </c>
      <c r="R18" s="11">
        <f>Tabla2456789[[#This Row],[IVA VENTA ]]-Tabla2456789[[#This Row],[IV COMPRA]]</f>
        <v>0</v>
      </c>
      <c r="S18" s="11">
        <f>(Tabla2456789[[#This Row],[VENTA ]]-(Tabla2456789[[#This Row],[MONTO DE COMPRA]]+Tabla2456789[[#This Row],[DIFERENCIA IVA ]]))</f>
        <v>0</v>
      </c>
      <c r="T18" s="15"/>
    </row>
    <row r="19" spans="1:20" s="1" customFormat="1" x14ac:dyDescent="0.25">
      <c r="A19" s="56">
        <v>44840</v>
      </c>
      <c r="B19" s="4"/>
      <c r="C19" s="4" t="s">
        <v>3313</v>
      </c>
      <c r="D19" s="4" t="s">
        <v>3361</v>
      </c>
      <c r="E19" s="1" t="s">
        <v>59</v>
      </c>
      <c r="F19" s="1" t="s">
        <v>34</v>
      </c>
      <c r="G19" s="154" t="s">
        <v>341</v>
      </c>
      <c r="H19" s="15">
        <v>10000</v>
      </c>
      <c r="I19" s="15"/>
      <c r="J19" s="149">
        <f t="shared" si="0"/>
        <v>10000</v>
      </c>
      <c r="K19" s="10"/>
      <c r="L19" s="11"/>
      <c r="M19" s="11">
        <f>Tabla2456789[[#This Row],[MONTO DE COMPRA]]/1.19</f>
        <v>0</v>
      </c>
      <c r="N19" s="11">
        <f>Tabla2456789[[#This Row],[Columna1]]*19%</f>
        <v>0</v>
      </c>
      <c r="O19" s="11"/>
      <c r="P19" s="11">
        <f>Tabla2456789[[#This Row],[VENTA ]]/1.19</f>
        <v>0</v>
      </c>
      <c r="Q19" s="11">
        <f>Tabla2456789[[#This Row],[Columna2]]*19%</f>
        <v>0</v>
      </c>
      <c r="R19" s="11">
        <f>Tabla2456789[[#This Row],[IVA VENTA ]]-Tabla2456789[[#This Row],[IV COMPRA]]</f>
        <v>0</v>
      </c>
      <c r="S19" s="11">
        <f>(Tabla2456789[[#This Row],[VENTA ]]-(Tabla2456789[[#This Row],[MONTO DE COMPRA]]+Tabla2456789[[#This Row],[DIFERENCIA IVA ]]))</f>
        <v>0</v>
      </c>
      <c r="T19" s="15"/>
    </row>
    <row r="20" spans="1:20" s="1" customFormat="1" x14ac:dyDescent="0.25">
      <c r="A20" s="56">
        <v>44840</v>
      </c>
      <c r="B20" s="4"/>
      <c r="C20" s="4" t="s">
        <v>3362</v>
      </c>
      <c r="E20" s="1" t="s">
        <v>521</v>
      </c>
      <c r="F20" s="1" t="s">
        <v>2446</v>
      </c>
      <c r="G20" s="154" t="s">
        <v>3363</v>
      </c>
      <c r="H20" s="15">
        <v>30000</v>
      </c>
      <c r="I20" s="15">
        <v>30000</v>
      </c>
      <c r="J20" s="149">
        <f t="shared" si="0"/>
        <v>0</v>
      </c>
      <c r="K20" s="10"/>
      <c r="L20" s="11"/>
      <c r="M20" s="11">
        <f>Tabla2456789[[#This Row],[MONTO DE COMPRA]]/1.19</f>
        <v>0</v>
      </c>
      <c r="N20" s="11">
        <f>Tabla2456789[[#This Row],[Columna1]]*19%</f>
        <v>0</v>
      </c>
      <c r="O20" s="11"/>
      <c r="P20" s="11">
        <f>Tabla2456789[[#This Row],[VENTA ]]/1.19</f>
        <v>0</v>
      </c>
      <c r="Q20" s="11">
        <f>Tabla2456789[[#This Row],[Columna2]]*19%</f>
        <v>0</v>
      </c>
      <c r="R20" s="11">
        <f>Tabla2456789[[#This Row],[IVA VENTA ]]-Tabla2456789[[#This Row],[IV COMPRA]]</f>
        <v>0</v>
      </c>
      <c r="S20" s="11">
        <f>(Tabla2456789[[#This Row],[VENTA ]]-(Tabla2456789[[#This Row],[MONTO DE COMPRA]]+Tabla2456789[[#This Row],[DIFERENCIA IVA ]]))</f>
        <v>0</v>
      </c>
      <c r="T20" s="15"/>
    </row>
    <row r="21" spans="1:20" s="1" customFormat="1" x14ac:dyDescent="0.25">
      <c r="A21" s="56">
        <v>44840</v>
      </c>
      <c r="B21" s="4"/>
      <c r="C21" s="4"/>
      <c r="D21" s="1" t="s">
        <v>3364</v>
      </c>
      <c r="E21" s="1" t="s">
        <v>3365</v>
      </c>
      <c r="F21" s="1" t="s">
        <v>10</v>
      </c>
      <c r="G21" s="154" t="s">
        <v>3366</v>
      </c>
      <c r="H21" s="15">
        <v>20000</v>
      </c>
      <c r="I21" s="15">
        <f>Tabla2456789[[#This Row],[TOTAL FACTURA]]*0.7</f>
        <v>14000</v>
      </c>
      <c r="J21" s="149">
        <f t="shared" si="0"/>
        <v>6000</v>
      </c>
      <c r="K21" s="10"/>
      <c r="L21" s="11"/>
      <c r="M21" s="11">
        <f>Tabla2456789[[#This Row],[MONTO DE COMPRA]]/1.19</f>
        <v>0</v>
      </c>
      <c r="N21" s="11">
        <f>Tabla2456789[[#This Row],[Columna1]]*19%</f>
        <v>0</v>
      </c>
      <c r="O21" s="11"/>
      <c r="P21" s="11">
        <f>Tabla2456789[[#This Row],[VENTA ]]/1.19</f>
        <v>0</v>
      </c>
      <c r="Q21" s="11">
        <f>Tabla2456789[[#This Row],[Columna2]]*19%</f>
        <v>0</v>
      </c>
      <c r="R21" s="11">
        <f>Tabla2456789[[#This Row],[IVA VENTA ]]-Tabla2456789[[#This Row],[IV COMPRA]]</f>
        <v>0</v>
      </c>
      <c r="S21" s="11">
        <f>(Tabla2456789[[#This Row],[VENTA ]]-(Tabla2456789[[#This Row],[MONTO DE COMPRA]]+Tabla2456789[[#This Row],[DIFERENCIA IVA ]]))</f>
        <v>0</v>
      </c>
      <c r="T21" s="15"/>
    </row>
    <row r="22" spans="1:20" s="1" customFormat="1" x14ac:dyDescent="0.25">
      <c r="A22" s="56">
        <v>44840</v>
      </c>
      <c r="B22" s="4" t="s">
        <v>3368</v>
      </c>
      <c r="C22" s="4" t="s">
        <v>3367</v>
      </c>
      <c r="D22" s="4" t="s">
        <v>3369</v>
      </c>
      <c r="E22" s="1" t="s">
        <v>1414</v>
      </c>
      <c r="F22" s="1" t="s">
        <v>2446</v>
      </c>
      <c r="G22" s="154" t="s">
        <v>1976</v>
      </c>
      <c r="H22" s="15">
        <v>120000</v>
      </c>
      <c r="I22" s="15">
        <f>Tabla2456789[[#This Row],[TOTAL FACTURA]]*0.7</f>
        <v>84000</v>
      </c>
      <c r="J22" s="149">
        <f t="shared" si="0"/>
        <v>36000</v>
      </c>
      <c r="K22" s="10"/>
      <c r="L22" s="11"/>
      <c r="M22" s="11">
        <f>Tabla2456789[[#This Row],[MONTO DE COMPRA]]/1.19</f>
        <v>0</v>
      </c>
      <c r="N22" s="11">
        <f>Tabla2456789[[#This Row],[Columna1]]*19%</f>
        <v>0</v>
      </c>
      <c r="O22" s="11"/>
      <c r="P22" s="11">
        <f>Tabla2456789[[#This Row],[VENTA ]]/1.19</f>
        <v>0</v>
      </c>
      <c r="Q22" s="11">
        <f>Tabla2456789[[#This Row],[Columna2]]*19%</f>
        <v>0</v>
      </c>
      <c r="R22" s="11">
        <f>Tabla2456789[[#This Row],[IVA VENTA ]]-Tabla2456789[[#This Row],[IV COMPRA]]</f>
        <v>0</v>
      </c>
      <c r="S22" s="11">
        <f>(Tabla2456789[[#This Row],[VENTA ]]-(Tabla2456789[[#This Row],[MONTO DE COMPRA]]+Tabla2456789[[#This Row],[DIFERENCIA IVA ]]))</f>
        <v>0</v>
      </c>
      <c r="T22" s="15"/>
    </row>
    <row r="23" spans="1:20" s="1" customFormat="1" x14ac:dyDescent="0.25">
      <c r="A23" s="56">
        <v>44840</v>
      </c>
      <c r="B23" s="4"/>
      <c r="C23" s="4" t="s">
        <v>3370</v>
      </c>
      <c r="D23" s="4" t="s">
        <v>3371</v>
      </c>
      <c r="E23" s="1" t="s">
        <v>1922</v>
      </c>
      <c r="F23" s="1" t="s">
        <v>2446</v>
      </c>
      <c r="G23" s="154" t="s">
        <v>2111</v>
      </c>
      <c r="H23" s="15">
        <v>20000</v>
      </c>
      <c r="I23" s="15">
        <f>Tabla2456789[[#This Row],[TOTAL FACTURA]]*0.7</f>
        <v>14000</v>
      </c>
      <c r="J23" s="149">
        <f t="shared" si="0"/>
        <v>6000</v>
      </c>
      <c r="K23" s="10"/>
      <c r="L23" s="11"/>
      <c r="M23" s="11">
        <f>Tabla2456789[[#This Row],[MONTO DE COMPRA]]/1.19</f>
        <v>0</v>
      </c>
      <c r="N23" s="11">
        <f>Tabla2456789[[#This Row],[Columna1]]*19%</f>
        <v>0</v>
      </c>
      <c r="O23" s="11"/>
      <c r="P23" s="11">
        <f>Tabla2456789[[#This Row],[VENTA ]]/1.19</f>
        <v>0</v>
      </c>
      <c r="Q23" s="11">
        <f>Tabla2456789[[#This Row],[Columna2]]*19%</f>
        <v>0</v>
      </c>
      <c r="R23" s="11">
        <f>Tabla2456789[[#This Row],[IVA VENTA ]]-Tabla2456789[[#This Row],[IV COMPRA]]</f>
        <v>0</v>
      </c>
      <c r="S23" s="11">
        <f>(Tabla2456789[[#This Row],[VENTA ]]-(Tabla2456789[[#This Row],[MONTO DE COMPRA]]+Tabla2456789[[#This Row],[DIFERENCIA IVA ]]))</f>
        <v>0</v>
      </c>
      <c r="T23" s="15"/>
    </row>
    <row r="24" spans="1:20" s="1" customFormat="1" ht="30" x14ac:dyDescent="0.25">
      <c r="A24" s="56">
        <v>44840</v>
      </c>
      <c r="B24" s="4" t="s">
        <v>3372</v>
      </c>
      <c r="C24" s="4" t="s">
        <v>598</v>
      </c>
      <c r="D24" s="4" t="s">
        <v>3373</v>
      </c>
      <c r="E24" s="1" t="s">
        <v>1414</v>
      </c>
      <c r="F24" s="1" t="s">
        <v>2446</v>
      </c>
      <c r="G24" s="154" t="s">
        <v>3391</v>
      </c>
      <c r="H24" s="15">
        <v>260000</v>
      </c>
      <c r="I24" s="15">
        <f>Tabla2456789[[#This Row],[TOTAL FACTURA]]*0.7</f>
        <v>182000</v>
      </c>
      <c r="J24" s="149">
        <f t="shared" si="0"/>
        <v>78000</v>
      </c>
      <c r="K24" s="10"/>
      <c r="L24" s="11"/>
      <c r="M24" s="11">
        <f>Tabla2456789[[#This Row],[MONTO DE COMPRA]]/1.19</f>
        <v>0</v>
      </c>
      <c r="N24" s="11">
        <f>Tabla2456789[[#This Row],[Columna1]]*19%</f>
        <v>0</v>
      </c>
      <c r="O24" s="11"/>
      <c r="P24" s="11">
        <f>Tabla2456789[[#This Row],[VENTA ]]/1.19</f>
        <v>0</v>
      </c>
      <c r="Q24" s="11">
        <f>Tabla2456789[[#This Row],[Columna2]]*19%</f>
        <v>0</v>
      </c>
      <c r="R24" s="11">
        <f>Tabla2456789[[#This Row],[IVA VENTA ]]-Tabla2456789[[#This Row],[IV COMPRA]]</f>
        <v>0</v>
      </c>
      <c r="S24" s="11">
        <f>(Tabla2456789[[#This Row],[VENTA ]]-(Tabla2456789[[#This Row],[MONTO DE COMPRA]]+Tabla2456789[[#This Row],[DIFERENCIA IVA ]]))</f>
        <v>0</v>
      </c>
      <c r="T24" s="15"/>
    </row>
    <row r="25" spans="1:20" s="1" customFormat="1" x14ac:dyDescent="0.25">
      <c r="A25" s="56">
        <v>44840</v>
      </c>
      <c r="B25" s="4" t="s">
        <v>3374</v>
      </c>
      <c r="C25" s="4" t="s">
        <v>3299</v>
      </c>
      <c r="D25" s="4" t="s">
        <v>3300</v>
      </c>
      <c r="E25" s="1" t="s">
        <v>3375</v>
      </c>
      <c r="F25" s="1" t="s">
        <v>2446</v>
      </c>
      <c r="G25" s="154" t="s">
        <v>3376</v>
      </c>
      <c r="H25" s="15">
        <v>50000</v>
      </c>
      <c r="I25" s="15">
        <f>Tabla2456789[[#This Row],[TOTAL FACTURA]]*0.7</f>
        <v>35000</v>
      </c>
      <c r="J25" s="149">
        <f t="shared" si="0"/>
        <v>15000</v>
      </c>
      <c r="K25" s="10" t="s">
        <v>3377</v>
      </c>
      <c r="L25" s="11">
        <v>120000</v>
      </c>
      <c r="M25" s="11">
        <f>Tabla2456789[[#This Row],[MONTO DE COMPRA]]/1.19</f>
        <v>100840.33613445378</v>
      </c>
      <c r="N25" s="11">
        <f>Tabla2456789[[#This Row],[Columna1]]*19%</f>
        <v>19159.663865546219</v>
      </c>
      <c r="O25" s="11">
        <v>156000</v>
      </c>
      <c r="P25" s="11">
        <f>Tabla2456789[[#This Row],[VENTA ]]/1.19</f>
        <v>131092.43697478992</v>
      </c>
      <c r="Q25" s="11">
        <f>Tabla2456789[[#This Row],[Columna2]]*19%</f>
        <v>24907.563025210085</v>
      </c>
      <c r="R25" s="11">
        <f>Tabla2456789[[#This Row],[IVA VENTA ]]-Tabla2456789[[#This Row],[IV COMPRA]]</f>
        <v>5747.8991596638662</v>
      </c>
      <c r="S25" s="11">
        <f>(Tabla2456789[[#This Row],[VENTA ]]-(Tabla2456789[[#This Row],[MONTO DE COMPRA]]+Tabla2456789[[#This Row],[DIFERENCIA IVA ]]))</f>
        <v>30252.100840336134</v>
      </c>
      <c r="T25" s="15"/>
    </row>
    <row r="26" spans="1:20" s="1" customFormat="1" ht="30" x14ac:dyDescent="0.25">
      <c r="A26" s="56">
        <v>44840</v>
      </c>
      <c r="B26" s="4" t="s">
        <v>1867</v>
      </c>
      <c r="C26" s="4" t="s">
        <v>3381</v>
      </c>
      <c r="D26" s="4" t="s">
        <v>3378</v>
      </c>
      <c r="E26" s="1" t="s">
        <v>1865</v>
      </c>
      <c r="F26" s="1" t="s">
        <v>10</v>
      </c>
      <c r="G26" s="154" t="s">
        <v>3379</v>
      </c>
      <c r="H26" s="15">
        <v>250000</v>
      </c>
      <c r="I26" s="15">
        <f>Tabla2456789[[#This Row],[TOTAL FACTURA]]*0.7</f>
        <v>175000</v>
      </c>
      <c r="J26" s="149">
        <f t="shared" si="0"/>
        <v>75000</v>
      </c>
      <c r="K26" s="10"/>
      <c r="L26" s="11"/>
      <c r="M26" s="11">
        <f>Tabla2456789[[#This Row],[MONTO DE COMPRA]]/1.19</f>
        <v>0</v>
      </c>
      <c r="N26" s="11">
        <f>Tabla2456789[[#This Row],[Columna1]]*19%</f>
        <v>0</v>
      </c>
      <c r="O26" s="11"/>
      <c r="P26" s="11">
        <f>Tabla2456789[[#This Row],[VENTA ]]/1.19</f>
        <v>0</v>
      </c>
      <c r="Q26" s="11">
        <f>Tabla2456789[[#This Row],[Columna2]]*19%</f>
        <v>0</v>
      </c>
      <c r="R26" s="11">
        <f>Tabla2456789[[#This Row],[IVA VENTA ]]-Tabla2456789[[#This Row],[IV COMPRA]]</f>
        <v>0</v>
      </c>
      <c r="S26" s="11">
        <f>(Tabla2456789[[#This Row],[VENTA ]]-(Tabla2456789[[#This Row],[MONTO DE COMPRA]]+Tabla2456789[[#This Row],[DIFERENCIA IVA ]]))</f>
        <v>0</v>
      </c>
      <c r="T26" s="15"/>
    </row>
    <row r="27" spans="1:20" s="1" customFormat="1" ht="45" x14ac:dyDescent="0.25">
      <c r="A27" s="56">
        <v>44840</v>
      </c>
      <c r="B27" s="4" t="s">
        <v>3380</v>
      </c>
      <c r="C27" s="4" t="s">
        <v>3382</v>
      </c>
      <c r="D27" s="4" t="s">
        <v>3383</v>
      </c>
      <c r="E27" s="1" t="s">
        <v>815</v>
      </c>
      <c r="F27" s="1" t="s">
        <v>10</v>
      </c>
      <c r="G27" s="154" t="s">
        <v>3384</v>
      </c>
      <c r="H27" s="15">
        <v>500000</v>
      </c>
      <c r="I27" s="15">
        <f>Tabla2456789[[#This Row],[TOTAL FACTURA]]*0.7</f>
        <v>350000</v>
      </c>
      <c r="J27" s="149">
        <f t="shared" si="0"/>
        <v>150000</v>
      </c>
      <c r="K27" s="10" t="s">
        <v>3387</v>
      </c>
      <c r="L27" s="11">
        <f>110000+70000+100000+320000+25000+1500+16000+16000+55000</f>
        <v>713500</v>
      </c>
      <c r="M27" s="11">
        <f>Tabla2456789[[#This Row],[MONTO DE COMPRA]]/1.19</f>
        <v>599579.83193277312</v>
      </c>
      <c r="N27" s="11">
        <f>Tabla2456789[[#This Row],[Columna1]]*19%</f>
        <v>113920.1680672269</v>
      </c>
      <c r="O27" s="11">
        <v>1013000</v>
      </c>
      <c r="P27" s="11">
        <f>Tabla2456789[[#This Row],[VENTA ]]/1.19</f>
        <v>851260.50420168065</v>
      </c>
      <c r="Q27" s="11">
        <f>Tabla2456789[[#This Row],[Columna2]]*19%</f>
        <v>161739.49579831932</v>
      </c>
      <c r="R27" s="11">
        <f>Tabla2456789[[#This Row],[IVA VENTA ]]-Tabla2456789[[#This Row],[IV COMPRA]]</f>
        <v>47819.327731092417</v>
      </c>
      <c r="S27" s="11">
        <f>(Tabla2456789[[#This Row],[VENTA ]]-(Tabla2456789[[#This Row],[MONTO DE COMPRA]]+Tabla2456789[[#This Row],[DIFERENCIA IVA ]]))</f>
        <v>251680.67226890754</v>
      </c>
      <c r="T27" s="15"/>
    </row>
    <row r="28" spans="1:20" s="1" customFormat="1" ht="45" x14ac:dyDescent="0.25">
      <c r="A28" s="180">
        <v>44840</v>
      </c>
      <c r="B28" s="4" t="s">
        <v>3380</v>
      </c>
      <c r="C28" s="4" t="s">
        <v>3382</v>
      </c>
      <c r="D28" s="4" t="s">
        <v>3383</v>
      </c>
      <c r="E28" s="1" t="s">
        <v>815</v>
      </c>
      <c r="F28" s="1" t="s">
        <v>2446</v>
      </c>
      <c r="G28" s="154" t="s">
        <v>3385</v>
      </c>
      <c r="H28" s="15">
        <v>320000</v>
      </c>
      <c r="I28" s="15">
        <f>Tabla2456789[[#This Row],[TOTAL FACTURA]]*0.7</f>
        <v>224000</v>
      </c>
      <c r="J28" s="149">
        <f t="shared" si="0"/>
        <v>96000</v>
      </c>
      <c r="K28" s="10"/>
      <c r="L28" s="11"/>
      <c r="M28" s="11">
        <f>Tabla2456789[[#This Row],[MONTO DE COMPRA]]/1.19</f>
        <v>0</v>
      </c>
      <c r="N28" s="11">
        <f>Tabla2456789[[#This Row],[Columna1]]*19%</f>
        <v>0</v>
      </c>
      <c r="O28" s="11"/>
      <c r="P28" s="11">
        <f>Tabla2456789[[#This Row],[VENTA ]]/1.19</f>
        <v>0</v>
      </c>
      <c r="Q28" s="11">
        <f>Tabla2456789[[#This Row],[Columna2]]*19%</f>
        <v>0</v>
      </c>
      <c r="R28" s="11">
        <f>Tabla2456789[[#This Row],[IVA VENTA ]]-Tabla2456789[[#This Row],[IV COMPRA]]</f>
        <v>0</v>
      </c>
      <c r="S28" s="11">
        <f>(Tabla2456789[[#This Row],[VENTA ]]-(Tabla2456789[[#This Row],[MONTO DE COMPRA]]+Tabla2456789[[#This Row],[DIFERENCIA IVA ]]))</f>
        <v>0</v>
      </c>
      <c r="T28" s="15"/>
    </row>
    <row r="29" spans="1:20" s="1" customFormat="1" x14ac:dyDescent="0.25">
      <c r="A29" s="180">
        <v>44840</v>
      </c>
      <c r="B29" s="4" t="s">
        <v>3380</v>
      </c>
      <c r="C29" s="4" t="s">
        <v>3382</v>
      </c>
      <c r="D29" s="4" t="s">
        <v>3383</v>
      </c>
      <c r="E29" s="1" t="s">
        <v>815</v>
      </c>
      <c r="G29" s="154" t="s">
        <v>3386</v>
      </c>
      <c r="H29" s="15">
        <v>220000</v>
      </c>
      <c r="I29" s="15">
        <f>55000+80000</f>
        <v>135000</v>
      </c>
      <c r="J29" s="149">
        <f t="shared" si="0"/>
        <v>85000</v>
      </c>
      <c r="K29" s="10" t="s">
        <v>3388</v>
      </c>
      <c r="L29" s="11"/>
      <c r="M29" s="11"/>
      <c r="N29" s="11">
        <f>Tabla2456789[[#This Row],[Columna1]]*19%</f>
        <v>0</v>
      </c>
      <c r="O29" s="11"/>
      <c r="P29" s="11">
        <f>Tabla2456789[[#This Row],[VENTA ]]/1.19</f>
        <v>0</v>
      </c>
      <c r="Q29" s="11">
        <f>Tabla2456789[[#This Row],[Columna2]]*19%</f>
        <v>0</v>
      </c>
      <c r="R29" s="11">
        <f>Tabla2456789[[#This Row],[IVA VENTA ]]-Tabla2456789[[#This Row],[IV COMPRA]]</f>
        <v>0</v>
      </c>
      <c r="S29" s="11">
        <f>(Tabla2456789[[#This Row],[VENTA ]]-(Tabla2456789[[#This Row],[MONTO DE COMPRA]]+Tabla2456789[[#This Row],[DIFERENCIA IVA ]]))</f>
        <v>0</v>
      </c>
      <c r="T29" s="15"/>
    </row>
    <row r="30" spans="1:20" s="1" customFormat="1" x14ac:dyDescent="0.25">
      <c r="A30" s="180">
        <v>44840</v>
      </c>
      <c r="B30" s="4" t="s">
        <v>3389</v>
      </c>
      <c r="C30" s="4" t="s">
        <v>2531</v>
      </c>
      <c r="D30" s="4" t="s">
        <v>2609</v>
      </c>
      <c r="E30" s="1" t="s">
        <v>1077</v>
      </c>
      <c r="F30" s="1" t="s">
        <v>2446</v>
      </c>
      <c r="G30" s="154" t="s">
        <v>338</v>
      </c>
      <c r="H30" s="15">
        <v>130000</v>
      </c>
      <c r="I30" s="15">
        <f>Tabla2456789[[#This Row],[TOTAL FACTURA]]*0.7</f>
        <v>91000</v>
      </c>
      <c r="J30" s="149">
        <f t="shared" si="0"/>
        <v>39000</v>
      </c>
      <c r="K30" s="10" t="s">
        <v>3390</v>
      </c>
      <c r="L30" s="11">
        <v>40000</v>
      </c>
      <c r="M30" s="11">
        <f>Tabla2456789[[#This Row],[MONTO DE COMPRA]]/1.19</f>
        <v>33613.445378151264</v>
      </c>
      <c r="N30" s="11">
        <f>Tabla2456789[[#This Row],[Columna1]]*19%</f>
        <v>6386.5546218487398</v>
      </c>
      <c r="O30" s="11">
        <v>52000</v>
      </c>
      <c r="P30" s="11"/>
      <c r="Q30" s="11"/>
      <c r="R30" s="11"/>
      <c r="S30" s="11">
        <f>(Tabla2456789[[#This Row],[VENTA ]]-(Tabla2456789[[#This Row],[MONTO DE COMPRA]]+Tabla2456789[[#This Row],[DIFERENCIA IVA ]]))</f>
        <v>12000</v>
      </c>
      <c r="T30" s="15"/>
    </row>
    <row r="31" spans="1:20" s="1" customFormat="1" x14ac:dyDescent="0.25">
      <c r="A31" s="56">
        <v>44841</v>
      </c>
      <c r="B31" s="4"/>
      <c r="C31" s="4" t="s">
        <v>3392</v>
      </c>
      <c r="D31" s="4" t="s">
        <v>3099</v>
      </c>
      <c r="E31" s="1" t="s">
        <v>815</v>
      </c>
      <c r="F31" s="1" t="s">
        <v>10</v>
      </c>
      <c r="G31" s="154" t="s">
        <v>3393</v>
      </c>
      <c r="H31" s="15">
        <v>100000</v>
      </c>
      <c r="I31" s="15">
        <v>100000</v>
      </c>
      <c r="J31" s="149">
        <f t="shared" si="0"/>
        <v>0</v>
      </c>
      <c r="K31" s="10"/>
      <c r="L31" s="11"/>
      <c r="M31" s="11">
        <f>Tabla2456789[[#This Row],[MONTO DE COMPRA]]/1.19</f>
        <v>0</v>
      </c>
      <c r="N31" s="11">
        <f>Tabla2456789[[#This Row],[Columna1]]*19%</f>
        <v>0</v>
      </c>
      <c r="O31" s="11"/>
      <c r="P31" s="11">
        <f>Tabla2456789[[#This Row],[VENTA ]]/1.19</f>
        <v>0</v>
      </c>
      <c r="Q31" s="11">
        <f>Tabla2456789[[#This Row],[Columna2]]*19%</f>
        <v>0</v>
      </c>
      <c r="R31" s="11">
        <f>Tabla2456789[[#This Row],[IVA VENTA ]]-Tabla2456789[[#This Row],[IV COMPRA]]</f>
        <v>0</v>
      </c>
      <c r="S31" s="11">
        <f>(Tabla2456789[[#This Row],[VENTA ]]-(Tabla2456789[[#This Row],[MONTO DE COMPRA]]+Tabla2456789[[#This Row],[DIFERENCIA IVA ]]))</f>
        <v>0</v>
      </c>
      <c r="T31" s="15"/>
    </row>
    <row r="32" spans="1:20" s="1" customFormat="1" x14ac:dyDescent="0.25">
      <c r="A32" s="56">
        <v>44841</v>
      </c>
      <c r="B32" s="4" t="s">
        <v>3395</v>
      </c>
      <c r="C32" s="4" t="s">
        <v>3394</v>
      </c>
      <c r="D32" s="4" t="s">
        <v>2335</v>
      </c>
      <c r="E32" s="1" t="s">
        <v>1414</v>
      </c>
      <c r="F32" s="1" t="s">
        <v>10</v>
      </c>
      <c r="G32" s="154" t="s">
        <v>3396</v>
      </c>
      <c r="H32" s="15">
        <v>30000</v>
      </c>
      <c r="I32" s="15">
        <f>Tabla2456789[[#This Row],[TOTAL FACTURA]]*0.7</f>
        <v>21000</v>
      </c>
      <c r="J32" s="149">
        <f t="shared" si="0"/>
        <v>9000</v>
      </c>
      <c r="K32" s="10" t="s">
        <v>3397</v>
      </c>
      <c r="L32" s="11">
        <v>60000</v>
      </c>
      <c r="M32" s="11"/>
      <c r="N32" s="11">
        <f>Tabla2456789[[#This Row],[Columna1]]*19%</f>
        <v>0</v>
      </c>
      <c r="O32" s="11">
        <v>90000</v>
      </c>
      <c r="P32" s="11"/>
      <c r="Q32" s="11">
        <f>Tabla2456789[[#This Row],[Columna2]]*19%</f>
        <v>0</v>
      </c>
      <c r="R32" s="11">
        <f>Tabla2456789[[#This Row],[IVA VENTA ]]-Tabla2456789[[#This Row],[IV COMPRA]]</f>
        <v>0</v>
      </c>
      <c r="S32" s="11">
        <f>(Tabla2456789[[#This Row],[VENTA ]]-(Tabla2456789[[#This Row],[MONTO DE COMPRA]]+Tabla2456789[[#This Row],[DIFERENCIA IVA ]]))</f>
        <v>30000</v>
      </c>
      <c r="T32" s="15"/>
    </row>
    <row r="33" spans="1:20" s="1" customFormat="1" x14ac:dyDescent="0.25">
      <c r="A33" s="56">
        <v>44842</v>
      </c>
      <c r="B33" s="4" t="s">
        <v>3399</v>
      </c>
      <c r="C33" s="4" t="s">
        <v>2037</v>
      </c>
      <c r="D33" s="4" t="s">
        <v>3400</v>
      </c>
      <c r="E33" s="1" t="s">
        <v>1077</v>
      </c>
      <c r="F33" s="1" t="s">
        <v>2446</v>
      </c>
      <c r="G33" s="154" t="s">
        <v>3401</v>
      </c>
      <c r="H33" s="15">
        <v>60000</v>
      </c>
      <c r="I33" s="15">
        <f>Tabla2456789[[#This Row],[TOTAL FACTURA]]*0.7</f>
        <v>42000</v>
      </c>
      <c r="J33" s="149">
        <f t="shared" si="0"/>
        <v>18000</v>
      </c>
      <c r="K33" s="10" t="s">
        <v>3402</v>
      </c>
      <c r="L33" s="11">
        <v>90000</v>
      </c>
      <c r="M33" s="11">
        <f>Tabla2456789[[#This Row],[MONTO DE COMPRA]]/1.19</f>
        <v>75630.252100840342</v>
      </c>
      <c r="N33" s="11">
        <f>Tabla2456789[[#This Row],[Columna1]]*19%</f>
        <v>14369.747899159665</v>
      </c>
      <c r="O33" s="11">
        <v>120000</v>
      </c>
      <c r="P33" s="11">
        <f>Tabla2456789[[#This Row],[VENTA ]]/1.19</f>
        <v>100840.33613445378</v>
      </c>
      <c r="Q33" s="11">
        <f>Tabla2456789[[#This Row],[Columna2]]*19%</f>
        <v>19159.663865546219</v>
      </c>
      <c r="R33" s="11">
        <f>Tabla2456789[[#This Row],[IVA VENTA ]]-Tabla2456789[[#This Row],[IV COMPRA]]</f>
        <v>4789.9159663865539</v>
      </c>
      <c r="S33" s="11">
        <f>(Tabla2456789[[#This Row],[VENTA ]]-(Tabla2456789[[#This Row],[MONTO DE COMPRA]]+Tabla2456789[[#This Row],[DIFERENCIA IVA ]]))</f>
        <v>25210.084033613442</v>
      </c>
      <c r="T33" s="15"/>
    </row>
    <row r="34" spans="1:20" s="1" customFormat="1" x14ac:dyDescent="0.25">
      <c r="A34" s="56">
        <v>44842</v>
      </c>
      <c r="B34" s="4"/>
      <c r="C34" s="4"/>
      <c r="D34" s="4" t="s">
        <v>3403</v>
      </c>
      <c r="E34" s="1" t="s">
        <v>1434</v>
      </c>
      <c r="F34" s="1" t="s">
        <v>2446</v>
      </c>
      <c r="G34" s="154" t="s">
        <v>3505</v>
      </c>
      <c r="H34" s="15">
        <v>30000</v>
      </c>
      <c r="I34" s="15">
        <f>Tabla2456789[[#This Row],[TOTAL FACTURA]]*0.7</f>
        <v>21000</v>
      </c>
      <c r="J34" s="149">
        <f t="shared" si="0"/>
        <v>9000</v>
      </c>
      <c r="K34" s="10"/>
      <c r="L34" s="11"/>
      <c r="M34" s="11">
        <f>Tabla2456789[[#This Row],[MONTO DE COMPRA]]/1.19</f>
        <v>0</v>
      </c>
      <c r="N34" s="11">
        <f>Tabla2456789[[#This Row],[Columna1]]*19%</f>
        <v>0</v>
      </c>
      <c r="O34" s="11"/>
      <c r="P34" s="11">
        <f>Tabla2456789[[#This Row],[VENTA ]]/1.19</f>
        <v>0</v>
      </c>
      <c r="Q34" s="11">
        <f>Tabla2456789[[#This Row],[Columna2]]*19%</f>
        <v>0</v>
      </c>
      <c r="R34" s="11">
        <f>Tabla2456789[[#This Row],[IVA VENTA ]]-Tabla2456789[[#This Row],[IV COMPRA]]</f>
        <v>0</v>
      </c>
      <c r="S34" s="11">
        <f>(Tabla2456789[[#This Row],[VENTA ]]-(Tabla2456789[[#This Row],[MONTO DE COMPRA]]+Tabla2456789[[#This Row],[DIFERENCIA IVA ]]))</f>
        <v>0</v>
      </c>
      <c r="T34" s="15"/>
    </row>
    <row r="35" spans="1:20" s="1" customFormat="1" x14ac:dyDescent="0.25">
      <c r="A35" s="56">
        <v>44842</v>
      </c>
      <c r="B35" s="4"/>
      <c r="C35" s="4"/>
      <c r="D35" s="4" t="s">
        <v>3404</v>
      </c>
      <c r="E35" s="1" t="s">
        <v>3046</v>
      </c>
      <c r="F35" s="1" t="s">
        <v>2446</v>
      </c>
      <c r="G35" s="154" t="s">
        <v>341</v>
      </c>
      <c r="H35" s="15">
        <v>10000</v>
      </c>
      <c r="I35" s="15">
        <f>Tabla2456789[[#This Row],[TOTAL FACTURA]]*0.7</f>
        <v>7000</v>
      </c>
      <c r="J35" s="149">
        <f t="shared" si="0"/>
        <v>3000</v>
      </c>
      <c r="K35" s="10"/>
      <c r="L35" s="11"/>
      <c r="M35" s="11">
        <f>Tabla2456789[[#This Row],[MONTO DE COMPRA]]/1.19</f>
        <v>0</v>
      </c>
      <c r="N35" s="11">
        <f>Tabla2456789[[#This Row],[Columna1]]*19%</f>
        <v>0</v>
      </c>
      <c r="O35" s="11"/>
      <c r="P35" s="11">
        <f>Tabla2456789[[#This Row],[VENTA ]]/1.19</f>
        <v>0</v>
      </c>
      <c r="Q35" s="11">
        <f>Tabla2456789[[#This Row],[Columna2]]*19%</f>
        <v>0</v>
      </c>
      <c r="R35" s="11">
        <f>Tabla2456789[[#This Row],[IVA VENTA ]]-Tabla2456789[[#This Row],[IV COMPRA]]</f>
        <v>0</v>
      </c>
      <c r="S35" s="11">
        <f>(Tabla2456789[[#This Row],[VENTA ]]-(Tabla2456789[[#This Row],[MONTO DE COMPRA]]+Tabla2456789[[#This Row],[DIFERENCIA IVA ]]))</f>
        <v>0</v>
      </c>
      <c r="T35" s="15"/>
    </row>
    <row r="36" spans="1:20" s="1" customFormat="1" x14ac:dyDescent="0.25">
      <c r="A36" s="56">
        <v>44842</v>
      </c>
      <c r="B36" s="4" t="s">
        <v>1892</v>
      </c>
      <c r="C36" s="4" t="s">
        <v>3405</v>
      </c>
      <c r="D36" s="4" t="s">
        <v>3406</v>
      </c>
      <c r="E36" s="1" t="s">
        <v>48</v>
      </c>
      <c r="F36" s="1" t="s">
        <v>2446</v>
      </c>
      <c r="G36" s="154" t="s">
        <v>3407</v>
      </c>
      <c r="H36" s="15">
        <v>40000</v>
      </c>
      <c r="I36" s="15">
        <f>Tabla2456789[[#This Row],[TOTAL FACTURA]]*0.7</f>
        <v>28000</v>
      </c>
      <c r="J36" s="149">
        <f t="shared" si="0"/>
        <v>12000</v>
      </c>
      <c r="K36" s="10"/>
      <c r="L36" s="11"/>
      <c r="M36" s="11">
        <f>Tabla2456789[[#This Row],[MONTO DE COMPRA]]/1.19</f>
        <v>0</v>
      </c>
      <c r="N36" s="11">
        <f>Tabla2456789[[#This Row],[Columna1]]*19%</f>
        <v>0</v>
      </c>
      <c r="O36" s="11"/>
      <c r="P36" s="11">
        <f>Tabla2456789[[#This Row],[VENTA ]]/1.19</f>
        <v>0</v>
      </c>
      <c r="Q36" s="11">
        <f>Tabla2456789[[#This Row],[Columna2]]*19%</f>
        <v>0</v>
      </c>
      <c r="R36" s="11">
        <f>Tabla2456789[[#This Row],[IVA VENTA ]]-Tabla2456789[[#This Row],[IV COMPRA]]</f>
        <v>0</v>
      </c>
      <c r="S36" s="11">
        <f>(Tabla2456789[[#This Row],[VENTA ]]-(Tabla2456789[[#This Row],[MONTO DE COMPRA]]+Tabla2456789[[#This Row],[DIFERENCIA IVA ]]))</f>
        <v>0</v>
      </c>
      <c r="T36" s="15"/>
    </row>
    <row r="37" spans="1:20" s="1" customFormat="1" x14ac:dyDescent="0.25">
      <c r="A37" s="56">
        <v>44842</v>
      </c>
      <c r="B37" s="4" t="s">
        <v>3408</v>
      </c>
      <c r="C37" s="4" t="s">
        <v>3409</v>
      </c>
      <c r="D37" s="4" t="s">
        <v>3410</v>
      </c>
      <c r="E37" s="1" t="s">
        <v>64</v>
      </c>
      <c r="F37" s="1" t="s">
        <v>2446</v>
      </c>
      <c r="G37" s="154" t="s">
        <v>3411</v>
      </c>
      <c r="H37" s="15">
        <v>30000</v>
      </c>
      <c r="I37" s="15">
        <f>Tabla2456789[[#This Row],[TOTAL FACTURA]]*0.7</f>
        <v>21000</v>
      </c>
      <c r="J37" s="149">
        <f t="shared" si="0"/>
        <v>9000</v>
      </c>
      <c r="K37" s="10" t="s">
        <v>3412</v>
      </c>
      <c r="L37" s="11">
        <v>20000</v>
      </c>
      <c r="M37" s="11"/>
      <c r="N37" s="11">
        <f>Tabla2456789[[#This Row],[Columna1]]*19%</f>
        <v>0</v>
      </c>
      <c r="O37" s="11">
        <v>40000</v>
      </c>
      <c r="P37" s="11"/>
      <c r="Q37" s="11">
        <f>Tabla2456789[[#This Row],[Columna2]]*19%</f>
        <v>0</v>
      </c>
      <c r="R37" s="11">
        <f>Tabla2456789[[#This Row],[IVA VENTA ]]-Tabla2456789[[#This Row],[IV COMPRA]]</f>
        <v>0</v>
      </c>
      <c r="S37" s="11">
        <f>(Tabla2456789[[#This Row],[VENTA ]]-(Tabla2456789[[#This Row],[MONTO DE COMPRA]]+Tabla2456789[[#This Row],[DIFERENCIA IVA ]]))</f>
        <v>20000</v>
      </c>
      <c r="T37" s="15"/>
    </row>
    <row r="38" spans="1:20" s="1" customFormat="1" x14ac:dyDescent="0.25">
      <c r="A38" s="56">
        <v>44842</v>
      </c>
      <c r="B38" s="4" t="s">
        <v>3413</v>
      </c>
      <c r="C38" s="4" t="s">
        <v>3414</v>
      </c>
      <c r="D38" s="4" t="s">
        <v>3415</v>
      </c>
      <c r="E38" s="1" t="s">
        <v>200</v>
      </c>
      <c r="F38" s="1" t="s">
        <v>2446</v>
      </c>
      <c r="G38" s="154" t="s">
        <v>3416</v>
      </c>
      <c r="H38" s="15">
        <v>100000</v>
      </c>
      <c r="I38" s="15">
        <f>Tabla2456789[[#This Row],[TOTAL FACTURA]]*0.7</f>
        <v>70000</v>
      </c>
      <c r="J38" s="149">
        <f t="shared" si="0"/>
        <v>30000</v>
      </c>
      <c r="K38" s="10" t="s">
        <v>3417</v>
      </c>
      <c r="L38" s="11">
        <v>6336</v>
      </c>
      <c r="M38" s="11">
        <f>Tabla2456789[[#This Row],[MONTO DE COMPRA]]/1.19</f>
        <v>5324.3697478991598</v>
      </c>
      <c r="N38" s="11">
        <f>Tabla2456789[[#This Row],[Columna1]]*19%</f>
        <v>1011.6302521008404</v>
      </c>
      <c r="O38" s="11">
        <v>15000</v>
      </c>
      <c r="P38" s="11"/>
      <c r="Q38" s="11">
        <f>Tabla2456789[[#This Row],[Columna2]]*19%</f>
        <v>0</v>
      </c>
      <c r="R38" s="11">
        <f>Tabla2456789[[#This Row],[IVA VENTA ]]-Tabla2456789[[#This Row],[IV COMPRA]]</f>
        <v>-1011.6302521008404</v>
      </c>
      <c r="S38" s="11">
        <f>(Tabla2456789[[#This Row],[VENTA ]]-(Tabla2456789[[#This Row],[MONTO DE COMPRA]]+Tabla2456789[[#This Row],[DIFERENCIA IVA ]]))</f>
        <v>9675.6302521008402</v>
      </c>
      <c r="T38" s="15"/>
    </row>
    <row r="39" spans="1:20" s="1" customFormat="1" x14ac:dyDescent="0.25">
      <c r="A39" s="56">
        <v>44842</v>
      </c>
      <c r="B39" s="4" t="s">
        <v>3413</v>
      </c>
      <c r="C39" s="4" t="s">
        <v>3414</v>
      </c>
      <c r="D39" s="4" t="s">
        <v>3415</v>
      </c>
      <c r="E39" s="1" t="s">
        <v>200</v>
      </c>
      <c r="F39" s="1" t="s">
        <v>34</v>
      </c>
      <c r="G39" s="154" t="s">
        <v>138</v>
      </c>
      <c r="H39" s="15">
        <v>50000</v>
      </c>
      <c r="I39" s="15"/>
      <c r="J39" s="149">
        <f t="shared" si="0"/>
        <v>50000</v>
      </c>
      <c r="K39" s="10"/>
      <c r="L39" s="11"/>
      <c r="M39" s="11">
        <f>Tabla2456789[[#This Row],[MONTO DE COMPRA]]/1.19</f>
        <v>0</v>
      </c>
      <c r="N39" s="11">
        <f>Tabla2456789[[#This Row],[Columna1]]*19%</f>
        <v>0</v>
      </c>
      <c r="O39" s="11"/>
      <c r="P39" s="11">
        <f>Tabla2456789[[#This Row],[VENTA ]]/1.19</f>
        <v>0</v>
      </c>
      <c r="Q39" s="11">
        <f>Tabla2456789[[#This Row],[Columna2]]*19%</f>
        <v>0</v>
      </c>
      <c r="R39" s="11">
        <f>Tabla2456789[[#This Row],[IVA VENTA ]]-Tabla2456789[[#This Row],[IV COMPRA]]</f>
        <v>0</v>
      </c>
      <c r="S39" s="11">
        <f>(Tabla2456789[[#This Row],[VENTA ]]-(Tabla2456789[[#This Row],[MONTO DE COMPRA]]+Tabla2456789[[#This Row],[DIFERENCIA IVA ]]))</f>
        <v>0</v>
      </c>
      <c r="T39" s="15"/>
    </row>
    <row r="40" spans="1:20" s="1" customFormat="1" x14ac:dyDescent="0.25">
      <c r="A40" s="56">
        <v>44842</v>
      </c>
      <c r="B40" s="4" t="s">
        <v>3418</v>
      </c>
      <c r="C40" s="4" t="s">
        <v>3419</v>
      </c>
      <c r="D40" s="4" t="s">
        <v>3420</v>
      </c>
      <c r="E40" s="1" t="s">
        <v>3421</v>
      </c>
      <c r="F40" s="1" t="s">
        <v>2446</v>
      </c>
      <c r="G40" s="154" t="s">
        <v>3422</v>
      </c>
      <c r="H40" s="15">
        <v>60000</v>
      </c>
      <c r="I40" s="15">
        <f>Tabla2456789[[#This Row],[TOTAL FACTURA]]*0.7</f>
        <v>42000</v>
      </c>
      <c r="J40" s="149">
        <f t="shared" si="0"/>
        <v>18000</v>
      </c>
      <c r="K40" s="10" t="s">
        <v>3423</v>
      </c>
      <c r="L40" s="11">
        <v>282000</v>
      </c>
      <c r="M40" s="11">
        <f>Tabla2456789[[#This Row],[MONTO DE COMPRA]]/1.19</f>
        <v>236974.78991596639</v>
      </c>
      <c r="N40" s="11">
        <f>Tabla2456789[[#This Row],[Columna1]]*19%</f>
        <v>45025.210084033613</v>
      </c>
      <c r="O40" s="11"/>
      <c r="P40" s="11">
        <f>Tabla2456789[[#This Row],[VENTA ]]/1.19</f>
        <v>0</v>
      </c>
      <c r="Q40" s="11">
        <f>Tabla2456789[[#This Row],[Columna2]]*19%</f>
        <v>0</v>
      </c>
      <c r="R40" s="11">
        <f>Tabla2456789[[#This Row],[IVA VENTA ]]-Tabla2456789[[#This Row],[IV COMPRA]]</f>
        <v>-45025.210084033613</v>
      </c>
      <c r="S40" s="11">
        <f>(Tabla2456789[[#This Row],[VENTA ]]-(Tabla2456789[[#This Row],[MONTO DE COMPRA]]+Tabla2456789[[#This Row],[DIFERENCIA IVA ]]))</f>
        <v>-236974.78991596639</v>
      </c>
      <c r="T40" s="15"/>
    </row>
    <row r="41" spans="1:20" s="1" customFormat="1" ht="60" x14ac:dyDescent="0.25">
      <c r="A41" s="56">
        <v>44844</v>
      </c>
      <c r="B41" s="4" t="s">
        <v>3424</v>
      </c>
      <c r="C41" s="4" t="s">
        <v>3425</v>
      </c>
      <c r="D41" s="4" t="s">
        <v>3426</v>
      </c>
      <c r="E41" s="1" t="s">
        <v>1077</v>
      </c>
      <c r="F41" s="1" t="s">
        <v>2446</v>
      </c>
      <c r="G41" s="154" t="s">
        <v>3427</v>
      </c>
      <c r="H41" s="15">
        <v>130000</v>
      </c>
      <c r="I41" s="15">
        <f>Tabla2456789[[#This Row],[TOTAL FACTURA]]*0.7</f>
        <v>91000</v>
      </c>
      <c r="J41" s="149">
        <f t="shared" si="0"/>
        <v>39000</v>
      </c>
      <c r="K41" s="10" t="s">
        <v>3428</v>
      </c>
      <c r="L41" s="11">
        <f>40000+396642.38</f>
        <v>436642.38</v>
      </c>
      <c r="M41" s="11">
        <f>Tabla2456789[[#This Row],[MONTO DE COMPRA]]/1.19</f>
        <v>366926.36974789918</v>
      </c>
      <c r="N41" s="11">
        <f>Tabla2456789[[#This Row],[Columna1]]*19%</f>
        <v>69716.010252100852</v>
      </c>
      <c r="O41" s="11">
        <v>590000</v>
      </c>
      <c r="P41" s="11">
        <f>Tabla2456789[[#This Row],[VENTA ]]/1.19</f>
        <v>495798.31932773109</v>
      </c>
      <c r="Q41" s="11">
        <f>Tabla2456789[[#This Row],[Columna2]]*19%</f>
        <v>94201.680672268907</v>
      </c>
      <c r="R41" s="11">
        <f>Tabla2456789[[#This Row],[IVA VENTA ]]-Tabla2456789[[#This Row],[IV COMPRA]]</f>
        <v>24485.670420168055</v>
      </c>
      <c r="S41" s="11">
        <f>(Tabla2456789[[#This Row],[VENTA ]]-(Tabla2456789[[#This Row],[MONTO DE COMPRA]]+Tabla2456789[[#This Row],[DIFERENCIA IVA ]]))</f>
        <v>128871.94957983191</v>
      </c>
      <c r="T41" s="15"/>
    </row>
    <row r="42" spans="1:20" s="1" customFormat="1" x14ac:dyDescent="0.25">
      <c r="A42" s="56">
        <v>44844</v>
      </c>
      <c r="B42" s="4" t="s">
        <v>3429</v>
      </c>
      <c r="C42" s="4" t="s">
        <v>3430</v>
      </c>
      <c r="D42" s="4" t="s">
        <v>3431</v>
      </c>
      <c r="E42" s="1" t="s">
        <v>168</v>
      </c>
      <c r="F42" s="1" t="s">
        <v>2446</v>
      </c>
      <c r="G42" s="154" t="s">
        <v>3432</v>
      </c>
      <c r="H42" s="15">
        <v>155000</v>
      </c>
      <c r="I42" s="15">
        <f>Tabla2456789[[#This Row],[TOTAL FACTURA]]*0.7</f>
        <v>108500</v>
      </c>
      <c r="J42" s="149">
        <f t="shared" si="0"/>
        <v>46500</v>
      </c>
      <c r="K42" s="10" t="s">
        <v>3433</v>
      </c>
      <c r="L42" s="11">
        <f>190000+24200+3000+200</f>
        <v>217400</v>
      </c>
      <c r="M42" s="11">
        <f>Tabla2456789[[#This Row],[MONTO DE COMPRA]]/1.19</f>
        <v>182689.0756302521</v>
      </c>
      <c r="N42" s="11">
        <f>Tabla2456789[[#This Row],[Columna1]]*19%</f>
        <v>34710.924369747903</v>
      </c>
      <c r="O42" s="11">
        <v>301000</v>
      </c>
      <c r="P42" s="11">
        <f>Tabla2456789[[#This Row],[VENTA ]]/1.19</f>
        <v>252941.17647058825</v>
      </c>
      <c r="Q42" s="11">
        <f>Tabla2456789[[#This Row],[Columna2]]*19%</f>
        <v>48058.823529411769</v>
      </c>
      <c r="R42" s="11">
        <f>Tabla2456789[[#This Row],[IVA VENTA ]]-Tabla2456789[[#This Row],[IV COMPRA]]</f>
        <v>13347.899159663866</v>
      </c>
      <c r="S42" s="11">
        <f>(Tabla2456789[[#This Row],[VENTA ]]-(Tabla2456789[[#This Row],[MONTO DE COMPRA]]+Tabla2456789[[#This Row],[DIFERENCIA IVA ]]))</f>
        <v>70252.100840336119</v>
      </c>
      <c r="T42" s="15"/>
    </row>
    <row r="43" spans="1:20" s="1" customFormat="1" x14ac:dyDescent="0.25">
      <c r="A43" s="56">
        <v>44844</v>
      </c>
      <c r="B43" s="4" t="s">
        <v>3434</v>
      </c>
      <c r="C43" s="4" t="s">
        <v>2037</v>
      </c>
      <c r="D43" s="4" t="s">
        <v>3400</v>
      </c>
      <c r="E43" s="1" t="s">
        <v>1077</v>
      </c>
      <c r="F43" s="1" t="s">
        <v>2446</v>
      </c>
      <c r="G43" s="154" t="s">
        <v>3435</v>
      </c>
      <c r="H43" s="15">
        <v>150000</v>
      </c>
      <c r="I43" s="15">
        <f>Tabla2456789[[#This Row],[TOTAL FACTURA]]*0.7</f>
        <v>105000</v>
      </c>
      <c r="J43" s="149">
        <f t="shared" si="0"/>
        <v>45000</v>
      </c>
      <c r="K43" s="10"/>
      <c r="L43" s="11"/>
      <c r="M43" s="11">
        <f>Tabla2456789[[#This Row],[MONTO DE COMPRA]]/1.19</f>
        <v>0</v>
      </c>
      <c r="N43" s="11">
        <f>Tabla2456789[[#This Row],[Columna1]]*19%</f>
        <v>0</v>
      </c>
      <c r="O43" s="11"/>
      <c r="P43" s="11">
        <f>Tabla2456789[[#This Row],[VENTA ]]/1.19</f>
        <v>0</v>
      </c>
      <c r="Q43" s="11">
        <f>Tabla2456789[[#This Row],[Columna2]]*19%</f>
        <v>0</v>
      </c>
      <c r="R43" s="11">
        <f>Tabla2456789[[#This Row],[IVA VENTA ]]-Tabla2456789[[#This Row],[IV COMPRA]]</f>
        <v>0</v>
      </c>
      <c r="S43" s="11">
        <f>(Tabla2456789[[#This Row],[VENTA ]]-(Tabla2456789[[#This Row],[MONTO DE COMPRA]]+Tabla2456789[[#This Row],[DIFERENCIA IVA ]]))</f>
        <v>0</v>
      </c>
      <c r="T43" s="15"/>
    </row>
    <row r="44" spans="1:20" s="1" customFormat="1" ht="30" x14ac:dyDescent="0.25">
      <c r="A44" s="56">
        <v>44844</v>
      </c>
      <c r="B44" s="4"/>
      <c r="C44" s="4" t="s">
        <v>215</v>
      </c>
      <c r="D44" s="4" t="s">
        <v>1610</v>
      </c>
      <c r="F44" s="1" t="s">
        <v>2446</v>
      </c>
      <c r="G44" s="154" t="s">
        <v>3436</v>
      </c>
      <c r="H44" s="15">
        <v>37000</v>
      </c>
      <c r="I44" s="15">
        <f>Tabla2456789[[#This Row],[TOTAL FACTURA]]*0.7</f>
        <v>25900</v>
      </c>
      <c r="J44" s="149">
        <f t="shared" si="0"/>
        <v>11100</v>
      </c>
      <c r="K44" s="10"/>
      <c r="L44" s="11"/>
      <c r="M44" s="11">
        <f>Tabla2456789[[#This Row],[MONTO DE COMPRA]]/1.19</f>
        <v>0</v>
      </c>
      <c r="N44" s="11">
        <f>Tabla2456789[[#This Row],[Columna1]]*19%</f>
        <v>0</v>
      </c>
      <c r="O44" s="11"/>
      <c r="P44" s="11">
        <f>Tabla2456789[[#This Row],[VENTA ]]/1.19</f>
        <v>0</v>
      </c>
      <c r="Q44" s="11">
        <f>Tabla2456789[[#This Row],[Columna2]]*19%</f>
        <v>0</v>
      </c>
      <c r="R44" s="11">
        <f>Tabla2456789[[#This Row],[IVA VENTA ]]-Tabla2456789[[#This Row],[IV COMPRA]]</f>
        <v>0</v>
      </c>
      <c r="S44" s="11">
        <f>(Tabla2456789[[#This Row],[VENTA ]]-(Tabla2456789[[#This Row],[MONTO DE COMPRA]]+Tabla2456789[[#This Row],[DIFERENCIA IVA ]]))</f>
        <v>0</v>
      </c>
      <c r="T44" s="15"/>
    </row>
    <row r="45" spans="1:20" s="1" customFormat="1" x14ac:dyDescent="0.25">
      <c r="A45" s="56">
        <v>44844</v>
      </c>
      <c r="B45" s="4"/>
      <c r="C45" s="4"/>
      <c r="D45" s="4" t="s">
        <v>3258</v>
      </c>
      <c r="E45" s="1" t="s">
        <v>2720</v>
      </c>
      <c r="F45" s="1" t="s">
        <v>3437</v>
      </c>
      <c r="G45" s="154" t="s">
        <v>3438</v>
      </c>
      <c r="H45" s="15">
        <v>30000</v>
      </c>
      <c r="I45" s="15">
        <f>Tabla2456789[[#This Row],[TOTAL FACTURA]]*0.5</f>
        <v>15000</v>
      </c>
      <c r="J45" s="149">
        <f t="shared" si="0"/>
        <v>15000</v>
      </c>
      <c r="K45" s="10"/>
      <c r="L45" s="11"/>
      <c r="M45" s="11">
        <f>Tabla2456789[[#This Row],[MONTO DE COMPRA]]/1.19</f>
        <v>0</v>
      </c>
      <c r="N45" s="11">
        <f>Tabla2456789[[#This Row],[Columna1]]*19%</f>
        <v>0</v>
      </c>
      <c r="O45" s="11"/>
      <c r="P45" s="11">
        <f>Tabla2456789[[#This Row],[VENTA ]]/1.19</f>
        <v>0</v>
      </c>
      <c r="Q45" s="11">
        <f>Tabla2456789[[#This Row],[Columna2]]*19%</f>
        <v>0</v>
      </c>
      <c r="R45" s="11">
        <f>Tabla2456789[[#This Row],[IVA VENTA ]]-Tabla2456789[[#This Row],[IV COMPRA]]</f>
        <v>0</v>
      </c>
      <c r="S45" s="11">
        <f>(Tabla2456789[[#This Row],[VENTA ]]-(Tabla2456789[[#This Row],[MONTO DE COMPRA]]+Tabla2456789[[#This Row],[DIFERENCIA IVA ]]))</f>
        <v>0</v>
      </c>
      <c r="T45" s="15"/>
    </row>
    <row r="46" spans="1:20" s="1" customFormat="1" x14ac:dyDescent="0.25">
      <c r="A46" s="56">
        <v>44845</v>
      </c>
      <c r="B46" s="4"/>
      <c r="C46" s="4"/>
      <c r="D46" s="4" t="s">
        <v>3439</v>
      </c>
      <c r="E46" s="1" t="s">
        <v>2720</v>
      </c>
      <c r="F46" s="1" t="s">
        <v>2446</v>
      </c>
      <c r="G46" s="154" t="s">
        <v>565</v>
      </c>
      <c r="H46" s="15">
        <v>15000</v>
      </c>
      <c r="I46" s="15">
        <f>Tabla2456789[[#This Row],[TOTAL FACTURA]]*0.7</f>
        <v>10500</v>
      </c>
      <c r="J46" s="149">
        <f t="shared" si="0"/>
        <v>4500</v>
      </c>
      <c r="K46" s="10" t="s">
        <v>230</v>
      </c>
      <c r="L46" s="11">
        <v>20000</v>
      </c>
      <c r="M46" s="11"/>
      <c r="N46" s="11">
        <f>Tabla2456789[[#This Row],[Columna1]]*19%</f>
        <v>0</v>
      </c>
      <c r="O46" s="11">
        <v>40000</v>
      </c>
      <c r="P46" s="11"/>
      <c r="Q46" s="11">
        <f>Tabla2456789[[#This Row],[Columna2]]*19%</f>
        <v>0</v>
      </c>
      <c r="R46" s="11">
        <f>Tabla2456789[[#This Row],[IVA VENTA ]]-Tabla2456789[[#This Row],[IV COMPRA]]</f>
        <v>0</v>
      </c>
      <c r="S46" s="11">
        <f>(Tabla2456789[[#This Row],[VENTA ]]-(Tabla2456789[[#This Row],[MONTO DE COMPRA]]+Tabla2456789[[#This Row],[DIFERENCIA IVA ]]))</f>
        <v>20000</v>
      </c>
      <c r="T46" s="15"/>
    </row>
    <row r="47" spans="1:20" s="1" customFormat="1" x14ac:dyDescent="0.25">
      <c r="A47" s="56">
        <v>44845</v>
      </c>
      <c r="B47" s="4" t="s">
        <v>3440</v>
      </c>
      <c r="C47" s="4" t="s">
        <v>3441</v>
      </c>
      <c r="D47" s="4" t="s">
        <v>3442</v>
      </c>
      <c r="E47" s="1" t="s">
        <v>52</v>
      </c>
      <c r="F47" s="1" t="s">
        <v>2446</v>
      </c>
      <c r="G47" s="154" t="s">
        <v>3443</v>
      </c>
      <c r="H47" s="15">
        <v>35000</v>
      </c>
      <c r="I47" s="15">
        <f>Tabla2456789[[#This Row],[TOTAL FACTURA]]*0.7</f>
        <v>24500</v>
      </c>
      <c r="J47" s="149">
        <f t="shared" si="0"/>
        <v>10500</v>
      </c>
      <c r="K47" s="10" t="s">
        <v>3444</v>
      </c>
      <c r="L47" s="11">
        <f>76000+7000</f>
        <v>83000</v>
      </c>
      <c r="M47" s="11">
        <f>Tabla2456789[[#This Row],[MONTO DE COMPRA]]/1.19</f>
        <v>69747.899159663866</v>
      </c>
      <c r="N47" s="11">
        <f>Tabla2456789[[#This Row],[Columna1]]*19%</f>
        <v>13252.100840336134</v>
      </c>
      <c r="O47" s="11">
        <v>125000</v>
      </c>
      <c r="P47" s="11">
        <f>Tabla2456789[[#This Row],[VENTA ]]/1.19</f>
        <v>105042.01680672269</v>
      </c>
      <c r="Q47" s="11">
        <f>Tabla2456789[[#This Row],[Columna2]]*19%</f>
        <v>19957.983193277312</v>
      </c>
      <c r="R47" s="11">
        <f>Tabla2456789[[#This Row],[IVA VENTA ]]-Tabla2456789[[#This Row],[IV COMPRA]]</f>
        <v>6705.8823529411784</v>
      </c>
      <c r="S47" s="11">
        <f>(Tabla2456789[[#This Row],[VENTA ]]-(Tabla2456789[[#This Row],[MONTO DE COMPRA]]+Tabla2456789[[#This Row],[DIFERENCIA IVA ]]))</f>
        <v>35294.117647058825</v>
      </c>
      <c r="T47" s="15"/>
    </row>
    <row r="48" spans="1:20" s="1" customFormat="1" ht="44.25" customHeight="1" x14ac:dyDescent="0.25">
      <c r="A48" s="56">
        <v>44845</v>
      </c>
      <c r="B48" s="4" t="s">
        <v>3446</v>
      </c>
      <c r="C48" s="4" t="s">
        <v>3445</v>
      </c>
      <c r="D48" s="4" t="s">
        <v>3447</v>
      </c>
      <c r="E48" s="1" t="s">
        <v>435</v>
      </c>
      <c r="F48" s="1" t="s">
        <v>2446</v>
      </c>
      <c r="G48" s="154" t="s">
        <v>3448</v>
      </c>
      <c r="H48" s="15">
        <v>60000</v>
      </c>
      <c r="I48" s="15">
        <f>Tabla2456789[[#This Row],[TOTAL FACTURA]]*0.7</f>
        <v>42000</v>
      </c>
      <c r="J48" s="149">
        <f t="shared" si="0"/>
        <v>18000</v>
      </c>
      <c r="K48" s="10"/>
      <c r="L48" s="11"/>
      <c r="M48" s="11">
        <f>Tabla2456789[[#This Row],[MONTO DE COMPRA]]/1.19</f>
        <v>0</v>
      </c>
      <c r="N48" s="11">
        <f>Tabla2456789[[#This Row],[Columna1]]*19%</f>
        <v>0</v>
      </c>
      <c r="O48" s="11"/>
      <c r="P48" s="11">
        <f>Tabla2456789[[#This Row],[VENTA ]]/1.19</f>
        <v>0</v>
      </c>
      <c r="Q48" s="11">
        <f>Tabla2456789[[#This Row],[Columna2]]*19%</f>
        <v>0</v>
      </c>
      <c r="R48" s="11">
        <f>Tabla2456789[[#This Row],[IVA VENTA ]]-Tabla2456789[[#This Row],[IV COMPRA]]</f>
        <v>0</v>
      </c>
      <c r="S48" s="11">
        <f>(Tabla2456789[[#This Row],[VENTA ]]-(Tabla2456789[[#This Row],[MONTO DE COMPRA]]+Tabla2456789[[#This Row],[DIFERENCIA IVA ]]))</f>
        <v>0</v>
      </c>
      <c r="T48" s="15"/>
    </row>
    <row r="49" spans="1:20" s="1" customFormat="1" x14ac:dyDescent="0.25">
      <c r="A49" s="56">
        <v>44845</v>
      </c>
      <c r="B49" s="4"/>
      <c r="C49" s="4"/>
      <c r="D49" s="4" t="s">
        <v>3449</v>
      </c>
      <c r="E49" s="1" t="s">
        <v>122</v>
      </c>
      <c r="F49" s="1" t="s">
        <v>3437</v>
      </c>
      <c r="G49" s="154" t="s">
        <v>3438</v>
      </c>
      <c r="H49" s="15">
        <v>55000</v>
      </c>
      <c r="I49" s="15">
        <f>Tabla2456789[[#This Row],[TOTAL FACTURA]]*0.5</f>
        <v>27500</v>
      </c>
      <c r="J49" s="149">
        <f t="shared" si="0"/>
        <v>27500</v>
      </c>
      <c r="K49" s="10"/>
      <c r="L49" s="11"/>
      <c r="M49" s="11">
        <f>Tabla2456789[[#This Row],[MONTO DE COMPRA]]/1.19</f>
        <v>0</v>
      </c>
      <c r="N49" s="11">
        <f>Tabla2456789[[#This Row],[Columna1]]*19%</f>
        <v>0</v>
      </c>
      <c r="O49" s="11"/>
      <c r="P49" s="11">
        <f>Tabla2456789[[#This Row],[VENTA ]]/1.19</f>
        <v>0</v>
      </c>
      <c r="Q49" s="11">
        <f>Tabla2456789[[#This Row],[Columna2]]*19%</f>
        <v>0</v>
      </c>
      <c r="R49" s="11">
        <f>Tabla2456789[[#This Row],[IVA VENTA ]]-Tabla2456789[[#This Row],[IV COMPRA]]</f>
        <v>0</v>
      </c>
      <c r="S49" s="11">
        <f>(Tabla2456789[[#This Row],[VENTA ]]-(Tabla2456789[[#This Row],[MONTO DE COMPRA]]+Tabla2456789[[#This Row],[DIFERENCIA IVA ]]))</f>
        <v>0</v>
      </c>
      <c r="T49" s="15"/>
    </row>
    <row r="50" spans="1:20" s="1" customFormat="1" x14ac:dyDescent="0.25">
      <c r="A50" s="56">
        <v>44845</v>
      </c>
      <c r="B50" s="4" t="s">
        <v>3450</v>
      </c>
      <c r="C50" s="4" t="s">
        <v>3451</v>
      </c>
      <c r="D50" s="4" t="s">
        <v>3452</v>
      </c>
      <c r="E50" s="1" t="s">
        <v>1077</v>
      </c>
      <c r="F50" s="1" t="s">
        <v>2446</v>
      </c>
      <c r="G50" s="154" t="s">
        <v>3453</v>
      </c>
      <c r="H50" s="15">
        <v>60000</v>
      </c>
      <c r="I50" s="15">
        <f>Tabla2456789[[#This Row],[TOTAL FACTURA]]*0.7</f>
        <v>42000</v>
      </c>
      <c r="J50" s="149">
        <f t="shared" si="0"/>
        <v>18000</v>
      </c>
      <c r="K50" s="10" t="s">
        <v>3454</v>
      </c>
      <c r="L50" s="11">
        <v>110000</v>
      </c>
      <c r="M50" s="11">
        <f>Tabla2456789[[#This Row],[MONTO DE COMPRA]]/1.19</f>
        <v>92436.97478991597</v>
      </c>
      <c r="N50" s="11">
        <f>Tabla2456789[[#This Row],[Columna1]]*19%</f>
        <v>17563.025210084033</v>
      </c>
      <c r="O50" s="11">
        <v>140000</v>
      </c>
      <c r="P50" s="11">
        <f>Tabla2456789[[#This Row],[VENTA ]]/1.19</f>
        <v>117647.05882352941</v>
      </c>
      <c r="Q50" s="11">
        <f>Tabla2456789[[#This Row],[Columna2]]*19%</f>
        <v>22352.941176470587</v>
      </c>
      <c r="R50" s="11">
        <f>Tabla2456789[[#This Row],[IVA VENTA ]]-Tabla2456789[[#This Row],[IV COMPRA]]</f>
        <v>4789.9159663865539</v>
      </c>
      <c r="S50" s="11">
        <f>(Tabla2456789[[#This Row],[VENTA ]]-(Tabla2456789[[#This Row],[MONTO DE COMPRA]]+Tabla2456789[[#This Row],[DIFERENCIA IVA ]]))</f>
        <v>25210.084033613442</v>
      </c>
      <c r="T50" s="15"/>
    </row>
    <row r="51" spans="1:20" s="1" customFormat="1" x14ac:dyDescent="0.25">
      <c r="A51" s="56">
        <v>44846</v>
      </c>
      <c r="B51" s="4" t="s">
        <v>3455</v>
      </c>
      <c r="C51" s="4" t="s">
        <v>3456</v>
      </c>
      <c r="D51" s="4" t="s">
        <v>3457</v>
      </c>
      <c r="E51" s="1" t="s">
        <v>637</v>
      </c>
      <c r="F51" s="1" t="s">
        <v>2446</v>
      </c>
      <c r="G51" s="154" t="s">
        <v>3458</v>
      </c>
      <c r="H51" s="15">
        <v>110000</v>
      </c>
      <c r="I51" s="15">
        <f>Tabla2456789[[#This Row],[TOTAL FACTURA]]*0.7</f>
        <v>77000</v>
      </c>
      <c r="J51" s="149">
        <f t="shared" si="0"/>
        <v>33000</v>
      </c>
      <c r="K51" s="10"/>
      <c r="L51" s="11"/>
      <c r="M51" s="11">
        <f>Tabla2456789[[#This Row],[MONTO DE COMPRA]]/1.19</f>
        <v>0</v>
      </c>
      <c r="N51" s="11">
        <f>Tabla2456789[[#This Row],[Columna1]]*19%</f>
        <v>0</v>
      </c>
      <c r="O51" s="11"/>
      <c r="P51" s="11">
        <f>Tabla2456789[[#This Row],[VENTA ]]/1.19</f>
        <v>0</v>
      </c>
      <c r="Q51" s="11">
        <f>Tabla2456789[[#This Row],[Columna2]]*19%</f>
        <v>0</v>
      </c>
      <c r="R51" s="11">
        <f>Tabla2456789[[#This Row],[IVA VENTA ]]-Tabla2456789[[#This Row],[IV COMPRA]]</f>
        <v>0</v>
      </c>
      <c r="S51" s="11">
        <f>(Tabla2456789[[#This Row],[VENTA ]]-(Tabla2456789[[#This Row],[MONTO DE COMPRA]]+Tabla2456789[[#This Row],[DIFERENCIA IVA ]]))</f>
        <v>0</v>
      </c>
      <c r="T51" s="15"/>
    </row>
    <row r="52" spans="1:20" s="1" customFormat="1" x14ac:dyDescent="0.25">
      <c r="A52" s="56">
        <v>44846</v>
      </c>
      <c r="B52" s="4"/>
      <c r="C52" s="4"/>
      <c r="D52" s="4" t="s">
        <v>3459</v>
      </c>
      <c r="E52" s="1" t="s">
        <v>3460</v>
      </c>
      <c r="F52" s="1" t="s">
        <v>3437</v>
      </c>
      <c r="G52" s="154" t="s">
        <v>3461</v>
      </c>
      <c r="H52" s="15">
        <v>110000</v>
      </c>
      <c r="I52" s="15">
        <f>Tabla2456789[[#This Row],[TOTAL FACTURA]]*0.5</f>
        <v>55000</v>
      </c>
      <c r="J52" s="149">
        <f t="shared" si="0"/>
        <v>55000</v>
      </c>
      <c r="K52" s="10"/>
      <c r="L52" s="11"/>
      <c r="M52" s="11">
        <f>Tabla2456789[[#This Row],[MONTO DE COMPRA]]/1.19</f>
        <v>0</v>
      </c>
      <c r="N52" s="11">
        <f>Tabla2456789[[#This Row],[Columna1]]*19%</f>
        <v>0</v>
      </c>
      <c r="O52" s="11"/>
      <c r="P52" s="11">
        <f>Tabla2456789[[#This Row],[VENTA ]]/1.19</f>
        <v>0</v>
      </c>
      <c r="Q52" s="11">
        <f>Tabla2456789[[#This Row],[Columna2]]*19%</f>
        <v>0</v>
      </c>
      <c r="R52" s="11">
        <f>Tabla2456789[[#This Row],[IVA VENTA ]]-Tabla2456789[[#This Row],[IV COMPRA]]</f>
        <v>0</v>
      </c>
      <c r="S52" s="11">
        <f>(Tabla2456789[[#This Row],[VENTA ]]-(Tabla2456789[[#This Row],[MONTO DE COMPRA]]+Tabla2456789[[#This Row],[DIFERENCIA IVA ]]))</f>
        <v>0</v>
      </c>
      <c r="T52" s="15"/>
    </row>
    <row r="53" spans="1:20" s="1" customFormat="1" ht="30" x14ac:dyDescent="0.25">
      <c r="A53" s="56">
        <v>44846</v>
      </c>
      <c r="B53" s="4" t="s">
        <v>3462</v>
      </c>
      <c r="C53" s="4" t="s">
        <v>3463</v>
      </c>
      <c r="D53" s="4" t="s">
        <v>3464</v>
      </c>
      <c r="E53" s="1" t="s">
        <v>240</v>
      </c>
      <c r="F53" s="1" t="s">
        <v>16</v>
      </c>
      <c r="G53" s="154" t="s">
        <v>3465</v>
      </c>
      <c r="H53" s="15">
        <v>80000</v>
      </c>
      <c r="I53" s="15">
        <v>60000</v>
      </c>
      <c r="J53" s="149">
        <f t="shared" si="0"/>
        <v>20000</v>
      </c>
      <c r="K53" s="10" t="s">
        <v>3466</v>
      </c>
      <c r="L53" s="11">
        <v>21000</v>
      </c>
      <c r="M53" s="11">
        <f>Tabla2456789[[#This Row],[MONTO DE COMPRA]]/1.19</f>
        <v>17647.058823529413</v>
      </c>
      <c r="N53" s="11">
        <f>Tabla2456789[[#This Row],[Columna1]]*19%</f>
        <v>3352.9411764705883</v>
      </c>
      <c r="O53" s="11">
        <v>28000</v>
      </c>
      <c r="P53" s="11">
        <f>Tabla2456789[[#This Row],[VENTA ]]/1.19</f>
        <v>23529.411764705885</v>
      </c>
      <c r="Q53" s="11">
        <f>Tabla2456789[[#This Row],[Columna2]]*19%</f>
        <v>4470.588235294118</v>
      </c>
      <c r="R53" s="11">
        <f>Tabla2456789[[#This Row],[IVA VENTA ]]-Tabla2456789[[#This Row],[IV COMPRA]]</f>
        <v>1117.6470588235297</v>
      </c>
      <c r="S53" s="11">
        <f>(Tabla2456789[[#This Row],[VENTA ]]-(Tabla2456789[[#This Row],[MONTO DE COMPRA]]+Tabla2456789[[#This Row],[DIFERENCIA IVA ]]))</f>
        <v>5882.3529411764684</v>
      </c>
      <c r="T53" s="15"/>
    </row>
    <row r="54" spans="1:20" s="1" customFormat="1" ht="30" x14ac:dyDescent="0.25">
      <c r="A54" s="56">
        <v>44847</v>
      </c>
      <c r="B54" s="4"/>
      <c r="C54" s="4"/>
      <c r="D54" s="4" t="s">
        <v>3467</v>
      </c>
      <c r="E54" s="1" t="s">
        <v>2006</v>
      </c>
      <c r="F54" s="1" t="s">
        <v>3437</v>
      </c>
      <c r="G54" s="154" t="s">
        <v>3468</v>
      </c>
      <c r="H54" s="15">
        <v>230000</v>
      </c>
      <c r="I54" s="15">
        <f>Tabla2456789[[#This Row],[TOTAL FACTURA]]*0.5</f>
        <v>115000</v>
      </c>
      <c r="J54" s="149">
        <f t="shared" si="0"/>
        <v>115000</v>
      </c>
      <c r="K54" s="10"/>
      <c r="L54" s="11"/>
      <c r="M54" s="11">
        <f>Tabla2456789[[#This Row],[MONTO DE COMPRA]]/1.19</f>
        <v>0</v>
      </c>
      <c r="N54" s="11">
        <f>Tabla2456789[[#This Row],[Columna1]]*19%</f>
        <v>0</v>
      </c>
      <c r="O54" s="11"/>
      <c r="P54" s="11">
        <f>Tabla2456789[[#This Row],[VENTA ]]/1.19</f>
        <v>0</v>
      </c>
      <c r="Q54" s="11">
        <f>Tabla2456789[[#This Row],[Columna2]]*19%</f>
        <v>0</v>
      </c>
      <c r="R54" s="11">
        <f>Tabla2456789[[#This Row],[IVA VENTA ]]-Tabla2456789[[#This Row],[IV COMPRA]]</f>
        <v>0</v>
      </c>
      <c r="S54" s="11">
        <f>(Tabla2456789[[#This Row],[VENTA ]]-(Tabla2456789[[#This Row],[MONTO DE COMPRA]]+Tabla2456789[[#This Row],[DIFERENCIA IVA ]]))</f>
        <v>0</v>
      </c>
      <c r="T54" s="15"/>
    </row>
    <row r="55" spans="1:20" s="1" customFormat="1" x14ac:dyDescent="0.25">
      <c r="A55" s="56">
        <v>44847</v>
      </c>
      <c r="B55" s="4"/>
      <c r="C55" s="4"/>
      <c r="D55" s="4" t="s">
        <v>3469</v>
      </c>
      <c r="E55" s="1" t="s">
        <v>84</v>
      </c>
      <c r="F55" s="1" t="s">
        <v>2446</v>
      </c>
      <c r="G55" s="154" t="s">
        <v>21</v>
      </c>
      <c r="H55" s="15">
        <v>10000</v>
      </c>
      <c r="I55" s="15">
        <f>Tabla2456789[[#This Row],[TOTAL FACTURA]]*0.7</f>
        <v>7000</v>
      </c>
      <c r="J55" s="149">
        <f t="shared" si="0"/>
        <v>3000</v>
      </c>
      <c r="K55" s="10"/>
      <c r="L55" s="11"/>
      <c r="M55" s="11">
        <f>Tabla2456789[[#This Row],[MONTO DE COMPRA]]/1.19</f>
        <v>0</v>
      </c>
      <c r="N55" s="11">
        <f>Tabla2456789[[#This Row],[Columna1]]*19%</f>
        <v>0</v>
      </c>
      <c r="O55" s="11"/>
      <c r="P55" s="11">
        <f>Tabla2456789[[#This Row],[VENTA ]]/1.19</f>
        <v>0</v>
      </c>
      <c r="Q55" s="11">
        <f>Tabla2456789[[#This Row],[Columna2]]*19%</f>
        <v>0</v>
      </c>
      <c r="R55" s="11">
        <f>Tabla2456789[[#This Row],[IVA VENTA ]]-Tabla2456789[[#This Row],[IV COMPRA]]</f>
        <v>0</v>
      </c>
      <c r="S55" s="11">
        <f>(Tabla2456789[[#This Row],[VENTA ]]-(Tabla2456789[[#This Row],[MONTO DE COMPRA]]+Tabla2456789[[#This Row],[DIFERENCIA IVA ]]))</f>
        <v>0</v>
      </c>
      <c r="T55" s="15"/>
    </row>
    <row r="56" spans="1:20" s="1" customFormat="1" x14ac:dyDescent="0.25">
      <c r="A56" s="56">
        <v>44847</v>
      </c>
      <c r="B56" s="4"/>
      <c r="C56" s="4"/>
      <c r="D56" s="1" t="s">
        <v>1389</v>
      </c>
      <c r="E56" s="1" t="s">
        <v>1077</v>
      </c>
      <c r="F56" s="1" t="s">
        <v>2446</v>
      </c>
      <c r="G56" s="154" t="s">
        <v>3470</v>
      </c>
      <c r="H56" s="15">
        <v>30000</v>
      </c>
      <c r="I56" s="15">
        <f>Tabla2456789[[#This Row],[TOTAL FACTURA]]*0.7</f>
        <v>21000</v>
      </c>
      <c r="J56" s="149">
        <f t="shared" si="0"/>
        <v>9000</v>
      </c>
      <c r="K56" s="10"/>
      <c r="L56" s="11"/>
      <c r="M56" s="11">
        <f>Tabla2456789[[#This Row],[MONTO DE COMPRA]]/1.19</f>
        <v>0</v>
      </c>
      <c r="N56" s="11">
        <f>Tabla2456789[[#This Row],[Columna1]]*19%</f>
        <v>0</v>
      </c>
      <c r="O56" s="11"/>
      <c r="P56" s="11">
        <f>Tabla2456789[[#This Row],[VENTA ]]/1.19</f>
        <v>0</v>
      </c>
      <c r="Q56" s="11">
        <f>Tabla2456789[[#This Row],[Columna2]]*19%</f>
        <v>0</v>
      </c>
      <c r="R56" s="11">
        <f>Tabla2456789[[#This Row],[IVA VENTA ]]-Tabla2456789[[#This Row],[IV COMPRA]]</f>
        <v>0</v>
      </c>
      <c r="S56" s="11">
        <f>(Tabla2456789[[#This Row],[VENTA ]]-(Tabla2456789[[#This Row],[MONTO DE COMPRA]]+Tabla2456789[[#This Row],[DIFERENCIA IVA ]]))</f>
        <v>0</v>
      </c>
      <c r="T56" s="15"/>
    </row>
    <row r="57" spans="1:20" s="1" customFormat="1" x14ac:dyDescent="0.25">
      <c r="A57" s="56">
        <v>44847</v>
      </c>
      <c r="B57" s="4"/>
      <c r="C57" s="4"/>
      <c r="D57" s="4" t="s">
        <v>3288</v>
      </c>
      <c r="E57" s="1" t="s">
        <v>1414</v>
      </c>
      <c r="F57" s="1" t="s">
        <v>34</v>
      </c>
      <c r="G57" s="154" t="s">
        <v>138</v>
      </c>
      <c r="H57" s="15">
        <v>50000</v>
      </c>
      <c r="I57" s="15"/>
      <c r="J57" s="149">
        <v>50000</v>
      </c>
      <c r="K57" s="10"/>
      <c r="L57" s="11"/>
      <c r="M57" s="11">
        <f>Tabla2456789[[#This Row],[MONTO DE COMPRA]]/1.19</f>
        <v>0</v>
      </c>
      <c r="N57" s="11">
        <f>Tabla2456789[[#This Row],[Columna1]]*19%</f>
        <v>0</v>
      </c>
      <c r="O57" s="11"/>
      <c r="P57" s="11">
        <f>Tabla2456789[[#This Row],[VENTA ]]/1.19</f>
        <v>0</v>
      </c>
      <c r="Q57" s="11">
        <f>Tabla2456789[[#This Row],[Columna2]]*19%</f>
        <v>0</v>
      </c>
      <c r="R57" s="11">
        <f>Tabla2456789[[#This Row],[IVA VENTA ]]-Tabla2456789[[#This Row],[IV COMPRA]]</f>
        <v>0</v>
      </c>
      <c r="S57" s="11">
        <f>(Tabla2456789[[#This Row],[VENTA ]]-(Tabla2456789[[#This Row],[MONTO DE COMPRA]]+Tabla2456789[[#This Row],[DIFERENCIA IVA ]]))</f>
        <v>0</v>
      </c>
      <c r="T57" s="15"/>
    </row>
    <row r="58" spans="1:20" s="1" customFormat="1" x14ac:dyDescent="0.25">
      <c r="A58" s="56">
        <v>44847</v>
      </c>
      <c r="B58" s="4"/>
      <c r="C58" s="4"/>
      <c r="D58" s="4" t="s">
        <v>3471</v>
      </c>
      <c r="E58" s="1" t="s">
        <v>1756</v>
      </c>
      <c r="F58" s="1" t="s">
        <v>2446</v>
      </c>
      <c r="G58" s="154" t="s">
        <v>3472</v>
      </c>
      <c r="H58" s="15">
        <v>30000</v>
      </c>
      <c r="I58" s="15">
        <f>Tabla2456789[[#This Row],[TOTAL FACTURA]]*0.7</f>
        <v>21000</v>
      </c>
      <c r="J58" s="149">
        <f t="shared" si="0"/>
        <v>9000</v>
      </c>
      <c r="K58" s="10"/>
      <c r="L58" s="11"/>
      <c r="M58" s="11">
        <f>Tabla2456789[[#This Row],[MONTO DE COMPRA]]/1.19</f>
        <v>0</v>
      </c>
      <c r="N58" s="11">
        <f>Tabla2456789[[#This Row],[Columna1]]*19%</f>
        <v>0</v>
      </c>
      <c r="O58" s="11"/>
      <c r="P58" s="11">
        <f>Tabla2456789[[#This Row],[VENTA ]]/1.19</f>
        <v>0</v>
      </c>
      <c r="Q58" s="11">
        <f>Tabla2456789[[#This Row],[Columna2]]*19%</f>
        <v>0</v>
      </c>
      <c r="R58" s="11">
        <f>Tabla2456789[[#This Row],[IVA VENTA ]]-Tabla2456789[[#This Row],[IV COMPRA]]</f>
        <v>0</v>
      </c>
      <c r="S58" s="11">
        <f>(Tabla2456789[[#This Row],[VENTA ]]-(Tabla2456789[[#This Row],[MONTO DE COMPRA]]+Tabla2456789[[#This Row],[DIFERENCIA IVA ]]))</f>
        <v>0</v>
      </c>
      <c r="T58" s="15"/>
    </row>
    <row r="59" spans="1:20" s="1" customFormat="1" x14ac:dyDescent="0.25">
      <c r="A59" s="56">
        <v>44847</v>
      </c>
      <c r="B59" s="4" t="s">
        <v>3474</v>
      </c>
      <c r="C59" s="4" t="s">
        <v>3473</v>
      </c>
      <c r="D59" s="4" t="s">
        <v>3475</v>
      </c>
      <c r="E59" s="1" t="s">
        <v>637</v>
      </c>
      <c r="F59" s="1" t="s">
        <v>2446</v>
      </c>
      <c r="G59" s="154" t="s">
        <v>2645</v>
      </c>
      <c r="H59" s="15">
        <v>30000</v>
      </c>
      <c r="I59" s="15">
        <f>Tabla2456789[[#This Row],[TOTAL FACTURA]]*0.7</f>
        <v>21000</v>
      </c>
      <c r="J59" s="149">
        <f t="shared" si="0"/>
        <v>9000</v>
      </c>
      <c r="K59" s="10" t="s">
        <v>2727</v>
      </c>
      <c r="L59" s="11">
        <v>118000</v>
      </c>
      <c r="M59" s="11">
        <f>Tabla2456789[[#This Row],[MONTO DE COMPRA]]/1.19</f>
        <v>99159.663865546216</v>
      </c>
      <c r="N59" s="11">
        <f>Tabla2456789[[#This Row],[Columna1]]*19%</f>
        <v>18840.336134453781</v>
      </c>
      <c r="O59" s="11">
        <v>165000</v>
      </c>
      <c r="P59" s="11">
        <f>Tabla2456789[[#This Row],[VENTA ]]/1.19</f>
        <v>138655.46218487396</v>
      </c>
      <c r="Q59" s="11">
        <f>Tabla2456789[[#This Row],[Columna2]]*19%</f>
        <v>26344.537815126052</v>
      </c>
      <c r="R59" s="11">
        <f>Tabla2456789[[#This Row],[IVA VENTA ]]-Tabla2456789[[#This Row],[IV COMPRA]]</f>
        <v>7504.2016806722713</v>
      </c>
      <c r="S59" s="11">
        <f>(Tabla2456789[[#This Row],[VENTA ]]-(Tabla2456789[[#This Row],[MONTO DE COMPRA]]+Tabla2456789[[#This Row],[DIFERENCIA IVA ]]))</f>
        <v>39495.798319327732</v>
      </c>
      <c r="T59" s="15"/>
    </row>
    <row r="60" spans="1:20" s="1" customFormat="1" x14ac:dyDescent="0.25">
      <c r="A60" s="56">
        <v>44847</v>
      </c>
      <c r="B60" s="4"/>
      <c r="C60" s="4"/>
      <c r="D60" s="4" t="s">
        <v>3476</v>
      </c>
      <c r="E60" s="1" t="s">
        <v>136</v>
      </c>
      <c r="F60" s="1" t="s">
        <v>3437</v>
      </c>
      <c r="G60" s="154" t="s">
        <v>3477</v>
      </c>
      <c r="H60" s="15">
        <v>30000</v>
      </c>
      <c r="I60" s="15">
        <f>Tabla2456789[[#This Row],[TOTAL FACTURA]]*0.5</f>
        <v>15000</v>
      </c>
      <c r="J60" s="149">
        <f t="shared" si="0"/>
        <v>15000</v>
      </c>
      <c r="K60" s="10"/>
      <c r="L60" s="11"/>
      <c r="M60" s="11">
        <f>Tabla2456789[[#This Row],[MONTO DE COMPRA]]/1.19</f>
        <v>0</v>
      </c>
      <c r="N60" s="11">
        <f>Tabla2456789[[#This Row],[Columna1]]*19%</f>
        <v>0</v>
      </c>
      <c r="O60" s="11"/>
      <c r="P60" s="11">
        <f>Tabla2456789[[#This Row],[VENTA ]]/1.19</f>
        <v>0</v>
      </c>
      <c r="Q60" s="11">
        <f>Tabla2456789[[#This Row],[Columna2]]*19%</f>
        <v>0</v>
      </c>
      <c r="R60" s="11">
        <f>Tabla2456789[[#This Row],[IVA VENTA ]]-Tabla2456789[[#This Row],[IV COMPRA]]</f>
        <v>0</v>
      </c>
      <c r="S60" s="11">
        <f>(Tabla2456789[[#This Row],[VENTA ]]-(Tabla2456789[[#This Row],[MONTO DE COMPRA]]+Tabla2456789[[#This Row],[DIFERENCIA IVA ]]))</f>
        <v>0</v>
      </c>
      <c r="T60" s="15"/>
    </row>
    <row r="61" spans="1:20" s="1" customFormat="1" x14ac:dyDescent="0.25">
      <c r="A61" s="56">
        <v>44847</v>
      </c>
      <c r="B61" s="4"/>
      <c r="C61" s="4"/>
      <c r="D61" s="4" t="s">
        <v>3478</v>
      </c>
      <c r="E61" s="10" t="s">
        <v>815</v>
      </c>
      <c r="F61" s="1" t="s">
        <v>3437</v>
      </c>
      <c r="G61" s="154" t="s">
        <v>3479</v>
      </c>
      <c r="H61" s="15">
        <v>40000</v>
      </c>
      <c r="I61" s="15">
        <f>Tabla2456789[[#This Row],[TOTAL FACTURA]]*0.5</f>
        <v>20000</v>
      </c>
      <c r="J61" s="149">
        <f t="shared" si="0"/>
        <v>20000</v>
      </c>
      <c r="K61" s="10"/>
      <c r="L61" s="11"/>
      <c r="M61" s="11">
        <f>Tabla2456789[[#This Row],[MONTO DE COMPRA]]/1.19</f>
        <v>0</v>
      </c>
      <c r="N61" s="11">
        <f>Tabla2456789[[#This Row],[Columna1]]*19%</f>
        <v>0</v>
      </c>
      <c r="O61" s="11"/>
      <c r="P61" s="11">
        <f>Tabla2456789[[#This Row],[VENTA ]]/1.19</f>
        <v>0</v>
      </c>
      <c r="Q61" s="11">
        <f>Tabla2456789[[#This Row],[Columna2]]*19%</f>
        <v>0</v>
      </c>
      <c r="R61" s="11">
        <f>Tabla2456789[[#This Row],[IVA VENTA ]]-Tabla2456789[[#This Row],[IV COMPRA]]</f>
        <v>0</v>
      </c>
      <c r="S61" s="11">
        <f>(Tabla2456789[[#This Row],[VENTA ]]-(Tabla2456789[[#This Row],[MONTO DE COMPRA]]+Tabla2456789[[#This Row],[DIFERENCIA IVA ]]))</f>
        <v>0</v>
      </c>
      <c r="T61" s="15"/>
    </row>
    <row r="62" spans="1:20" s="1" customFormat="1" x14ac:dyDescent="0.25">
      <c r="A62" s="56">
        <v>44847</v>
      </c>
      <c r="B62" s="4" t="s">
        <v>1950</v>
      </c>
      <c r="C62" s="4" t="s">
        <v>3480</v>
      </c>
      <c r="D62" s="4" t="s">
        <v>3481</v>
      </c>
      <c r="E62" s="10" t="s">
        <v>3482</v>
      </c>
      <c r="F62" s="1" t="s">
        <v>2446</v>
      </c>
      <c r="G62" s="154" t="s">
        <v>752</v>
      </c>
      <c r="H62" s="15">
        <v>35000</v>
      </c>
      <c r="I62" s="15">
        <f>Tabla2456789[[#This Row],[TOTAL FACTURA]]*0.7</f>
        <v>24500</v>
      </c>
      <c r="J62" s="149">
        <f t="shared" si="0"/>
        <v>10500</v>
      </c>
      <c r="K62" s="10"/>
      <c r="L62" s="11"/>
      <c r="M62" s="11">
        <f>Tabla2456789[[#This Row],[MONTO DE COMPRA]]/1.19</f>
        <v>0</v>
      </c>
      <c r="N62" s="11">
        <f>Tabla2456789[[#This Row],[Columna1]]*19%</f>
        <v>0</v>
      </c>
      <c r="O62" s="11"/>
      <c r="P62" s="11">
        <f>Tabla2456789[[#This Row],[VENTA ]]/1.19</f>
        <v>0</v>
      </c>
      <c r="Q62" s="11">
        <f>Tabla2456789[[#This Row],[Columna2]]*19%</f>
        <v>0</v>
      </c>
      <c r="R62" s="11">
        <f>Tabla2456789[[#This Row],[IVA VENTA ]]-Tabla2456789[[#This Row],[IV COMPRA]]</f>
        <v>0</v>
      </c>
      <c r="S62" s="11">
        <f>(Tabla2456789[[#This Row],[VENTA ]]-(Tabla2456789[[#This Row],[MONTO DE COMPRA]]+Tabla2456789[[#This Row],[DIFERENCIA IVA ]]))</f>
        <v>0</v>
      </c>
      <c r="T62" s="15"/>
    </row>
    <row r="63" spans="1:20" s="1" customFormat="1" ht="23.25" customHeight="1" x14ac:dyDescent="0.25">
      <c r="A63" s="56">
        <v>44847</v>
      </c>
      <c r="B63" s="4" t="s">
        <v>3483</v>
      </c>
      <c r="C63" s="4" t="s">
        <v>3484</v>
      </c>
      <c r="D63" s="4" t="s">
        <v>3485</v>
      </c>
      <c r="E63" s="1" t="s">
        <v>213</v>
      </c>
      <c r="F63" s="1" t="s">
        <v>2446</v>
      </c>
      <c r="G63" s="154" t="s">
        <v>3486</v>
      </c>
      <c r="H63" s="15">
        <v>60000</v>
      </c>
      <c r="I63" s="15">
        <f>Tabla2456789[[#This Row],[TOTAL FACTURA]]*0.7</f>
        <v>42000</v>
      </c>
      <c r="J63" s="149">
        <f t="shared" si="0"/>
        <v>18000</v>
      </c>
      <c r="K63" s="10" t="s">
        <v>2727</v>
      </c>
      <c r="L63" s="11">
        <v>85000</v>
      </c>
      <c r="M63" s="11">
        <f>Tabla2456789[[#This Row],[MONTO DE COMPRA]]/1.19</f>
        <v>71428.571428571435</v>
      </c>
      <c r="N63" s="11">
        <f>Tabla2456789[[#This Row],[Columna1]]*19%</f>
        <v>13571.428571428572</v>
      </c>
      <c r="O63" s="11">
        <v>120000</v>
      </c>
      <c r="P63" s="11">
        <f>Tabla2456789[[#This Row],[VENTA ]]/1.19</f>
        <v>100840.33613445378</v>
      </c>
      <c r="Q63" s="11">
        <f>Tabla2456789[[#This Row],[Columna2]]*19%</f>
        <v>19159.663865546219</v>
      </c>
      <c r="R63" s="11">
        <f>Tabla2456789[[#This Row],[IVA VENTA ]]-Tabla2456789[[#This Row],[IV COMPRA]]</f>
        <v>5588.2352941176468</v>
      </c>
      <c r="S63" s="11">
        <f>(Tabla2456789[[#This Row],[VENTA ]]-(Tabla2456789[[#This Row],[MONTO DE COMPRA]]+Tabla2456789[[#This Row],[DIFERENCIA IVA ]]))</f>
        <v>29411.76470588235</v>
      </c>
      <c r="T63" s="15"/>
    </row>
    <row r="64" spans="1:20" s="1" customFormat="1" x14ac:dyDescent="0.25">
      <c r="A64" s="56">
        <v>44847</v>
      </c>
      <c r="B64" s="4" t="s">
        <v>3488</v>
      </c>
      <c r="C64" s="4"/>
      <c r="D64" s="4" t="s">
        <v>3487</v>
      </c>
      <c r="E64" s="1" t="s">
        <v>136</v>
      </c>
      <c r="F64" s="1" t="s">
        <v>2446</v>
      </c>
      <c r="G64" s="154" t="s">
        <v>138</v>
      </c>
      <c r="H64" s="15">
        <v>50000</v>
      </c>
      <c r="I64" s="15">
        <f>Tabla2456789[[#This Row],[TOTAL FACTURA]]*0.7</f>
        <v>35000</v>
      </c>
      <c r="J64" s="149">
        <f t="shared" si="0"/>
        <v>15000</v>
      </c>
      <c r="K64" s="10"/>
      <c r="L64" s="11"/>
      <c r="M64" s="11">
        <f>Tabla2456789[[#This Row],[MONTO DE COMPRA]]/1.19</f>
        <v>0</v>
      </c>
      <c r="N64" s="11">
        <f>Tabla2456789[[#This Row],[Columna1]]*19%</f>
        <v>0</v>
      </c>
      <c r="O64" s="11"/>
      <c r="P64" s="11">
        <f>Tabla2456789[[#This Row],[VENTA ]]/1.19</f>
        <v>0</v>
      </c>
      <c r="Q64" s="11">
        <f>Tabla2456789[[#This Row],[Columna2]]*19%</f>
        <v>0</v>
      </c>
      <c r="R64" s="11">
        <f>Tabla2456789[[#This Row],[IVA VENTA ]]-Tabla2456789[[#This Row],[IV COMPRA]]</f>
        <v>0</v>
      </c>
      <c r="S64" s="11">
        <f>(Tabla2456789[[#This Row],[VENTA ]]-(Tabla2456789[[#This Row],[MONTO DE COMPRA]]+Tabla2456789[[#This Row],[DIFERENCIA IVA ]]))</f>
        <v>0</v>
      </c>
      <c r="T64" s="15"/>
    </row>
    <row r="65" spans="1:20" s="1" customFormat="1" x14ac:dyDescent="0.25">
      <c r="A65" s="56">
        <v>44847</v>
      </c>
      <c r="B65" s="4" t="s">
        <v>3489</v>
      </c>
      <c r="C65" s="4" t="s">
        <v>3490</v>
      </c>
      <c r="D65" s="4" t="s">
        <v>3491</v>
      </c>
      <c r="E65" s="1" t="s">
        <v>385</v>
      </c>
      <c r="F65" s="1" t="s">
        <v>10</v>
      </c>
      <c r="G65" s="154" t="s">
        <v>3492</v>
      </c>
      <c r="H65" s="15">
        <v>30000</v>
      </c>
      <c r="I65" s="15">
        <f>Tabla2456789[[#This Row],[TOTAL FACTURA]]*0.7</f>
        <v>21000</v>
      </c>
      <c r="J65" s="149">
        <f t="shared" ref="J65:J129" si="1">H65-I65</f>
        <v>9000</v>
      </c>
      <c r="K65" s="10" t="s">
        <v>3493</v>
      </c>
      <c r="L65" s="11">
        <v>70000</v>
      </c>
      <c r="M65" s="11">
        <f>Tabla2456789[[#This Row],[MONTO DE COMPRA]]/1.19</f>
        <v>58823.529411764706</v>
      </c>
      <c r="N65" s="11">
        <f>Tabla2456789[[#This Row],[Columna1]]*19%</f>
        <v>11176.470588235294</v>
      </c>
      <c r="O65" s="11">
        <v>150000</v>
      </c>
      <c r="P65" s="11">
        <f>Tabla2456789[[#This Row],[VENTA ]]/1.19</f>
        <v>126050.42016806723</v>
      </c>
      <c r="Q65" s="11">
        <f>Tabla2456789[[#This Row],[Columna2]]*19%</f>
        <v>23949.579831932773</v>
      </c>
      <c r="R65" s="11">
        <f>Tabla2456789[[#This Row],[IVA VENTA ]]-Tabla2456789[[#This Row],[IV COMPRA]]</f>
        <v>12773.10924369748</v>
      </c>
      <c r="S65" s="11">
        <f>(Tabla2456789[[#This Row],[VENTA ]]-(Tabla2456789[[#This Row],[MONTO DE COMPRA]]+Tabla2456789[[#This Row],[DIFERENCIA IVA ]]))</f>
        <v>67226.890756302513</v>
      </c>
      <c r="T65" s="15"/>
    </row>
    <row r="66" spans="1:20" s="1" customFormat="1" x14ac:dyDescent="0.25">
      <c r="A66" s="56">
        <v>44848</v>
      </c>
      <c r="B66" s="4" t="s">
        <v>3494</v>
      </c>
      <c r="C66" s="4" t="s">
        <v>2360</v>
      </c>
      <c r="D66" s="4" t="s">
        <v>3495</v>
      </c>
      <c r="E66" s="1" t="s">
        <v>540</v>
      </c>
      <c r="F66" s="1" t="s">
        <v>2446</v>
      </c>
      <c r="G66" s="154" t="s">
        <v>1518</v>
      </c>
      <c r="H66" s="15">
        <v>30000</v>
      </c>
      <c r="I66" s="15">
        <f>Tabla2456789[[#This Row],[TOTAL FACTURA]]*0.7</f>
        <v>21000</v>
      </c>
      <c r="J66" s="149">
        <f t="shared" si="1"/>
        <v>9000</v>
      </c>
      <c r="K66" s="10"/>
      <c r="L66" s="11"/>
      <c r="M66" s="11">
        <f>Tabla2456789[[#This Row],[MONTO DE COMPRA]]/1.19</f>
        <v>0</v>
      </c>
      <c r="N66" s="11">
        <f>Tabla2456789[[#This Row],[Columna1]]*19%</f>
        <v>0</v>
      </c>
      <c r="O66" s="11"/>
      <c r="P66" s="11">
        <f>Tabla2456789[[#This Row],[VENTA ]]/1.19</f>
        <v>0</v>
      </c>
      <c r="Q66" s="11">
        <f>Tabla2456789[[#This Row],[Columna2]]*19%</f>
        <v>0</v>
      </c>
      <c r="R66" s="11">
        <f>Tabla2456789[[#This Row],[IVA VENTA ]]-Tabla2456789[[#This Row],[IV COMPRA]]</f>
        <v>0</v>
      </c>
      <c r="S66" s="11">
        <f>(Tabla2456789[[#This Row],[VENTA ]]-(Tabla2456789[[#This Row],[MONTO DE COMPRA]]+Tabla2456789[[#This Row],[DIFERENCIA IVA ]]))</f>
        <v>0</v>
      </c>
      <c r="T66" s="15"/>
    </row>
    <row r="67" spans="1:20" s="1" customFormat="1" x14ac:dyDescent="0.25">
      <c r="A67" s="56">
        <v>44848</v>
      </c>
      <c r="B67" s="4" t="s">
        <v>3496</v>
      </c>
      <c r="C67" s="4" t="s">
        <v>3497</v>
      </c>
      <c r="D67" s="4" t="s">
        <v>3498</v>
      </c>
      <c r="E67" s="1" t="s">
        <v>52</v>
      </c>
      <c r="F67" s="1" t="s">
        <v>2446</v>
      </c>
      <c r="G67" s="154" t="s">
        <v>3499</v>
      </c>
      <c r="H67" s="15">
        <v>30000</v>
      </c>
      <c r="I67" s="15">
        <f>Tabla2456789[[#This Row],[TOTAL FACTURA]]*0.7</f>
        <v>21000</v>
      </c>
      <c r="J67" s="149">
        <f t="shared" si="1"/>
        <v>9000</v>
      </c>
      <c r="K67" s="10" t="s">
        <v>3500</v>
      </c>
      <c r="L67" s="11">
        <f>12000+15000</f>
        <v>27000</v>
      </c>
      <c r="M67" s="11">
        <f>Tabla2456789[[#This Row],[MONTO DE COMPRA]]/1.19</f>
        <v>22689.0756302521</v>
      </c>
      <c r="N67" s="11">
        <f>Tabla2456789[[#This Row],[Columna1]]*19%</f>
        <v>4310.9243697478987</v>
      </c>
      <c r="O67" s="11">
        <v>40000</v>
      </c>
      <c r="P67" s="11">
        <f>Tabla2456789[[#This Row],[VENTA ]]/1.19</f>
        <v>33613.445378151264</v>
      </c>
      <c r="Q67" s="11">
        <f>Tabla2456789[[#This Row],[Columna2]]*19%</f>
        <v>6386.5546218487398</v>
      </c>
      <c r="R67" s="11">
        <f>Tabla2456789[[#This Row],[IVA VENTA ]]-Tabla2456789[[#This Row],[IV COMPRA]]</f>
        <v>2075.6302521008411</v>
      </c>
      <c r="S67" s="11">
        <f>(Tabla2456789[[#This Row],[VENTA ]]-(Tabla2456789[[#This Row],[MONTO DE COMPRA]]+Tabla2456789[[#This Row],[DIFERENCIA IVA ]]))</f>
        <v>10924.36974789916</v>
      </c>
      <c r="T67" s="15"/>
    </row>
    <row r="68" spans="1:20" s="1" customFormat="1" x14ac:dyDescent="0.25">
      <c r="A68" s="56">
        <v>44848</v>
      </c>
      <c r="B68" s="4"/>
      <c r="C68" s="4"/>
      <c r="D68" s="4" t="s">
        <v>3501</v>
      </c>
      <c r="E68" s="1" t="s">
        <v>200</v>
      </c>
      <c r="F68" s="1" t="s">
        <v>2446</v>
      </c>
      <c r="G68" s="154" t="s">
        <v>138</v>
      </c>
      <c r="H68" s="15">
        <v>60000</v>
      </c>
      <c r="I68" s="15">
        <f>Tabla2456789[[#This Row],[TOTAL FACTURA]]*0.7</f>
        <v>42000</v>
      </c>
      <c r="J68" s="149">
        <f t="shared" si="1"/>
        <v>18000</v>
      </c>
      <c r="K68" s="10"/>
      <c r="L68" s="11"/>
      <c r="M68" s="11">
        <f>Tabla2456789[[#This Row],[MONTO DE COMPRA]]/1.19</f>
        <v>0</v>
      </c>
      <c r="N68" s="11">
        <f>Tabla2456789[[#This Row],[Columna1]]*19%</f>
        <v>0</v>
      </c>
      <c r="O68" s="11"/>
      <c r="P68" s="11">
        <f>Tabla2456789[[#This Row],[VENTA ]]/1.19</f>
        <v>0</v>
      </c>
      <c r="Q68" s="11">
        <f>Tabla2456789[[#This Row],[Columna2]]*19%</f>
        <v>0</v>
      </c>
      <c r="R68" s="11">
        <f>Tabla2456789[[#This Row],[IVA VENTA ]]-Tabla2456789[[#This Row],[IV COMPRA]]</f>
        <v>0</v>
      </c>
      <c r="S68" s="11">
        <f>(Tabla2456789[[#This Row],[VENTA ]]-(Tabla2456789[[#This Row],[MONTO DE COMPRA]]+Tabla2456789[[#This Row],[DIFERENCIA IVA ]]))</f>
        <v>0</v>
      </c>
      <c r="T68" s="15"/>
    </row>
    <row r="69" spans="1:20" s="1" customFormat="1" x14ac:dyDescent="0.25">
      <c r="A69" s="56">
        <v>44848</v>
      </c>
      <c r="B69" s="4"/>
      <c r="C69" s="4"/>
      <c r="D69" s="4" t="s">
        <v>3502</v>
      </c>
      <c r="E69" s="1" t="s">
        <v>168</v>
      </c>
      <c r="F69" s="1" t="s">
        <v>3437</v>
      </c>
      <c r="G69" s="154" t="s">
        <v>3461</v>
      </c>
      <c r="H69" s="15">
        <v>80000</v>
      </c>
      <c r="I69" s="15">
        <f>Tabla2456789[[#This Row],[TOTAL FACTURA]]*0.5</f>
        <v>40000</v>
      </c>
      <c r="J69" s="149">
        <f t="shared" si="1"/>
        <v>40000</v>
      </c>
      <c r="K69" s="10"/>
      <c r="L69" s="11"/>
      <c r="M69" s="11">
        <f>Tabla2456789[[#This Row],[MONTO DE COMPRA]]/1.19</f>
        <v>0</v>
      </c>
      <c r="N69" s="11">
        <f>Tabla2456789[[#This Row],[Columna1]]*19%</f>
        <v>0</v>
      </c>
      <c r="O69" s="11"/>
      <c r="P69" s="11">
        <f>Tabla2456789[[#This Row],[VENTA ]]/1.19</f>
        <v>0</v>
      </c>
      <c r="Q69" s="11">
        <f>Tabla2456789[[#This Row],[Columna2]]*19%</f>
        <v>0</v>
      </c>
      <c r="R69" s="11">
        <f>Tabla2456789[[#This Row],[IVA VENTA ]]-Tabla2456789[[#This Row],[IV COMPRA]]</f>
        <v>0</v>
      </c>
      <c r="S69" s="11">
        <f>(Tabla2456789[[#This Row],[VENTA ]]-(Tabla2456789[[#This Row],[MONTO DE COMPRA]]+Tabla2456789[[#This Row],[DIFERENCIA IVA ]]))</f>
        <v>0</v>
      </c>
      <c r="T69" s="15"/>
    </row>
    <row r="70" spans="1:20" s="1" customFormat="1" x14ac:dyDescent="0.25">
      <c r="A70" s="56">
        <v>44848</v>
      </c>
      <c r="B70" s="4"/>
      <c r="C70" s="4"/>
      <c r="D70" s="4" t="s">
        <v>3504</v>
      </c>
      <c r="E70" s="1" t="s">
        <v>3503</v>
      </c>
      <c r="F70" s="1" t="s">
        <v>3437</v>
      </c>
      <c r="G70" s="154" t="s">
        <v>1794</v>
      </c>
      <c r="H70" s="15">
        <v>30000</v>
      </c>
      <c r="I70" s="15">
        <f>Tabla2456789[[#This Row],[TOTAL FACTURA]]*0.5</f>
        <v>15000</v>
      </c>
      <c r="J70" s="149">
        <f t="shared" si="1"/>
        <v>15000</v>
      </c>
      <c r="K70" s="10"/>
      <c r="L70" s="11"/>
      <c r="M70" s="11">
        <f>Tabla2456789[[#This Row],[MONTO DE COMPRA]]/1.19</f>
        <v>0</v>
      </c>
      <c r="N70" s="11">
        <f>Tabla2456789[[#This Row],[Columna1]]*19%</f>
        <v>0</v>
      </c>
      <c r="O70" s="11"/>
      <c r="P70" s="11">
        <f>Tabla2456789[[#This Row],[VENTA ]]/1.19</f>
        <v>0</v>
      </c>
      <c r="Q70" s="11">
        <f>Tabla2456789[[#This Row],[Columna2]]*19%</f>
        <v>0</v>
      </c>
      <c r="R70" s="11">
        <f>Tabla2456789[[#This Row],[IVA VENTA ]]-Tabla2456789[[#This Row],[IV COMPRA]]</f>
        <v>0</v>
      </c>
      <c r="S70" s="11">
        <f>(Tabla2456789[[#This Row],[VENTA ]]-(Tabla2456789[[#This Row],[MONTO DE COMPRA]]+Tabla2456789[[#This Row],[DIFERENCIA IVA ]]))</f>
        <v>0</v>
      </c>
      <c r="T70" s="15"/>
    </row>
    <row r="71" spans="1:20" s="1" customFormat="1" x14ac:dyDescent="0.25">
      <c r="A71" s="56">
        <v>44848</v>
      </c>
      <c r="B71" s="4" t="s">
        <v>3562</v>
      </c>
      <c r="C71" s="4" t="s">
        <v>1238</v>
      </c>
      <c r="D71" s="4" t="s">
        <v>3506</v>
      </c>
      <c r="E71" s="1" t="s">
        <v>3365</v>
      </c>
      <c r="F71" s="1" t="s">
        <v>10</v>
      </c>
      <c r="G71" s="154" t="s">
        <v>338</v>
      </c>
      <c r="H71" s="15">
        <v>300000</v>
      </c>
      <c r="I71" s="15">
        <f>Tabla2456789[[#This Row],[TOTAL FACTURA]]*0.7</f>
        <v>210000</v>
      </c>
      <c r="J71" s="149">
        <f t="shared" si="1"/>
        <v>90000</v>
      </c>
      <c r="K71" s="10" t="s">
        <v>3565</v>
      </c>
      <c r="L71" s="11">
        <f>385000+6000</f>
        <v>391000</v>
      </c>
      <c r="M71" s="11"/>
      <c r="N71" s="11">
        <f>Tabla2456789[[#This Row],[Columna1]]*19%</f>
        <v>0</v>
      </c>
      <c r="O71" s="11">
        <v>552000</v>
      </c>
      <c r="P71" s="11">
        <f>Tabla2456789[[#This Row],[VENTA ]]/1.19</f>
        <v>463865.54621848743</v>
      </c>
      <c r="Q71" s="11">
        <f>Tabla2456789[[#This Row],[Columna2]]*19%</f>
        <v>88134.45378151261</v>
      </c>
      <c r="R71" s="11">
        <f>Tabla2456789[[#This Row],[IVA VENTA ]]-Tabla2456789[[#This Row],[IV COMPRA]]</f>
        <v>88134.45378151261</v>
      </c>
      <c r="S71" s="11">
        <f>(Tabla2456789[[#This Row],[VENTA ]]-(Tabla2456789[[#This Row],[MONTO DE COMPRA]]+Tabla2456789[[#This Row],[DIFERENCIA IVA ]]))</f>
        <v>72865.546218487376</v>
      </c>
      <c r="T71" s="15"/>
    </row>
    <row r="72" spans="1:20" s="1" customFormat="1" x14ac:dyDescent="0.25">
      <c r="A72" s="56">
        <v>44848</v>
      </c>
      <c r="B72" s="4" t="s">
        <v>3510</v>
      </c>
      <c r="C72" s="4" t="s">
        <v>3509</v>
      </c>
      <c r="D72" s="4" t="s">
        <v>3501</v>
      </c>
      <c r="E72" s="1" t="s">
        <v>200</v>
      </c>
      <c r="F72" s="1" t="s">
        <v>10</v>
      </c>
      <c r="G72" s="154" t="s">
        <v>338</v>
      </c>
      <c r="H72" s="15">
        <v>220000</v>
      </c>
      <c r="I72" s="15">
        <f>Tabla2456789[[#This Row],[TOTAL FACTURA]]*0.7</f>
        <v>154000</v>
      </c>
      <c r="J72" s="149">
        <f t="shared" si="1"/>
        <v>66000</v>
      </c>
      <c r="K72" s="10" t="s">
        <v>3390</v>
      </c>
      <c r="L72" s="11">
        <v>120000</v>
      </c>
      <c r="M72" s="11">
        <f>Tabla2456789[[#This Row],[MONTO DE COMPRA]]/1.19</f>
        <v>100840.33613445378</v>
      </c>
      <c r="N72" s="11">
        <f>Tabla2456789[[#This Row],[Columna1]]*19%</f>
        <v>19159.663865546219</v>
      </c>
      <c r="O72" s="11">
        <v>150000</v>
      </c>
      <c r="P72" s="11">
        <f>Tabla2456789[[#This Row],[VENTA ]]/1.19</f>
        <v>126050.42016806723</v>
      </c>
      <c r="Q72" s="11">
        <f>Tabla2456789[[#This Row],[Columna2]]*19%</f>
        <v>23949.579831932773</v>
      </c>
      <c r="R72" s="11">
        <f>Tabla2456789[[#This Row],[IVA VENTA ]]-Tabla2456789[[#This Row],[IV COMPRA]]</f>
        <v>4789.9159663865539</v>
      </c>
      <c r="S72" s="11">
        <f>(Tabla2456789[[#This Row],[VENTA ]]-(Tabla2456789[[#This Row],[MONTO DE COMPRA]]+Tabla2456789[[#This Row],[DIFERENCIA IVA ]]))</f>
        <v>25210.084033613442</v>
      </c>
      <c r="T72" s="15"/>
    </row>
    <row r="73" spans="1:20" s="1" customFormat="1" x14ac:dyDescent="0.25">
      <c r="A73" s="56">
        <v>44849</v>
      </c>
      <c r="B73" s="4"/>
      <c r="C73" s="4"/>
      <c r="D73" s="4"/>
      <c r="E73" s="1" t="s">
        <v>815</v>
      </c>
      <c r="F73" s="1" t="s">
        <v>3437</v>
      </c>
      <c r="G73" s="154" t="s">
        <v>3511</v>
      </c>
      <c r="H73" s="15">
        <v>40000</v>
      </c>
      <c r="I73" s="15">
        <f>Tabla2456789[[#This Row],[TOTAL FACTURA]]*0.5</f>
        <v>20000</v>
      </c>
      <c r="J73" s="149">
        <f t="shared" si="1"/>
        <v>20000</v>
      </c>
      <c r="K73" s="10"/>
      <c r="L73" s="11"/>
      <c r="M73" s="11">
        <f>Tabla2456789[[#This Row],[MONTO DE COMPRA]]/1.19</f>
        <v>0</v>
      </c>
      <c r="N73" s="11">
        <f>Tabla2456789[[#This Row],[Columna1]]*19%</f>
        <v>0</v>
      </c>
      <c r="O73" s="11"/>
      <c r="P73" s="11">
        <f>Tabla2456789[[#This Row],[VENTA ]]/1.19</f>
        <v>0</v>
      </c>
      <c r="Q73" s="11">
        <f>Tabla2456789[[#This Row],[Columna2]]*19%</f>
        <v>0</v>
      </c>
      <c r="R73" s="11">
        <f>Tabla2456789[[#This Row],[IVA VENTA ]]-Tabla2456789[[#This Row],[IV COMPRA]]</f>
        <v>0</v>
      </c>
      <c r="S73" s="11">
        <f>(Tabla2456789[[#This Row],[VENTA ]]-(Tabla2456789[[#This Row],[MONTO DE COMPRA]]+Tabla2456789[[#This Row],[DIFERENCIA IVA ]]))</f>
        <v>0</v>
      </c>
      <c r="T73" s="15"/>
    </row>
    <row r="74" spans="1:20" s="1" customFormat="1" x14ac:dyDescent="0.25">
      <c r="A74" s="56">
        <v>44849</v>
      </c>
      <c r="B74" s="4" t="s">
        <v>1977</v>
      </c>
      <c r="C74" s="4"/>
      <c r="D74" s="4" t="s">
        <v>3512</v>
      </c>
      <c r="E74" s="1" t="s">
        <v>899</v>
      </c>
      <c r="F74" s="1" t="s">
        <v>2446</v>
      </c>
      <c r="G74" s="154" t="s">
        <v>3513</v>
      </c>
      <c r="H74" s="15">
        <v>60000</v>
      </c>
      <c r="I74" s="15">
        <f>Tabla2456789[[#This Row],[TOTAL FACTURA]]*0.7</f>
        <v>42000</v>
      </c>
      <c r="J74" s="149">
        <f t="shared" si="1"/>
        <v>18000</v>
      </c>
      <c r="K74" s="10"/>
      <c r="L74" s="11"/>
      <c r="M74" s="11">
        <f>Tabla2456789[[#This Row],[MONTO DE COMPRA]]/1.19</f>
        <v>0</v>
      </c>
      <c r="N74" s="11">
        <f>Tabla2456789[[#This Row],[Columna1]]*19%</f>
        <v>0</v>
      </c>
      <c r="O74" s="11"/>
      <c r="P74" s="11">
        <f>Tabla2456789[[#This Row],[VENTA ]]/1.19</f>
        <v>0</v>
      </c>
      <c r="Q74" s="11">
        <f>Tabla2456789[[#This Row],[Columna2]]*19%</f>
        <v>0</v>
      </c>
      <c r="R74" s="11">
        <f>Tabla2456789[[#This Row],[IVA VENTA ]]-Tabla2456789[[#This Row],[IV COMPRA]]</f>
        <v>0</v>
      </c>
      <c r="S74" s="11">
        <f>(Tabla2456789[[#This Row],[VENTA ]]-(Tabla2456789[[#This Row],[MONTO DE COMPRA]]+Tabla2456789[[#This Row],[DIFERENCIA IVA ]]))</f>
        <v>0</v>
      </c>
      <c r="T74" s="15"/>
    </row>
    <row r="75" spans="1:20" s="1" customFormat="1" x14ac:dyDescent="0.25">
      <c r="A75" s="56">
        <v>44849</v>
      </c>
      <c r="B75" s="4"/>
      <c r="C75" s="4"/>
      <c r="D75" s="4" t="s">
        <v>3514</v>
      </c>
      <c r="E75" s="1" t="s">
        <v>385</v>
      </c>
      <c r="F75" s="1" t="s">
        <v>2446</v>
      </c>
      <c r="G75" s="154" t="s">
        <v>3515</v>
      </c>
      <c r="H75" s="15">
        <v>60000</v>
      </c>
      <c r="I75" s="15">
        <f>Tabla2456789[[#This Row],[TOTAL FACTURA]]*0.7</f>
        <v>42000</v>
      </c>
      <c r="J75" s="149">
        <f t="shared" si="1"/>
        <v>18000</v>
      </c>
      <c r="K75" s="10" t="s">
        <v>3516</v>
      </c>
      <c r="L75" s="11">
        <v>70000</v>
      </c>
      <c r="M75" s="11">
        <f>Tabla2456789[[#This Row],[MONTO DE COMPRA]]/1.19</f>
        <v>58823.529411764706</v>
      </c>
      <c r="N75" s="11">
        <f>Tabla2456789[[#This Row],[Columna1]]*19%</f>
        <v>11176.470588235294</v>
      </c>
      <c r="O75" s="11">
        <v>90000</v>
      </c>
      <c r="P75" s="11">
        <f>Tabla2456789[[#This Row],[VENTA ]]/1.19</f>
        <v>75630.252100840342</v>
      </c>
      <c r="Q75" s="11">
        <f>Tabla2456789[[#This Row],[Columna2]]*19%</f>
        <v>14369.747899159665</v>
      </c>
      <c r="R75" s="11">
        <f>Tabla2456789[[#This Row],[IVA VENTA ]]-Tabla2456789[[#This Row],[IV COMPRA]]</f>
        <v>3193.2773109243717</v>
      </c>
      <c r="S75" s="11">
        <f>(Tabla2456789[[#This Row],[VENTA ]]-(Tabla2456789[[#This Row],[MONTO DE COMPRA]]+Tabla2456789[[#This Row],[DIFERENCIA IVA ]]))</f>
        <v>16806.722689075628</v>
      </c>
      <c r="T75" s="15"/>
    </row>
    <row r="76" spans="1:20" s="1" customFormat="1" x14ac:dyDescent="0.25">
      <c r="A76" s="56">
        <v>44849</v>
      </c>
      <c r="B76" s="4"/>
      <c r="C76" s="4"/>
      <c r="D76" s="4"/>
      <c r="F76" s="1" t="s">
        <v>3437</v>
      </c>
      <c r="G76" s="154" t="s">
        <v>3517</v>
      </c>
      <c r="H76" s="15">
        <v>30000</v>
      </c>
      <c r="I76" s="15">
        <f>Tabla2456789[[#This Row],[TOTAL FACTURA]]*0.5</f>
        <v>15000</v>
      </c>
      <c r="J76" s="149">
        <f t="shared" si="1"/>
        <v>15000</v>
      </c>
      <c r="K76" s="10"/>
      <c r="L76" s="11"/>
      <c r="M76" s="11">
        <f>Tabla2456789[[#This Row],[MONTO DE COMPRA]]/1.19</f>
        <v>0</v>
      </c>
      <c r="N76" s="11">
        <f>Tabla2456789[[#This Row],[Columna1]]*19%</f>
        <v>0</v>
      </c>
      <c r="O76" s="11"/>
      <c r="P76" s="11">
        <f>Tabla2456789[[#This Row],[VENTA ]]/1.19</f>
        <v>0</v>
      </c>
      <c r="Q76" s="11">
        <f>Tabla2456789[[#This Row],[Columna2]]*19%</f>
        <v>0</v>
      </c>
      <c r="R76" s="11">
        <f>Tabla2456789[[#This Row],[IVA VENTA ]]-Tabla2456789[[#This Row],[IV COMPRA]]</f>
        <v>0</v>
      </c>
      <c r="S76" s="11">
        <f>(Tabla2456789[[#This Row],[VENTA ]]-(Tabla2456789[[#This Row],[MONTO DE COMPRA]]+Tabla2456789[[#This Row],[DIFERENCIA IVA ]]))</f>
        <v>0</v>
      </c>
      <c r="T76" s="15"/>
    </row>
    <row r="77" spans="1:20" s="1" customFormat="1" x14ac:dyDescent="0.25">
      <c r="A77" s="56">
        <v>44852</v>
      </c>
      <c r="B77" s="4"/>
      <c r="C77" s="4"/>
      <c r="D77" s="4" t="s">
        <v>3518</v>
      </c>
      <c r="E77" s="1" t="s">
        <v>450</v>
      </c>
      <c r="F77" s="1" t="s">
        <v>2446</v>
      </c>
      <c r="G77" s="154" t="s">
        <v>341</v>
      </c>
      <c r="H77" s="15">
        <v>10000</v>
      </c>
      <c r="I77" s="15">
        <f>Tabla2456789[[#This Row],[TOTAL FACTURA]]*0.7</f>
        <v>7000</v>
      </c>
      <c r="J77" s="149">
        <f t="shared" si="1"/>
        <v>3000</v>
      </c>
      <c r="K77" s="10"/>
      <c r="L77" s="11"/>
      <c r="M77" s="11">
        <f>Tabla2456789[[#This Row],[MONTO DE COMPRA]]/1.19</f>
        <v>0</v>
      </c>
      <c r="N77" s="11">
        <f>Tabla2456789[[#This Row],[Columna1]]*19%</f>
        <v>0</v>
      </c>
      <c r="O77" s="11"/>
      <c r="P77" s="11">
        <f>Tabla2456789[[#This Row],[VENTA ]]/1.19</f>
        <v>0</v>
      </c>
      <c r="Q77" s="11">
        <f>Tabla2456789[[#This Row],[Columna2]]*19%</f>
        <v>0</v>
      </c>
      <c r="R77" s="11">
        <f>Tabla2456789[[#This Row],[IVA VENTA ]]-Tabla2456789[[#This Row],[IV COMPRA]]</f>
        <v>0</v>
      </c>
      <c r="S77" s="11">
        <f>(Tabla2456789[[#This Row],[VENTA ]]-(Tabla2456789[[#This Row],[MONTO DE COMPRA]]+Tabla2456789[[#This Row],[DIFERENCIA IVA ]]))</f>
        <v>0</v>
      </c>
      <c r="T77" s="15"/>
    </row>
    <row r="78" spans="1:20" s="1" customFormat="1" x14ac:dyDescent="0.25">
      <c r="A78" s="56">
        <v>44852</v>
      </c>
      <c r="B78" s="4"/>
      <c r="C78" s="181"/>
      <c r="D78" s="4" t="s">
        <v>1517</v>
      </c>
      <c r="E78" s="1" t="s">
        <v>240</v>
      </c>
      <c r="F78" s="1" t="s">
        <v>2446</v>
      </c>
      <c r="G78" s="154" t="s">
        <v>3569</v>
      </c>
      <c r="H78" s="15">
        <v>50000</v>
      </c>
      <c r="I78" s="15">
        <f>Tabla2456789[[#This Row],[TOTAL FACTURA]]*0.7</f>
        <v>35000</v>
      </c>
      <c r="J78" s="172">
        <f>H78-I78</f>
        <v>15000</v>
      </c>
      <c r="K78" s="10"/>
      <c r="L78" s="11"/>
      <c r="M78" s="11">
        <f>Tabla2456789[[#This Row],[MONTO DE COMPRA]]/1.19</f>
        <v>0</v>
      </c>
      <c r="N78" s="11">
        <f>Tabla2456789[[#This Row],[Columna1]]*19%</f>
        <v>0</v>
      </c>
      <c r="O78" s="11"/>
      <c r="P78" s="11">
        <f>Tabla2456789[[#This Row],[VENTA ]]/1.19</f>
        <v>0</v>
      </c>
      <c r="Q78" s="11">
        <f>Tabla2456789[[#This Row],[Columna2]]*19%</f>
        <v>0</v>
      </c>
      <c r="R78" s="11">
        <f>Tabla2456789[[#This Row],[IVA VENTA ]]-Tabla2456789[[#This Row],[IV COMPRA]]</f>
        <v>0</v>
      </c>
      <c r="S78" s="11">
        <f>(Tabla2456789[[#This Row],[VENTA ]]-(Tabla2456789[[#This Row],[MONTO DE COMPRA]]+Tabla2456789[[#This Row],[DIFERENCIA IVA ]]))</f>
        <v>0</v>
      </c>
      <c r="T78" s="15"/>
    </row>
    <row r="79" spans="1:20" s="1" customFormat="1" x14ac:dyDescent="0.25">
      <c r="A79" s="56">
        <v>44852</v>
      </c>
      <c r="B79" s="4"/>
      <c r="C79" s="4"/>
      <c r="D79" s="4" t="s">
        <v>3519</v>
      </c>
      <c r="E79" s="1" t="s">
        <v>3570</v>
      </c>
      <c r="F79" s="1" t="s">
        <v>2446</v>
      </c>
      <c r="G79" s="1" t="s">
        <v>329</v>
      </c>
      <c r="H79" s="15">
        <v>50000</v>
      </c>
      <c r="I79" s="15">
        <f>Tabla2456789[[#This Row],[TOTAL FACTURA]]*0.7</f>
        <v>35000</v>
      </c>
      <c r="J79" s="149">
        <f t="shared" si="1"/>
        <v>15000</v>
      </c>
      <c r="K79" s="10" t="s">
        <v>3520</v>
      </c>
      <c r="L79" s="11">
        <v>9800</v>
      </c>
      <c r="M79" s="11">
        <f>Tabla2456789[[#This Row],[MONTO DE COMPRA]]/1.19</f>
        <v>8235.2941176470595</v>
      </c>
      <c r="N79" s="11">
        <f>Tabla2456789[[#This Row],[Columna1]]*19%</f>
        <v>1564.7058823529412</v>
      </c>
      <c r="O79" s="11">
        <v>20000</v>
      </c>
      <c r="P79" s="11">
        <f>Tabla2456789[[#This Row],[VENTA ]]/1.19</f>
        <v>16806.722689075632</v>
      </c>
      <c r="Q79" s="11">
        <f>Tabla2456789[[#This Row],[Columna2]]*19%</f>
        <v>3193.2773109243699</v>
      </c>
      <c r="R79" s="11">
        <f>Tabla2456789[[#This Row],[IVA VENTA ]]-Tabla2456789[[#This Row],[IV COMPRA]]</f>
        <v>1628.5714285714287</v>
      </c>
      <c r="S79" s="11">
        <f>(Tabla2456789[[#This Row],[VENTA ]]-(Tabla2456789[[#This Row],[MONTO DE COMPRA]]+Tabla2456789[[#This Row],[DIFERENCIA IVA ]]))</f>
        <v>8571.4285714285706</v>
      </c>
      <c r="T79" s="15"/>
    </row>
    <row r="80" spans="1:20" s="1" customFormat="1" x14ac:dyDescent="0.25">
      <c r="A80" s="56">
        <v>44852</v>
      </c>
      <c r="B80" s="4" t="s">
        <v>3523</v>
      </c>
      <c r="C80" s="4" t="s">
        <v>3522</v>
      </c>
      <c r="D80" s="4" t="s">
        <v>3521</v>
      </c>
      <c r="E80" s="1" t="s">
        <v>2355</v>
      </c>
      <c r="F80" s="1" t="s">
        <v>10</v>
      </c>
      <c r="G80" s="10" t="s">
        <v>338</v>
      </c>
      <c r="H80" s="15">
        <v>180000</v>
      </c>
      <c r="I80" s="15">
        <f>Tabla2456789[[#This Row],[TOTAL FACTURA]]*0.7</f>
        <v>125999.99999999999</v>
      </c>
      <c r="J80" s="149">
        <f t="shared" si="1"/>
        <v>54000.000000000015</v>
      </c>
      <c r="K80" s="10"/>
      <c r="L80" s="11"/>
      <c r="M80" s="11">
        <f>Tabla2456789[[#This Row],[MONTO DE COMPRA]]/1.19</f>
        <v>0</v>
      </c>
      <c r="N80" s="11">
        <f>Tabla2456789[[#This Row],[Columna1]]*19%</f>
        <v>0</v>
      </c>
      <c r="O80" s="11"/>
      <c r="P80" s="11">
        <f>Tabla2456789[[#This Row],[VENTA ]]/1.19</f>
        <v>0</v>
      </c>
      <c r="Q80" s="11">
        <f>Tabla2456789[[#This Row],[Columna2]]*19%</f>
        <v>0</v>
      </c>
      <c r="R80" s="11">
        <f>Tabla2456789[[#This Row],[IVA VENTA ]]-Tabla2456789[[#This Row],[IV COMPRA]]</f>
        <v>0</v>
      </c>
      <c r="S80" s="11">
        <f>(Tabla2456789[[#This Row],[VENTA ]]-(Tabla2456789[[#This Row],[MONTO DE COMPRA]]+Tabla2456789[[#This Row],[DIFERENCIA IVA ]]))</f>
        <v>0</v>
      </c>
      <c r="T80" s="15"/>
    </row>
    <row r="81" spans="1:20" s="1" customFormat="1" x14ac:dyDescent="0.25">
      <c r="A81" s="56">
        <v>44852</v>
      </c>
      <c r="B81" s="4"/>
      <c r="C81" s="4"/>
      <c r="D81" s="4" t="s">
        <v>2676</v>
      </c>
      <c r="E81" s="1" t="s">
        <v>59</v>
      </c>
      <c r="F81" s="1" t="s">
        <v>2446</v>
      </c>
      <c r="G81" s="154" t="s">
        <v>341</v>
      </c>
      <c r="H81" s="15">
        <v>5000</v>
      </c>
      <c r="I81" s="15">
        <v>5000</v>
      </c>
      <c r="J81" s="149">
        <f t="shared" si="1"/>
        <v>0</v>
      </c>
      <c r="K81" s="10"/>
      <c r="L81" s="11"/>
      <c r="M81" s="11">
        <f>Tabla2456789[[#This Row],[MONTO DE COMPRA]]/1.19</f>
        <v>0</v>
      </c>
      <c r="N81" s="11">
        <f>Tabla2456789[[#This Row],[Columna1]]*19%</f>
        <v>0</v>
      </c>
      <c r="O81" s="11"/>
      <c r="P81" s="11">
        <f>Tabla2456789[[#This Row],[VENTA ]]/1.19</f>
        <v>0</v>
      </c>
      <c r="Q81" s="11">
        <f>Tabla2456789[[#This Row],[Columna2]]*19%</f>
        <v>0</v>
      </c>
      <c r="R81" s="11">
        <f>Tabla2456789[[#This Row],[IVA VENTA ]]-Tabla2456789[[#This Row],[IV COMPRA]]</f>
        <v>0</v>
      </c>
      <c r="S81" s="11">
        <f>(Tabla2456789[[#This Row],[VENTA ]]-(Tabla2456789[[#This Row],[MONTO DE COMPRA]]+Tabla2456789[[#This Row],[DIFERENCIA IVA ]]))</f>
        <v>0</v>
      </c>
      <c r="T81" s="15"/>
    </row>
    <row r="82" spans="1:20" s="1" customFormat="1" x14ac:dyDescent="0.25">
      <c r="A82" s="56">
        <v>44852</v>
      </c>
      <c r="B82" s="4" t="s">
        <v>3527</v>
      </c>
      <c r="C82" s="4" t="s">
        <v>3526</v>
      </c>
      <c r="D82" s="4" t="s">
        <v>3156</v>
      </c>
      <c r="E82" s="1" t="s">
        <v>1077</v>
      </c>
      <c r="F82" s="1" t="s">
        <v>10</v>
      </c>
      <c r="G82" s="154" t="s">
        <v>3524</v>
      </c>
      <c r="H82" s="15">
        <v>30000</v>
      </c>
      <c r="I82" s="15">
        <f>Tabla2456789[[#This Row],[TOTAL FACTURA]]*0.7</f>
        <v>21000</v>
      </c>
      <c r="J82" s="149">
        <f t="shared" si="1"/>
        <v>9000</v>
      </c>
      <c r="K82" s="10" t="s">
        <v>3525</v>
      </c>
      <c r="L82" s="11">
        <v>100000</v>
      </c>
      <c r="M82" s="11"/>
      <c r="N82" s="11">
        <f>Tabla2456789[[#This Row],[Columna1]]*19%</f>
        <v>0</v>
      </c>
      <c r="O82" s="11">
        <v>130000</v>
      </c>
      <c r="P82" s="11"/>
      <c r="Q82" s="11">
        <f>Tabla2456789[[#This Row],[Columna2]]*19%</f>
        <v>0</v>
      </c>
      <c r="R82" s="11">
        <f>Tabla2456789[[#This Row],[IVA VENTA ]]-Tabla2456789[[#This Row],[IV COMPRA]]</f>
        <v>0</v>
      </c>
      <c r="S82" s="11">
        <f>(Tabla2456789[[#This Row],[VENTA ]]-(Tabla2456789[[#This Row],[MONTO DE COMPRA]]+Tabla2456789[[#This Row],[DIFERENCIA IVA ]]))</f>
        <v>30000</v>
      </c>
      <c r="T82" s="15"/>
    </row>
    <row r="83" spans="1:20" s="1" customFormat="1" x14ac:dyDescent="0.25">
      <c r="A83" s="56">
        <v>44852</v>
      </c>
      <c r="B83" s="4"/>
      <c r="C83" s="4" t="s">
        <v>3528</v>
      </c>
      <c r="D83" s="4" t="s">
        <v>3529</v>
      </c>
      <c r="E83" s="1" t="s">
        <v>385</v>
      </c>
      <c r="F83" s="1" t="s">
        <v>2446</v>
      </c>
      <c r="G83" s="154" t="s">
        <v>3530</v>
      </c>
      <c r="H83" s="15">
        <v>30000</v>
      </c>
      <c r="I83" s="15">
        <f>Tabla2456789[[#This Row],[TOTAL FACTURA]]*0.7</f>
        <v>21000</v>
      </c>
      <c r="J83" s="149">
        <f t="shared" si="1"/>
        <v>9000</v>
      </c>
      <c r="K83" s="10"/>
      <c r="L83" s="11"/>
      <c r="M83" s="11">
        <f>Tabla2456789[[#This Row],[MONTO DE COMPRA]]/1.19</f>
        <v>0</v>
      </c>
      <c r="N83" s="11">
        <f>Tabla2456789[[#This Row],[Columna1]]*19%</f>
        <v>0</v>
      </c>
      <c r="O83" s="11"/>
      <c r="P83" s="11">
        <f>Tabla2456789[[#This Row],[VENTA ]]/1.19</f>
        <v>0</v>
      </c>
      <c r="Q83" s="11">
        <f>Tabla2456789[[#This Row],[Columna2]]*19%</f>
        <v>0</v>
      </c>
      <c r="R83" s="11">
        <f>Tabla2456789[[#This Row],[IVA VENTA ]]-Tabla2456789[[#This Row],[IV COMPRA]]</f>
        <v>0</v>
      </c>
      <c r="S83" s="11">
        <f>(Tabla2456789[[#This Row],[VENTA ]]-(Tabla2456789[[#This Row],[MONTO DE COMPRA]]+Tabla2456789[[#This Row],[DIFERENCIA IVA ]]))</f>
        <v>0</v>
      </c>
      <c r="T83" s="15"/>
    </row>
    <row r="84" spans="1:20" s="1" customFormat="1" x14ac:dyDescent="0.25">
      <c r="A84" s="56">
        <v>44853</v>
      </c>
      <c r="B84" s="4" t="s">
        <v>1982</v>
      </c>
      <c r="C84" s="4" t="s">
        <v>3531</v>
      </c>
      <c r="D84" s="1" t="s">
        <v>3532</v>
      </c>
      <c r="E84" s="1" t="s">
        <v>895</v>
      </c>
      <c r="F84" s="1" t="s">
        <v>2446</v>
      </c>
      <c r="G84" s="154" t="s">
        <v>3533</v>
      </c>
      <c r="H84" s="15">
        <v>300000</v>
      </c>
      <c r="I84" s="15">
        <f>Tabla2456789[[#This Row],[TOTAL FACTURA]]*0.7</f>
        <v>210000</v>
      </c>
      <c r="J84" s="149">
        <f t="shared" si="1"/>
        <v>90000</v>
      </c>
      <c r="K84" s="10" t="s">
        <v>3534</v>
      </c>
      <c r="L84" s="11">
        <v>31000</v>
      </c>
      <c r="M84" s="11"/>
      <c r="N84" s="11">
        <f>Tabla2456789[[#This Row],[Columna1]]*19%</f>
        <v>0</v>
      </c>
      <c r="O84" s="11">
        <v>42000</v>
      </c>
      <c r="P84" s="11"/>
      <c r="Q84" s="11">
        <f>Tabla2456789[[#This Row],[Columna2]]*19%</f>
        <v>0</v>
      </c>
      <c r="R84" s="11">
        <f>Tabla2456789[[#This Row],[IVA VENTA ]]-Tabla2456789[[#This Row],[IV COMPRA]]</f>
        <v>0</v>
      </c>
      <c r="S84" s="11">
        <f>(Tabla2456789[[#This Row],[VENTA ]]-(Tabla2456789[[#This Row],[MONTO DE COMPRA]]+Tabla2456789[[#This Row],[DIFERENCIA IVA ]]))</f>
        <v>11000</v>
      </c>
      <c r="T84" s="15"/>
    </row>
    <row r="85" spans="1:20" s="1" customFormat="1" x14ac:dyDescent="0.25">
      <c r="A85" s="56">
        <v>44853</v>
      </c>
      <c r="B85" s="4" t="s">
        <v>3535</v>
      </c>
      <c r="C85" s="4" t="s">
        <v>3536</v>
      </c>
      <c r="D85" s="4" t="s">
        <v>3537</v>
      </c>
      <c r="E85" s="1" t="s">
        <v>48</v>
      </c>
      <c r="F85" s="1" t="s">
        <v>3437</v>
      </c>
      <c r="G85" s="154" t="s">
        <v>3538</v>
      </c>
      <c r="H85" s="15">
        <v>70000</v>
      </c>
      <c r="I85" s="15">
        <f>Tabla2456789[[#This Row],[TOTAL FACTURA]]*0.5</f>
        <v>35000</v>
      </c>
      <c r="J85" s="149">
        <f t="shared" si="1"/>
        <v>35000</v>
      </c>
      <c r="K85" s="10"/>
      <c r="L85" s="11"/>
      <c r="M85" s="11">
        <f>Tabla2456789[[#This Row],[MONTO DE COMPRA]]/1.19</f>
        <v>0</v>
      </c>
      <c r="N85" s="11">
        <f>Tabla2456789[[#This Row],[Columna1]]*19%</f>
        <v>0</v>
      </c>
      <c r="O85" s="11"/>
      <c r="P85" s="11">
        <f>Tabla2456789[[#This Row],[VENTA ]]/1.19</f>
        <v>0</v>
      </c>
      <c r="Q85" s="11">
        <f>Tabla2456789[[#This Row],[Columna2]]*19%</f>
        <v>0</v>
      </c>
      <c r="R85" s="11">
        <f>Tabla2456789[[#This Row],[IVA VENTA ]]-Tabla2456789[[#This Row],[IV COMPRA]]</f>
        <v>0</v>
      </c>
      <c r="S85" s="11">
        <f>(Tabla2456789[[#This Row],[VENTA ]]-(Tabla2456789[[#This Row],[MONTO DE COMPRA]]+Tabla2456789[[#This Row],[DIFERENCIA IVA ]]))</f>
        <v>0</v>
      </c>
      <c r="T85" s="15"/>
    </row>
    <row r="86" spans="1:20" s="1" customFormat="1" x14ac:dyDescent="0.25">
      <c r="A86" s="56">
        <v>44853</v>
      </c>
      <c r="B86" s="4" t="s">
        <v>3539</v>
      </c>
      <c r="C86" s="4" t="s">
        <v>3540</v>
      </c>
      <c r="D86" s="4" t="s">
        <v>3541</v>
      </c>
      <c r="F86" s="1" t="s">
        <v>10</v>
      </c>
      <c r="G86" s="154" t="s">
        <v>429</v>
      </c>
      <c r="H86" s="15">
        <v>140000</v>
      </c>
      <c r="I86" s="15">
        <f>Tabla2456789[[#This Row],[TOTAL FACTURA]]*0.7</f>
        <v>98000</v>
      </c>
      <c r="J86" s="149">
        <f t="shared" si="1"/>
        <v>42000</v>
      </c>
      <c r="K86" s="10" t="s">
        <v>3542</v>
      </c>
      <c r="L86" s="11">
        <v>70000</v>
      </c>
      <c r="M86" s="11">
        <f>Tabla2456789[[#This Row],[MONTO DE COMPRA]]/1.19</f>
        <v>58823.529411764706</v>
      </c>
      <c r="N86" s="11">
        <f>Tabla2456789[[#This Row],[Columna1]]*19%</f>
        <v>11176.470588235294</v>
      </c>
      <c r="O86" s="11">
        <v>110000</v>
      </c>
      <c r="P86" s="11">
        <f>Tabla2456789[[#This Row],[VENTA ]]/1.19</f>
        <v>92436.97478991597</v>
      </c>
      <c r="Q86" s="11">
        <f>Tabla2456789[[#This Row],[Columna2]]*19%</f>
        <v>17563.025210084033</v>
      </c>
      <c r="R86" s="11">
        <f>Tabla2456789[[#This Row],[IVA VENTA ]]-Tabla2456789[[#This Row],[IV COMPRA]]</f>
        <v>6386.5546218487398</v>
      </c>
      <c r="S86" s="11">
        <f>(Tabla2456789[[#This Row],[VENTA ]]-(Tabla2456789[[#This Row],[MONTO DE COMPRA]]+Tabla2456789[[#This Row],[DIFERENCIA IVA ]]))</f>
        <v>33613.445378151257</v>
      </c>
      <c r="T86" s="15"/>
    </row>
    <row r="87" spans="1:20" s="1" customFormat="1" x14ac:dyDescent="0.25">
      <c r="A87" s="56">
        <v>44853</v>
      </c>
      <c r="B87" s="4"/>
      <c r="C87" s="4"/>
      <c r="D87" s="4"/>
      <c r="E87" s="1" t="s">
        <v>815</v>
      </c>
      <c r="F87" s="1" t="s">
        <v>3437</v>
      </c>
      <c r="G87" s="154" t="s">
        <v>3538</v>
      </c>
      <c r="H87" s="15">
        <v>30000</v>
      </c>
      <c r="I87" s="15">
        <f>Tabla2456789[[#This Row],[TOTAL FACTURA]]*0.5</f>
        <v>15000</v>
      </c>
      <c r="J87" s="149">
        <f t="shared" si="1"/>
        <v>15000</v>
      </c>
      <c r="K87" s="10"/>
      <c r="L87" s="11"/>
      <c r="M87" s="11">
        <f>Tabla2456789[[#This Row],[MONTO DE COMPRA]]/1.19</f>
        <v>0</v>
      </c>
      <c r="N87" s="11">
        <f>Tabla2456789[[#This Row],[Columna1]]*19%</f>
        <v>0</v>
      </c>
      <c r="O87" s="11"/>
      <c r="P87" s="11">
        <f>Tabla2456789[[#This Row],[VENTA ]]/1.19</f>
        <v>0</v>
      </c>
      <c r="Q87" s="11">
        <f>Tabla2456789[[#This Row],[Columna2]]*19%</f>
        <v>0</v>
      </c>
      <c r="R87" s="11">
        <f>Tabla2456789[[#This Row],[IVA VENTA ]]-Tabla2456789[[#This Row],[IV COMPRA]]</f>
        <v>0</v>
      </c>
      <c r="S87" s="11">
        <f>(Tabla2456789[[#This Row],[VENTA ]]-(Tabla2456789[[#This Row],[MONTO DE COMPRA]]+Tabla2456789[[#This Row],[DIFERENCIA IVA ]]))</f>
        <v>0</v>
      </c>
      <c r="T87" s="15"/>
    </row>
    <row r="88" spans="1:20" s="1" customFormat="1" x14ac:dyDescent="0.25">
      <c r="A88" s="56">
        <v>44854</v>
      </c>
      <c r="B88" s="4"/>
      <c r="C88" s="4"/>
      <c r="D88" s="4"/>
      <c r="E88" s="1" t="s">
        <v>1077</v>
      </c>
      <c r="F88" s="1" t="s">
        <v>2446</v>
      </c>
      <c r="G88" s="154" t="s">
        <v>3543</v>
      </c>
      <c r="H88" s="15">
        <v>40000</v>
      </c>
      <c r="I88" s="15">
        <f>Tabla2456789[[#This Row],[TOTAL FACTURA]]*0.7</f>
        <v>28000</v>
      </c>
      <c r="J88" s="149">
        <f t="shared" si="1"/>
        <v>12000</v>
      </c>
      <c r="K88" s="10" t="s">
        <v>2529</v>
      </c>
      <c r="L88" s="11">
        <v>5000</v>
      </c>
      <c r="M88" s="11">
        <f>Tabla2456789[[#This Row],[MONTO DE COMPRA]]/1.19</f>
        <v>4201.680672268908</v>
      </c>
      <c r="N88" s="11">
        <f>Tabla2456789[[#This Row],[Columna1]]*19%</f>
        <v>798.31932773109247</v>
      </c>
      <c r="O88" s="11">
        <v>10000</v>
      </c>
      <c r="P88" s="11"/>
      <c r="Q88" s="11">
        <f>Tabla2456789[[#This Row],[Columna2]]*19%</f>
        <v>0</v>
      </c>
      <c r="R88" s="11">
        <f>Tabla2456789[[#This Row],[IVA VENTA ]]-Tabla2456789[[#This Row],[IV COMPRA]]</f>
        <v>-798.31932773109247</v>
      </c>
      <c r="S88" s="11">
        <f>(Tabla2456789[[#This Row],[VENTA ]]-(Tabla2456789[[#This Row],[MONTO DE COMPRA]]+Tabla2456789[[#This Row],[DIFERENCIA IVA ]]))</f>
        <v>5798.3193277310929</v>
      </c>
      <c r="T88" s="15"/>
    </row>
    <row r="89" spans="1:20" s="1" customFormat="1" x14ac:dyDescent="0.25">
      <c r="A89" s="56">
        <v>44854</v>
      </c>
      <c r="B89" s="4"/>
      <c r="C89" s="4"/>
      <c r="D89" s="4" t="s">
        <v>3544</v>
      </c>
      <c r="E89" s="1" t="s">
        <v>3545</v>
      </c>
      <c r="F89" s="1" t="s">
        <v>3437</v>
      </c>
      <c r="G89" s="154" t="s">
        <v>3546</v>
      </c>
      <c r="H89" s="15">
        <v>90000</v>
      </c>
      <c r="I89" s="15">
        <f>Tabla2456789[[#This Row],[TOTAL FACTURA]]*0.5</f>
        <v>45000</v>
      </c>
      <c r="J89" s="149">
        <f t="shared" si="1"/>
        <v>45000</v>
      </c>
      <c r="K89" s="10"/>
      <c r="L89" s="11"/>
      <c r="M89" s="11">
        <f>Tabla2456789[[#This Row],[MONTO DE COMPRA]]/1.19</f>
        <v>0</v>
      </c>
      <c r="N89" s="11">
        <f>Tabla2456789[[#This Row],[Columna1]]*19%</f>
        <v>0</v>
      </c>
      <c r="O89" s="11"/>
      <c r="P89" s="11">
        <f>Tabla2456789[[#This Row],[VENTA ]]/1.19</f>
        <v>0</v>
      </c>
      <c r="Q89" s="11">
        <f>Tabla2456789[[#This Row],[Columna2]]*19%</f>
        <v>0</v>
      </c>
      <c r="R89" s="11">
        <f>Tabla2456789[[#This Row],[IVA VENTA ]]-Tabla2456789[[#This Row],[IV COMPRA]]</f>
        <v>0</v>
      </c>
      <c r="S89" s="11">
        <f>(Tabla2456789[[#This Row],[VENTA ]]-(Tabla2456789[[#This Row],[MONTO DE COMPRA]]+Tabla2456789[[#This Row],[DIFERENCIA IVA ]]))</f>
        <v>0</v>
      </c>
      <c r="T89" s="15"/>
    </row>
    <row r="90" spans="1:20" s="1" customFormat="1" x14ac:dyDescent="0.25">
      <c r="A90" s="56">
        <v>44854</v>
      </c>
      <c r="B90" s="4" t="s">
        <v>3547</v>
      </c>
      <c r="C90" s="4" t="s">
        <v>2769</v>
      </c>
      <c r="D90" s="4" t="s">
        <v>2770</v>
      </c>
      <c r="E90" s="1" t="s">
        <v>2392</v>
      </c>
      <c r="F90" s="1" t="s">
        <v>2446</v>
      </c>
      <c r="G90" s="154" t="s">
        <v>429</v>
      </c>
      <c r="H90" s="15">
        <v>200000</v>
      </c>
      <c r="I90" s="15">
        <f>Tabla2456789[[#This Row],[TOTAL FACTURA]]*0.7</f>
        <v>140000</v>
      </c>
      <c r="J90" s="149">
        <f t="shared" si="1"/>
        <v>60000</v>
      </c>
      <c r="K90" s="10" t="s">
        <v>3548</v>
      </c>
      <c r="L90" s="11">
        <f>90000+25000</f>
        <v>115000</v>
      </c>
      <c r="M90" s="11">
        <f>Tabla2456789[[#This Row],[MONTO DE COMPRA]]/1.19</f>
        <v>96638.655462184877</v>
      </c>
      <c r="N90" s="11">
        <f>Tabla2456789[[#This Row],[Columna1]]*19%</f>
        <v>18361.344537815126</v>
      </c>
      <c r="O90" s="11">
        <f>210000+71400</f>
        <v>281400</v>
      </c>
      <c r="P90" s="11">
        <f>Tabla2456789[[#This Row],[VENTA ]]/1.19</f>
        <v>236470.58823529413</v>
      </c>
      <c r="Q90" s="11">
        <f>Tabla2456789[[#This Row],[Columna2]]*19%</f>
        <v>44929.411764705881</v>
      </c>
      <c r="R90" s="11">
        <f>Tabla2456789[[#This Row],[IVA VENTA ]]-Tabla2456789[[#This Row],[IV COMPRA]]</f>
        <v>26568.067226890755</v>
      </c>
      <c r="S90" s="11">
        <f>(Tabla2456789[[#This Row],[VENTA ]]-(Tabla2456789[[#This Row],[MONTO DE COMPRA]]+Tabla2456789[[#This Row],[DIFERENCIA IVA ]]))</f>
        <v>139831.93277310923</v>
      </c>
      <c r="T90" s="15"/>
    </row>
    <row r="91" spans="1:20" s="1" customFormat="1" ht="30" x14ac:dyDescent="0.25">
      <c r="A91" s="56">
        <v>44855</v>
      </c>
      <c r="B91" s="4" t="s">
        <v>3549</v>
      </c>
      <c r="C91" s="4" t="s">
        <v>1278</v>
      </c>
      <c r="D91" s="4" t="s">
        <v>386</v>
      </c>
      <c r="E91" s="1" t="s">
        <v>3550</v>
      </c>
      <c r="F91" s="1" t="s">
        <v>2446</v>
      </c>
      <c r="G91" s="154" t="s">
        <v>3551</v>
      </c>
      <c r="H91" s="15">
        <v>70000</v>
      </c>
      <c r="I91" s="15">
        <f>Tabla2456789[[#This Row],[TOTAL FACTURA]]*0.7</f>
        <v>49000</v>
      </c>
      <c r="J91" s="149">
        <f t="shared" si="1"/>
        <v>21000</v>
      </c>
      <c r="K91" s="10" t="s">
        <v>3553</v>
      </c>
      <c r="L91" s="11">
        <f>185000+20000+16000+1000+3000</f>
        <v>225000</v>
      </c>
      <c r="M91" s="11">
        <f>Tabla2456789[[#This Row],[MONTO DE COMPRA]]/1.19</f>
        <v>189075.63025210085</v>
      </c>
      <c r="N91" s="11">
        <f>Tabla2456789[[#This Row],[Columna1]]*19%</f>
        <v>35924.36974789916</v>
      </c>
      <c r="O91" s="11">
        <v>566000</v>
      </c>
      <c r="P91" s="11">
        <f>Tabla2456789[[#This Row],[VENTA ]]/1.19</f>
        <v>475630.25210084039</v>
      </c>
      <c r="Q91" s="11">
        <f>Tabla2456789[[#This Row],[Columna2]]*19%</f>
        <v>90369.747899159673</v>
      </c>
      <c r="R91" s="11">
        <f>Tabla2456789[[#This Row],[IVA VENTA ]]-Tabla2456789[[#This Row],[IV COMPRA]]</f>
        <v>54445.378151260513</v>
      </c>
      <c r="S91" s="11">
        <f>(Tabla2456789[[#This Row],[VENTA ]]-(Tabla2456789[[#This Row],[MONTO DE COMPRA]]+Tabla2456789[[#This Row],[DIFERENCIA IVA ]]))</f>
        <v>286554.62184873951</v>
      </c>
      <c r="T91" s="15"/>
    </row>
    <row r="92" spans="1:20" s="1" customFormat="1" ht="18.75" customHeight="1" x14ac:dyDescent="0.25">
      <c r="A92" s="56">
        <v>44855</v>
      </c>
      <c r="B92" s="4" t="s">
        <v>3549</v>
      </c>
      <c r="C92" s="4" t="s">
        <v>1278</v>
      </c>
      <c r="D92" s="4" t="s">
        <v>380</v>
      </c>
      <c r="E92" s="1" t="s">
        <v>59</v>
      </c>
      <c r="F92" s="1" t="s">
        <v>2446</v>
      </c>
      <c r="G92" s="154" t="s">
        <v>3552</v>
      </c>
      <c r="H92" s="15">
        <v>100000</v>
      </c>
      <c r="I92" s="15">
        <f>Tabla2456789[[#This Row],[TOTAL FACTURA]]*0.7</f>
        <v>70000</v>
      </c>
      <c r="J92" s="149">
        <f t="shared" si="1"/>
        <v>30000</v>
      </c>
      <c r="K92" s="10" t="s">
        <v>2973</v>
      </c>
      <c r="L92" s="11"/>
      <c r="M92" s="11">
        <f>Tabla2456789[[#This Row],[MONTO DE COMPRA]]/1.19</f>
        <v>0</v>
      </c>
      <c r="N92" s="11">
        <f>Tabla2456789[[#This Row],[Columna1]]*19%</f>
        <v>0</v>
      </c>
      <c r="O92" s="11"/>
      <c r="P92" s="11">
        <f>Tabla2456789[[#This Row],[VENTA ]]/1.19</f>
        <v>0</v>
      </c>
      <c r="Q92" s="11">
        <f>Tabla2456789[[#This Row],[Columna2]]*19%</f>
        <v>0</v>
      </c>
      <c r="R92" s="11">
        <f>Tabla2456789[[#This Row],[IVA VENTA ]]-Tabla2456789[[#This Row],[IV COMPRA]]</f>
        <v>0</v>
      </c>
      <c r="S92" s="11">
        <f>(Tabla2456789[[#This Row],[VENTA ]]-(Tabla2456789[[#This Row],[MONTO DE COMPRA]]+Tabla2456789[[#This Row],[DIFERENCIA IVA ]]))</f>
        <v>0</v>
      </c>
      <c r="T92" s="15"/>
    </row>
    <row r="93" spans="1:20" s="1" customFormat="1" ht="30" x14ac:dyDescent="0.25">
      <c r="A93" s="56">
        <v>44855</v>
      </c>
      <c r="B93" s="4" t="s">
        <v>3562</v>
      </c>
      <c r="C93" s="4" t="s">
        <v>1238</v>
      </c>
      <c r="D93" s="4" t="s">
        <v>3506</v>
      </c>
      <c r="E93" s="1" t="s">
        <v>3365</v>
      </c>
      <c r="F93" s="1" t="s">
        <v>2446</v>
      </c>
      <c r="G93" s="154" t="s">
        <v>3561</v>
      </c>
      <c r="H93" s="15">
        <v>140000</v>
      </c>
      <c r="I93" s="15">
        <f>Tabla2456789[[#This Row],[TOTAL FACTURA]]*0.7</f>
        <v>98000</v>
      </c>
      <c r="J93" s="149">
        <f t="shared" si="1"/>
        <v>42000</v>
      </c>
      <c r="K93" s="10" t="s">
        <v>3564</v>
      </c>
      <c r="L93" s="11">
        <f>129000+10000+6500+500+10000+30000</f>
        <v>186000</v>
      </c>
      <c r="M93" s="11">
        <f>Tabla2456789[[#This Row],[MONTO DE COMPRA]]/1.19</f>
        <v>156302.52100840336</v>
      </c>
      <c r="N93" s="11">
        <f>Tabla2456789[[#This Row],[Columna1]]*19%</f>
        <v>29697.478991596639</v>
      </c>
      <c r="O93" s="11">
        <v>308000</v>
      </c>
      <c r="P93" s="11">
        <f>Tabla2456789[[#This Row],[VENTA ]]/1.19</f>
        <v>258823.52941176473</v>
      </c>
      <c r="Q93" s="11">
        <f>Tabla2456789[[#This Row],[Columna2]]*19%</f>
        <v>49176.470588235301</v>
      </c>
      <c r="R93" s="11">
        <f>Tabla2456789[[#This Row],[IVA VENTA ]]-Tabla2456789[[#This Row],[IV COMPRA]]</f>
        <v>19478.991596638662</v>
      </c>
      <c r="S93" s="11">
        <f>(Tabla2456789[[#This Row],[VENTA ]]-(Tabla2456789[[#This Row],[MONTO DE COMPRA]]+Tabla2456789[[#This Row],[DIFERENCIA IVA ]]))</f>
        <v>102521.00840336134</v>
      </c>
      <c r="T93" s="15"/>
    </row>
    <row r="94" spans="1:20" s="1" customFormat="1" x14ac:dyDescent="0.25">
      <c r="A94" s="56">
        <v>44855</v>
      </c>
      <c r="B94" s="4" t="s">
        <v>3554</v>
      </c>
      <c r="C94" s="4" t="s">
        <v>3555</v>
      </c>
      <c r="D94" s="4" t="s">
        <v>3556</v>
      </c>
      <c r="E94" s="1" t="s">
        <v>540</v>
      </c>
      <c r="F94" s="1" t="s">
        <v>2446</v>
      </c>
      <c r="G94" s="154" t="s">
        <v>3557</v>
      </c>
      <c r="H94" s="15">
        <v>50000</v>
      </c>
      <c r="I94" s="15">
        <f>Tabla2456789[[#This Row],[TOTAL FACTURA]]*0.7</f>
        <v>35000</v>
      </c>
      <c r="J94" s="149">
        <f t="shared" si="1"/>
        <v>15000</v>
      </c>
      <c r="K94" s="10" t="s">
        <v>3558</v>
      </c>
      <c r="L94" s="11">
        <v>30000</v>
      </c>
      <c r="M94" s="11">
        <f>Tabla2456789[[#This Row],[MONTO DE COMPRA]]/1.19</f>
        <v>25210.084033613446</v>
      </c>
      <c r="N94" s="11">
        <f>Tabla2456789[[#This Row],[Columna1]]*19%</f>
        <v>4789.9159663865548</v>
      </c>
      <c r="O94" s="11">
        <v>100000</v>
      </c>
      <c r="P94" s="11">
        <f>Tabla2456789[[#This Row],[VENTA ]]/1.19</f>
        <v>84033.613445378156</v>
      </c>
      <c r="Q94" s="11">
        <f>Tabla2456789[[#This Row],[Columna2]]*19%</f>
        <v>15966.386554621849</v>
      </c>
      <c r="R94" s="11">
        <f>Tabla2456789[[#This Row],[IVA VENTA ]]-Tabla2456789[[#This Row],[IV COMPRA]]</f>
        <v>11176.470588235294</v>
      </c>
      <c r="S94" s="11">
        <f>(Tabla2456789[[#This Row],[VENTA ]]-(Tabla2456789[[#This Row],[MONTO DE COMPRA]]+Tabla2456789[[#This Row],[DIFERENCIA IVA ]]))</f>
        <v>58823.529411764706</v>
      </c>
      <c r="T94" s="15"/>
    </row>
    <row r="95" spans="1:20" s="1" customFormat="1" x14ac:dyDescent="0.25">
      <c r="A95" s="56">
        <v>44855</v>
      </c>
      <c r="B95" s="4"/>
      <c r="C95" s="4"/>
      <c r="D95" s="4" t="s">
        <v>3559</v>
      </c>
      <c r="E95" s="1" t="s">
        <v>566</v>
      </c>
      <c r="F95" s="1" t="s">
        <v>3437</v>
      </c>
      <c r="G95" s="154" t="s">
        <v>3560</v>
      </c>
      <c r="H95" s="15">
        <v>70000</v>
      </c>
      <c r="I95" s="15">
        <f>Tabla2456789[[#This Row],[TOTAL FACTURA]]*0.5</f>
        <v>35000</v>
      </c>
      <c r="J95" s="149">
        <f t="shared" si="1"/>
        <v>35000</v>
      </c>
      <c r="K95" s="10"/>
      <c r="L95" s="11"/>
      <c r="M95" s="11">
        <f>Tabla2456789[[#This Row],[MONTO DE COMPRA]]/1.19</f>
        <v>0</v>
      </c>
      <c r="N95" s="11">
        <f>Tabla2456789[[#This Row],[Columna1]]*19%</f>
        <v>0</v>
      </c>
      <c r="O95" s="11"/>
      <c r="P95" s="11">
        <f>Tabla2456789[[#This Row],[VENTA ]]/1.19</f>
        <v>0</v>
      </c>
      <c r="Q95" s="11">
        <f>Tabla2456789[[#This Row],[Columna2]]*19%</f>
        <v>0</v>
      </c>
      <c r="R95" s="11">
        <f>Tabla2456789[[#This Row],[IVA VENTA ]]-Tabla2456789[[#This Row],[IV COMPRA]]</f>
        <v>0</v>
      </c>
      <c r="S95" s="11">
        <f>(Tabla2456789[[#This Row],[VENTA ]]-(Tabla2456789[[#This Row],[MONTO DE COMPRA]]+Tabla2456789[[#This Row],[DIFERENCIA IVA ]]))</f>
        <v>0</v>
      </c>
      <c r="T95" s="15"/>
    </row>
    <row r="96" spans="1:20" s="1" customFormat="1" ht="30" x14ac:dyDescent="0.25">
      <c r="A96" s="56">
        <v>44855</v>
      </c>
      <c r="B96" s="4" t="s">
        <v>3562</v>
      </c>
      <c r="C96" s="4" t="s">
        <v>1238</v>
      </c>
      <c r="D96" s="4" t="s">
        <v>3506</v>
      </c>
      <c r="E96" s="1" t="s">
        <v>3365</v>
      </c>
      <c r="F96" s="1" t="s">
        <v>3437</v>
      </c>
      <c r="G96" s="154" t="s">
        <v>3563</v>
      </c>
      <c r="H96" s="15">
        <v>140000</v>
      </c>
      <c r="I96" s="15">
        <f>Tabla2456789[[#This Row],[TOTAL FACTURA]]*0.5</f>
        <v>70000</v>
      </c>
      <c r="J96" s="149">
        <f t="shared" si="1"/>
        <v>70000</v>
      </c>
      <c r="K96" s="10"/>
      <c r="L96" s="11"/>
      <c r="M96" s="11">
        <f>Tabla2456789[[#This Row],[MONTO DE COMPRA]]/1.19</f>
        <v>0</v>
      </c>
      <c r="N96" s="11">
        <f>Tabla2456789[[#This Row],[Columna1]]*19%</f>
        <v>0</v>
      </c>
      <c r="O96" s="11"/>
      <c r="P96" s="11">
        <f>Tabla2456789[[#This Row],[VENTA ]]/1.19</f>
        <v>0</v>
      </c>
      <c r="Q96" s="11">
        <f>Tabla2456789[[#This Row],[Columna2]]*19%</f>
        <v>0</v>
      </c>
      <c r="R96" s="11">
        <f>Tabla2456789[[#This Row],[IVA VENTA ]]-Tabla2456789[[#This Row],[IV COMPRA]]</f>
        <v>0</v>
      </c>
      <c r="S96" s="11">
        <f>(Tabla2456789[[#This Row],[VENTA ]]-(Tabla2456789[[#This Row],[MONTO DE COMPRA]]+Tabla2456789[[#This Row],[DIFERENCIA IVA ]]))</f>
        <v>0</v>
      </c>
      <c r="T96" s="15"/>
    </row>
    <row r="97" spans="1:20" s="1" customFormat="1" ht="30" x14ac:dyDescent="0.25">
      <c r="A97" s="56">
        <v>44855</v>
      </c>
      <c r="B97" s="4" t="s">
        <v>3582</v>
      </c>
      <c r="C97" s="4" t="s">
        <v>3583</v>
      </c>
      <c r="D97" s="4" t="s">
        <v>3566</v>
      </c>
      <c r="E97" s="1" t="s">
        <v>3375</v>
      </c>
      <c r="F97" s="1" t="s">
        <v>2446</v>
      </c>
      <c r="G97" s="154" t="s">
        <v>3567</v>
      </c>
      <c r="H97" s="15">
        <v>60000</v>
      </c>
      <c r="I97" s="15">
        <v>63000</v>
      </c>
      <c r="J97" s="149"/>
      <c r="K97" s="10" t="s">
        <v>2553</v>
      </c>
      <c r="L97" s="11"/>
      <c r="M97" s="11">
        <f>Tabla2456789[[#This Row],[MONTO DE COMPRA]]/1.19</f>
        <v>0</v>
      </c>
      <c r="N97" s="11">
        <f>Tabla2456789[[#This Row],[Columna1]]*19%</f>
        <v>0</v>
      </c>
      <c r="O97" s="11"/>
      <c r="P97" s="11">
        <f>Tabla2456789[[#This Row],[VENTA ]]/1.19</f>
        <v>0</v>
      </c>
      <c r="Q97" s="11">
        <f>Tabla2456789[[#This Row],[Columna2]]*19%</f>
        <v>0</v>
      </c>
      <c r="R97" s="11">
        <f>Tabla2456789[[#This Row],[IVA VENTA ]]-Tabla2456789[[#This Row],[IV COMPRA]]</f>
        <v>0</v>
      </c>
      <c r="S97" s="11">
        <f>(Tabla2456789[[#This Row],[VENTA ]]-(Tabla2456789[[#This Row],[MONTO DE COMPRA]]+Tabla2456789[[#This Row],[DIFERENCIA IVA ]]))</f>
        <v>0</v>
      </c>
      <c r="T97" s="15"/>
    </row>
    <row r="98" spans="1:20" s="1" customFormat="1" x14ac:dyDescent="0.25">
      <c r="A98" s="56">
        <v>44855</v>
      </c>
      <c r="B98" s="4"/>
      <c r="C98" s="4"/>
      <c r="D98" s="4"/>
      <c r="F98" s="1" t="s">
        <v>10</v>
      </c>
      <c r="G98" s="154" t="s">
        <v>3571</v>
      </c>
      <c r="H98" s="15">
        <v>20000</v>
      </c>
      <c r="I98" s="15">
        <f>Tabla2456789[[#This Row],[TOTAL FACTURA]]*0.7</f>
        <v>14000</v>
      </c>
      <c r="J98" s="149">
        <f t="shared" si="1"/>
        <v>6000</v>
      </c>
      <c r="K98" s="10"/>
      <c r="L98" s="11"/>
      <c r="M98" s="11">
        <f>Tabla2456789[[#This Row],[MONTO DE COMPRA]]/1.19</f>
        <v>0</v>
      </c>
      <c r="N98" s="11">
        <f>Tabla2456789[[#This Row],[Columna1]]*19%</f>
        <v>0</v>
      </c>
      <c r="O98" s="11"/>
      <c r="P98" s="11">
        <f>Tabla2456789[[#This Row],[VENTA ]]/1.19</f>
        <v>0</v>
      </c>
      <c r="Q98" s="11">
        <f>Tabla2456789[[#This Row],[Columna2]]*19%</f>
        <v>0</v>
      </c>
      <c r="R98" s="11">
        <f>Tabla2456789[[#This Row],[IVA VENTA ]]-Tabla2456789[[#This Row],[IV COMPRA]]</f>
        <v>0</v>
      </c>
      <c r="S98" s="11">
        <f>(Tabla2456789[[#This Row],[VENTA ]]-(Tabla2456789[[#This Row],[MONTO DE COMPRA]]+Tabla2456789[[#This Row],[DIFERENCIA IVA ]]))</f>
        <v>0</v>
      </c>
      <c r="T98" s="15"/>
    </row>
    <row r="99" spans="1:20" s="1" customFormat="1" x14ac:dyDescent="0.25">
      <c r="A99" s="56">
        <v>44856</v>
      </c>
      <c r="B99" s="4"/>
      <c r="C99" s="4"/>
      <c r="D99" s="4" t="s">
        <v>3573</v>
      </c>
      <c r="E99" s="1" t="s">
        <v>3545</v>
      </c>
      <c r="F99" s="1" t="s">
        <v>3437</v>
      </c>
      <c r="G99" s="154" t="s">
        <v>3538</v>
      </c>
      <c r="H99" s="15">
        <v>50000</v>
      </c>
      <c r="I99" s="15">
        <f>Tabla2456789[[#This Row],[TOTAL FACTURA]]*0.5</f>
        <v>25000</v>
      </c>
      <c r="J99" s="149">
        <f t="shared" si="1"/>
        <v>25000</v>
      </c>
      <c r="K99" s="10"/>
      <c r="L99" s="11"/>
      <c r="M99" s="11">
        <f>Tabla2456789[[#This Row],[MONTO DE COMPRA]]/1.19</f>
        <v>0</v>
      </c>
      <c r="N99" s="11">
        <f>Tabla2456789[[#This Row],[Columna1]]*19%</f>
        <v>0</v>
      </c>
      <c r="O99" s="11"/>
      <c r="P99" s="11">
        <f>Tabla2456789[[#This Row],[VENTA ]]/1.19</f>
        <v>0</v>
      </c>
      <c r="Q99" s="11">
        <f>Tabla2456789[[#This Row],[Columna2]]*19%</f>
        <v>0</v>
      </c>
      <c r="R99" s="11">
        <f>Tabla2456789[[#This Row],[IVA VENTA ]]-Tabla2456789[[#This Row],[IV COMPRA]]</f>
        <v>0</v>
      </c>
      <c r="S99" s="11">
        <f>(Tabla2456789[[#This Row],[VENTA ]]-(Tabla2456789[[#This Row],[MONTO DE COMPRA]]+Tabla2456789[[#This Row],[DIFERENCIA IVA ]]))</f>
        <v>0</v>
      </c>
      <c r="T99" s="15"/>
    </row>
    <row r="100" spans="1:20" s="1" customFormat="1" x14ac:dyDescent="0.25">
      <c r="A100" s="56">
        <v>44856</v>
      </c>
      <c r="B100" s="4" t="s">
        <v>1989</v>
      </c>
      <c r="C100" s="4" t="s">
        <v>3574</v>
      </c>
      <c r="D100" s="4" t="s">
        <v>3575</v>
      </c>
      <c r="E100" s="1" t="s">
        <v>1872</v>
      </c>
      <c r="F100" s="1" t="s">
        <v>2446</v>
      </c>
      <c r="G100" s="10" t="s">
        <v>3576</v>
      </c>
      <c r="H100" s="15">
        <v>70000</v>
      </c>
      <c r="I100" s="15">
        <f>Tabla2456789[[#This Row],[TOTAL FACTURA]]*0.7</f>
        <v>49000</v>
      </c>
      <c r="J100" s="149">
        <f t="shared" si="1"/>
        <v>21000</v>
      </c>
      <c r="K100" s="10"/>
      <c r="L100" s="11"/>
      <c r="M100" s="11">
        <f>Tabla2456789[[#This Row],[MONTO DE COMPRA]]/1.19</f>
        <v>0</v>
      </c>
      <c r="N100" s="11">
        <f>Tabla2456789[[#This Row],[Columna1]]*19%</f>
        <v>0</v>
      </c>
      <c r="O100" s="11"/>
      <c r="P100" s="11">
        <f>Tabla2456789[[#This Row],[VENTA ]]/1.19</f>
        <v>0</v>
      </c>
      <c r="Q100" s="11">
        <f>Tabla2456789[[#This Row],[Columna2]]*19%</f>
        <v>0</v>
      </c>
      <c r="R100" s="11">
        <f>Tabla2456789[[#This Row],[IVA VENTA ]]-Tabla2456789[[#This Row],[IV COMPRA]]</f>
        <v>0</v>
      </c>
      <c r="S100" s="11">
        <f>(Tabla2456789[[#This Row],[VENTA ]]-(Tabla2456789[[#This Row],[MONTO DE COMPRA]]+Tabla2456789[[#This Row],[DIFERENCIA IVA ]]))</f>
        <v>0</v>
      </c>
      <c r="T100" s="15"/>
    </row>
    <row r="101" spans="1:20" s="1" customFormat="1" x14ac:dyDescent="0.25">
      <c r="A101" s="56">
        <v>44856</v>
      </c>
      <c r="B101" s="4" t="s">
        <v>1989</v>
      </c>
      <c r="C101" s="4" t="s">
        <v>3574</v>
      </c>
      <c r="D101" s="4" t="s">
        <v>3575</v>
      </c>
      <c r="E101" s="1" t="s">
        <v>1872</v>
      </c>
      <c r="F101" s="1" t="s">
        <v>3437</v>
      </c>
      <c r="G101" s="10" t="s">
        <v>3577</v>
      </c>
      <c r="H101" s="15">
        <v>25000</v>
      </c>
      <c r="I101" s="15">
        <f>Tabla2456789[[#This Row],[TOTAL FACTURA]]*0.5</f>
        <v>12500</v>
      </c>
      <c r="J101" s="149">
        <f t="shared" si="1"/>
        <v>12500</v>
      </c>
      <c r="K101" s="10"/>
      <c r="L101" s="11"/>
      <c r="M101" s="11">
        <f>Tabla2456789[[#This Row],[MONTO DE COMPRA]]/1.19</f>
        <v>0</v>
      </c>
      <c r="N101" s="11">
        <f>Tabla2456789[[#This Row],[Columna1]]*19%</f>
        <v>0</v>
      </c>
      <c r="O101" s="11"/>
      <c r="P101" s="11">
        <f>Tabla2456789[[#This Row],[VENTA ]]/1.19</f>
        <v>0</v>
      </c>
      <c r="Q101" s="11">
        <f>Tabla2456789[[#This Row],[Columna2]]*19%</f>
        <v>0</v>
      </c>
      <c r="R101" s="11">
        <f>Tabla2456789[[#This Row],[IVA VENTA ]]-Tabla2456789[[#This Row],[IV COMPRA]]</f>
        <v>0</v>
      </c>
      <c r="S101" s="11">
        <f>(Tabla2456789[[#This Row],[VENTA ]]-(Tabla2456789[[#This Row],[MONTO DE COMPRA]]+Tabla2456789[[#This Row],[DIFERENCIA IVA ]]))</f>
        <v>0</v>
      </c>
      <c r="T101" s="15"/>
    </row>
    <row r="102" spans="1:20" s="1" customFormat="1" x14ac:dyDescent="0.25">
      <c r="A102" s="56">
        <v>44856</v>
      </c>
      <c r="B102" s="4" t="s">
        <v>3578</v>
      </c>
      <c r="C102" s="4" t="s">
        <v>3579</v>
      </c>
      <c r="D102" s="4" t="s">
        <v>3580</v>
      </c>
      <c r="E102" s="1" t="s">
        <v>574</v>
      </c>
      <c r="F102" s="1" t="s">
        <v>2446</v>
      </c>
      <c r="G102" s="10" t="s">
        <v>3581</v>
      </c>
      <c r="H102" s="15">
        <v>130000</v>
      </c>
      <c r="I102" s="15">
        <f>Tabla2456789[[#This Row],[TOTAL FACTURA]]*0.7</f>
        <v>91000</v>
      </c>
      <c r="J102" s="149">
        <f t="shared" si="1"/>
        <v>39000</v>
      </c>
      <c r="K102" s="10"/>
      <c r="L102" s="11"/>
      <c r="M102" s="11">
        <f>Tabla2456789[[#This Row],[MONTO DE COMPRA]]/1.19</f>
        <v>0</v>
      </c>
      <c r="N102" s="11">
        <f>Tabla2456789[[#This Row],[Columna1]]*19%</f>
        <v>0</v>
      </c>
      <c r="O102" s="11"/>
      <c r="P102" s="11">
        <f>Tabla2456789[[#This Row],[VENTA ]]/1.19</f>
        <v>0</v>
      </c>
      <c r="Q102" s="11">
        <f>Tabla2456789[[#This Row],[Columna2]]*19%</f>
        <v>0</v>
      </c>
      <c r="R102" s="11">
        <f>Tabla2456789[[#This Row],[IVA VENTA ]]-Tabla2456789[[#This Row],[IV COMPRA]]</f>
        <v>0</v>
      </c>
      <c r="S102" s="11">
        <f>(Tabla2456789[[#This Row],[VENTA ]]-(Tabla2456789[[#This Row],[MONTO DE COMPRA]]+Tabla2456789[[#This Row],[DIFERENCIA IVA ]]))</f>
        <v>0</v>
      </c>
      <c r="T102" s="15"/>
    </row>
    <row r="103" spans="1:20" s="1" customFormat="1" ht="30" x14ac:dyDescent="0.25">
      <c r="A103" s="56">
        <v>44856</v>
      </c>
      <c r="B103" s="4" t="s">
        <v>3585</v>
      </c>
      <c r="C103" s="4" t="s">
        <v>3584</v>
      </c>
      <c r="D103" s="4" t="s">
        <v>442</v>
      </c>
      <c r="E103" s="1" t="s">
        <v>3586</v>
      </c>
      <c r="F103" s="1" t="s">
        <v>16</v>
      </c>
      <c r="G103" s="10" t="s">
        <v>3587</v>
      </c>
      <c r="H103" s="15">
        <v>200000</v>
      </c>
      <c r="I103" s="15">
        <v>200000</v>
      </c>
      <c r="J103" s="149">
        <f t="shared" si="1"/>
        <v>0</v>
      </c>
      <c r="K103" s="10" t="s">
        <v>3588</v>
      </c>
      <c r="L103" s="11">
        <v>49450</v>
      </c>
      <c r="M103" s="11">
        <f>Tabla2456789[[#This Row],[MONTO DE COMPRA]]/1.19</f>
        <v>41554.621848739494</v>
      </c>
      <c r="N103" s="11">
        <f>Tabla2456789[[#This Row],[Columna1]]*19%</f>
        <v>7895.3781512605037</v>
      </c>
      <c r="O103" s="11">
        <v>73500</v>
      </c>
      <c r="P103" s="11">
        <f>Tabla2456789[[#This Row],[VENTA ]]/1.19</f>
        <v>61764.705882352944</v>
      </c>
      <c r="Q103" s="11">
        <f>Tabla2456789[[#This Row],[Columna2]]*19%</f>
        <v>11735.294117647059</v>
      </c>
      <c r="R103" s="11">
        <f>Tabla2456789[[#This Row],[IVA VENTA ]]-Tabla2456789[[#This Row],[IV COMPRA]]</f>
        <v>3839.9159663865557</v>
      </c>
      <c r="S103" s="11">
        <f>(Tabla2456789[[#This Row],[VENTA ]]-(Tabla2456789[[#This Row],[MONTO DE COMPRA]]+Tabla2456789[[#This Row],[DIFERENCIA IVA ]]))</f>
        <v>20210.084033613442</v>
      </c>
      <c r="T103" s="15"/>
    </row>
    <row r="104" spans="1:20" s="1" customFormat="1" x14ac:dyDescent="0.25">
      <c r="A104" s="56">
        <v>44858</v>
      </c>
      <c r="B104" s="4"/>
      <c r="D104" s="1" t="s">
        <v>3589</v>
      </c>
      <c r="F104" s="1" t="s">
        <v>3437</v>
      </c>
      <c r="G104" s="10" t="s">
        <v>3590</v>
      </c>
      <c r="H104" s="15">
        <v>100000</v>
      </c>
      <c r="I104" s="15">
        <f>Tabla2456789[[#This Row],[TOTAL FACTURA]]*0.5</f>
        <v>50000</v>
      </c>
      <c r="J104" s="149">
        <f t="shared" si="1"/>
        <v>50000</v>
      </c>
      <c r="K104" s="10"/>
      <c r="L104" s="11"/>
      <c r="M104" s="11">
        <f>Tabla2456789[[#This Row],[MONTO DE COMPRA]]/1.19</f>
        <v>0</v>
      </c>
      <c r="N104" s="11">
        <f>Tabla2456789[[#This Row],[Columna1]]*19%</f>
        <v>0</v>
      </c>
      <c r="O104" s="11"/>
      <c r="P104" s="11">
        <f>Tabla2456789[[#This Row],[VENTA ]]/1.19</f>
        <v>0</v>
      </c>
      <c r="Q104" s="11">
        <f>Tabla2456789[[#This Row],[Columna2]]*19%</f>
        <v>0</v>
      </c>
      <c r="R104" s="11">
        <f>Tabla2456789[[#This Row],[IVA VENTA ]]-Tabla2456789[[#This Row],[IV COMPRA]]</f>
        <v>0</v>
      </c>
      <c r="S104" s="11">
        <f>(Tabla2456789[[#This Row],[VENTA ]]-(Tabla2456789[[#This Row],[MONTO DE COMPRA]]+Tabla2456789[[#This Row],[DIFERENCIA IVA ]]))</f>
        <v>0</v>
      </c>
      <c r="T104" s="15"/>
    </row>
    <row r="105" spans="1:20" s="1" customFormat="1" x14ac:dyDescent="0.25">
      <c r="A105" s="56">
        <v>44858</v>
      </c>
      <c r="B105" s="4"/>
      <c r="C105" s="4"/>
      <c r="D105" s="4"/>
      <c r="F105" s="1" t="s">
        <v>2446</v>
      </c>
      <c r="G105" s="10" t="s">
        <v>174</v>
      </c>
      <c r="H105" s="15">
        <v>40000</v>
      </c>
      <c r="I105" s="15">
        <f>Tabla2456789[[#This Row],[TOTAL FACTURA]]*0.7</f>
        <v>28000</v>
      </c>
      <c r="J105" s="149">
        <f t="shared" si="1"/>
        <v>12000</v>
      </c>
      <c r="K105" s="10"/>
      <c r="L105" s="11"/>
      <c r="M105" s="11">
        <f>Tabla2456789[[#This Row],[MONTO DE COMPRA]]/1.19</f>
        <v>0</v>
      </c>
      <c r="N105" s="11">
        <f>Tabla2456789[[#This Row],[Columna1]]*19%</f>
        <v>0</v>
      </c>
      <c r="O105" s="11"/>
      <c r="P105" s="11">
        <f>Tabla2456789[[#This Row],[VENTA ]]/1.19</f>
        <v>0</v>
      </c>
      <c r="Q105" s="11">
        <f>Tabla2456789[[#This Row],[Columna2]]*19%</f>
        <v>0</v>
      </c>
      <c r="R105" s="11">
        <f>Tabla2456789[[#This Row],[IVA VENTA ]]-Tabla2456789[[#This Row],[IV COMPRA]]</f>
        <v>0</v>
      </c>
      <c r="S105" s="11">
        <f>(Tabla2456789[[#This Row],[VENTA ]]-(Tabla2456789[[#This Row],[MONTO DE COMPRA]]+Tabla2456789[[#This Row],[DIFERENCIA IVA ]]))</f>
        <v>0</v>
      </c>
      <c r="T105" s="15"/>
    </row>
    <row r="106" spans="1:20" s="1" customFormat="1" x14ac:dyDescent="0.25">
      <c r="A106" s="56">
        <v>44858</v>
      </c>
      <c r="B106" s="4"/>
      <c r="C106" s="4"/>
      <c r="D106" s="4" t="s">
        <v>1288</v>
      </c>
      <c r="E106" s="1" t="s">
        <v>59</v>
      </c>
      <c r="F106" s="1" t="s">
        <v>2446</v>
      </c>
      <c r="G106" s="10" t="s">
        <v>3591</v>
      </c>
      <c r="H106" s="15">
        <v>40000</v>
      </c>
      <c r="I106" s="15">
        <f>Tabla2456789[[#This Row],[TOTAL FACTURA]]*0.7</f>
        <v>28000</v>
      </c>
      <c r="J106" s="149">
        <f t="shared" si="1"/>
        <v>12000</v>
      </c>
      <c r="K106" s="10"/>
      <c r="L106" s="11"/>
      <c r="M106" s="11">
        <f>Tabla2456789[[#This Row],[MONTO DE COMPRA]]/1.19</f>
        <v>0</v>
      </c>
      <c r="N106" s="11">
        <f>Tabla2456789[[#This Row],[Columna1]]*19%</f>
        <v>0</v>
      </c>
      <c r="O106" s="11"/>
      <c r="P106" s="11">
        <f>Tabla2456789[[#This Row],[VENTA ]]/1.19</f>
        <v>0</v>
      </c>
      <c r="Q106" s="11">
        <f>Tabla2456789[[#This Row],[Columna2]]*19%</f>
        <v>0</v>
      </c>
      <c r="R106" s="11">
        <f>Tabla2456789[[#This Row],[IVA VENTA ]]-Tabla2456789[[#This Row],[IV COMPRA]]</f>
        <v>0</v>
      </c>
      <c r="S106" s="11">
        <f>(Tabla2456789[[#This Row],[VENTA ]]-(Tabla2456789[[#This Row],[MONTO DE COMPRA]]+Tabla2456789[[#This Row],[DIFERENCIA IVA ]]))</f>
        <v>0</v>
      </c>
      <c r="T106" s="15"/>
    </row>
    <row r="107" spans="1:20" s="1" customFormat="1" ht="45" x14ac:dyDescent="0.25">
      <c r="A107" s="56">
        <v>44859</v>
      </c>
      <c r="B107" s="4" t="s">
        <v>3593</v>
      </c>
      <c r="C107" s="4" t="s">
        <v>3592</v>
      </c>
      <c r="D107" s="4" t="s">
        <v>3594</v>
      </c>
      <c r="E107" s="1" t="s">
        <v>3595</v>
      </c>
      <c r="F107" s="1" t="s">
        <v>2446</v>
      </c>
      <c r="G107" s="10" t="s">
        <v>3597</v>
      </c>
      <c r="H107" s="15">
        <v>100000</v>
      </c>
      <c r="I107" s="15">
        <f>Tabla2456789[[#This Row],[TOTAL FACTURA]]*0.7</f>
        <v>70000</v>
      </c>
      <c r="J107" s="149">
        <f t="shared" si="1"/>
        <v>30000</v>
      </c>
      <c r="K107" s="10" t="s">
        <v>3596</v>
      </c>
      <c r="L107" s="11">
        <v>187000</v>
      </c>
      <c r="M107" s="11">
        <f>Tabla2456789[[#This Row],[MONTO DE COMPRA]]/1.19</f>
        <v>157142.85714285716</v>
      </c>
      <c r="N107" s="11">
        <f>Tabla2456789[[#This Row],[Columna1]]*19%</f>
        <v>29857.142857142862</v>
      </c>
      <c r="O107" s="11">
        <v>258000</v>
      </c>
      <c r="P107" s="11">
        <f>Tabla2456789[[#This Row],[VENTA ]]/1.19</f>
        <v>216806.72268907563</v>
      </c>
      <c r="Q107" s="11">
        <f>Tabla2456789[[#This Row],[Columna2]]*19%</f>
        <v>41193.277310924372</v>
      </c>
      <c r="R107" s="11">
        <f>Tabla2456789[[#This Row],[IVA VENTA ]]-Tabla2456789[[#This Row],[IV COMPRA]]</f>
        <v>11336.134453781509</v>
      </c>
      <c r="S107" s="11">
        <f>(Tabla2456789[[#This Row],[VENTA ]]-(Tabla2456789[[#This Row],[MONTO DE COMPRA]]+Tabla2456789[[#This Row],[DIFERENCIA IVA ]]))</f>
        <v>59663.865546218498</v>
      </c>
      <c r="T107" s="15"/>
    </row>
    <row r="108" spans="1:20" s="1" customFormat="1" x14ac:dyDescent="0.25">
      <c r="A108" s="56">
        <v>44859</v>
      </c>
      <c r="B108" s="4" t="s">
        <v>3598</v>
      </c>
      <c r="C108" s="4" t="s">
        <v>3599</v>
      </c>
      <c r="D108" s="4" t="s">
        <v>44</v>
      </c>
      <c r="E108" s="1" t="s">
        <v>3595</v>
      </c>
      <c r="F108" s="1" t="s">
        <v>10</v>
      </c>
      <c r="G108" s="10" t="s">
        <v>3600</v>
      </c>
      <c r="H108" s="15">
        <v>500000</v>
      </c>
      <c r="I108" s="15">
        <f>Tabla2456789[[#This Row],[TOTAL FACTURA]]*0.7</f>
        <v>350000</v>
      </c>
      <c r="J108" s="149">
        <f t="shared" si="1"/>
        <v>150000</v>
      </c>
      <c r="K108" s="10"/>
      <c r="L108" s="11"/>
      <c r="M108" s="11">
        <f>Tabla2456789[[#This Row],[MONTO DE COMPRA]]/1.19</f>
        <v>0</v>
      </c>
      <c r="N108" s="11">
        <f>Tabla2456789[[#This Row],[Columna1]]*19%</f>
        <v>0</v>
      </c>
      <c r="O108" s="11"/>
      <c r="P108" s="11">
        <f>Tabla2456789[[#This Row],[VENTA ]]/1.19</f>
        <v>0</v>
      </c>
      <c r="Q108" s="11">
        <f>Tabla2456789[[#This Row],[Columna2]]*19%</f>
        <v>0</v>
      </c>
      <c r="R108" s="11">
        <f>Tabla2456789[[#This Row],[IVA VENTA ]]-Tabla2456789[[#This Row],[IV COMPRA]]</f>
        <v>0</v>
      </c>
      <c r="S108" s="11">
        <f>(Tabla2456789[[#This Row],[VENTA ]]-(Tabla2456789[[#This Row],[MONTO DE COMPRA]]+Tabla2456789[[#This Row],[DIFERENCIA IVA ]]))</f>
        <v>0</v>
      </c>
      <c r="T108" s="15"/>
    </row>
    <row r="109" spans="1:20" s="1" customFormat="1" x14ac:dyDescent="0.25">
      <c r="A109" s="56">
        <v>44859</v>
      </c>
      <c r="B109" s="4" t="s">
        <v>3601</v>
      </c>
      <c r="C109" s="4" t="s">
        <v>3602</v>
      </c>
      <c r="D109" s="4" t="s">
        <v>3603</v>
      </c>
      <c r="E109" s="1" t="s">
        <v>3162</v>
      </c>
      <c r="F109" s="1" t="s">
        <v>2446</v>
      </c>
      <c r="G109" s="10" t="s">
        <v>2715</v>
      </c>
      <c r="H109" s="15">
        <v>80000</v>
      </c>
      <c r="I109" s="15">
        <f>Tabla2456789[[#This Row],[TOTAL FACTURA]]*0.7</f>
        <v>56000</v>
      </c>
      <c r="J109" s="149">
        <f t="shared" si="1"/>
        <v>24000</v>
      </c>
      <c r="K109" s="10" t="s">
        <v>3604</v>
      </c>
      <c r="L109" s="11">
        <v>280000</v>
      </c>
      <c r="M109" s="11">
        <f>Tabla2456789[[#This Row],[MONTO DE COMPRA]]/1.19</f>
        <v>235294.11764705883</v>
      </c>
      <c r="N109" s="11">
        <f>Tabla2456789[[#This Row],[Columna1]]*19%</f>
        <v>44705.882352941175</v>
      </c>
      <c r="O109" s="11">
        <v>400000</v>
      </c>
      <c r="P109" s="11">
        <f>Tabla2456789[[#This Row],[VENTA ]]/1.19</f>
        <v>336134.45378151262</v>
      </c>
      <c r="Q109" s="11">
        <f>Tabla2456789[[#This Row],[Columna2]]*19%</f>
        <v>63865.546218487398</v>
      </c>
      <c r="R109" s="11">
        <f>Tabla2456789[[#This Row],[IVA VENTA ]]-Tabla2456789[[#This Row],[IV COMPRA]]</f>
        <v>19159.663865546223</v>
      </c>
      <c r="S109" s="11">
        <f>(Tabla2456789[[#This Row],[VENTA ]]-(Tabla2456789[[#This Row],[MONTO DE COMPRA]]+Tabla2456789[[#This Row],[DIFERENCIA IVA ]]))</f>
        <v>100840.33613445377</v>
      </c>
      <c r="T109" s="15"/>
    </row>
    <row r="110" spans="1:20" s="1" customFormat="1" x14ac:dyDescent="0.25">
      <c r="A110" s="56">
        <v>44859</v>
      </c>
      <c r="B110" s="4"/>
      <c r="C110" s="4"/>
      <c r="D110" s="4" t="s">
        <v>236</v>
      </c>
      <c r="F110" s="1" t="s">
        <v>2446</v>
      </c>
      <c r="G110" s="10" t="s">
        <v>341</v>
      </c>
      <c r="H110" s="15">
        <v>10000</v>
      </c>
      <c r="I110" s="15">
        <f>Tabla2456789[[#This Row],[TOTAL FACTURA]]*0.7</f>
        <v>7000</v>
      </c>
      <c r="J110" s="149">
        <f t="shared" si="1"/>
        <v>3000</v>
      </c>
      <c r="K110" s="10"/>
      <c r="L110" s="11"/>
      <c r="M110" s="11">
        <f>Tabla2456789[[#This Row],[MONTO DE COMPRA]]/1.19</f>
        <v>0</v>
      </c>
      <c r="N110" s="11">
        <f>Tabla2456789[[#This Row],[Columna1]]*19%</f>
        <v>0</v>
      </c>
      <c r="O110" s="11"/>
      <c r="P110" s="11">
        <f>Tabla2456789[[#This Row],[VENTA ]]/1.19</f>
        <v>0</v>
      </c>
      <c r="Q110" s="11">
        <f>Tabla2456789[[#This Row],[Columna2]]*19%</f>
        <v>0</v>
      </c>
      <c r="R110" s="11">
        <f>Tabla2456789[[#This Row],[IVA VENTA ]]-Tabla2456789[[#This Row],[IV COMPRA]]</f>
        <v>0</v>
      </c>
      <c r="S110" s="11">
        <f>(Tabla2456789[[#This Row],[VENTA ]]-(Tabla2456789[[#This Row],[MONTO DE COMPRA]]+Tabla2456789[[#This Row],[DIFERENCIA IVA ]]))</f>
        <v>0</v>
      </c>
      <c r="T110" s="15"/>
    </row>
    <row r="111" spans="1:20" s="1" customFormat="1" x14ac:dyDescent="0.25">
      <c r="A111" s="56">
        <v>44859</v>
      </c>
      <c r="B111" s="4"/>
      <c r="C111" s="4"/>
      <c r="D111" s="4" t="s">
        <v>3605</v>
      </c>
      <c r="E111" s="1" t="s">
        <v>3595</v>
      </c>
      <c r="F111" s="1" t="s">
        <v>3437</v>
      </c>
      <c r="G111" s="10" t="s">
        <v>3538</v>
      </c>
      <c r="H111" s="15">
        <v>50000</v>
      </c>
      <c r="I111" s="15">
        <f>Tabla2456789[[#This Row],[TOTAL FACTURA]]*0.5</f>
        <v>25000</v>
      </c>
      <c r="J111" s="149">
        <f t="shared" si="1"/>
        <v>25000</v>
      </c>
      <c r="K111" s="10"/>
      <c r="L111" s="11"/>
      <c r="M111" s="11">
        <f>Tabla2456789[[#This Row],[MONTO DE COMPRA]]/1.19</f>
        <v>0</v>
      </c>
      <c r="N111" s="11">
        <f>Tabla2456789[[#This Row],[Columna1]]*19%</f>
        <v>0</v>
      </c>
      <c r="O111" s="11"/>
      <c r="P111" s="11">
        <f>Tabla2456789[[#This Row],[VENTA ]]/1.19</f>
        <v>0</v>
      </c>
      <c r="Q111" s="11">
        <f>Tabla2456789[[#This Row],[Columna2]]*19%</f>
        <v>0</v>
      </c>
      <c r="R111" s="11">
        <f>Tabla2456789[[#This Row],[IVA VENTA ]]-Tabla2456789[[#This Row],[IV COMPRA]]</f>
        <v>0</v>
      </c>
      <c r="S111" s="11">
        <f>(Tabla2456789[[#This Row],[VENTA ]]-(Tabla2456789[[#This Row],[MONTO DE COMPRA]]+Tabla2456789[[#This Row],[DIFERENCIA IVA ]]))</f>
        <v>0</v>
      </c>
      <c r="T111" s="15"/>
    </row>
    <row r="112" spans="1:20" s="1" customFormat="1" x14ac:dyDescent="0.25">
      <c r="A112" s="56">
        <v>44859</v>
      </c>
      <c r="B112" s="4"/>
      <c r="C112" s="4"/>
      <c r="D112" s="4" t="s">
        <v>3606</v>
      </c>
      <c r="E112" s="1" t="s">
        <v>2137</v>
      </c>
      <c r="F112" s="1" t="s">
        <v>3437</v>
      </c>
      <c r="G112" s="10" t="s">
        <v>3607</v>
      </c>
      <c r="H112" s="15">
        <v>50000</v>
      </c>
      <c r="I112" s="15">
        <f>Tabla2456789[[#This Row],[TOTAL FACTURA]]*0.5</f>
        <v>25000</v>
      </c>
      <c r="J112" s="149">
        <f t="shared" si="1"/>
        <v>25000</v>
      </c>
      <c r="K112" s="10"/>
      <c r="L112" s="11"/>
      <c r="M112" s="11">
        <f>Tabla2456789[[#This Row],[MONTO DE COMPRA]]/1.19</f>
        <v>0</v>
      </c>
      <c r="N112" s="11">
        <f>Tabla2456789[[#This Row],[Columna1]]*19%</f>
        <v>0</v>
      </c>
      <c r="O112" s="11"/>
      <c r="P112" s="11">
        <f>Tabla2456789[[#This Row],[VENTA ]]/1.19</f>
        <v>0</v>
      </c>
      <c r="Q112" s="11">
        <f>Tabla2456789[[#This Row],[Columna2]]*19%</f>
        <v>0</v>
      </c>
      <c r="R112" s="11">
        <f>Tabla2456789[[#This Row],[IVA VENTA ]]-Tabla2456789[[#This Row],[IV COMPRA]]</f>
        <v>0</v>
      </c>
      <c r="S112" s="11">
        <f>(Tabla2456789[[#This Row],[VENTA ]]-(Tabla2456789[[#This Row],[MONTO DE COMPRA]]+Tabla2456789[[#This Row],[DIFERENCIA IVA ]]))</f>
        <v>0</v>
      </c>
      <c r="T112" s="15"/>
    </row>
    <row r="113" spans="1:20" s="1" customFormat="1" x14ac:dyDescent="0.25">
      <c r="A113" s="56">
        <v>44860</v>
      </c>
      <c r="B113" s="4" t="s">
        <v>3608</v>
      </c>
      <c r="C113" s="4" t="s">
        <v>3609</v>
      </c>
      <c r="D113" s="4" t="s">
        <v>3610</v>
      </c>
      <c r="E113" s="1" t="s">
        <v>540</v>
      </c>
      <c r="F113" s="1" t="s">
        <v>3437</v>
      </c>
      <c r="G113" s="10" t="s">
        <v>3538</v>
      </c>
      <c r="H113" s="15">
        <v>70000</v>
      </c>
      <c r="I113" s="15">
        <f>Tabla2456789[[#This Row],[TOTAL FACTURA]]*0.5</f>
        <v>35000</v>
      </c>
      <c r="J113" s="149">
        <f t="shared" si="1"/>
        <v>35000</v>
      </c>
      <c r="K113" s="10"/>
      <c r="L113" s="11"/>
      <c r="M113" s="11">
        <f>Tabla2456789[[#This Row],[MONTO DE COMPRA]]/1.19</f>
        <v>0</v>
      </c>
      <c r="N113" s="11">
        <f>Tabla2456789[[#This Row],[Columna1]]*19%</f>
        <v>0</v>
      </c>
      <c r="O113" s="11"/>
      <c r="P113" s="11">
        <f>Tabla2456789[[#This Row],[VENTA ]]/1.19</f>
        <v>0</v>
      </c>
      <c r="Q113" s="11">
        <f>Tabla2456789[[#This Row],[Columna2]]*19%</f>
        <v>0</v>
      </c>
      <c r="R113" s="11">
        <f>Tabla2456789[[#This Row],[IVA VENTA ]]-Tabla2456789[[#This Row],[IV COMPRA]]</f>
        <v>0</v>
      </c>
      <c r="S113" s="11">
        <f>(Tabla2456789[[#This Row],[VENTA ]]-(Tabla2456789[[#This Row],[MONTO DE COMPRA]]+Tabla2456789[[#This Row],[DIFERENCIA IVA ]]))</f>
        <v>0</v>
      </c>
      <c r="T113" s="15"/>
    </row>
    <row r="114" spans="1:20" s="1" customFormat="1" x14ac:dyDescent="0.25">
      <c r="A114" s="56">
        <v>44860</v>
      </c>
      <c r="B114" s="4" t="s">
        <v>3617</v>
      </c>
      <c r="C114" s="4" t="s">
        <v>3612</v>
      </c>
      <c r="D114" s="4" t="s">
        <v>3613</v>
      </c>
      <c r="E114" s="1" t="s">
        <v>688</v>
      </c>
      <c r="F114" s="1" t="s">
        <v>2446</v>
      </c>
      <c r="G114" s="10" t="s">
        <v>3211</v>
      </c>
      <c r="H114" s="15">
        <v>40000</v>
      </c>
      <c r="I114" s="15">
        <f>Tabla2456789[[#This Row],[TOTAL FACTURA]]*0.7</f>
        <v>28000</v>
      </c>
      <c r="J114" s="149">
        <f t="shared" si="1"/>
        <v>12000</v>
      </c>
      <c r="K114" s="10" t="s">
        <v>3336</v>
      </c>
      <c r="L114" s="11">
        <v>60000</v>
      </c>
      <c r="M114" s="11">
        <f>Tabla2456789[[#This Row],[MONTO DE COMPRA]]/1.19</f>
        <v>50420.168067226892</v>
      </c>
      <c r="N114" s="11">
        <f>Tabla2456789[[#This Row],[Columna1]]*19%</f>
        <v>9579.8319327731097</v>
      </c>
      <c r="O114" s="11">
        <v>75000</v>
      </c>
      <c r="P114" s="11">
        <f>Tabla2456789[[#This Row],[VENTA ]]/1.19</f>
        <v>63025.210084033613</v>
      </c>
      <c r="Q114" s="11">
        <f>Tabla2456789[[#This Row],[Columna2]]*19%</f>
        <v>11974.789915966387</v>
      </c>
      <c r="R114" s="11">
        <f>Tabla2456789[[#This Row],[IVA VENTA ]]-Tabla2456789[[#This Row],[IV COMPRA]]</f>
        <v>2394.957983193277</v>
      </c>
      <c r="S114" s="11">
        <f>(Tabla2456789[[#This Row],[VENTA ]]-(Tabla2456789[[#This Row],[MONTO DE COMPRA]]+Tabla2456789[[#This Row],[DIFERENCIA IVA ]]))</f>
        <v>12605.042016806721</v>
      </c>
      <c r="T114" s="15"/>
    </row>
    <row r="115" spans="1:20" s="1" customFormat="1" x14ac:dyDescent="0.25">
      <c r="A115" s="56">
        <v>44860</v>
      </c>
      <c r="B115" s="4" t="s">
        <v>3611</v>
      </c>
      <c r="C115" s="4" t="s">
        <v>3614</v>
      </c>
      <c r="D115" s="4" t="s">
        <v>3615</v>
      </c>
      <c r="E115" s="1" t="s">
        <v>3595</v>
      </c>
      <c r="F115" s="1" t="s">
        <v>3437</v>
      </c>
      <c r="G115" s="10" t="s">
        <v>3616</v>
      </c>
      <c r="H115" s="15">
        <v>70000</v>
      </c>
      <c r="I115" s="15">
        <f>Tabla2456789[[#This Row],[TOTAL FACTURA]]*0.5</f>
        <v>35000</v>
      </c>
      <c r="J115" s="149">
        <f t="shared" si="1"/>
        <v>35000</v>
      </c>
      <c r="K115" s="10"/>
      <c r="L115" s="11"/>
      <c r="M115" s="11">
        <f>Tabla2456789[[#This Row],[MONTO DE COMPRA]]/1.19</f>
        <v>0</v>
      </c>
      <c r="N115" s="11">
        <f>Tabla2456789[[#This Row],[Columna1]]*19%</f>
        <v>0</v>
      </c>
      <c r="O115" s="11"/>
      <c r="P115" s="11">
        <f>Tabla2456789[[#This Row],[VENTA ]]/1.19</f>
        <v>0</v>
      </c>
      <c r="Q115" s="11">
        <f>Tabla2456789[[#This Row],[Columna2]]*19%</f>
        <v>0</v>
      </c>
      <c r="R115" s="11">
        <f>Tabla2456789[[#This Row],[IVA VENTA ]]-Tabla2456789[[#This Row],[IV COMPRA]]</f>
        <v>0</v>
      </c>
      <c r="S115" s="11">
        <f>(Tabla2456789[[#This Row],[VENTA ]]-(Tabla2456789[[#This Row],[MONTO DE COMPRA]]+Tabla2456789[[#This Row],[DIFERENCIA IVA ]]))</f>
        <v>0</v>
      </c>
      <c r="T115" s="15"/>
    </row>
    <row r="116" spans="1:20" s="1" customFormat="1" x14ac:dyDescent="0.25">
      <c r="A116" s="56">
        <v>44860</v>
      </c>
      <c r="B116" s="4" t="s">
        <v>3620</v>
      </c>
      <c r="C116" s="4" t="s">
        <v>3618</v>
      </c>
      <c r="D116" s="4" t="s">
        <v>3619</v>
      </c>
      <c r="E116" s="1" t="s">
        <v>48</v>
      </c>
      <c r="G116" s="10" t="s">
        <v>3621</v>
      </c>
      <c r="H116" s="15">
        <v>80000</v>
      </c>
      <c r="I116" s="15">
        <f>Tabla2456789[[#This Row],[TOTAL FACTURA]]*0.7</f>
        <v>56000</v>
      </c>
      <c r="J116" s="149">
        <f t="shared" si="1"/>
        <v>24000</v>
      </c>
      <c r="K116" s="10"/>
      <c r="L116" s="11"/>
      <c r="M116" s="11">
        <f>Tabla2456789[[#This Row],[MONTO DE COMPRA]]/1.19</f>
        <v>0</v>
      </c>
      <c r="N116" s="11">
        <f>Tabla2456789[[#This Row],[Columna1]]*19%</f>
        <v>0</v>
      </c>
      <c r="O116" s="11"/>
      <c r="P116" s="11">
        <f>Tabla2456789[[#This Row],[VENTA ]]/1.19</f>
        <v>0</v>
      </c>
      <c r="Q116" s="11">
        <f>Tabla2456789[[#This Row],[Columna2]]*19%</f>
        <v>0</v>
      </c>
      <c r="R116" s="11">
        <f>Tabla2456789[[#This Row],[IVA VENTA ]]-Tabla2456789[[#This Row],[IV COMPRA]]</f>
        <v>0</v>
      </c>
      <c r="S116" s="11">
        <f>(Tabla2456789[[#This Row],[VENTA ]]-(Tabla2456789[[#This Row],[MONTO DE COMPRA]]+Tabla2456789[[#This Row],[DIFERENCIA IVA ]]))</f>
        <v>0</v>
      </c>
      <c r="T116" s="15"/>
    </row>
    <row r="117" spans="1:20" s="1" customFormat="1" x14ac:dyDescent="0.25">
      <c r="A117" s="56">
        <v>44860</v>
      </c>
      <c r="B117" s="4" t="s">
        <v>3625</v>
      </c>
      <c r="C117" s="4" t="s">
        <v>3622</v>
      </c>
      <c r="D117" s="4" t="s">
        <v>3623</v>
      </c>
      <c r="E117" s="1" t="s">
        <v>48</v>
      </c>
      <c r="F117" s="1" t="s">
        <v>2446</v>
      </c>
      <c r="G117" s="10" t="s">
        <v>3624</v>
      </c>
      <c r="H117" s="15">
        <v>15000</v>
      </c>
      <c r="I117" s="15">
        <f>Tabla2456789[[#This Row],[TOTAL FACTURA]]*0.7</f>
        <v>10500</v>
      </c>
      <c r="J117" s="149">
        <f t="shared" si="1"/>
        <v>4500</v>
      </c>
      <c r="K117" s="10"/>
      <c r="L117" s="11"/>
      <c r="M117" s="11">
        <f>Tabla2456789[[#This Row],[MONTO DE COMPRA]]/1.19</f>
        <v>0</v>
      </c>
      <c r="N117" s="11">
        <f>Tabla2456789[[#This Row],[Columna1]]*19%</f>
        <v>0</v>
      </c>
      <c r="O117" s="11"/>
      <c r="P117" s="11">
        <f>Tabla2456789[[#This Row],[VENTA ]]/1.19</f>
        <v>0</v>
      </c>
      <c r="Q117" s="11">
        <f>Tabla2456789[[#This Row],[Columna2]]*19%</f>
        <v>0</v>
      </c>
      <c r="R117" s="11">
        <f>Tabla2456789[[#This Row],[IVA VENTA ]]-Tabla2456789[[#This Row],[IV COMPRA]]</f>
        <v>0</v>
      </c>
      <c r="S117" s="11">
        <f>(Tabla2456789[[#This Row],[VENTA ]]-(Tabla2456789[[#This Row],[MONTO DE COMPRA]]+Tabla2456789[[#This Row],[DIFERENCIA IVA ]]))</f>
        <v>0</v>
      </c>
      <c r="T117" s="15"/>
    </row>
    <row r="118" spans="1:20" s="1" customFormat="1" x14ac:dyDescent="0.25">
      <c r="A118" s="56">
        <v>44860</v>
      </c>
      <c r="B118" s="4"/>
      <c r="C118" s="4"/>
      <c r="D118" s="4" t="s">
        <v>3626</v>
      </c>
      <c r="F118" s="1" t="s">
        <v>2446</v>
      </c>
      <c r="G118" s="10" t="s">
        <v>3627</v>
      </c>
      <c r="H118" s="15">
        <v>60000</v>
      </c>
      <c r="I118" s="15">
        <f>Tabla2456789[[#This Row],[TOTAL FACTURA]]*0.7</f>
        <v>42000</v>
      </c>
      <c r="J118" s="149">
        <f t="shared" si="1"/>
        <v>18000</v>
      </c>
      <c r="K118" s="10" t="s">
        <v>997</v>
      </c>
      <c r="L118" s="11"/>
      <c r="M118" s="11">
        <f>Tabla2456789[[#This Row],[MONTO DE COMPRA]]/1.19</f>
        <v>0</v>
      </c>
      <c r="N118" s="11">
        <f>Tabla2456789[[#This Row],[Columna1]]*19%</f>
        <v>0</v>
      </c>
      <c r="O118" s="11"/>
      <c r="P118" s="11">
        <f>Tabla2456789[[#This Row],[VENTA ]]/1.19</f>
        <v>0</v>
      </c>
      <c r="Q118" s="11">
        <f>Tabla2456789[[#This Row],[Columna2]]*19%</f>
        <v>0</v>
      </c>
      <c r="R118" s="11">
        <f>Tabla2456789[[#This Row],[IVA VENTA ]]-Tabla2456789[[#This Row],[IV COMPRA]]</f>
        <v>0</v>
      </c>
      <c r="S118" s="11">
        <f>(Tabla2456789[[#This Row],[VENTA ]]-(Tabla2456789[[#This Row],[MONTO DE COMPRA]]+Tabla2456789[[#This Row],[DIFERENCIA IVA ]]))</f>
        <v>0</v>
      </c>
      <c r="T118" s="15"/>
    </row>
    <row r="119" spans="1:20" s="1" customFormat="1" x14ac:dyDescent="0.25">
      <c r="A119" s="56">
        <v>44861</v>
      </c>
      <c r="B119" s="4"/>
      <c r="C119" s="4" t="s">
        <v>215</v>
      </c>
      <c r="D119" s="4" t="s">
        <v>1610</v>
      </c>
      <c r="E119" s="1" t="s">
        <v>3365</v>
      </c>
      <c r="F119" s="1" t="s">
        <v>2446</v>
      </c>
      <c r="G119" s="10" t="s">
        <v>341</v>
      </c>
      <c r="H119" s="15">
        <v>8000</v>
      </c>
      <c r="I119" s="15">
        <f>Tabla2456789[[#This Row],[TOTAL FACTURA]]*0.7</f>
        <v>5600</v>
      </c>
      <c r="J119" s="149">
        <f t="shared" si="1"/>
        <v>2400</v>
      </c>
      <c r="K119" s="10"/>
      <c r="L119" s="11"/>
      <c r="M119" s="11">
        <f>Tabla2456789[[#This Row],[MONTO DE COMPRA]]/1.19</f>
        <v>0</v>
      </c>
      <c r="N119" s="11">
        <f>Tabla2456789[[#This Row],[Columna1]]*19%</f>
        <v>0</v>
      </c>
      <c r="O119" s="11"/>
      <c r="P119" s="11">
        <f>Tabla2456789[[#This Row],[VENTA ]]/1.19</f>
        <v>0</v>
      </c>
      <c r="Q119" s="11">
        <f>Tabla2456789[[#This Row],[Columna2]]*19%</f>
        <v>0</v>
      </c>
      <c r="R119" s="11">
        <f>Tabla2456789[[#This Row],[IVA VENTA ]]-Tabla2456789[[#This Row],[IV COMPRA]]</f>
        <v>0</v>
      </c>
      <c r="S119" s="11">
        <f>(Tabla2456789[[#This Row],[VENTA ]]-(Tabla2456789[[#This Row],[MONTO DE COMPRA]]+Tabla2456789[[#This Row],[DIFERENCIA IVA ]]))</f>
        <v>0</v>
      </c>
      <c r="T119" s="15"/>
    </row>
    <row r="120" spans="1:20" s="1" customFormat="1" x14ac:dyDescent="0.25">
      <c r="A120" s="56">
        <v>44861</v>
      </c>
      <c r="B120" s="4"/>
      <c r="C120" s="4" t="s">
        <v>3629</v>
      </c>
      <c r="D120" s="4" t="s">
        <v>3378</v>
      </c>
      <c r="E120" s="4" t="s">
        <v>1865</v>
      </c>
      <c r="F120" s="1" t="s">
        <v>3437</v>
      </c>
      <c r="G120" s="10" t="s">
        <v>3616</v>
      </c>
      <c r="H120" s="15">
        <v>90000</v>
      </c>
      <c r="I120" s="15">
        <f>Tabla2456789[[#This Row],[TOTAL FACTURA]]*0.5</f>
        <v>45000</v>
      </c>
      <c r="J120" s="149">
        <f t="shared" si="1"/>
        <v>45000</v>
      </c>
      <c r="K120" s="10"/>
      <c r="L120" s="11"/>
      <c r="M120" s="11">
        <f>Tabla2456789[[#This Row],[MONTO DE COMPRA]]/1.19</f>
        <v>0</v>
      </c>
      <c r="N120" s="11">
        <f>Tabla2456789[[#This Row],[Columna1]]*19%</f>
        <v>0</v>
      </c>
      <c r="O120" s="11"/>
      <c r="P120" s="11">
        <f>Tabla2456789[[#This Row],[VENTA ]]/1.19</f>
        <v>0</v>
      </c>
      <c r="Q120" s="11">
        <f>Tabla2456789[[#This Row],[Columna2]]*19%</f>
        <v>0</v>
      </c>
      <c r="R120" s="11">
        <f>Tabla2456789[[#This Row],[IVA VENTA ]]-Tabla2456789[[#This Row],[IV COMPRA]]</f>
        <v>0</v>
      </c>
      <c r="S120" s="11">
        <f>(Tabla2456789[[#This Row],[VENTA ]]-(Tabla2456789[[#This Row],[MONTO DE COMPRA]]+Tabla2456789[[#This Row],[DIFERENCIA IVA ]]))</f>
        <v>0</v>
      </c>
      <c r="T120" s="15"/>
    </row>
    <row r="121" spans="1:20" s="1" customFormat="1" x14ac:dyDescent="0.25">
      <c r="A121" s="56">
        <v>44861</v>
      </c>
      <c r="B121" s="4"/>
      <c r="C121" s="4"/>
      <c r="D121" s="4" t="s">
        <v>3630</v>
      </c>
      <c r="E121" s="1" t="s">
        <v>3631</v>
      </c>
      <c r="F121" s="1" t="s">
        <v>2446</v>
      </c>
      <c r="G121" s="10" t="s">
        <v>3632</v>
      </c>
      <c r="H121" s="15">
        <v>80000</v>
      </c>
      <c r="I121" s="15">
        <f>Tabla2456789[[#This Row],[TOTAL FACTURA]]*0.7</f>
        <v>56000</v>
      </c>
      <c r="J121" s="149">
        <f t="shared" si="1"/>
        <v>24000</v>
      </c>
      <c r="K121" s="10"/>
      <c r="L121" s="11"/>
      <c r="M121" s="11">
        <f>Tabla2456789[[#This Row],[MONTO DE COMPRA]]/1.19</f>
        <v>0</v>
      </c>
      <c r="N121" s="11">
        <f>Tabla2456789[[#This Row],[Columna1]]*19%</f>
        <v>0</v>
      </c>
      <c r="O121" s="11"/>
      <c r="P121" s="11">
        <f>Tabla2456789[[#This Row],[VENTA ]]/1.19</f>
        <v>0</v>
      </c>
      <c r="Q121" s="11">
        <f>Tabla2456789[[#This Row],[Columna2]]*19%</f>
        <v>0</v>
      </c>
      <c r="R121" s="11">
        <f>Tabla2456789[[#This Row],[IVA VENTA ]]-Tabla2456789[[#This Row],[IV COMPRA]]</f>
        <v>0</v>
      </c>
      <c r="S121" s="11">
        <f>(Tabla2456789[[#This Row],[VENTA ]]-(Tabla2456789[[#This Row],[MONTO DE COMPRA]]+Tabla2456789[[#This Row],[DIFERENCIA IVA ]]))</f>
        <v>0</v>
      </c>
      <c r="T121" s="15"/>
    </row>
    <row r="122" spans="1:20" s="1" customFormat="1" x14ac:dyDescent="0.25">
      <c r="A122" s="56">
        <v>44861</v>
      </c>
      <c r="B122" s="4"/>
      <c r="C122" s="4" t="s">
        <v>3633</v>
      </c>
      <c r="D122" s="4" t="s">
        <v>3634</v>
      </c>
      <c r="E122" s="1" t="s">
        <v>439</v>
      </c>
      <c r="F122" s="1" t="s">
        <v>2446</v>
      </c>
      <c r="G122" s="154" t="s">
        <v>2934</v>
      </c>
      <c r="H122" s="15">
        <v>200000</v>
      </c>
      <c r="I122" s="15">
        <f>Tabla2456789[[#This Row],[TOTAL FACTURA]]*0.7</f>
        <v>140000</v>
      </c>
      <c r="J122" s="149">
        <f t="shared" si="1"/>
        <v>60000</v>
      </c>
      <c r="K122" s="10"/>
      <c r="L122" s="11"/>
      <c r="M122" s="11">
        <f>Tabla2456789[[#This Row],[MONTO DE COMPRA]]/1.19</f>
        <v>0</v>
      </c>
      <c r="N122" s="11">
        <f>Tabla2456789[[#This Row],[Columna1]]*19%</f>
        <v>0</v>
      </c>
      <c r="O122" s="11"/>
      <c r="P122" s="11">
        <f>Tabla2456789[[#This Row],[VENTA ]]/1.19</f>
        <v>0</v>
      </c>
      <c r="Q122" s="11">
        <f>Tabla2456789[[#This Row],[Columna2]]*19%</f>
        <v>0</v>
      </c>
      <c r="R122" s="11">
        <f>Tabla2456789[[#This Row],[IVA VENTA ]]-Tabla2456789[[#This Row],[IV COMPRA]]</f>
        <v>0</v>
      </c>
      <c r="S122" s="11">
        <f>(Tabla2456789[[#This Row],[VENTA ]]-(Tabla2456789[[#This Row],[MONTO DE COMPRA]]+Tabla2456789[[#This Row],[DIFERENCIA IVA ]]))</f>
        <v>0</v>
      </c>
      <c r="T122" s="15"/>
    </row>
    <row r="123" spans="1:20" s="1" customFormat="1" x14ac:dyDescent="0.25">
      <c r="A123" s="56">
        <v>44861</v>
      </c>
      <c r="B123" s="4"/>
      <c r="C123" s="4" t="s">
        <v>3635</v>
      </c>
      <c r="D123" s="4" t="s">
        <v>3636</v>
      </c>
      <c r="E123" s="1" t="s">
        <v>2392</v>
      </c>
      <c r="F123" s="1" t="s">
        <v>2446</v>
      </c>
      <c r="G123" s="10" t="s">
        <v>341</v>
      </c>
      <c r="H123" s="15">
        <v>10000</v>
      </c>
      <c r="I123" s="15">
        <f>Tabla2456789[[#This Row],[TOTAL FACTURA]]*0.7</f>
        <v>7000</v>
      </c>
      <c r="J123" s="149">
        <f t="shared" si="1"/>
        <v>3000</v>
      </c>
      <c r="K123" s="10"/>
      <c r="L123" s="11"/>
      <c r="M123" s="11">
        <f>Tabla2456789[[#This Row],[MONTO DE COMPRA]]/1.19</f>
        <v>0</v>
      </c>
      <c r="N123" s="11">
        <f>Tabla2456789[[#This Row],[Columna1]]*19%</f>
        <v>0</v>
      </c>
      <c r="O123" s="11"/>
      <c r="P123" s="11">
        <f>Tabla2456789[[#This Row],[VENTA ]]/1.19</f>
        <v>0</v>
      </c>
      <c r="Q123" s="11">
        <f>Tabla2456789[[#This Row],[Columna2]]*19%</f>
        <v>0</v>
      </c>
      <c r="R123" s="11">
        <f>Tabla2456789[[#This Row],[IVA VENTA ]]-Tabla2456789[[#This Row],[IV COMPRA]]</f>
        <v>0</v>
      </c>
      <c r="S123" s="11">
        <f>(Tabla2456789[[#This Row],[VENTA ]]-(Tabla2456789[[#This Row],[MONTO DE COMPRA]]+Tabla2456789[[#This Row],[DIFERENCIA IVA ]]))</f>
        <v>0</v>
      </c>
      <c r="T123" s="15"/>
    </row>
    <row r="124" spans="1:20" s="1" customFormat="1" x14ac:dyDescent="0.25">
      <c r="A124" s="56">
        <v>44862</v>
      </c>
      <c r="B124" s="4" t="s">
        <v>3644</v>
      </c>
      <c r="C124" s="4" t="s">
        <v>3637</v>
      </c>
      <c r="D124" s="4" t="s">
        <v>3638</v>
      </c>
      <c r="E124" s="1" t="s">
        <v>59</v>
      </c>
      <c r="F124" s="1" t="s">
        <v>2446</v>
      </c>
      <c r="G124" s="154" t="s">
        <v>3639</v>
      </c>
      <c r="H124" s="15">
        <v>15000</v>
      </c>
      <c r="I124" s="15">
        <f>Tabla2456789[[#This Row],[TOTAL FACTURA]]*0.7</f>
        <v>10500</v>
      </c>
      <c r="J124" s="149">
        <f t="shared" si="1"/>
        <v>4500</v>
      </c>
      <c r="K124" s="10"/>
      <c r="L124" s="11"/>
      <c r="M124" s="11">
        <f>Tabla2456789[[#This Row],[MONTO DE COMPRA]]/1.19</f>
        <v>0</v>
      </c>
      <c r="N124" s="11">
        <f>Tabla2456789[[#This Row],[Columna1]]*19%</f>
        <v>0</v>
      </c>
      <c r="O124" s="11"/>
      <c r="P124" s="11">
        <f>Tabla2456789[[#This Row],[VENTA ]]/1.19</f>
        <v>0</v>
      </c>
      <c r="Q124" s="11">
        <f>Tabla2456789[[#This Row],[Columna2]]*19%</f>
        <v>0</v>
      </c>
      <c r="R124" s="11">
        <f>Tabla2456789[[#This Row],[IVA VENTA ]]-Tabla2456789[[#This Row],[IV COMPRA]]</f>
        <v>0</v>
      </c>
      <c r="S124" s="11">
        <f>(Tabla2456789[[#This Row],[VENTA ]]-(Tabla2456789[[#This Row],[MONTO DE COMPRA]]+Tabla2456789[[#This Row],[DIFERENCIA IVA ]]))</f>
        <v>0</v>
      </c>
      <c r="T124" s="15"/>
    </row>
    <row r="125" spans="1:20" s="1" customFormat="1" x14ac:dyDescent="0.25">
      <c r="A125" s="56">
        <v>44862</v>
      </c>
      <c r="B125" s="4" t="s">
        <v>3643</v>
      </c>
      <c r="C125" s="4" t="s">
        <v>3640</v>
      </c>
      <c r="D125" s="4" t="s">
        <v>3641</v>
      </c>
      <c r="E125" s="1" t="s">
        <v>2285</v>
      </c>
      <c r="F125" s="1" t="s">
        <v>2446</v>
      </c>
      <c r="G125" s="154" t="s">
        <v>3642</v>
      </c>
      <c r="H125" s="15">
        <v>100000</v>
      </c>
      <c r="I125" s="15">
        <f>Tabla2456789[[#This Row],[TOTAL FACTURA]]*0.7</f>
        <v>70000</v>
      </c>
      <c r="J125" s="149">
        <f t="shared" si="1"/>
        <v>30000</v>
      </c>
      <c r="K125" s="10"/>
      <c r="L125" s="11"/>
      <c r="M125" s="11">
        <f>Tabla2456789[[#This Row],[MONTO DE COMPRA]]/1.19</f>
        <v>0</v>
      </c>
      <c r="N125" s="11">
        <f>Tabla2456789[[#This Row],[Columna1]]*19%</f>
        <v>0</v>
      </c>
      <c r="O125" s="11"/>
      <c r="P125" s="11">
        <f>Tabla2456789[[#This Row],[VENTA ]]/1.19</f>
        <v>0</v>
      </c>
      <c r="Q125" s="11">
        <f>Tabla2456789[[#This Row],[Columna2]]*19%</f>
        <v>0</v>
      </c>
      <c r="R125" s="11">
        <f>Tabla2456789[[#This Row],[IVA VENTA ]]-Tabla2456789[[#This Row],[IV COMPRA]]</f>
        <v>0</v>
      </c>
      <c r="S125" s="11">
        <f>(Tabla2456789[[#This Row],[VENTA ]]-(Tabla2456789[[#This Row],[MONTO DE COMPRA]]+Tabla2456789[[#This Row],[DIFERENCIA IVA ]]))</f>
        <v>0</v>
      </c>
      <c r="T125" s="15"/>
    </row>
    <row r="126" spans="1:20" s="1" customFormat="1" x14ac:dyDescent="0.25">
      <c r="A126" s="56">
        <v>44862</v>
      </c>
      <c r="B126" s="4" t="s">
        <v>2066</v>
      </c>
      <c r="C126" s="4" t="s">
        <v>2090</v>
      </c>
      <c r="D126" s="4" t="s">
        <v>3645</v>
      </c>
      <c r="E126" s="1" t="s">
        <v>46</v>
      </c>
      <c r="F126" s="1" t="s">
        <v>2446</v>
      </c>
      <c r="G126" s="154" t="s">
        <v>3647</v>
      </c>
      <c r="H126" s="15">
        <v>100000</v>
      </c>
      <c r="I126" s="15">
        <f>Tabla2456789[[#This Row],[TOTAL FACTURA]]*0.7</f>
        <v>70000</v>
      </c>
      <c r="J126" s="149">
        <f t="shared" si="1"/>
        <v>30000</v>
      </c>
      <c r="K126" s="10" t="s">
        <v>3646</v>
      </c>
      <c r="L126" s="11">
        <v>7540</v>
      </c>
      <c r="M126" s="11">
        <f>Tabla2456789[[#This Row],[MONTO DE COMPRA]]/1.19</f>
        <v>6336.134453781513</v>
      </c>
      <c r="N126" s="11">
        <f>Tabla2456789[[#This Row],[Columna1]]*19%</f>
        <v>1203.8655462184875</v>
      </c>
      <c r="O126" s="11">
        <v>17000</v>
      </c>
      <c r="P126" s="11">
        <f>Tabla2456789[[#This Row],[VENTA ]]/1.19</f>
        <v>14285.714285714286</v>
      </c>
      <c r="Q126" s="11">
        <f>Tabla2456789[[#This Row],[Columna2]]*19%</f>
        <v>2714.2857142857142</v>
      </c>
      <c r="R126" s="11">
        <f>Tabla2456789[[#This Row],[IVA VENTA ]]-Tabla2456789[[#This Row],[IV COMPRA]]</f>
        <v>1510.4201680672268</v>
      </c>
      <c r="S126" s="11">
        <f>(Tabla2456789[[#This Row],[VENTA ]]-(Tabla2456789[[#This Row],[MONTO DE COMPRA]]+Tabla2456789[[#This Row],[DIFERENCIA IVA ]]))</f>
        <v>7949.5798319327732</v>
      </c>
      <c r="T126" s="15"/>
    </row>
    <row r="127" spans="1:20" s="1" customFormat="1" x14ac:dyDescent="0.25">
      <c r="A127" s="56">
        <v>44862</v>
      </c>
      <c r="B127" s="4" t="s">
        <v>2076</v>
      </c>
      <c r="C127" s="4" t="s">
        <v>1653</v>
      </c>
      <c r="D127" s="4" t="s">
        <v>1655</v>
      </c>
      <c r="E127" s="1" t="s">
        <v>1654</v>
      </c>
      <c r="F127" s="1" t="s">
        <v>2446</v>
      </c>
      <c r="G127" s="154" t="s">
        <v>1683</v>
      </c>
      <c r="H127" s="15">
        <v>250000</v>
      </c>
      <c r="I127" s="15">
        <f>Tabla2456789[[#This Row],[TOTAL FACTURA]]*0.7</f>
        <v>175000</v>
      </c>
      <c r="J127" s="149">
        <f t="shared" si="1"/>
        <v>75000</v>
      </c>
      <c r="K127" s="10" t="s">
        <v>1684</v>
      </c>
      <c r="L127" s="11">
        <f>580000*2</f>
        <v>1160000</v>
      </c>
      <c r="M127" s="11"/>
      <c r="N127" s="11">
        <f>Tabla2456789[[#This Row],[Columna1]]*19%</f>
        <v>0</v>
      </c>
      <c r="O127" s="11">
        <f>640000*2</f>
        <v>1280000</v>
      </c>
      <c r="P127" s="11"/>
      <c r="Q127" s="11">
        <f>Tabla2456789[[#This Row],[Columna2]]*19%</f>
        <v>0</v>
      </c>
      <c r="R127" s="11">
        <f>Tabla2456789[[#This Row],[IVA VENTA ]]-Tabla2456789[[#This Row],[IV COMPRA]]</f>
        <v>0</v>
      </c>
      <c r="S127" s="11">
        <f>(Tabla2456789[[#This Row],[VENTA ]]-(Tabla2456789[[#This Row],[MONTO DE COMPRA]]+Tabla2456789[[#This Row],[DIFERENCIA IVA ]]))</f>
        <v>120000</v>
      </c>
      <c r="T127" s="15"/>
    </row>
    <row r="128" spans="1:20" s="1" customFormat="1" x14ac:dyDescent="0.25">
      <c r="A128" s="56">
        <v>44862</v>
      </c>
      <c r="B128" s="4"/>
      <c r="C128" s="4"/>
      <c r="D128" s="4" t="s">
        <v>3648</v>
      </c>
      <c r="E128" s="1" t="s">
        <v>122</v>
      </c>
      <c r="F128" s="1" t="s">
        <v>34</v>
      </c>
      <c r="G128" s="154" t="s">
        <v>3649</v>
      </c>
      <c r="H128" s="15">
        <v>30000</v>
      </c>
      <c r="I128" s="15">
        <f>Tabla2456789[[#This Row],[TOTAL FACTURA]]*0.7</f>
        <v>21000</v>
      </c>
      <c r="J128" s="149">
        <f t="shared" si="1"/>
        <v>9000</v>
      </c>
      <c r="K128" s="10"/>
      <c r="L128" s="11"/>
      <c r="M128" s="11">
        <f>Tabla2456789[[#This Row],[MONTO DE COMPRA]]/1.19</f>
        <v>0</v>
      </c>
      <c r="N128" s="11">
        <f>Tabla2456789[[#This Row],[Columna1]]*19%</f>
        <v>0</v>
      </c>
      <c r="O128" s="11"/>
      <c r="P128" s="11">
        <f>Tabla2456789[[#This Row],[VENTA ]]/1.19</f>
        <v>0</v>
      </c>
      <c r="Q128" s="11">
        <f>Tabla2456789[[#This Row],[Columna2]]*19%</f>
        <v>0</v>
      </c>
      <c r="R128" s="11">
        <f>Tabla2456789[[#This Row],[IVA VENTA ]]-Tabla2456789[[#This Row],[IV COMPRA]]</f>
        <v>0</v>
      </c>
      <c r="S128" s="11">
        <f>(Tabla2456789[[#This Row],[VENTA ]]-(Tabla2456789[[#This Row],[MONTO DE COMPRA]]+Tabla2456789[[#This Row],[DIFERENCIA IVA ]]))</f>
        <v>0</v>
      </c>
      <c r="T128" s="15"/>
    </row>
    <row r="129" spans="1:20" s="1" customFormat="1" x14ac:dyDescent="0.25">
      <c r="A129" s="56">
        <v>44863</v>
      </c>
      <c r="B129" s="4"/>
      <c r="C129" s="140"/>
      <c r="D129" s="4" t="s">
        <v>2205</v>
      </c>
      <c r="E129" s="1" t="s">
        <v>3631</v>
      </c>
      <c r="F129" s="1" t="s">
        <v>2446</v>
      </c>
      <c r="G129" s="154" t="s">
        <v>3652</v>
      </c>
      <c r="H129" s="15">
        <v>80000</v>
      </c>
      <c r="I129" s="15">
        <f>Tabla2456789[[#This Row],[TOTAL FACTURA]]*0.7</f>
        <v>56000</v>
      </c>
      <c r="J129" s="149">
        <f t="shared" si="1"/>
        <v>24000</v>
      </c>
      <c r="K129" s="10"/>
      <c r="L129" s="11"/>
      <c r="M129" s="11">
        <f>Tabla2456789[[#This Row],[MONTO DE COMPRA]]/1.19</f>
        <v>0</v>
      </c>
      <c r="N129" s="11">
        <f>Tabla2456789[[#This Row],[Columna1]]*19%</f>
        <v>0</v>
      </c>
      <c r="O129" s="11"/>
      <c r="P129" s="11">
        <f>Tabla2456789[[#This Row],[VENTA ]]/1.19</f>
        <v>0</v>
      </c>
      <c r="Q129" s="11">
        <f>Tabla2456789[[#This Row],[Columna2]]*19%</f>
        <v>0</v>
      </c>
      <c r="R129" s="11">
        <f>Tabla2456789[[#This Row],[IVA VENTA ]]-Tabla2456789[[#This Row],[IV COMPRA]]</f>
        <v>0</v>
      </c>
      <c r="S129" s="11">
        <f>(Tabla2456789[[#This Row],[VENTA ]]-(Tabla2456789[[#This Row],[MONTO DE COMPRA]]+Tabla2456789[[#This Row],[DIFERENCIA IVA ]]))</f>
        <v>0</v>
      </c>
      <c r="T129" s="15"/>
    </row>
    <row r="130" spans="1:20" s="1" customFormat="1" x14ac:dyDescent="0.25">
      <c r="A130" s="56">
        <v>44863</v>
      </c>
      <c r="B130" s="4"/>
      <c r="C130" s="4" t="s">
        <v>1278</v>
      </c>
      <c r="D130" s="4" t="s">
        <v>380</v>
      </c>
      <c r="E130" s="1" t="s">
        <v>59</v>
      </c>
      <c r="F130" s="1" t="s">
        <v>2446</v>
      </c>
      <c r="G130" s="154" t="s">
        <v>437</v>
      </c>
      <c r="H130" s="15">
        <v>20000</v>
      </c>
      <c r="I130" s="15">
        <f>Tabla2456789[[#This Row],[TOTAL FACTURA]]*0.7</f>
        <v>14000</v>
      </c>
      <c r="J130" s="149">
        <f t="shared" ref="J130:J195" si="2">H130-I130</f>
        <v>6000</v>
      </c>
      <c r="K130" s="10"/>
      <c r="L130" s="11"/>
      <c r="M130" s="11">
        <f>Tabla2456789[[#This Row],[MONTO DE COMPRA]]/1.19</f>
        <v>0</v>
      </c>
      <c r="N130" s="11">
        <f>Tabla2456789[[#This Row],[Columna1]]*19%</f>
        <v>0</v>
      </c>
      <c r="O130" s="11"/>
      <c r="P130" s="11">
        <f>Tabla2456789[[#This Row],[VENTA ]]/1.19</f>
        <v>0</v>
      </c>
      <c r="Q130" s="11">
        <f>Tabla2456789[[#This Row],[Columna2]]*19%</f>
        <v>0</v>
      </c>
      <c r="R130" s="11">
        <f>Tabla2456789[[#This Row],[IVA VENTA ]]-Tabla2456789[[#This Row],[IV COMPRA]]</f>
        <v>0</v>
      </c>
      <c r="S130" s="11">
        <f>(Tabla2456789[[#This Row],[VENTA ]]-(Tabla2456789[[#This Row],[MONTO DE COMPRA]]+Tabla2456789[[#This Row],[DIFERENCIA IVA ]]))</f>
        <v>0</v>
      </c>
      <c r="T130" s="15"/>
    </row>
    <row r="131" spans="1:20" s="1" customFormat="1" ht="30" x14ac:dyDescent="0.25">
      <c r="A131" s="56">
        <v>44863</v>
      </c>
      <c r="B131" s="4"/>
      <c r="C131" s="4" t="s">
        <v>615</v>
      </c>
      <c r="D131" s="4" t="s">
        <v>616</v>
      </c>
      <c r="E131" s="1" t="s">
        <v>385</v>
      </c>
      <c r="F131" s="1" t="s">
        <v>2446</v>
      </c>
      <c r="G131" s="154" t="s">
        <v>3653</v>
      </c>
      <c r="H131" s="15">
        <v>80000</v>
      </c>
      <c r="I131" s="15">
        <f>Tabla2456789[[#This Row],[TOTAL FACTURA]]*0.7</f>
        <v>56000</v>
      </c>
      <c r="J131" s="149">
        <f t="shared" si="2"/>
        <v>24000</v>
      </c>
      <c r="K131" s="10"/>
      <c r="L131" s="11"/>
      <c r="M131" s="11">
        <f>Tabla2456789[[#This Row],[MONTO DE COMPRA]]/1.19</f>
        <v>0</v>
      </c>
      <c r="N131" s="11">
        <f>Tabla2456789[[#This Row],[Columna1]]*19%</f>
        <v>0</v>
      </c>
      <c r="O131" s="11"/>
      <c r="P131" s="11">
        <f>Tabla2456789[[#This Row],[VENTA ]]/1.19</f>
        <v>0</v>
      </c>
      <c r="Q131" s="11">
        <f>Tabla2456789[[#This Row],[Columna2]]*19%</f>
        <v>0</v>
      </c>
      <c r="R131" s="11">
        <f>Tabla2456789[[#This Row],[IVA VENTA ]]-Tabla2456789[[#This Row],[IV COMPRA]]</f>
        <v>0</v>
      </c>
      <c r="S131" s="11">
        <f>(Tabla2456789[[#This Row],[VENTA ]]-(Tabla2456789[[#This Row],[MONTO DE COMPRA]]+Tabla2456789[[#This Row],[DIFERENCIA IVA ]]))</f>
        <v>0</v>
      </c>
      <c r="T131" s="15"/>
    </row>
    <row r="132" spans="1:20" s="1" customFormat="1" x14ac:dyDescent="0.25">
      <c r="A132" s="56">
        <v>44863</v>
      </c>
      <c r="B132" s="4"/>
      <c r="C132" s="4"/>
      <c r="D132" s="4" t="s">
        <v>3658</v>
      </c>
      <c r="F132" s="1" t="s">
        <v>3437</v>
      </c>
      <c r="G132" s="154" t="s">
        <v>3716</v>
      </c>
      <c r="H132" s="15">
        <v>35000</v>
      </c>
      <c r="I132" s="15">
        <f>Tabla2456789[[#This Row],[TOTAL FACTURA]]*0.5</f>
        <v>17500</v>
      </c>
      <c r="J132" s="149">
        <f t="shared" si="2"/>
        <v>17500</v>
      </c>
      <c r="K132" s="10"/>
      <c r="L132" s="11"/>
      <c r="M132" s="11">
        <f>Tabla2456789[[#This Row],[MONTO DE COMPRA]]/1.19</f>
        <v>0</v>
      </c>
      <c r="N132" s="11">
        <f>Tabla2456789[[#This Row],[Columna1]]*19%</f>
        <v>0</v>
      </c>
      <c r="O132" s="11"/>
      <c r="P132" s="11">
        <f>Tabla2456789[[#This Row],[VENTA ]]/1.19</f>
        <v>0</v>
      </c>
      <c r="Q132" s="11">
        <f>Tabla2456789[[#This Row],[Columna2]]*19%</f>
        <v>0</v>
      </c>
      <c r="R132" s="11">
        <f>Tabla2456789[[#This Row],[IVA VENTA ]]-Tabla2456789[[#This Row],[IV COMPRA]]</f>
        <v>0</v>
      </c>
      <c r="S132" s="11">
        <f>(Tabla2456789[[#This Row],[VENTA ]]-(Tabla2456789[[#This Row],[MONTO DE COMPRA]]+Tabla2456789[[#This Row],[DIFERENCIA IVA ]]))</f>
        <v>0</v>
      </c>
      <c r="T132" s="15"/>
    </row>
    <row r="133" spans="1:20" s="1" customFormat="1" x14ac:dyDescent="0.25">
      <c r="A133" s="56">
        <v>44863</v>
      </c>
      <c r="B133" s="4"/>
      <c r="C133" s="4"/>
      <c r="D133" s="4" t="s">
        <v>3659</v>
      </c>
      <c r="E133" s="1" t="s">
        <v>76</v>
      </c>
      <c r="F133" s="1" t="s">
        <v>3437</v>
      </c>
      <c r="G133" s="154" t="s">
        <v>3660</v>
      </c>
      <c r="H133" s="15">
        <v>60000</v>
      </c>
      <c r="I133" s="15">
        <f>Tabla2456789[[#This Row],[TOTAL FACTURA]]*0.5</f>
        <v>30000</v>
      </c>
      <c r="J133" s="149">
        <f t="shared" si="2"/>
        <v>30000</v>
      </c>
      <c r="K133" s="10"/>
      <c r="L133" s="11"/>
      <c r="M133" s="11">
        <f>Tabla2456789[[#This Row],[MONTO DE COMPRA]]/1.19</f>
        <v>0</v>
      </c>
      <c r="N133" s="11">
        <f>Tabla2456789[[#This Row],[Columna1]]*19%</f>
        <v>0</v>
      </c>
      <c r="O133" s="11"/>
      <c r="P133" s="11">
        <f>Tabla2456789[[#This Row],[VENTA ]]/1.19</f>
        <v>0</v>
      </c>
      <c r="Q133" s="11">
        <f>Tabla2456789[[#This Row],[Columna2]]*19%</f>
        <v>0</v>
      </c>
      <c r="R133" s="11">
        <f>Tabla2456789[[#This Row],[IVA VENTA ]]-Tabla2456789[[#This Row],[IV COMPRA]]</f>
        <v>0</v>
      </c>
      <c r="S133" s="11">
        <f>(Tabla2456789[[#This Row],[VENTA ]]-(Tabla2456789[[#This Row],[MONTO DE COMPRA]]+Tabla2456789[[#This Row],[DIFERENCIA IVA ]]))</f>
        <v>0</v>
      </c>
      <c r="T133" s="15"/>
    </row>
    <row r="134" spans="1:20" s="1" customFormat="1" x14ac:dyDescent="0.25">
      <c r="A134" s="56">
        <v>44863</v>
      </c>
      <c r="B134" s="4"/>
      <c r="C134" s="4" t="s">
        <v>3661</v>
      </c>
      <c r="D134" s="4" t="s">
        <v>3662</v>
      </c>
      <c r="E134" s="1" t="s">
        <v>3663</v>
      </c>
      <c r="F134" s="1" t="s">
        <v>2446</v>
      </c>
      <c r="G134" s="154" t="s">
        <v>3664</v>
      </c>
      <c r="H134" s="15">
        <v>40000</v>
      </c>
      <c r="I134" s="15">
        <f>Tabla2456789[[#This Row],[TOTAL FACTURA]]*0.7</f>
        <v>28000</v>
      </c>
      <c r="J134" s="149">
        <f t="shared" si="2"/>
        <v>12000</v>
      </c>
      <c r="K134" s="10" t="s">
        <v>3665</v>
      </c>
      <c r="L134" s="11">
        <f>7600+15000</f>
        <v>22600</v>
      </c>
      <c r="M134" s="11">
        <v>6386.55</v>
      </c>
      <c r="N134" s="11">
        <f>Tabla2456789[[#This Row],[Columna1]]*19%</f>
        <v>1213.4445000000001</v>
      </c>
      <c r="O134" s="11">
        <v>50000</v>
      </c>
      <c r="P134" s="11"/>
      <c r="Q134" s="11">
        <f>Tabla2456789[[#This Row],[Columna2]]*19%</f>
        <v>0</v>
      </c>
      <c r="R134" s="11">
        <f>Tabla2456789[[#This Row],[IVA VENTA ]]-Tabla2456789[[#This Row],[IV COMPRA]]</f>
        <v>-1213.4445000000001</v>
      </c>
      <c r="S134" s="11">
        <f>(Tabla2456789[[#This Row],[VENTA ]]-(Tabla2456789[[#This Row],[MONTO DE COMPRA]]+Tabla2456789[[#This Row],[DIFERENCIA IVA ]]))</f>
        <v>28613.444500000001</v>
      </c>
      <c r="T134" s="15"/>
    </row>
    <row r="135" spans="1:20" s="1" customFormat="1" ht="30" x14ac:dyDescent="0.25">
      <c r="A135" s="56">
        <v>44864</v>
      </c>
      <c r="B135" s="4" t="s">
        <v>3654</v>
      </c>
      <c r="C135" s="4" t="s">
        <v>3655</v>
      </c>
      <c r="D135" s="4" t="s">
        <v>3656</v>
      </c>
      <c r="E135" s="1" t="s">
        <v>1203</v>
      </c>
      <c r="F135" s="1" t="s">
        <v>2446</v>
      </c>
      <c r="G135" s="154" t="s">
        <v>3729</v>
      </c>
      <c r="H135" s="15">
        <v>170000</v>
      </c>
      <c r="I135" s="15">
        <f>Tabla2456789[[#This Row],[TOTAL FACTURA]]*0.7</f>
        <v>118999.99999999999</v>
      </c>
      <c r="J135" s="172">
        <f>H135-I135</f>
        <v>51000.000000000015</v>
      </c>
      <c r="K135" s="10" t="s">
        <v>3657</v>
      </c>
      <c r="L135" s="11"/>
      <c r="M135" s="11">
        <f>Tabla2456789[[#This Row],[MONTO DE COMPRA]]/1.19</f>
        <v>0</v>
      </c>
      <c r="N135" s="11">
        <f>Tabla2456789[[#This Row],[Columna1]]*19%</f>
        <v>0</v>
      </c>
      <c r="O135" s="11">
        <v>329000</v>
      </c>
      <c r="P135" s="11">
        <f>Tabla2456789[[#This Row],[VENTA ]]/1.19</f>
        <v>276470.58823529416</v>
      </c>
      <c r="Q135" s="11">
        <f>Tabla2456789[[#This Row],[Columna2]]*19%</f>
        <v>52529.411764705888</v>
      </c>
      <c r="R135" s="11">
        <f>Tabla2456789[[#This Row],[IVA VENTA ]]-Tabla2456789[[#This Row],[IV COMPRA]]</f>
        <v>52529.411764705888</v>
      </c>
      <c r="S135" s="11">
        <f>(Tabla2456789[[#This Row],[VENTA ]]-(Tabla2456789[[#This Row],[MONTO DE COMPRA]]+Tabla2456789[[#This Row],[DIFERENCIA IVA ]]))</f>
        <v>276470.5882352941</v>
      </c>
      <c r="T135" s="15"/>
    </row>
    <row r="136" spans="1:20" s="1" customFormat="1" ht="30" x14ac:dyDescent="0.25">
      <c r="A136" s="56">
        <v>44865</v>
      </c>
      <c r="B136" s="4" t="s">
        <v>3667</v>
      </c>
      <c r="C136" s="4" t="s">
        <v>3668</v>
      </c>
      <c r="D136" s="4" t="s">
        <v>2728</v>
      </c>
      <c r="E136" s="1" t="s">
        <v>3669</v>
      </c>
      <c r="F136" s="1" t="s">
        <v>2446</v>
      </c>
      <c r="G136" s="154" t="s">
        <v>3670</v>
      </c>
      <c r="H136" s="15">
        <v>180000</v>
      </c>
      <c r="I136" s="15">
        <f>Tabla2456789[[#This Row],[TOTAL FACTURA]]*0.7</f>
        <v>125999.99999999999</v>
      </c>
      <c r="J136" s="149">
        <f t="shared" si="2"/>
        <v>54000.000000000015</v>
      </c>
      <c r="K136" s="10"/>
      <c r="L136" s="11"/>
      <c r="M136" s="11">
        <f>Tabla2456789[[#This Row],[MONTO DE COMPRA]]/1.19</f>
        <v>0</v>
      </c>
      <c r="N136" s="11">
        <f>Tabla2456789[[#This Row],[Columna1]]*19%</f>
        <v>0</v>
      </c>
      <c r="O136" s="11"/>
      <c r="P136" s="11">
        <f>Tabla2456789[[#This Row],[VENTA ]]/1.19</f>
        <v>0</v>
      </c>
      <c r="Q136" s="11">
        <f>Tabla2456789[[#This Row],[Columna2]]*19%</f>
        <v>0</v>
      </c>
      <c r="R136" s="11">
        <f>Tabla2456789[[#This Row],[IVA VENTA ]]-Tabla2456789[[#This Row],[IV COMPRA]]</f>
        <v>0</v>
      </c>
      <c r="S136" s="11">
        <f>(Tabla2456789[[#This Row],[VENTA ]]-(Tabla2456789[[#This Row],[MONTO DE COMPRA]]+Tabla2456789[[#This Row],[DIFERENCIA IVA ]]))</f>
        <v>0</v>
      </c>
      <c r="T136" s="15"/>
    </row>
    <row r="137" spans="1:20" s="1" customFormat="1" x14ac:dyDescent="0.25">
      <c r="A137" s="56">
        <v>44865</v>
      </c>
      <c r="B137" s="4"/>
      <c r="C137" s="4" t="s">
        <v>3668</v>
      </c>
      <c r="D137" s="4" t="s">
        <v>2728</v>
      </c>
      <c r="E137" s="1" t="s">
        <v>3669</v>
      </c>
      <c r="F137" s="1" t="s">
        <v>3437</v>
      </c>
      <c r="G137" s="154" t="s">
        <v>3616</v>
      </c>
      <c r="H137" s="15">
        <v>70000</v>
      </c>
      <c r="I137" s="15">
        <f>Tabla2456789[[#This Row],[TOTAL FACTURA]]*0.5</f>
        <v>35000</v>
      </c>
      <c r="J137" s="149">
        <f t="shared" si="2"/>
        <v>35000</v>
      </c>
      <c r="K137" s="10"/>
      <c r="L137" s="11">
        <v>2635000</v>
      </c>
      <c r="M137" s="11"/>
      <c r="N137" s="11">
        <f>Tabla2456789[[#This Row],[Columna1]]*19%</f>
        <v>0</v>
      </c>
      <c r="O137" s="11">
        <v>3040000</v>
      </c>
      <c r="P137" s="11">
        <f>Tabla2456789[[#This Row],[VENTA ]]/1.19</f>
        <v>2554621.848739496</v>
      </c>
      <c r="Q137" s="11">
        <f>Tabla2456789[[#This Row],[Columna2]]*19%</f>
        <v>485378.15126050427</v>
      </c>
      <c r="R137" s="11">
        <f>Tabla2456789[[#This Row],[IVA VENTA ]]-Tabla2456789[[#This Row],[IV COMPRA]]</f>
        <v>485378.15126050427</v>
      </c>
      <c r="S137" s="11">
        <f>(Tabla2456789[[#This Row],[VENTA ]]-(Tabla2456789[[#This Row],[MONTO DE COMPRA]]+Tabla2456789[[#This Row],[DIFERENCIA IVA ]]))</f>
        <v>-80378.151260504499</v>
      </c>
      <c r="T137" s="15"/>
    </row>
    <row r="138" spans="1:20" s="1" customFormat="1" x14ac:dyDescent="0.25">
      <c r="A138" s="56">
        <v>44865</v>
      </c>
      <c r="B138" s="4"/>
      <c r="C138" s="140"/>
      <c r="D138" s="4"/>
      <c r="F138" s="1" t="s">
        <v>34</v>
      </c>
      <c r="G138" s="154" t="s">
        <v>3671</v>
      </c>
      <c r="H138" s="15">
        <v>20000</v>
      </c>
      <c r="I138" s="15">
        <f>Tabla2456789[[#This Row],[TOTAL FACTURA]]*0.7</f>
        <v>14000</v>
      </c>
      <c r="J138" s="149">
        <f t="shared" si="2"/>
        <v>6000</v>
      </c>
      <c r="K138" s="10"/>
      <c r="L138" s="11"/>
      <c r="M138" s="11">
        <f>Tabla2456789[[#This Row],[MONTO DE COMPRA]]/1.19</f>
        <v>0</v>
      </c>
      <c r="N138" s="11">
        <f>Tabla2456789[[#This Row],[Columna1]]*19%</f>
        <v>0</v>
      </c>
      <c r="O138" s="11"/>
      <c r="P138" s="11">
        <f>Tabla2456789[[#This Row],[VENTA ]]/1.19</f>
        <v>0</v>
      </c>
      <c r="Q138" s="11">
        <f>Tabla2456789[[#This Row],[Columna2]]*19%</f>
        <v>0</v>
      </c>
      <c r="R138" s="11">
        <f>Tabla2456789[[#This Row],[IVA VENTA ]]-Tabla2456789[[#This Row],[IV COMPRA]]</f>
        <v>0</v>
      </c>
      <c r="S138" s="11">
        <f>(Tabla2456789[[#This Row],[VENTA ]]-(Tabla2456789[[#This Row],[MONTO DE COMPRA]]+Tabla2456789[[#This Row],[DIFERENCIA IVA ]]))</f>
        <v>0</v>
      </c>
      <c r="T138" s="15"/>
    </row>
    <row r="139" spans="1:20" s="1" customFormat="1" x14ac:dyDescent="0.25">
      <c r="A139" s="56">
        <v>44865</v>
      </c>
      <c r="B139" s="4" t="s">
        <v>3672</v>
      </c>
      <c r="C139" s="4" t="s">
        <v>3673</v>
      </c>
      <c r="D139" s="4" t="s">
        <v>2778</v>
      </c>
      <c r="E139" s="1" t="s">
        <v>59</v>
      </c>
      <c r="F139" s="1" t="s">
        <v>2446</v>
      </c>
      <c r="G139" s="154" t="s">
        <v>3674</v>
      </c>
      <c r="H139" s="15">
        <v>60000</v>
      </c>
      <c r="I139" s="15">
        <f>Tabla2456789[[#This Row],[TOTAL FACTURA]]*0.7</f>
        <v>42000</v>
      </c>
      <c r="J139" s="149">
        <f t="shared" si="2"/>
        <v>18000</v>
      </c>
      <c r="K139" s="10"/>
      <c r="L139" s="11"/>
      <c r="M139" s="11">
        <f>Tabla2456789[[#This Row],[MONTO DE COMPRA]]/1.19</f>
        <v>0</v>
      </c>
      <c r="N139" s="11">
        <f>Tabla2456789[[#This Row],[Columna1]]*19%</f>
        <v>0</v>
      </c>
      <c r="O139" s="11"/>
      <c r="P139" s="11">
        <f>Tabla2456789[[#This Row],[VENTA ]]/1.19</f>
        <v>0</v>
      </c>
      <c r="Q139" s="11">
        <f>Tabla2456789[[#This Row],[Columna2]]*19%</f>
        <v>0</v>
      </c>
      <c r="R139" s="11">
        <f>Tabla2456789[[#This Row],[IVA VENTA ]]-Tabla2456789[[#This Row],[IV COMPRA]]</f>
        <v>0</v>
      </c>
      <c r="S139" s="11">
        <f>(Tabla2456789[[#This Row],[VENTA ]]-(Tabla2456789[[#This Row],[MONTO DE COMPRA]]+Tabla2456789[[#This Row],[DIFERENCIA IVA ]]))</f>
        <v>0</v>
      </c>
      <c r="T139" s="15"/>
    </row>
    <row r="140" spans="1:20" s="1" customFormat="1" x14ac:dyDescent="0.25">
      <c r="A140" s="56">
        <v>44865</v>
      </c>
      <c r="B140" s="4"/>
      <c r="C140" s="4"/>
      <c r="D140" s="4" t="s">
        <v>3675</v>
      </c>
      <c r="E140" s="1" t="s">
        <v>2526</v>
      </c>
      <c r="F140" s="1" t="s">
        <v>34</v>
      </c>
      <c r="G140" s="154" t="s">
        <v>1159</v>
      </c>
      <c r="H140" s="15">
        <v>9000</v>
      </c>
      <c r="I140" s="15">
        <f>Tabla2456789[[#This Row],[TOTAL FACTURA]]*0.7</f>
        <v>6300</v>
      </c>
      <c r="J140" s="149">
        <f t="shared" si="2"/>
        <v>2700</v>
      </c>
      <c r="K140" s="10"/>
      <c r="L140" s="11"/>
      <c r="M140" s="11">
        <f>Tabla2456789[[#This Row],[MONTO DE COMPRA]]/1.19</f>
        <v>0</v>
      </c>
      <c r="N140" s="11">
        <f>Tabla2456789[[#This Row],[Columna1]]*19%</f>
        <v>0</v>
      </c>
      <c r="O140" s="11"/>
      <c r="P140" s="11">
        <f>Tabla2456789[[#This Row],[VENTA ]]/1.19</f>
        <v>0</v>
      </c>
      <c r="Q140" s="11">
        <f>Tabla2456789[[#This Row],[Columna2]]*19%</f>
        <v>0</v>
      </c>
      <c r="R140" s="11">
        <f>Tabla2456789[[#This Row],[IVA VENTA ]]-Tabla2456789[[#This Row],[IV COMPRA]]</f>
        <v>0</v>
      </c>
      <c r="S140" s="11">
        <f>(Tabla2456789[[#This Row],[VENTA ]]-(Tabla2456789[[#This Row],[MONTO DE COMPRA]]+Tabla2456789[[#This Row],[DIFERENCIA IVA ]]))</f>
        <v>0</v>
      </c>
      <c r="T140" s="15"/>
    </row>
    <row r="141" spans="1:20" s="1" customFormat="1" x14ac:dyDescent="0.25">
      <c r="A141" s="56">
        <v>44865</v>
      </c>
      <c r="B141" s="4" t="s">
        <v>3677</v>
      </c>
      <c r="C141" s="1" t="s">
        <v>3678</v>
      </c>
      <c r="D141" s="1" t="s">
        <v>2656</v>
      </c>
      <c r="E141" s="1" t="s">
        <v>65</v>
      </c>
      <c r="F141" s="1" t="s">
        <v>3666</v>
      </c>
      <c r="G141" s="148" t="s">
        <v>3461</v>
      </c>
      <c r="H141" s="15">
        <v>300000</v>
      </c>
      <c r="I141" s="15">
        <f>Tabla2456789[[#This Row],[TOTAL FACTURA]]*0.5</f>
        <v>150000</v>
      </c>
      <c r="J141" s="149">
        <f t="shared" si="2"/>
        <v>150000</v>
      </c>
      <c r="M141" s="11">
        <f>Tabla2456789[[#This Row],[MONTO DE COMPRA]]/1.19</f>
        <v>0</v>
      </c>
      <c r="N141" s="11">
        <f>Tabla2456789[[#This Row],[Columna1]]*19%</f>
        <v>0</v>
      </c>
      <c r="P141" s="11">
        <f>Tabla2456789[[#This Row],[VENTA ]]/1.19</f>
        <v>0</v>
      </c>
      <c r="Q141" s="11">
        <f>Tabla2456789[[#This Row],[Columna2]]*19%</f>
        <v>0</v>
      </c>
      <c r="R141" s="11">
        <f>Tabla2456789[[#This Row],[IVA VENTA ]]-Tabla2456789[[#This Row],[IV COMPRA]]</f>
        <v>0</v>
      </c>
      <c r="S141" s="11">
        <f>(Tabla2456789[[#This Row],[VENTA ]]-(Tabla2456789[[#This Row],[MONTO DE COMPRA]]+Tabla2456789[[#This Row],[DIFERENCIA IVA ]]))</f>
        <v>0</v>
      </c>
      <c r="T141" s="15"/>
    </row>
    <row r="142" spans="1:20" s="1" customFormat="1" x14ac:dyDescent="0.25">
      <c r="A142" s="56">
        <v>44865</v>
      </c>
      <c r="B142" s="4" t="s">
        <v>3683</v>
      </c>
      <c r="C142" s="4" t="s">
        <v>3680</v>
      </c>
      <c r="D142" s="4" t="s">
        <v>3679</v>
      </c>
      <c r="E142" s="1" t="s">
        <v>3681</v>
      </c>
      <c r="F142" s="1" t="s">
        <v>2446</v>
      </c>
      <c r="G142" s="154" t="s">
        <v>3682</v>
      </c>
      <c r="H142" s="15">
        <v>100000</v>
      </c>
      <c r="I142" s="15">
        <f>Tabla2456789[[#This Row],[TOTAL FACTURA]]*0.7</f>
        <v>70000</v>
      </c>
      <c r="J142" s="149">
        <f t="shared" si="2"/>
        <v>30000</v>
      </c>
      <c r="K142" s="10"/>
      <c r="L142" s="11">
        <v>20000</v>
      </c>
      <c r="M142" s="11">
        <f>Tabla2456789[[#This Row],[MONTO DE COMPRA]]/1.19</f>
        <v>16806.722689075632</v>
      </c>
      <c r="N142" s="11">
        <f>Tabla2456789[[#This Row],[Columna1]]*19%</f>
        <v>3193.2773109243699</v>
      </c>
      <c r="O142" s="11">
        <v>50000</v>
      </c>
      <c r="P142" s="11">
        <f>Tabla2456789[[#This Row],[VENTA ]]/1.19</f>
        <v>42016.806722689078</v>
      </c>
      <c r="Q142" s="11">
        <f>Tabla2456789[[#This Row],[Columna2]]*19%</f>
        <v>7983.1932773109247</v>
      </c>
      <c r="R142" s="11">
        <f>Tabla2456789[[#This Row],[IVA VENTA ]]-Tabla2456789[[#This Row],[IV COMPRA]]</f>
        <v>4789.9159663865548</v>
      </c>
      <c r="S142" s="11">
        <f>(Tabla2456789[[#This Row],[VENTA ]]-(Tabla2456789[[#This Row],[MONTO DE COMPRA]]+Tabla2456789[[#This Row],[DIFERENCIA IVA ]]))</f>
        <v>25210.084033613446</v>
      </c>
      <c r="T142" s="15"/>
    </row>
    <row r="143" spans="1:20" s="1" customFormat="1" x14ac:dyDescent="0.25">
      <c r="A143" s="56">
        <v>44866</v>
      </c>
      <c r="B143" s="4" t="s">
        <v>3713</v>
      </c>
      <c r="C143" s="4" t="s">
        <v>3714</v>
      </c>
      <c r="D143" s="4" t="s">
        <v>2676</v>
      </c>
      <c r="E143" s="1" t="s">
        <v>59</v>
      </c>
      <c r="F143" s="1" t="s">
        <v>34</v>
      </c>
      <c r="G143" s="154" t="s">
        <v>3715</v>
      </c>
      <c r="H143" s="15">
        <v>150000</v>
      </c>
      <c r="I143" s="15">
        <f>Tabla2456789[[#This Row],[TOTAL FACTURA]]*0.7</f>
        <v>105000</v>
      </c>
      <c r="J143" s="172">
        <f>H143-I143</f>
        <v>45000</v>
      </c>
      <c r="K143" s="10"/>
      <c r="L143" s="11"/>
      <c r="M143" s="11">
        <f>Tabla2456789[[#This Row],[MONTO DE COMPRA]]/1.19</f>
        <v>0</v>
      </c>
      <c r="N143" s="11">
        <f>Tabla2456789[[#This Row],[Columna1]]*19%</f>
        <v>0</v>
      </c>
      <c r="O143" s="11"/>
      <c r="P143" s="11">
        <f>Tabla2456789[[#This Row],[VENTA ]]/1.19</f>
        <v>0</v>
      </c>
      <c r="Q143" s="11">
        <f>Tabla2456789[[#This Row],[Columna2]]*19%</f>
        <v>0</v>
      </c>
      <c r="R143" s="11">
        <f>Tabla2456789[[#This Row],[IVA VENTA ]]-Tabla2456789[[#This Row],[IV COMPRA]]</f>
        <v>0</v>
      </c>
      <c r="S143" s="11">
        <f>(Tabla2456789[[#This Row],[VENTA ]]-(Tabla2456789[[#This Row],[MONTO DE COMPRA]]+Tabla2456789[[#This Row],[DIFERENCIA IVA ]]))</f>
        <v>0</v>
      </c>
      <c r="T143" s="15"/>
    </row>
    <row r="144" spans="1:20" s="1" customFormat="1" x14ac:dyDescent="0.25">
      <c r="A144" s="56">
        <v>44866</v>
      </c>
      <c r="B144" s="4" t="s">
        <v>3685</v>
      </c>
      <c r="C144" s="4" t="s">
        <v>3684</v>
      </c>
      <c r="D144" s="4" t="s">
        <v>3648</v>
      </c>
      <c r="E144" s="1" t="s">
        <v>122</v>
      </c>
      <c r="F144" s="1" t="s">
        <v>2446</v>
      </c>
      <c r="G144" s="154" t="s">
        <v>3686</v>
      </c>
      <c r="H144" s="15">
        <v>25000</v>
      </c>
      <c r="I144" s="15">
        <f>Tabla2456789[[#This Row],[TOTAL FACTURA]]*0.7</f>
        <v>17500</v>
      </c>
      <c r="J144" s="149">
        <f t="shared" si="2"/>
        <v>7500</v>
      </c>
      <c r="K144" s="10" t="s">
        <v>3646</v>
      </c>
      <c r="L144" s="11">
        <v>7600</v>
      </c>
      <c r="M144" s="11">
        <f>Tabla2456789[[#This Row],[MONTO DE COMPRA]]/1.19</f>
        <v>6386.5546218487398</v>
      </c>
      <c r="N144" s="11">
        <f>Tabla2456789[[#This Row],[Columna1]]*19%</f>
        <v>1213.4453781512607</v>
      </c>
      <c r="O144" s="11">
        <v>15000</v>
      </c>
      <c r="P144" s="11">
        <f>Tabla2456789[[#This Row],[VENTA ]]/1.19</f>
        <v>12605.042016806723</v>
      </c>
      <c r="Q144" s="11">
        <f>Tabla2456789[[#This Row],[Columna2]]*19%</f>
        <v>2394.9579831932774</v>
      </c>
      <c r="R144" s="11">
        <f>Tabla2456789[[#This Row],[IVA VENTA ]]-Tabla2456789[[#This Row],[IV COMPRA]]</f>
        <v>1181.5126050420167</v>
      </c>
      <c r="S144" s="11">
        <f>(Tabla2456789[[#This Row],[VENTA ]]-(Tabla2456789[[#This Row],[MONTO DE COMPRA]]+Tabla2456789[[#This Row],[DIFERENCIA IVA ]]))</f>
        <v>6218.4873949579833</v>
      </c>
      <c r="T144" s="15"/>
    </row>
    <row r="145" spans="1:20" s="1" customFormat="1" x14ac:dyDescent="0.25">
      <c r="A145" s="56">
        <v>44866</v>
      </c>
      <c r="B145" s="4"/>
      <c r="C145" s="4"/>
      <c r="D145" s="4" t="s">
        <v>3687</v>
      </c>
      <c r="E145" s="1" t="s">
        <v>3688</v>
      </c>
      <c r="F145" s="1" t="s">
        <v>2446</v>
      </c>
      <c r="G145" s="154" t="s">
        <v>1538</v>
      </c>
      <c r="H145" s="15">
        <v>10000</v>
      </c>
      <c r="I145" s="15">
        <f>Tabla2456789[[#This Row],[TOTAL FACTURA]]*0.7</f>
        <v>7000</v>
      </c>
      <c r="J145" s="149">
        <f t="shared" si="2"/>
        <v>3000</v>
      </c>
      <c r="K145" s="10"/>
      <c r="L145" s="11"/>
      <c r="M145" s="11">
        <f>Tabla2456789[[#This Row],[MONTO DE COMPRA]]/1.19</f>
        <v>0</v>
      </c>
      <c r="N145" s="11">
        <f>Tabla2456789[[#This Row],[Columna1]]*19%</f>
        <v>0</v>
      </c>
      <c r="O145" s="11"/>
      <c r="P145" s="11">
        <f>Tabla2456789[[#This Row],[VENTA ]]/1.19</f>
        <v>0</v>
      </c>
      <c r="Q145" s="11">
        <f>Tabla2456789[[#This Row],[Columna2]]*19%</f>
        <v>0</v>
      </c>
      <c r="R145" s="11">
        <f>Tabla2456789[[#This Row],[IVA VENTA ]]-Tabla2456789[[#This Row],[IV COMPRA]]</f>
        <v>0</v>
      </c>
      <c r="S145" s="11">
        <f>(Tabla2456789[[#This Row],[VENTA ]]-(Tabla2456789[[#This Row],[MONTO DE COMPRA]]+Tabla2456789[[#This Row],[DIFERENCIA IVA ]]))</f>
        <v>0</v>
      </c>
      <c r="T145" s="15"/>
    </row>
    <row r="146" spans="1:20" s="1" customFormat="1" x14ac:dyDescent="0.25">
      <c r="A146" s="56">
        <v>44866</v>
      </c>
      <c r="B146" s="4" t="s">
        <v>3689</v>
      </c>
      <c r="C146" s="4" t="s">
        <v>3690</v>
      </c>
      <c r="D146" s="4" t="s">
        <v>3691</v>
      </c>
      <c r="E146" s="1" t="s">
        <v>204</v>
      </c>
      <c r="F146" s="1" t="s">
        <v>2446</v>
      </c>
      <c r="G146" s="154" t="s">
        <v>3692</v>
      </c>
      <c r="H146" s="15">
        <v>20000</v>
      </c>
      <c r="I146" s="15">
        <f>Tabla2456789[[#This Row],[TOTAL FACTURA]]*0.7</f>
        <v>14000</v>
      </c>
      <c r="J146" s="149">
        <f t="shared" si="2"/>
        <v>6000</v>
      </c>
      <c r="K146" s="10"/>
      <c r="L146" s="11"/>
      <c r="M146" s="11">
        <f>Tabla2456789[[#This Row],[MONTO DE COMPRA]]/1.19</f>
        <v>0</v>
      </c>
      <c r="N146" s="11">
        <f>Tabla2456789[[#This Row],[Columna1]]*19%</f>
        <v>0</v>
      </c>
      <c r="O146" s="11"/>
      <c r="P146" s="11">
        <f>Tabla2456789[[#This Row],[VENTA ]]/1.19</f>
        <v>0</v>
      </c>
      <c r="Q146" s="11">
        <f>Tabla2456789[[#This Row],[Columna2]]*19%</f>
        <v>0</v>
      </c>
      <c r="R146" s="11">
        <f>Tabla2456789[[#This Row],[IVA VENTA ]]-Tabla2456789[[#This Row],[IV COMPRA]]</f>
        <v>0</v>
      </c>
      <c r="S146" s="11">
        <f>(Tabla2456789[[#This Row],[VENTA ]]-(Tabla2456789[[#This Row],[MONTO DE COMPRA]]+Tabla2456789[[#This Row],[DIFERENCIA IVA ]]))</f>
        <v>0</v>
      </c>
      <c r="T146" s="15"/>
    </row>
    <row r="147" spans="1:20" s="1" customFormat="1" x14ac:dyDescent="0.25">
      <c r="A147" s="56">
        <v>44867</v>
      </c>
      <c r="B147" s="4"/>
      <c r="C147" s="4"/>
      <c r="D147" s="4" t="s">
        <v>3693</v>
      </c>
      <c r="E147" s="1" t="s">
        <v>3694</v>
      </c>
      <c r="F147" s="1" t="s">
        <v>2446</v>
      </c>
      <c r="G147" s="154" t="s">
        <v>341</v>
      </c>
      <c r="H147" s="15">
        <v>10000</v>
      </c>
      <c r="I147" s="15">
        <f>Tabla2456789[[#This Row],[TOTAL FACTURA]]*0.7</f>
        <v>7000</v>
      </c>
      <c r="J147" s="149">
        <f t="shared" si="2"/>
        <v>3000</v>
      </c>
      <c r="K147" s="10"/>
      <c r="L147" s="11"/>
      <c r="M147" s="11">
        <f>Tabla2456789[[#This Row],[MONTO DE COMPRA]]/1.19</f>
        <v>0</v>
      </c>
      <c r="N147" s="11">
        <f>Tabla2456789[[#This Row],[Columna1]]*19%</f>
        <v>0</v>
      </c>
      <c r="O147" s="11"/>
      <c r="P147" s="11">
        <f>Tabla2456789[[#This Row],[VENTA ]]/1.19</f>
        <v>0</v>
      </c>
      <c r="Q147" s="11">
        <f>Tabla2456789[[#This Row],[Columna2]]*19%</f>
        <v>0</v>
      </c>
      <c r="R147" s="11">
        <f>Tabla2456789[[#This Row],[IVA VENTA ]]-Tabla2456789[[#This Row],[IV COMPRA]]</f>
        <v>0</v>
      </c>
      <c r="S147" s="11">
        <f>(Tabla2456789[[#This Row],[VENTA ]]-(Tabla2456789[[#This Row],[MONTO DE COMPRA]]+Tabla2456789[[#This Row],[DIFERENCIA IVA ]]))</f>
        <v>0</v>
      </c>
      <c r="T147" s="15"/>
    </row>
    <row r="148" spans="1:20" s="1" customFormat="1" x14ac:dyDescent="0.25">
      <c r="A148" s="56">
        <v>44867</v>
      </c>
      <c r="B148" s="4" t="s">
        <v>3730</v>
      </c>
      <c r="C148" s="4" t="s">
        <v>3695</v>
      </c>
      <c r="D148" s="4" t="s">
        <v>3696</v>
      </c>
      <c r="E148" s="1" t="s">
        <v>268</v>
      </c>
      <c r="F148" s="1" t="s">
        <v>2446</v>
      </c>
      <c r="G148" s="154" t="s">
        <v>3697</v>
      </c>
      <c r="H148" s="15">
        <v>40000</v>
      </c>
      <c r="I148" s="15">
        <f>Tabla2456789[[#This Row],[TOTAL FACTURA]]*0.7</f>
        <v>28000</v>
      </c>
      <c r="J148" s="149">
        <f t="shared" si="2"/>
        <v>12000</v>
      </c>
      <c r="K148" s="10" t="s">
        <v>51</v>
      </c>
      <c r="L148" s="11">
        <v>122000</v>
      </c>
      <c r="M148" s="11">
        <f>Tabla2456789[[#This Row],[MONTO DE COMPRA]]/1.19</f>
        <v>102521.00840336135</v>
      </c>
      <c r="N148" s="11">
        <f>Tabla2456789[[#This Row],[Columna1]]*19%</f>
        <v>19478.991596638658</v>
      </c>
      <c r="O148" s="11">
        <v>170000</v>
      </c>
      <c r="P148" s="11">
        <f>Tabla2456789[[#This Row],[VENTA ]]/1.19</f>
        <v>142857.14285714287</v>
      </c>
      <c r="Q148" s="11">
        <f>Tabla2456789[[#This Row],[Columna2]]*19%</f>
        <v>27142.857142857145</v>
      </c>
      <c r="R148" s="11">
        <f>Tabla2456789[[#This Row],[IVA VENTA ]]-Tabla2456789[[#This Row],[IV COMPRA]]</f>
        <v>7663.865546218487</v>
      </c>
      <c r="S148" s="11">
        <f>(Tabla2456789[[#This Row],[VENTA ]]-(Tabla2456789[[#This Row],[MONTO DE COMPRA]]+Tabla2456789[[#This Row],[DIFERENCIA IVA ]]))</f>
        <v>40336.134453781517</v>
      </c>
      <c r="T148" s="15"/>
    </row>
    <row r="149" spans="1:20" s="1" customFormat="1" x14ac:dyDescent="0.25">
      <c r="A149" s="56">
        <v>44867</v>
      </c>
      <c r="B149" s="4"/>
      <c r="C149" s="4" t="s">
        <v>3690</v>
      </c>
      <c r="D149" s="4" t="s">
        <v>3691</v>
      </c>
      <c r="E149" s="1" t="s">
        <v>204</v>
      </c>
      <c r="F149" s="1" t="s">
        <v>2446</v>
      </c>
      <c r="G149" s="154" t="s">
        <v>3698</v>
      </c>
      <c r="H149" s="15">
        <v>30000</v>
      </c>
      <c r="I149" s="15">
        <f>Tabla2456789[[#This Row],[TOTAL FACTURA]]*0.7</f>
        <v>21000</v>
      </c>
      <c r="J149" s="149">
        <f t="shared" si="2"/>
        <v>9000</v>
      </c>
      <c r="K149" s="10"/>
      <c r="L149" s="11"/>
      <c r="M149" s="11">
        <f>Tabla2456789[[#This Row],[MONTO DE COMPRA]]/1.19</f>
        <v>0</v>
      </c>
      <c r="N149" s="11">
        <f>Tabla2456789[[#This Row],[Columna1]]*19%</f>
        <v>0</v>
      </c>
      <c r="O149" s="11"/>
      <c r="P149" s="11">
        <f>Tabla2456789[[#This Row],[VENTA ]]/1.19</f>
        <v>0</v>
      </c>
      <c r="Q149" s="11">
        <f>Tabla2456789[[#This Row],[Columna2]]*19%</f>
        <v>0</v>
      </c>
      <c r="R149" s="11">
        <f>Tabla2456789[[#This Row],[IVA VENTA ]]-Tabla2456789[[#This Row],[IV COMPRA]]</f>
        <v>0</v>
      </c>
      <c r="S149" s="11">
        <f>(Tabla2456789[[#This Row],[VENTA ]]-(Tabla2456789[[#This Row],[MONTO DE COMPRA]]+Tabla2456789[[#This Row],[DIFERENCIA IVA ]]))</f>
        <v>0</v>
      </c>
      <c r="T149" s="15"/>
    </row>
    <row r="150" spans="1:20" s="1" customFormat="1" x14ac:dyDescent="0.25">
      <c r="A150" s="56">
        <v>44867</v>
      </c>
      <c r="B150" s="4" t="s">
        <v>3699</v>
      </c>
      <c r="C150" s="4" t="s">
        <v>2287</v>
      </c>
      <c r="D150" s="4" t="s">
        <v>2288</v>
      </c>
      <c r="E150" s="1" t="s">
        <v>2411</v>
      </c>
      <c r="F150" s="1" t="s">
        <v>2446</v>
      </c>
      <c r="G150" s="154" t="s">
        <v>3731</v>
      </c>
      <c r="H150" s="15">
        <v>20000</v>
      </c>
      <c r="I150" s="15">
        <f>Tabla2456789[[#This Row],[TOTAL FACTURA]]*0.7</f>
        <v>14000</v>
      </c>
      <c r="J150" s="149">
        <f t="shared" si="2"/>
        <v>6000</v>
      </c>
      <c r="K150" s="10"/>
      <c r="L150" s="11"/>
      <c r="M150" s="11">
        <f>Tabla2456789[[#This Row],[MONTO DE COMPRA]]/1.19</f>
        <v>0</v>
      </c>
      <c r="N150" s="11">
        <f>Tabla2456789[[#This Row],[Columna1]]*19%</f>
        <v>0</v>
      </c>
      <c r="O150" s="11"/>
      <c r="P150" s="11">
        <f>Tabla2456789[[#This Row],[VENTA ]]/1.19</f>
        <v>0</v>
      </c>
      <c r="Q150" s="11">
        <f>Tabla2456789[[#This Row],[Columna2]]*19%</f>
        <v>0</v>
      </c>
      <c r="R150" s="11">
        <f>Tabla2456789[[#This Row],[IVA VENTA ]]-Tabla2456789[[#This Row],[IV COMPRA]]</f>
        <v>0</v>
      </c>
      <c r="S150" s="11">
        <f>(Tabla2456789[[#This Row],[VENTA ]]-(Tabla2456789[[#This Row],[MONTO DE COMPRA]]+Tabla2456789[[#This Row],[DIFERENCIA IVA ]]))</f>
        <v>0</v>
      </c>
      <c r="T150" s="15"/>
    </row>
    <row r="151" spans="1:20" s="1" customFormat="1" ht="15" customHeight="1" x14ac:dyDescent="0.25">
      <c r="A151" s="56">
        <v>44867</v>
      </c>
      <c r="B151" s="4" t="s">
        <v>3699</v>
      </c>
      <c r="C151" s="4" t="s">
        <v>2287</v>
      </c>
      <c r="D151" s="4" t="s">
        <v>2288</v>
      </c>
      <c r="E151" s="1" t="s">
        <v>2411</v>
      </c>
      <c r="F151" s="1" t="s">
        <v>3666</v>
      </c>
      <c r="G151" s="154" t="s">
        <v>437</v>
      </c>
      <c r="H151" s="15">
        <v>20000</v>
      </c>
      <c r="I151" s="15">
        <f>Tabla2456789[[#This Row],[TOTAL FACTURA]]*0.5</f>
        <v>10000</v>
      </c>
      <c r="J151" s="149">
        <f t="shared" si="2"/>
        <v>10000</v>
      </c>
      <c r="K151" s="10" t="s">
        <v>3703</v>
      </c>
      <c r="L151" s="11">
        <v>75000</v>
      </c>
      <c r="M151" s="11">
        <v>50420.160000000003</v>
      </c>
      <c r="N151" s="11">
        <f>Tabla2456789[[#This Row],[Columna1]]*19%</f>
        <v>9579.8304000000007</v>
      </c>
      <c r="O151" s="11">
        <v>90000</v>
      </c>
      <c r="P151" s="11"/>
      <c r="Q151" s="11">
        <f>Tabla2456789[[#This Row],[Columna2]]*19%</f>
        <v>0</v>
      </c>
      <c r="R151" s="11">
        <f>Tabla2456789[[#This Row],[IVA VENTA ]]-Tabla2456789[[#This Row],[IV COMPRA]]</f>
        <v>-9579.8304000000007</v>
      </c>
      <c r="S151" s="11">
        <f>(Tabla2456789[[#This Row],[VENTA ]]-(Tabla2456789[[#This Row],[MONTO DE COMPRA]]+Tabla2456789[[#This Row],[DIFERENCIA IVA ]]))</f>
        <v>24579.830399999999</v>
      </c>
      <c r="T151" s="15"/>
    </row>
    <row r="152" spans="1:20" s="1" customFormat="1" ht="20.25" customHeight="1" x14ac:dyDescent="0.25">
      <c r="A152" s="56">
        <v>44867</v>
      </c>
      <c r="B152" s="4" t="s">
        <v>3700</v>
      </c>
      <c r="C152" s="4" t="s">
        <v>3701</v>
      </c>
      <c r="D152" s="4" t="s">
        <v>3702</v>
      </c>
      <c r="E152" s="1" t="s">
        <v>1332</v>
      </c>
      <c r="F152" s="1" t="s">
        <v>2446</v>
      </c>
      <c r="G152" s="154" t="s">
        <v>744</v>
      </c>
      <c r="H152" s="15">
        <v>30000</v>
      </c>
      <c r="I152" s="15">
        <f>Tabla2456789[[#This Row],[TOTAL FACTURA]]*0.7</f>
        <v>21000</v>
      </c>
      <c r="J152" s="149">
        <f t="shared" si="2"/>
        <v>9000</v>
      </c>
      <c r="K152" s="10" t="s">
        <v>57</v>
      </c>
      <c r="L152" s="11">
        <v>44000</v>
      </c>
      <c r="M152" s="11">
        <f>Tabla2456789[[#This Row],[MONTO DE COMPRA]]/1.19</f>
        <v>36974.789915966387</v>
      </c>
      <c r="N152" s="11">
        <f>Tabla2456789[[#This Row],[Columna1]]*19%</f>
        <v>7025.2100840336134</v>
      </c>
      <c r="O152" s="11">
        <v>60000</v>
      </c>
      <c r="P152" s="11">
        <f>Tabla2456789[[#This Row],[VENTA ]]/1.19</f>
        <v>50420.168067226892</v>
      </c>
      <c r="Q152" s="11">
        <f>Tabla2456789[[#This Row],[Columna2]]*19%</f>
        <v>9579.8319327731097</v>
      </c>
      <c r="R152" s="11">
        <f>Tabla2456789[[#This Row],[IVA VENTA ]]-Tabla2456789[[#This Row],[IV COMPRA]]</f>
        <v>2554.6218487394963</v>
      </c>
      <c r="S152" s="11">
        <f>(Tabla2456789[[#This Row],[VENTA ]]-(Tabla2456789[[#This Row],[MONTO DE COMPRA]]+Tabla2456789[[#This Row],[DIFERENCIA IVA ]]))</f>
        <v>13445.378151260506</v>
      </c>
      <c r="T152" s="15"/>
    </row>
    <row r="153" spans="1:20" s="1" customFormat="1" x14ac:dyDescent="0.25">
      <c r="A153" s="56">
        <v>44867</v>
      </c>
      <c r="B153" s="4" t="s">
        <v>3704</v>
      </c>
      <c r="C153" s="4" t="s">
        <v>3705</v>
      </c>
      <c r="D153" s="4" t="s">
        <v>3706</v>
      </c>
      <c r="E153" s="1" t="s">
        <v>201</v>
      </c>
      <c r="F153" s="1" t="s">
        <v>2446</v>
      </c>
      <c r="G153" s="154" t="s">
        <v>338</v>
      </c>
      <c r="H153" s="15">
        <v>130000</v>
      </c>
      <c r="I153" s="15">
        <f>Tabla2456789[[#This Row],[TOTAL FACTURA]]*0.7</f>
        <v>91000</v>
      </c>
      <c r="J153" s="149">
        <f t="shared" si="2"/>
        <v>39000</v>
      </c>
      <c r="K153" s="10" t="s">
        <v>3707</v>
      </c>
      <c r="L153" s="11">
        <v>60000</v>
      </c>
      <c r="M153" s="11">
        <f>Tabla2456789[[#This Row],[MONTO DE COMPRA]]/1.19</f>
        <v>50420.168067226892</v>
      </c>
      <c r="N153" s="11">
        <f>Tabla2456789[[#This Row],[Columna1]]*19%</f>
        <v>9579.8319327731097</v>
      </c>
      <c r="O153" s="11">
        <v>90000</v>
      </c>
      <c r="P153" s="11">
        <f>Tabla2456789[[#This Row],[VENTA ]]/1.19</f>
        <v>75630.252100840342</v>
      </c>
      <c r="Q153" s="11">
        <f>Tabla2456789[[#This Row],[Columna2]]*19%</f>
        <v>14369.747899159665</v>
      </c>
      <c r="R153" s="11">
        <f>Tabla2456789[[#This Row],[IVA VENTA ]]-Tabla2456789[[#This Row],[IV COMPRA]]</f>
        <v>4789.9159663865557</v>
      </c>
      <c r="S153" s="11">
        <f>(Tabla2456789[[#This Row],[VENTA ]]-(Tabla2456789[[#This Row],[MONTO DE COMPRA]]+Tabla2456789[[#This Row],[DIFERENCIA IVA ]]))</f>
        <v>25210.084033613442</v>
      </c>
      <c r="T153" s="15"/>
    </row>
    <row r="154" spans="1:20" s="1" customFormat="1" x14ac:dyDescent="0.25">
      <c r="A154" s="56">
        <v>44867</v>
      </c>
      <c r="B154" s="4" t="s">
        <v>3708</v>
      </c>
      <c r="C154" s="4" t="s">
        <v>3709</v>
      </c>
      <c r="D154" s="4" t="s">
        <v>3710</v>
      </c>
      <c r="E154" s="1" t="s">
        <v>168</v>
      </c>
      <c r="F154" s="1" t="s">
        <v>2446</v>
      </c>
      <c r="G154" s="154" t="s">
        <v>3711</v>
      </c>
      <c r="H154" s="15">
        <v>70000</v>
      </c>
      <c r="I154" s="15">
        <f>Tabla2456789[[#This Row],[TOTAL FACTURA]]*0.7</f>
        <v>49000</v>
      </c>
      <c r="J154" s="149">
        <f t="shared" si="2"/>
        <v>21000</v>
      </c>
      <c r="K154" s="10" t="s">
        <v>3712</v>
      </c>
      <c r="L154" s="11">
        <v>295000</v>
      </c>
      <c r="M154" s="11">
        <f>Tabla2456789[[#This Row],[MONTO DE COMPRA]]/1.19</f>
        <v>247899.15966386555</v>
      </c>
      <c r="N154" s="11">
        <f>Tabla2456789[[#This Row],[Columna1]]*19%</f>
        <v>47100.840336134454</v>
      </c>
      <c r="O154" s="11">
        <f>240000+169000</f>
        <v>409000</v>
      </c>
      <c r="P154" s="11">
        <f>Tabla2456789[[#This Row],[VENTA ]]/1.19</f>
        <v>343697.47899159667</v>
      </c>
      <c r="Q154" s="11">
        <f>Tabla2456789[[#This Row],[Columna2]]*19%</f>
        <v>65302.521008403368</v>
      </c>
      <c r="R154" s="11">
        <f>Tabla2456789[[#This Row],[IVA VENTA ]]-Tabla2456789[[#This Row],[IV COMPRA]]</f>
        <v>18201.680672268914</v>
      </c>
      <c r="S154" s="11">
        <f>(Tabla2456789[[#This Row],[VENTA ]]-(Tabla2456789[[#This Row],[MONTO DE COMPRA]]+Tabla2456789[[#This Row],[DIFERENCIA IVA ]]))</f>
        <v>95798.319327731093</v>
      </c>
      <c r="T154" s="15"/>
    </row>
    <row r="155" spans="1:20" s="1" customFormat="1" ht="36" customHeight="1" x14ac:dyDescent="0.25">
      <c r="A155" s="56">
        <v>44867</v>
      </c>
      <c r="B155" s="4">
        <v>361</v>
      </c>
      <c r="C155" s="4" t="s">
        <v>3718</v>
      </c>
      <c r="D155" s="4" t="s">
        <v>3717</v>
      </c>
      <c r="E155" s="1" t="s">
        <v>1749</v>
      </c>
      <c r="F155" s="1" t="s">
        <v>34</v>
      </c>
      <c r="G155" s="154"/>
      <c r="H155" s="15">
        <v>35000</v>
      </c>
      <c r="I155" s="15">
        <f>Tabla2456789[[#This Row],[TOTAL FACTURA]]*0.7</f>
        <v>24500</v>
      </c>
      <c r="J155" s="149">
        <f t="shared" si="2"/>
        <v>10500</v>
      </c>
      <c r="K155" s="10" t="s">
        <v>57</v>
      </c>
      <c r="L155" s="11">
        <v>7600</v>
      </c>
      <c r="M155" s="11">
        <f>Tabla2456789[[#This Row],[MONTO DE COMPRA]]/1.19</f>
        <v>6386.5546218487398</v>
      </c>
      <c r="N155" s="11">
        <f>Tabla2456789[[#This Row],[Columna1]]*19%</f>
        <v>1213.4453781512607</v>
      </c>
      <c r="O155" s="11">
        <v>15000</v>
      </c>
      <c r="P155" s="11">
        <f>Tabla2456789[[#This Row],[VENTA ]]/1.19</f>
        <v>12605.042016806723</v>
      </c>
      <c r="Q155" s="11">
        <f>Tabla2456789[[#This Row],[Columna2]]*19%</f>
        <v>2394.9579831932774</v>
      </c>
      <c r="R155" s="11">
        <f>Tabla2456789[[#This Row],[IVA VENTA ]]-Tabla2456789[[#This Row],[IV COMPRA]]</f>
        <v>1181.5126050420167</v>
      </c>
      <c r="S155" s="11">
        <f>(Tabla2456789[[#This Row],[VENTA ]]-(Tabla2456789[[#This Row],[MONTO DE COMPRA]]+Tabla2456789[[#This Row],[DIFERENCIA IVA ]]))</f>
        <v>6218.4873949579833</v>
      </c>
      <c r="T155" s="15"/>
    </row>
    <row r="156" spans="1:20" s="1" customFormat="1" ht="37.5" customHeight="1" x14ac:dyDescent="0.25">
      <c r="A156" s="56">
        <v>44868</v>
      </c>
      <c r="B156" s="4" t="s">
        <v>3719</v>
      </c>
      <c r="C156" s="4"/>
      <c r="D156" s="4" t="s">
        <v>3720</v>
      </c>
      <c r="E156" s="1" t="s">
        <v>1749</v>
      </c>
      <c r="F156" s="1" t="s">
        <v>2446</v>
      </c>
      <c r="G156" s="154" t="s">
        <v>3721</v>
      </c>
      <c r="H156" s="15">
        <v>20000</v>
      </c>
      <c r="I156" s="15">
        <v>8000</v>
      </c>
      <c r="J156" s="149">
        <f t="shared" si="2"/>
        <v>12000</v>
      </c>
      <c r="K156" s="10" t="s">
        <v>349</v>
      </c>
      <c r="L156" s="11">
        <v>310000</v>
      </c>
      <c r="M156" s="11">
        <f>Tabla2456789[[#This Row],[MONTO DE COMPRA]]/1.19</f>
        <v>260504.20168067227</v>
      </c>
      <c r="N156" s="11">
        <f>Tabla2456789[[#This Row],[Columna1]]*19%</f>
        <v>49495.798319327732</v>
      </c>
      <c r="O156" s="11">
        <v>60000</v>
      </c>
      <c r="P156" s="11">
        <f>Tabla2456789[[#This Row],[VENTA ]]/1.19</f>
        <v>50420.168067226892</v>
      </c>
      <c r="Q156" s="11">
        <f>Tabla2456789[[#This Row],[Columna2]]*19%</f>
        <v>9579.8319327731097</v>
      </c>
      <c r="R156" s="11">
        <f>Tabla2456789[[#This Row],[IVA VENTA ]]-Tabla2456789[[#This Row],[IV COMPRA]]</f>
        <v>-39915.966386554624</v>
      </c>
      <c r="S156" s="11">
        <f>(Tabla2456789[[#This Row],[VENTA ]]-(Tabla2456789[[#This Row],[MONTO DE COMPRA]]+Tabla2456789[[#This Row],[DIFERENCIA IVA ]]))</f>
        <v>-210084.03361344535</v>
      </c>
      <c r="T156" s="15"/>
    </row>
    <row r="157" spans="1:20" s="1" customFormat="1" x14ac:dyDescent="0.25">
      <c r="A157" s="56">
        <v>44868</v>
      </c>
      <c r="B157" s="4" t="s">
        <v>3723</v>
      </c>
      <c r="C157" s="4" t="s">
        <v>3722</v>
      </c>
      <c r="D157" s="4" t="s">
        <v>3724</v>
      </c>
      <c r="E157" s="1" t="s">
        <v>566</v>
      </c>
      <c r="F157" s="1" t="s">
        <v>2446</v>
      </c>
      <c r="G157" s="154" t="s">
        <v>1407</v>
      </c>
      <c r="H157" s="15">
        <v>350000</v>
      </c>
      <c r="I157" s="15">
        <f>Tabla2456789[[#This Row],[TOTAL FACTURA]]*0.7</f>
        <v>244999.99999999997</v>
      </c>
      <c r="J157" s="149">
        <f t="shared" si="2"/>
        <v>105000.00000000003</v>
      </c>
      <c r="K157" s="10"/>
      <c r="L157" s="11"/>
      <c r="M157" s="11">
        <f>Tabla2456789[[#This Row],[MONTO DE COMPRA]]/1.19</f>
        <v>0</v>
      </c>
      <c r="N157" s="11">
        <f>Tabla2456789[[#This Row],[Columna1]]*19%</f>
        <v>0</v>
      </c>
      <c r="O157" s="11"/>
      <c r="P157" s="11">
        <f>Tabla2456789[[#This Row],[VENTA ]]/1.19</f>
        <v>0</v>
      </c>
      <c r="Q157" s="11">
        <f>Tabla2456789[[#This Row],[Columna2]]*19%</f>
        <v>0</v>
      </c>
      <c r="R157" s="11">
        <f>Tabla2456789[[#This Row],[IVA VENTA ]]-Tabla2456789[[#This Row],[IV COMPRA]]</f>
        <v>0</v>
      </c>
      <c r="S157" s="11">
        <f>(Tabla2456789[[#This Row],[VENTA ]]-(Tabla2456789[[#This Row],[MONTO DE COMPRA]]+Tabla2456789[[#This Row],[DIFERENCIA IVA ]]))</f>
        <v>0</v>
      </c>
      <c r="T157" s="15"/>
    </row>
    <row r="158" spans="1:20" s="1" customFormat="1" x14ac:dyDescent="0.25">
      <c r="A158" s="56">
        <v>44868</v>
      </c>
      <c r="B158" s="4"/>
      <c r="C158" s="4" t="s">
        <v>3362</v>
      </c>
      <c r="D158" s="4" t="s">
        <v>1959</v>
      </c>
      <c r="E158" s="1" t="s">
        <v>521</v>
      </c>
      <c r="F158" s="1" t="s">
        <v>3666</v>
      </c>
      <c r="G158" s="10" t="s">
        <v>437</v>
      </c>
      <c r="H158" s="11">
        <v>10000</v>
      </c>
      <c r="I158" s="15">
        <v>10000</v>
      </c>
      <c r="J158" s="149">
        <f t="shared" si="2"/>
        <v>0</v>
      </c>
      <c r="K158" s="1" t="s">
        <v>349</v>
      </c>
      <c r="L158" s="11">
        <v>10000</v>
      </c>
      <c r="M158" s="11"/>
      <c r="N158" s="11">
        <f>Tabla2456789[[#This Row],[Columna1]]*19%</f>
        <v>0</v>
      </c>
      <c r="O158" s="11">
        <v>15000</v>
      </c>
      <c r="P158" s="11"/>
      <c r="Q158" s="11">
        <f>Tabla2456789[[#This Row],[Columna2]]*19%</f>
        <v>0</v>
      </c>
      <c r="R158" s="11">
        <f>Tabla2456789[[#This Row],[IVA VENTA ]]-Tabla2456789[[#This Row],[IV COMPRA]]</f>
        <v>0</v>
      </c>
      <c r="S158" s="11">
        <f>(Tabla2456789[[#This Row],[VENTA ]]-(Tabla2456789[[#This Row],[MONTO DE COMPRA]]+Tabla2456789[[#This Row],[DIFERENCIA IVA ]]))</f>
        <v>5000</v>
      </c>
      <c r="T158" s="11"/>
    </row>
    <row r="159" spans="1:20" s="1" customFormat="1" x14ac:dyDescent="0.25">
      <c r="A159" s="56">
        <v>44868</v>
      </c>
      <c r="B159" s="4"/>
      <c r="C159" s="4" t="s">
        <v>3362</v>
      </c>
      <c r="D159" s="4" t="s">
        <v>1959</v>
      </c>
      <c r="E159" s="1" t="s">
        <v>521</v>
      </c>
      <c r="F159" s="1" t="s">
        <v>2446</v>
      </c>
      <c r="G159" s="10" t="s">
        <v>3725</v>
      </c>
      <c r="H159" s="11">
        <v>20000</v>
      </c>
      <c r="I159" s="15">
        <f>Tabla2456789[[#This Row],[TOTAL FACTURA]]*0.7</f>
        <v>14000</v>
      </c>
      <c r="J159" s="149">
        <f t="shared" si="2"/>
        <v>6000</v>
      </c>
      <c r="L159" s="11"/>
      <c r="M159" s="11">
        <f>Tabla2456789[[#This Row],[MONTO DE COMPRA]]/1.19</f>
        <v>0</v>
      </c>
      <c r="N159" s="11">
        <f>Tabla2456789[[#This Row],[Columna1]]*19%</f>
        <v>0</v>
      </c>
      <c r="O159" s="11"/>
      <c r="P159" s="11">
        <f>Tabla2456789[[#This Row],[VENTA ]]/1.19</f>
        <v>0</v>
      </c>
      <c r="Q159" s="11">
        <f>Tabla2456789[[#This Row],[Columna2]]*19%</f>
        <v>0</v>
      </c>
      <c r="R159" s="11">
        <f>Tabla2456789[[#This Row],[IVA VENTA ]]-Tabla2456789[[#This Row],[IV COMPRA]]</f>
        <v>0</v>
      </c>
      <c r="S159" s="11">
        <f>(Tabla2456789[[#This Row],[VENTA ]]-(Tabla2456789[[#This Row],[MONTO DE COMPRA]]+Tabla2456789[[#This Row],[DIFERENCIA IVA ]]))</f>
        <v>0</v>
      </c>
      <c r="T159" s="11"/>
    </row>
    <row r="160" spans="1:20" s="1" customFormat="1" x14ac:dyDescent="0.25">
      <c r="A160" s="56">
        <v>44868</v>
      </c>
      <c r="B160" s="4" t="s">
        <v>3728</v>
      </c>
      <c r="C160" s="4" t="s">
        <v>3726</v>
      </c>
      <c r="D160" s="4" t="s">
        <v>85</v>
      </c>
      <c r="E160" s="1" t="s">
        <v>84</v>
      </c>
      <c r="F160" s="1" t="s">
        <v>2446</v>
      </c>
      <c r="G160" s="10" t="s">
        <v>3727</v>
      </c>
      <c r="H160" s="11">
        <v>70000</v>
      </c>
      <c r="I160" s="15">
        <f>Tabla2456789[[#This Row],[TOTAL FACTURA]]*0.7</f>
        <v>49000</v>
      </c>
      <c r="J160" s="149">
        <f t="shared" si="2"/>
        <v>21000</v>
      </c>
      <c r="K160" s="1" t="s">
        <v>256</v>
      </c>
      <c r="L160" s="11">
        <f>24139+6800</f>
        <v>30939</v>
      </c>
      <c r="M160" s="11">
        <f>Tabla2456789[[#This Row],[MONTO DE COMPRA]]/1.19</f>
        <v>25999.159663865546</v>
      </c>
      <c r="N160" s="11">
        <f>Tabla2456789[[#This Row],[Columna1]]*19%</f>
        <v>4939.8403361344535</v>
      </c>
      <c r="O160" s="11">
        <v>45000</v>
      </c>
      <c r="P160" s="11">
        <f>Tabla2456789[[#This Row],[VENTA ]]/1.19</f>
        <v>37815.126050420171</v>
      </c>
      <c r="Q160" s="11">
        <f>Tabla2456789[[#This Row],[Columna2]]*19%</f>
        <v>7184.8739495798327</v>
      </c>
      <c r="R160" s="11">
        <f>Tabla2456789[[#This Row],[IVA VENTA ]]-Tabla2456789[[#This Row],[IV COMPRA]]</f>
        <v>2245.0336134453792</v>
      </c>
      <c r="S160" s="11">
        <f>(Tabla2456789[[#This Row],[VENTA ]]-(Tabla2456789[[#This Row],[MONTO DE COMPRA]]+Tabla2456789[[#This Row],[DIFERENCIA IVA ]]))</f>
        <v>11815.966386554617</v>
      </c>
      <c r="T160" s="11"/>
    </row>
    <row r="161" spans="1:20" s="1" customFormat="1" ht="30" x14ac:dyDescent="0.25">
      <c r="A161" s="56">
        <v>44868</v>
      </c>
      <c r="B161" s="4" t="s">
        <v>3732</v>
      </c>
      <c r="C161" s="4" t="s">
        <v>2812</v>
      </c>
      <c r="D161" s="4" t="s">
        <v>501</v>
      </c>
      <c r="E161" s="1" t="s">
        <v>168</v>
      </c>
      <c r="F161" s="1" t="s">
        <v>2446</v>
      </c>
      <c r="G161" s="10" t="s">
        <v>3733</v>
      </c>
      <c r="H161" s="11">
        <v>80000</v>
      </c>
      <c r="I161" s="15">
        <f>Tabla2456789[[#This Row],[TOTAL FACTURA]]*0.7</f>
        <v>56000</v>
      </c>
      <c r="J161" s="149">
        <f t="shared" si="2"/>
        <v>24000</v>
      </c>
      <c r="K161" s="1" t="s">
        <v>3734</v>
      </c>
      <c r="L161" s="11">
        <v>85000</v>
      </c>
      <c r="M161" s="11">
        <f>Tabla2456789[[#This Row],[MONTO DE COMPRA]]/1.19</f>
        <v>71428.571428571435</v>
      </c>
      <c r="N161" s="11">
        <f>Tabla2456789[[#This Row],[Columna1]]*19%</f>
        <v>13571.428571428572</v>
      </c>
      <c r="O161" s="11">
        <v>110000</v>
      </c>
      <c r="P161" s="11">
        <f>Tabla2456789[[#This Row],[VENTA ]]/1.19</f>
        <v>92436.97478991597</v>
      </c>
      <c r="Q161" s="11">
        <f>Tabla2456789[[#This Row],[Columna2]]*19%</f>
        <v>17563.025210084033</v>
      </c>
      <c r="R161" s="11">
        <f>Tabla2456789[[#This Row],[IVA VENTA ]]-Tabla2456789[[#This Row],[IV COMPRA]]</f>
        <v>3991.596638655461</v>
      </c>
      <c r="S161" s="11">
        <f>(Tabla2456789[[#This Row],[VENTA ]]-(Tabla2456789[[#This Row],[MONTO DE COMPRA]]+Tabla2456789[[#This Row],[DIFERENCIA IVA ]]))</f>
        <v>21008.403361344535</v>
      </c>
      <c r="T161" s="11"/>
    </row>
    <row r="162" spans="1:20" s="1" customFormat="1" x14ac:dyDescent="0.25">
      <c r="A162" s="56">
        <v>44869</v>
      </c>
      <c r="B162" s="4" t="s">
        <v>3735</v>
      </c>
      <c r="C162" s="4" t="s">
        <v>3736</v>
      </c>
      <c r="D162" s="4" t="s">
        <v>3737</v>
      </c>
      <c r="E162" s="1" t="s">
        <v>136</v>
      </c>
      <c r="F162" s="1" t="s">
        <v>2446</v>
      </c>
      <c r="G162" s="10" t="s">
        <v>3738</v>
      </c>
      <c r="H162" s="15">
        <v>100000</v>
      </c>
      <c r="I162" s="15">
        <f>Tabla2456789[[#This Row],[TOTAL FACTURA]]*0.7</f>
        <v>70000</v>
      </c>
      <c r="J162" s="149">
        <f t="shared" si="2"/>
        <v>30000</v>
      </c>
      <c r="K162" s="10" t="s">
        <v>3646</v>
      </c>
      <c r="L162" s="11">
        <v>26000</v>
      </c>
      <c r="M162" s="11">
        <f>Tabla2456789[[#This Row],[MONTO DE COMPRA]]/1.19</f>
        <v>21848.73949579832</v>
      </c>
      <c r="N162" s="11">
        <f>Tabla2456789[[#This Row],[Columna1]]*19%</f>
        <v>4151.2605042016812</v>
      </c>
      <c r="O162" s="11">
        <v>35000</v>
      </c>
      <c r="P162" s="11">
        <f>Tabla2456789[[#This Row],[VENTA ]]/1.19</f>
        <v>29411.764705882353</v>
      </c>
      <c r="Q162" s="11">
        <f>Tabla2456789[[#This Row],[Columna2]]*19%</f>
        <v>5588.2352941176468</v>
      </c>
      <c r="R162" s="11">
        <f>Tabla2456789[[#This Row],[IVA VENTA ]]-Tabla2456789[[#This Row],[IV COMPRA]]</f>
        <v>1436.9747899159656</v>
      </c>
      <c r="S162" s="11">
        <f>(Tabla2456789[[#This Row],[VENTA ]]-(Tabla2456789[[#This Row],[MONTO DE COMPRA]]+Tabla2456789[[#This Row],[DIFERENCIA IVA ]]))</f>
        <v>7563.0252100840335</v>
      </c>
      <c r="T162" s="11"/>
    </row>
    <row r="163" spans="1:20" s="1" customFormat="1" ht="45" x14ac:dyDescent="0.25">
      <c r="A163" s="56">
        <v>44869</v>
      </c>
      <c r="B163" s="4" t="s">
        <v>3739</v>
      </c>
      <c r="C163" s="4" t="s">
        <v>3540</v>
      </c>
      <c r="D163" s="4" t="s">
        <v>3740</v>
      </c>
      <c r="F163" s="1" t="s">
        <v>2446</v>
      </c>
      <c r="G163" s="10" t="s">
        <v>3741</v>
      </c>
      <c r="H163" s="11">
        <v>70000</v>
      </c>
      <c r="I163" s="15">
        <f>Tabla2456789[[#This Row],[TOTAL FACTURA]]*0.7</f>
        <v>49000</v>
      </c>
      <c r="J163" s="149">
        <f t="shared" si="2"/>
        <v>21000</v>
      </c>
      <c r="L163" s="11"/>
      <c r="M163" s="11">
        <f>Tabla2456789[[#This Row],[MONTO DE COMPRA]]/1.19</f>
        <v>0</v>
      </c>
      <c r="N163" s="11">
        <f>Tabla2456789[[#This Row],[Columna1]]*19%</f>
        <v>0</v>
      </c>
      <c r="O163" s="11"/>
      <c r="P163" s="11">
        <f>Tabla2456789[[#This Row],[VENTA ]]/1.19</f>
        <v>0</v>
      </c>
      <c r="Q163" s="11">
        <f>Tabla2456789[[#This Row],[Columna2]]*19%</f>
        <v>0</v>
      </c>
      <c r="R163" s="11">
        <f>Tabla2456789[[#This Row],[IVA VENTA ]]-Tabla2456789[[#This Row],[IV COMPRA]]</f>
        <v>0</v>
      </c>
      <c r="S163" s="11">
        <f>(Tabla2456789[[#This Row],[VENTA ]]-(Tabla2456789[[#This Row],[MONTO DE COMPRA]]+Tabla2456789[[#This Row],[DIFERENCIA IVA ]]))</f>
        <v>0</v>
      </c>
      <c r="T163" s="11"/>
    </row>
    <row r="164" spans="1:20" s="1" customFormat="1" x14ac:dyDescent="0.25">
      <c r="A164" s="56">
        <v>44869</v>
      </c>
      <c r="B164" s="4"/>
      <c r="C164" s="4" t="s">
        <v>646</v>
      </c>
      <c r="D164" s="4" t="s">
        <v>1435</v>
      </c>
      <c r="E164" s="1" t="s">
        <v>1434</v>
      </c>
      <c r="F164" s="1" t="s">
        <v>2446</v>
      </c>
      <c r="G164" s="10" t="s">
        <v>3743</v>
      </c>
      <c r="H164" s="11">
        <v>100000</v>
      </c>
      <c r="I164" s="15">
        <f>Tabla2456789[[#This Row],[TOTAL FACTURA]]*0.7</f>
        <v>70000</v>
      </c>
      <c r="J164" s="149">
        <f t="shared" si="2"/>
        <v>30000</v>
      </c>
      <c r="L164" s="11"/>
      <c r="M164" s="11">
        <f>Tabla2456789[[#This Row],[MONTO DE COMPRA]]/1.19</f>
        <v>0</v>
      </c>
      <c r="N164" s="11">
        <f>Tabla2456789[[#This Row],[Columna1]]*19%</f>
        <v>0</v>
      </c>
      <c r="O164" s="11"/>
      <c r="P164" s="11">
        <f>Tabla2456789[[#This Row],[VENTA ]]/1.19</f>
        <v>0</v>
      </c>
      <c r="Q164" s="11">
        <f>Tabla2456789[[#This Row],[Columna2]]*19%</f>
        <v>0</v>
      </c>
      <c r="R164" s="11">
        <f>Tabla2456789[[#This Row],[IVA VENTA ]]-Tabla2456789[[#This Row],[IV COMPRA]]</f>
        <v>0</v>
      </c>
      <c r="S164" s="11">
        <f>(Tabla2456789[[#This Row],[VENTA ]]-(Tabla2456789[[#This Row],[MONTO DE COMPRA]]+Tabla2456789[[#This Row],[DIFERENCIA IVA ]]))</f>
        <v>0</v>
      </c>
      <c r="T164" s="11"/>
    </row>
    <row r="165" spans="1:20" s="1" customFormat="1" x14ac:dyDescent="0.25">
      <c r="A165" s="56">
        <v>44870</v>
      </c>
      <c r="B165" s="4" t="s">
        <v>3757</v>
      </c>
      <c r="C165" s="4" t="s">
        <v>1586</v>
      </c>
      <c r="D165" s="4" t="s">
        <v>263</v>
      </c>
      <c r="E165" s="1" t="s">
        <v>48</v>
      </c>
      <c r="F165" s="1" t="s">
        <v>3666</v>
      </c>
      <c r="G165" s="154" t="s">
        <v>3756</v>
      </c>
      <c r="H165" s="15">
        <v>100000</v>
      </c>
      <c r="I165" s="15">
        <f>Tabla2456789[[#This Row],[TOTAL FACTURA]]*0.5</f>
        <v>50000</v>
      </c>
      <c r="J165" s="172">
        <f>H165-I165</f>
        <v>50000</v>
      </c>
      <c r="K165" s="10"/>
      <c r="L165" s="11"/>
      <c r="M165" s="11">
        <f>Tabla2456789[[#This Row],[MONTO DE COMPRA]]/1.19</f>
        <v>0</v>
      </c>
      <c r="N165" s="11">
        <f>Tabla2456789[[#This Row],[Columna1]]*19%</f>
        <v>0</v>
      </c>
      <c r="O165" s="11"/>
      <c r="P165" s="11">
        <f>Tabla2456789[[#This Row],[VENTA ]]/1.19</f>
        <v>0</v>
      </c>
      <c r="Q165" s="11">
        <f>Tabla2456789[[#This Row],[Columna2]]*19%</f>
        <v>0</v>
      </c>
      <c r="R165" s="11">
        <f>Tabla2456789[[#This Row],[IVA VENTA ]]-Tabla2456789[[#This Row],[IV COMPRA]]</f>
        <v>0</v>
      </c>
      <c r="S165" s="11">
        <f>(Tabla2456789[[#This Row],[VENTA ]]-(Tabla2456789[[#This Row],[MONTO DE COMPRA]]+Tabla2456789[[#This Row],[DIFERENCIA IVA ]]))</f>
        <v>0</v>
      </c>
      <c r="T165" s="11"/>
    </row>
    <row r="166" spans="1:20" s="1" customFormat="1" x14ac:dyDescent="0.25">
      <c r="A166" s="56">
        <v>44870</v>
      </c>
      <c r="B166" s="4"/>
      <c r="C166" s="4" t="s">
        <v>1757</v>
      </c>
      <c r="D166" s="4" t="s">
        <v>1758</v>
      </c>
      <c r="E166" s="1" t="s">
        <v>905</v>
      </c>
      <c r="F166" s="1" t="s">
        <v>2446</v>
      </c>
      <c r="G166" s="10" t="s">
        <v>3744</v>
      </c>
      <c r="H166" s="11">
        <v>10000</v>
      </c>
      <c r="I166" s="15">
        <f>Tabla2456789[[#This Row],[TOTAL FACTURA]]*0.7</f>
        <v>7000</v>
      </c>
      <c r="J166" s="149">
        <f t="shared" si="2"/>
        <v>3000</v>
      </c>
      <c r="L166" s="11"/>
      <c r="M166" s="11">
        <f>Tabla2456789[[#This Row],[MONTO DE COMPRA]]/1.19</f>
        <v>0</v>
      </c>
      <c r="N166" s="11">
        <f>Tabla2456789[[#This Row],[Columna1]]*19%</f>
        <v>0</v>
      </c>
      <c r="O166" s="11"/>
      <c r="P166" s="11">
        <f>Tabla2456789[[#This Row],[VENTA ]]/1.19</f>
        <v>0</v>
      </c>
      <c r="Q166" s="11">
        <f>Tabla2456789[[#This Row],[Columna2]]*19%</f>
        <v>0</v>
      </c>
      <c r="R166" s="11">
        <f>Tabla2456789[[#This Row],[IVA VENTA ]]-Tabla2456789[[#This Row],[IV COMPRA]]</f>
        <v>0</v>
      </c>
      <c r="S166" s="11">
        <f>(Tabla2456789[[#This Row],[VENTA ]]-(Tabla2456789[[#This Row],[MONTO DE COMPRA]]+Tabla2456789[[#This Row],[DIFERENCIA IVA ]]))</f>
        <v>0</v>
      </c>
      <c r="T166" s="11"/>
    </row>
    <row r="167" spans="1:20" s="1" customFormat="1" ht="30" x14ac:dyDescent="0.25">
      <c r="A167" s="56">
        <v>44870</v>
      </c>
      <c r="B167" s="4" t="s">
        <v>3745</v>
      </c>
      <c r="C167" s="4" t="s">
        <v>3746</v>
      </c>
      <c r="D167" s="4" t="s">
        <v>3747</v>
      </c>
      <c r="E167" s="1" t="s">
        <v>202</v>
      </c>
      <c r="F167" s="1" t="s">
        <v>2446</v>
      </c>
      <c r="G167" s="10" t="s">
        <v>3748</v>
      </c>
      <c r="H167" s="11">
        <v>70000</v>
      </c>
      <c r="I167" s="15">
        <f>Tabla2456789[[#This Row],[TOTAL FACTURA]]*0.7</f>
        <v>49000</v>
      </c>
      <c r="J167" s="149">
        <f t="shared" si="2"/>
        <v>21000</v>
      </c>
      <c r="K167" s="1" t="s">
        <v>3749</v>
      </c>
      <c r="L167" s="11">
        <f>6600+7600+1000+6600</f>
        <v>21800</v>
      </c>
      <c r="M167" s="11">
        <f>Tabla2456789[[#This Row],[MONTO DE COMPRA]]/1.19</f>
        <v>18319.327731092439</v>
      </c>
      <c r="N167" s="11">
        <f>Tabla2456789[[#This Row],[Columna1]]*19%</f>
        <v>3480.6722689075632</v>
      </c>
      <c r="O167" s="11">
        <v>39000</v>
      </c>
      <c r="P167" s="11">
        <f>Tabla2456789[[#This Row],[VENTA ]]/1.19</f>
        <v>32773.10924369748</v>
      </c>
      <c r="Q167" s="11">
        <f>Tabla2456789[[#This Row],[Columna2]]*19%</f>
        <v>6226.8907563025214</v>
      </c>
      <c r="R167" s="11">
        <f>Tabla2456789[[#This Row],[IVA VENTA ]]-Tabla2456789[[#This Row],[IV COMPRA]]</f>
        <v>2746.2184873949582</v>
      </c>
      <c r="S167" s="11">
        <f>(Tabla2456789[[#This Row],[VENTA ]]-(Tabla2456789[[#This Row],[MONTO DE COMPRA]]+Tabla2456789[[#This Row],[DIFERENCIA IVA ]]))</f>
        <v>14453.781512605041</v>
      </c>
      <c r="T167" s="11"/>
    </row>
    <row r="168" spans="1:20" s="1" customFormat="1" ht="30" x14ac:dyDescent="0.25">
      <c r="A168" s="56">
        <v>44870</v>
      </c>
      <c r="B168" s="4" t="s">
        <v>3750</v>
      </c>
      <c r="C168" s="4" t="s">
        <v>1658</v>
      </c>
      <c r="D168" s="4" t="s">
        <v>3751</v>
      </c>
      <c r="E168" s="1" t="s">
        <v>3803</v>
      </c>
      <c r="F168" s="1" t="s">
        <v>2446</v>
      </c>
      <c r="G168" s="10" t="s">
        <v>3752</v>
      </c>
      <c r="H168" s="11">
        <v>110000</v>
      </c>
      <c r="I168" s="15">
        <f>Tabla2456789[[#This Row],[TOTAL FACTURA]]*0.7</f>
        <v>77000</v>
      </c>
      <c r="J168" s="149">
        <f t="shared" si="2"/>
        <v>33000</v>
      </c>
      <c r="K168" s="1" t="s">
        <v>660</v>
      </c>
      <c r="L168" s="11">
        <f>37823+111000</f>
        <v>148823</v>
      </c>
      <c r="M168" s="11">
        <f>Tabla2456789[[#This Row],[MONTO DE COMPRA]]/1.19</f>
        <v>125061.34453781514</v>
      </c>
      <c r="N168" s="11">
        <f>Tabla2456789[[#This Row],[Columna1]]*19%</f>
        <v>23761.655462184877</v>
      </c>
      <c r="O168" s="11">
        <v>220000</v>
      </c>
      <c r="P168" s="11">
        <f>Tabla2456789[[#This Row],[VENTA ]]/1.19</f>
        <v>184873.94957983194</v>
      </c>
      <c r="Q168" s="11">
        <f>Tabla2456789[[#This Row],[Columna2]]*19%</f>
        <v>35126.050420168067</v>
      </c>
      <c r="R168" s="11">
        <f>Tabla2456789[[#This Row],[IVA VENTA ]]-Tabla2456789[[#This Row],[IV COMPRA]]</f>
        <v>11364.39495798319</v>
      </c>
      <c r="S168" s="11">
        <f>(Tabla2456789[[#This Row],[VENTA ]]-(Tabla2456789[[#This Row],[MONTO DE COMPRA]]+Tabla2456789[[#This Row],[DIFERENCIA IVA ]]))</f>
        <v>59812.605042016803</v>
      </c>
      <c r="T168" s="11"/>
    </row>
    <row r="169" spans="1:20" s="1" customFormat="1" x14ac:dyDescent="0.25">
      <c r="A169" s="56">
        <v>44870</v>
      </c>
      <c r="B169" s="4"/>
      <c r="C169" s="4"/>
      <c r="D169" s="4" t="s">
        <v>3753</v>
      </c>
      <c r="E169" s="1" t="s">
        <v>3754</v>
      </c>
      <c r="F169" s="1" t="s">
        <v>3666</v>
      </c>
      <c r="G169" s="10" t="s">
        <v>3755</v>
      </c>
      <c r="H169" s="11">
        <v>60000</v>
      </c>
      <c r="I169" s="15">
        <f>Tabla2456789[[#This Row],[TOTAL FACTURA]]*0.5</f>
        <v>30000</v>
      </c>
      <c r="J169" s="149">
        <f t="shared" si="2"/>
        <v>30000</v>
      </c>
      <c r="L169" s="11"/>
      <c r="M169" s="11">
        <f>Tabla2456789[[#This Row],[MONTO DE COMPRA]]/1.19</f>
        <v>0</v>
      </c>
      <c r="N169" s="11">
        <f>Tabla2456789[[#This Row],[Columna1]]*19%</f>
        <v>0</v>
      </c>
      <c r="O169" s="11"/>
      <c r="P169" s="11">
        <f>Tabla2456789[[#This Row],[VENTA ]]/1.19</f>
        <v>0</v>
      </c>
      <c r="Q169" s="11">
        <f>Tabla2456789[[#This Row],[Columna2]]*19%</f>
        <v>0</v>
      </c>
      <c r="R169" s="11">
        <f>Tabla2456789[[#This Row],[IVA VENTA ]]-Tabla2456789[[#This Row],[IV COMPRA]]</f>
        <v>0</v>
      </c>
      <c r="S169" s="11">
        <f>(Tabla2456789[[#This Row],[VENTA ]]-(Tabla2456789[[#This Row],[MONTO DE COMPRA]]+Tabla2456789[[#This Row],[DIFERENCIA IVA ]]))</f>
        <v>0</v>
      </c>
      <c r="T169" s="11"/>
    </row>
    <row r="170" spans="1:20" s="1" customFormat="1" x14ac:dyDescent="0.25">
      <c r="A170" s="56">
        <v>44873</v>
      </c>
      <c r="B170" s="4" t="s">
        <v>3758</v>
      </c>
      <c r="C170" s="4" t="s">
        <v>3759</v>
      </c>
      <c r="D170" s="4" t="s">
        <v>1579</v>
      </c>
      <c r="E170" s="1" t="s">
        <v>202</v>
      </c>
      <c r="F170" s="1" t="s">
        <v>2446</v>
      </c>
      <c r="G170" s="10" t="s">
        <v>3760</v>
      </c>
      <c r="H170" s="11">
        <v>120000</v>
      </c>
      <c r="I170" s="15">
        <f>Tabla2456789[[#This Row],[TOTAL FACTURA]]*0.7</f>
        <v>84000</v>
      </c>
      <c r="J170" s="149">
        <f t="shared" si="2"/>
        <v>36000</v>
      </c>
      <c r="K170" s="1" t="s">
        <v>3761</v>
      </c>
      <c r="L170" s="11">
        <f>140000+10000+10000</f>
        <v>160000</v>
      </c>
      <c r="M170" s="11">
        <f>Tabla2456789[[#This Row],[MONTO DE COMPRA]]/1.19</f>
        <v>134453.78151260506</v>
      </c>
      <c r="N170" s="11">
        <f>Tabla2456789[[#This Row],[Columna1]]*19%</f>
        <v>25546.218487394959</v>
      </c>
      <c r="O170" s="11">
        <f>340000+17000+10000</f>
        <v>367000</v>
      </c>
      <c r="P170" s="11">
        <f>Tabla2456789[[#This Row],[VENTA ]]/1.19</f>
        <v>308403.36134453781</v>
      </c>
      <c r="Q170" s="11">
        <f>Tabla2456789[[#This Row],[Columna2]]*19%</f>
        <v>58596.638655462186</v>
      </c>
      <c r="R170" s="11">
        <f>Tabla2456789[[#This Row],[IVA VENTA ]]-Tabla2456789[[#This Row],[IV COMPRA]]</f>
        <v>33050.420168067227</v>
      </c>
      <c r="S170" s="11">
        <f>(Tabla2456789[[#This Row],[VENTA ]]-(Tabla2456789[[#This Row],[MONTO DE COMPRA]]+Tabla2456789[[#This Row],[DIFERENCIA IVA ]]))</f>
        <v>173949.57983193279</v>
      </c>
      <c r="T170" s="11"/>
    </row>
    <row r="171" spans="1:20" s="1" customFormat="1" x14ac:dyDescent="0.25">
      <c r="A171" s="56">
        <v>44873</v>
      </c>
      <c r="B171" s="4"/>
      <c r="C171" s="4"/>
      <c r="D171" s="4" t="s">
        <v>3762</v>
      </c>
      <c r="E171" s="1" t="s">
        <v>122</v>
      </c>
      <c r="F171" s="1" t="s">
        <v>2446</v>
      </c>
      <c r="G171" s="10" t="s">
        <v>138</v>
      </c>
      <c r="H171" s="11">
        <v>60000</v>
      </c>
      <c r="I171" s="15">
        <f>Tabla2456789[[#This Row],[TOTAL FACTURA]]*0.7</f>
        <v>42000</v>
      </c>
      <c r="J171" s="149">
        <f t="shared" si="2"/>
        <v>18000</v>
      </c>
      <c r="L171" s="11"/>
      <c r="M171" s="11">
        <f>Tabla2456789[[#This Row],[MONTO DE COMPRA]]/1.19</f>
        <v>0</v>
      </c>
      <c r="N171" s="11">
        <f>Tabla2456789[[#This Row],[Columna1]]*19%</f>
        <v>0</v>
      </c>
      <c r="O171" s="11"/>
      <c r="P171" s="11">
        <f>Tabla2456789[[#This Row],[VENTA ]]/1.19</f>
        <v>0</v>
      </c>
      <c r="Q171" s="11">
        <f>Tabla2456789[[#This Row],[Columna2]]*19%</f>
        <v>0</v>
      </c>
      <c r="R171" s="11">
        <f>Tabla2456789[[#This Row],[IVA VENTA ]]-Tabla2456789[[#This Row],[IV COMPRA]]</f>
        <v>0</v>
      </c>
      <c r="S171" s="11">
        <f>(Tabla2456789[[#This Row],[VENTA ]]-(Tabla2456789[[#This Row],[MONTO DE COMPRA]]+Tabla2456789[[#This Row],[DIFERENCIA IVA ]]))</f>
        <v>0</v>
      </c>
      <c r="T171" s="11"/>
    </row>
    <row r="172" spans="1:20" s="1" customFormat="1" x14ac:dyDescent="0.25">
      <c r="A172" s="56">
        <v>44873</v>
      </c>
      <c r="B172" s="4" t="s">
        <v>3763</v>
      </c>
      <c r="C172" s="4" t="s">
        <v>2360</v>
      </c>
      <c r="D172" s="4" t="s">
        <v>3495</v>
      </c>
      <c r="E172" s="1" t="s">
        <v>540</v>
      </c>
      <c r="F172" s="1" t="s">
        <v>2446</v>
      </c>
      <c r="G172" s="10" t="s">
        <v>3764</v>
      </c>
      <c r="H172" s="11">
        <v>20000</v>
      </c>
      <c r="I172" s="15">
        <f>Tabla2456789[[#This Row],[TOTAL FACTURA]]*0.7</f>
        <v>14000</v>
      </c>
      <c r="J172" s="149">
        <f t="shared" si="2"/>
        <v>6000</v>
      </c>
      <c r="K172" s="1" t="s">
        <v>3765</v>
      </c>
      <c r="L172" s="11">
        <v>8000</v>
      </c>
      <c r="M172" s="11">
        <f>Tabla2456789[[#This Row],[MONTO DE COMPRA]]/1.19</f>
        <v>6722.6890756302528</v>
      </c>
      <c r="N172" s="11">
        <f>Tabla2456789[[#This Row],[Columna1]]*19%</f>
        <v>1277.3109243697481</v>
      </c>
      <c r="O172" s="11">
        <v>15000</v>
      </c>
      <c r="P172" s="11">
        <f>Tabla2456789[[#This Row],[VENTA ]]/1.19</f>
        <v>12605.042016806723</v>
      </c>
      <c r="Q172" s="11">
        <f>Tabla2456789[[#This Row],[Columna2]]*19%</f>
        <v>2394.9579831932774</v>
      </c>
      <c r="R172" s="11">
        <f>Tabla2456789[[#This Row],[IVA VENTA ]]-Tabla2456789[[#This Row],[IV COMPRA]]</f>
        <v>1117.6470588235293</v>
      </c>
      <c r="S172" s="11">
        <f>(Tabla2456789[[#This Row],[VENTA ]]-(Tabla2456789[[#This Row],[MONTO DE COMPRA]]+Tabla2456789[[#This Row],[DIFERENCIA IVA ]]))</f>
        <v>5882.3529411764703</v>
      </c>
      <c r="T172" s="11"/>
    </row>
    <row r="173" spans="1:20" s="1" customFormat="1" x14ac:dyDescent="0.25">
      <c r="A173" s="56">
        <v>44874</v>
      </c>
      <c r="B173" s="4" t="s">
        <v>3771</v>
      </c>
      <c r="C173" s="4" t="s">
        <v>3766</v>
      </c>
      <c r="D173" s="4" t="s">
        <v>3767</v>
      </c>
      <c r="E173" s="1" t="s">
        <v>794</v>
      </c>
      <c r="F173" s="1" t="s">
        <v>3768</v>
      </c>
      <c r="G173" s="10" t="s">
        <v>3769</v>
      </c>
      <c r="H173" s="11">
        <v>180000</v>
      </c>
      <c r="I173" s="15">
        <f>Tabla2456789[[#This Row],[TOTAL FACTURA]]*0.7</f>
        <v>125999.99999999999</v>
      </c>
      <c r="J173" s="149">
        <f t="shared" si="2"/>
        <v>54000.000000000015</v>
      </c>
      <c r="K173" s="1" t="s">
        <v>3770</v>
      </c>
      <c r="L173" s="11">
        <v>170000</v>
      </c>
      <c r="M173" s="11">
        <f>Tabla2456789[[#This Row],[MONTO DE COMPRA]]/1.19</f>
        <v>142857.14285714287</v>
      </c>
      <c r="N173" s="11">
        <f>Tabla2456789[[#This Row],[Columna1]]*19%</f>
        <v>27142.857142857145</v>
      </c>
      <c r="O173" s="11">
        <v>200000</v>
      </c>
      <c r="P173" s="11">
        <f>Tabla2456789[[#This Row],[VENTA ]]/1.19</f>
        <v>168067.22689075631</v>
      </c>
      <c r="Q173" s="11">
        <f>Tabla2456789[[#This Row],[Columna2]]*19%</f>
        <v>31932.773109243699</v>
      </c>
      <c r="R173" s="11">
        <f>Tabla2456789[[#This Row],[IVA VENTA ]]-Tabla2456789[[#This Row],[IV COMPRA]]</f>
        <v>4789.9159663865539</v>
      </c>
      <c r="S173" s="11">
        <f>(Tabla2456789[[#This Row],[VENTA ]]-(Tabla2456789[[#This Row],[MONTO DE COMPRA]]+Tabla2456789[[#This Row],[DIFERENCIA IVA ]]))</f>
        <v>25210.084033613442</v>
      </c>
      <c r="T173" s="11"/>
    </row>
    <row r="174" spans="1:20" s="1" customFormat="1" x14ac:dyDescent="0.25">
      <c r="A174" s="56">
        <v>44874</v>
      </c>
      <c r="B174" s="4"/>
      <c r="C174" s="181"/>
      <c r="D174" s="4"/>
      <c r="E174" s="1" t="s">
        <v>3503</v>
      </c>
      <c r="F174" s="1" t="s">
        <v>3666</v>
      </c>
      <c r="G174" s="10" t="s">
        <v>1794</v>
      </c>
      <c r="H174" s="11">
        <v>25000</v>
      </c>
      <c r="I174" s="15">
        <f>Tabla2456789[[#This Row],[TOTAL FACTURA]]*0.5</f>
        <v>12500</v>
      </c>
      <c r="J174" s="149">
        <f t="shared" si="2"/>
        <v>12500</v>
      </c>
      <c r="L174" s="11"/>
      <c r="M174" s="11">
        <f>Tabla2456789[[#This Row],[MONTO DE COMPRA]]/1.19</f>
        <v>0</v>
      </c>
      <c r="N174" s="11">
        <f>Tabla2456789[[#This Row],[Columna1]]*19%</f>
        <v>0</v>
      </c>
      <c r="O174" s="11"/>
      <c r="P174" s="11">
        <f>Tabla2456789[[#This Row],[VENTA ]]/1.19</f>
        <v>0</v>
      </c>
      <c r="Q174" s="11">
        <f>Tabla2456789[[#This Row],[Columna2]]*19%</f>
        <v>0</v>
      </c>
      <c r="R174" s="11">
        <f>Tabla2456789[[#This Row],[IVA VENTA ]]-Tabla2456789[[#This Row],[IV COMPRA]]</f>
        <v>0</v>
      </c>
      <c r="S174" s="11">
        <f>(Tabla2456789[[#This Row],[VENTA ]]-(Tabla2456789[[#This Row],[MONTO DE COMPRA]]+Tabla2456789[[#This Row],[DIFERENCIA IVA ]]))</f>
        <v>0</v>
      </c>
      <c r="T174" s="11"/>
    </row>
    <row r="175" spans="1:20" s="1" customFormat="1" x14ac:dyDescent="0.25">
      <c r="A175" s="56">
        <v>44874</v>
      </c>
      <c r="B175" s="4"/>
      <c r="C175" s="4"/>
      <c r="D175" s="4" t="s">
        <v>3773</v>
      </c>
      <c r="E175" s="1" t="s">
        <v>107</v>
      </c>
      <c r="F175" s="1" t="s">
        <v>2446</v>
      </c>
      <c r="G175" s="10" t="s">
        <v>3772</v>
      </c>
      <c r="H175" s="11">
        <v>20000</v>
      </c>
      <c r="I175" s="15">
        <f>Tabla2456789[[#This Row],[TOTAL FACTURA]]*0.7</f>
        <v>14000</v>
      </c>
      <c r="J175" s="149">
        <f t="shared" si="2"/>
        <v>6000</v>
      </c>
      <c r="K175" s="10"/>
      <c r="L175" s="11"/>
      <c r="M175" s="11">
        <f>Tabla2456789[[#This Row],[MONTO DE COMPRA]]/1.19</f>
        <v>0</v>
      </c>
      <c r="N175" s="11">
        <f>Tabla2456789[[#This Row],[Columna1]]*19%</f>
        <v>0</v>
      </c>
      <c r="O175" s="11"/>
      <c r="P175" s="11">
        <f>Tabla2456789[[#This Row],[VENTA ]]/1.19</f>
        <v>0</v>
      </c>
      <c r="Q175" s="11">
        <f>Tabla2456789[[#This Row],[Columna2]]*19%</f>
        <v>0</v>
      </c>
      <c r="R175" s="11">
        <f>Tabla2456789[[#This Row],[IVA VENTA ]]-Tabla2456789[[#This Row],[IV COMPRA]]</f>
        <v>0</v>
      </c>
      <c r="S175" s="11">
        <f>(Tabla2456789[[#This Row],[VENTA ]]-(Tabla2456789[[#This Row],[MONTO DE COMPRA]]+Tabla2456789[[#This Row],[DIFERENCIA IVA ]]))</f>
        <v>0</v>
      </c>
      <c r="T175" s="11"/>
    </row>
    <row r="176" spans="1:20" s="1" customFormat="1" x14ac:dyDescent="0.25">
      <c r="A176" s="56">
        <v>44874</v>
      </c>
      <c r="B176" s="4"/>
      <c r="C176" s="4"/>
      <c r="D176" s="1" t="s">
        <v>3222</v>
      </c>
      <c r="E176" s="1" t="s">
        <v>22</v>
      </c>
      <c r="F176" s="1" t="s">
        <v>3666</v>
      </c>
      <c r="G176" s="10" t="s">
        <v>3538</v>
      </c>
      <c r="H176" s="11">
        <v>35000</v>
      </c>
      <c r="I176" s="15">
        <f>Tabla2456789[[#This Row],[TOTAL FACTURA]]*0.5</f>
        <v>17500</v>
      </c>
      <c r="J176" s="149">
        <f t="shared" si="2"/>
        <v>17500</v>
      </c>
      <c r="L176" s="11"/>
      <c r="M176" s="11">
        <f>Tabla2456789[[#This Row],[MONTO DE COMPRA]]/1.19</f>
        <v>0</v>
      </c>
      <c r="N176" s="11">
        <f>Tabla2456789[[#This Row],[Columna1]]*19%</f>
        <v>0</v>
      </c>
      <c r="O176" s="11"/>
      <c r="P176" s="11">
        <f>Tabla2456789[[#This Row],[VENTA ]]/1.19</f>
        <v>0</v>
      </c>
      <c r="Q176" s="11">
        <f>Tabla2456789[[#This Row],[Columna2]]*19%</f>
        <v>0</v>
      </c>
      <c r="R176" s="11">
        <f>Tabla2456789[[#This Row],[IVA VENTA ]]-Tabla2456789[[#This Row],[IV COMPRA]]</f>
        <v>0</v>
      </c>
      <c r="S176" s="11">
        <f>(Tabla2456789[[#This Row],[VENTA ]]-(Tabla2456789[[#This Row],[MONTO DE COMPRA]]+Tabla2456789[[#This Row],[DIFERENCIA IVA ]]))</f>
        <v>0</v>
      </c>
      <c r="T176" s="11"/>
    </row>
    <row r="177" spans="1:20" s="1" customFormat="1" ht="30" x14ac:dyDescent="0.25">
      <c r="A177" s="56">
        <v>44874</v>
      </c>
      <c r="B177" s="4" t="s">
        <v>3774</v>
      </c>
      <c r="C177" s="4" t="s">
        <v>3775</v>
      </c>
      <c r="D177" s="4" t="s">
        <v>3776</v>
      </c>
      <c r="E177" s="1" t="s">
        <v>3777</v>
      </c>
      <c r="F177" s="1" t="s">
        <v>2446</v>
      </c>
      <c r="G177" s="10" t="s">
        <v>3778</v>
      </c>
      <c r="H177" s="11">
        <v>110000</v>
      </c>
      <c r="I177" s="15">
        <f>Tabla2456789[[#This Row],[TOTAL FACTURA]]*0.7</f>
        <v>77000</v>
      </c>
      <c r="J177" s="149">
        <f t="shared" si="2"/>
        <v>33000</v>
      </c>
      <c r="K177" s="1" t="s">
        <v>3779</v>
      </c>
      <c r="L177" s="11">
        <v>85000</v>
      </c>
      <c r="M177" s="11">
        <f>Tabla2456789[[#This Row],[MONTO DE COMPRA]]/1.19</f>
        <v>71428.571428571435</v>
      </c>
      <c r="N177" s="11">
        <f>Tabla2456789[[#This Row],[Columna1]]*19%</f>
        <v>13571.428571428572</v>
      </c>
      <c r="O177" s="11">
        <v>110000</v>
      </c>
      <c r="P177" s="11">
        <f>Tabla2456789[[#This Row],[VENTA ]]/1.19</f>
        <v>92436.97478991597</v>
      </c>
      <c r="Q177" s="11">
        <f>Tabla2456789[[#This Row],[Columna2]]*19%</f>
        <v>17563.025210084033</v>
      </c>
      <c r="R177" s="11">
        <f>Tabla2456789[[#This Row],[IVA VENTA ]]-Tabla2456789[[#This Row],[IV COMPRA]]</f>
        <v>3991.596638655461</v>
      </c>
      <c r="S177" s="11">
        <f>(Tabla2456789[[#This Row],[VENTA ]]-(Tabla2456789[[#This Row],[MONTO DE COMPRA]]+Tabla2456789[[#This Row],[DIFERENCIA IVA ]]))</f>
        <v>21008.403361344535</v>
      </c>
      <c r="T177" s="11"/>
    </row>
    <row r="178" spans="1:20" s="1" customFormat="1" x14ac:dyDescent="0.25">
      <c r="A178" s="56">
        <v>44874</v>
      </c>
      <c r="B178" s="4" t="s">
        <v>3774</v>
      </c>
      <c r="C178" s="4" t="s">
        <v>3775</v>
      </c>
      <c r="D178" s="4" t="s">
        <v>3776</v>
      </c>
      <c r="E178" s="1" t="s">
        <v>3777</v>
      </c>
      <c r="F178" s="1" t="s">
        <v>3666</v>
      </c>
      <c r="G178" s="10" t="s">
        <v>3511</v>
      </c>
      <c r="H178" s="11">
        <v>60000</v>
      </c>
      <c r="I178" s="15">
        <f>Tabla2456789[[#This Row],[TOTAL FACTURA]]*0.5</f>
        <v>30000</v>
      </c>
      <c r="J178" s="149">
        <f t="shared" si="2"/>
        <v>30000</v>
      </c>
      <c r="L178" s="11"/>
      <c r="M178" s="11">
        <f>Tabla2456789[[#This Row],[MONTO DE COMPRA]]/1.19</f>
        <v>0</v>
      </c>
      <c r="N178" s="11">
        <f>Tabla2456789[[#This Row],[Columna1]]*19%</f>
        <v>0</v>
      </c>
      <c r="O178" s="11"/>
      <c r="P178" s="11">
        <f>Tabla2456789[[#This Row],[VENTA ]]/1.19</f>
        <v>0</v>
      </c>
      <c r="Q178" s="11">
        <f>Tabla2456789[[#This Row],[Columna2]]*19%</f>
        <v>0</v>
      </c>
      <c r="R178" s="11">
        <f>Tabla2456789[[#This Row],[IVA VENTA ]]-Tabla2456789[[#This Row],[IV COMPRA]]</f>
        <v>0</v>
      </c>
      <c r="S178" s="11">
        <f>(Tabla2456789[[#This Row],[VENTA ]]-(Tabla2456789[[#This Row],[MONTO DE COMPRA]]+Tabla2456789[[#This Row],[DIFERENCIA IVA ]]))</f>
        <v>0</v>
      </c>
      <c r="T178" s="11"/>
    </row>
    <row r="179" spans="1:20" s="1" customFormat="1" x14ac:dyDescent="0.25">
      <c r="A179" s="56">
        <v>44875</v>
      </c>
      <c r="B179" s="4" t="s">
        <v>3780</v>
      </c>
      <c r="C179" s="4" t="s">
        <v>3781</v>
      </c>
      <c r="D179" s="4" t="s">
        <v>2395</v>
      </c>
      <c r="E179" s="1" t="s">
        <v>136</v>
      </c>
      <c r="F179" s="1" t="s">
        <v>2446</v>
      </c>
      <c r="G179" s="10" t="s">
        <v>3782</v>
      </c>
      <c r="H179" s="11">
        <v>100000</v>
      </c>
      <c r="I179" s="15">
        <f>Tabla2456789[[#This Row],[TOTAL FACTURA]]*0.7</f>
        <v>70000</v>
      </c>
      <c r="J179" s="149">
        <f t="shared" si="2"/>
        <v>30000</v>
      </c>
      <c r="L179" s="11"/>
      <c r="M179" s="11">
        <f>Tabla2456789[[#This Row],[MONTO DE COMPRA]]/1.19</f>
        <v>0</v>
      </c>
      <c r="N179" s="11">
        <f>Tabla2456789[[#This Row],[Columna1]]*19%</f>
        <v>0</v>
      </c>
      <c r="O179" s="11"/>
      <c r="P179" s="11">
        <f>Tabla2456789[[#This Row],[VENTA ]]/1.19</f>
        <v>0</v>
      </c>
      <c r="Q179" s="11">
        <f>Tabla2456789[[#This Row],[Columna2]]*19%</f>
        <v>0</v>
      </c>
      <c r="R179" s="11">
        <f>Tabla2456789[[#This Row],[IVA VENTA ]]-Tabla2456789[[#This Row],[IV COMPRA]]</f>
        <v>0</v>
      </c>
      <c r="S179" s="11">
        <f>(Tabla2456789[[#This Row],[VENTA ]]-(Tabla2456789[[#This Row],[MONTO DE COMPRA]]+Tabla2456789[[#This Row],[DIFERENCIA IVA ]]))</f>
        <v>0</v>
      </c>
      <c r="T179" s="11"/>
    </row>
    <row r="180" spans="1:20" s="1" customFormat="1" ht="18" customHeight="1" x14ac:dyDescent="0.25">
      <c r="A180" s="56">
        <v>44875</v>
      </c>
      <c r="B180" s="4"/>
      <c r="C180" s="4" t="s">
        <v>1278</v>
      </c>
      <c r="D180" s="4"/>
      <c r="F180" s="1" t="s">
        <v>34</v>
      </c>
      <c r="G180" s="10" t="s">
        <v>341</v>
      </c>
      <c r="H180" s="11">
        <v>10000</v>
      </c>
      <c r="I180" s="15">
        <f>Tabla2456789[[#This Row],[TOTAL FACTURA]]*0.7</f>
        <v>7000</v>
      </c>
      <c r="J180" s="149">
        <f t="shared" si="2"/>
        <v>3000</v>
      </c>
      <c r="K180" s="10"/>
      <c r="L180" s="11"/>
      <c r="M180" s="11">
        <f>Tabla2456789[[#This Row],[MONTO DE COMPRA]]/1.19</f>
        <v>0</v>
      </c>
      <c r="N180" s="11">
        <f>Tabla2456789[[#This Row],[Columna1]]*19%</f>
        <v>0</v>
      </c>
      <c r="O180" s="11"/>
      <c r="P180" s="11">
        <f>Tabla2456789[[#This Row],[VENTA ]]/1.19</f>
        <v>0</v>
      </c>
      <c r="Q180" s="11">
        <f>Tabla2456789[[#This Row],[Columna2]]*19%</f>
        <v>0</v>
      </c>
      <c r="R180" s="11">
        <f>Tabla2456789[[#This Row],[IVA VENTA ]]-Tabla2456789[[#This Row],[IV COMPRA]]</f>
        <v>0</v>
      </c>
      <c r="S180" s="11">
        <f>(Tabla2456789[[#This Row],[VENTA ]]-(Tabla2456789[[#This Row],[MONTO DE COMPRA]]+Tabla2456789[[#This Row],[DIFERENCIA IVA ]]))</f>
        <v>0</v>
      </c>
      <c r="T180" s="11"/>
    </row>
    <row r="181" spans="1:20" s="1" customFormat="1" x14ac:dyDescent="0.25">
      <c r="A181" s="56">
        <v>44875</v>
      </c>
      <c r="B181" s="4"/>
      <c r="C181" s="4"/>
      <c r="D181" s="4" t="s">
        <v>3783</v>
      </c>
      <c r="E181" s="1" t="s">
        <v>54</v>
      </c>
      <c r="F181" s="1" t="s">
        <v>3666</v>
      </c>
      <c r="G181" s="10" t="s">
        <v>3784</v>
      </c>
      <c r="H181" s="11">
        <v>221500</v>
      </c>
      <c r="I181" s="15">
        <f>Tabla2456789[[#This Row],[TOTAL FACTURA]]*0.5</f>
        <v>110750</v>
      </c>
      <c r="J181" s="149">
        <f t="shared" si="2"/>
        <v>110750</v>
      </c>
      <c r="K181" s="10"/>
      <c r="L181" s="11"/>
      <c r="M181" s="11">
        <f>Tabla2456789[[#This Row],[MONTO DE COMPRA]]/1.19</f>
        <v>0</v>
      </c>
      <c r="N181" s="11">
        <f>Tabla2456789[[#This Row],[Columna1]]*19%</f>
        <v>0</v>
      </c>
      <c r="O181" s="11"/>
      <c r="P181" s="11">
        <f>Tabla2456789[[#This Row],[VENTA ]]/1.19</f>
        <v>0</v>
      </c>
      <c r="Q181" s="11">
        <f>Tabla2456789[[#This Row],[Columna2]]*19%</f>
        <v>0</v>
      </c>
      <c r="R181" s="11">
        <f>Tabla2456789[[#This Row],[IVA VENTA ]]-Tabla2456789[[#This Row],[IV COMPRA]]</f>
        <v>0</v>
      </c>
      <c r="S181" s="11">
        <f>(Tabla2456789[[#This Row],[VENTA ]]-(Tabla2456789[[#This Row],[MONTO DE COMPRA]]+Tabla2456789[[#This Row],[DIFERENCIA IVA ]]))</f>
        <v>0</v>
      </c>
      <c r="T181" s="11"/>
    </row>
    <row r="182" spans="1:20" s="1" customFormat="1" x14ac:dyDescent="0.25">
      <c r="A182" s="56">
        <v>44875</v>
      </c>
      <c r="B182" s="4"/>
      <c r="C182" s="4"/>
      <c r="D182" s="4" t="s">
        <v>3785</v>
      </c>
      <c r="E182" s="1" t="s">
        <v>3786</v>
      </c>
      <c r="F182" s="1" t="s">
        <v>2446</v>
      </c>
      <c r="G182" s="10" t="s">
        <v>2324</v>
      </c>
      <c r="H182" s="11">
        <v>30000</v>
      </c>
      <c r="I182" s="15">
        <f>Tabla2456789[[#This Row],[TOTAL FACTURA]]*0.7</f>
        <v>21000</v>
      </c>
      <c r="J182" s="149">
        <f t="shared" si="2"/>
        <v>9000</v>
      </c>
      <c r="K182" s="10"/>
      <c r="L182" s="11"/>
      <c r="M182" s="11">
        <f>Tabla2456789[[#This Row],[MONTO DE COMPRA]]/1.19</f>
        <v>0</v>
      </c>
      <c r="N182" s="11">
        <f>Tabla2456789[[#This Row],[Columna1]]*19%</f>
        <v>0</v>
      </c>
      <c r="O182" s="11"/>
      <c r="P182" s="11">
        <f>Tabla2456789[[#This Row],[VENTA ]]/1.19</f>
        <v>0</v>
      </c>
      <c r="Q182" s="11">
        <f>Tabla2456789[[#This Row],[Columna2]]*19%</f>
        <v>0</v>
      </c>
      <c r="R182" s="11">
        <f>Tabla2456789[[#This Row],[IVA VENTA ]]-Tabla2456789[[#This Row],[IV COMPRA]]</f>
        <v>0</v>
      </c>
      <c r="S182" s="11">
        <f>(Tabla2456789[[#This Row],[VENTA ]]-(Tabla2456789[[#This Row],[MONTO DE COMPRA]]+Tabla2456789[[#This Row],[DIFERENCIA IVA ]]))</f>
        <v>0</v>
      </c>
      <c r="T182" s="11"/>
    </row>
    <row r="183" spans="1:20" s="1" customFormat="1" x14ac:dyDescent="0.25">
      <c r="A183" s="56">
        <v>44875</v>
      </c>
      <c r="B183" s="4" t="s">
        <v>3790</v>
      </c>
      <c r="C183" s="4" t="s">
        <v>3787</v>
      </c>
      <c r="D183" s="4" t="s">
        <v>3788</v>
      </c>
      <c r="E183" s="1" t="s">
        <v>2720</v>
      </c>
      <c r="F183" s="1" t="s">
        <v>2446</v>
      </c>
      <c r="G183" s="10" t="s">
        <v>140</v>
      </c>
      <c r="H183" s="11">
        <v>80000</v>
      </c>
      <c r="I183" s="15">
        <f>Tabla2456789[[#This Row],[TOTAL FACTURA]]*0.7</f>
        <v>56000</v>
      </c>
      <c r="J183" s="149">
        <f t="shared" si="2"/>
        <v>24000</v>
      </c>
      <c r="K183" s="10" t="s">
        <v>3789</v>
      </c>
      <c r="L183" s="11"/>
      <c r="M183" s="11">
        <f>Tabla2456789[[#This Row],[MONTO DE COMPRA]]/1.19</f>
        <v>0</v>
      </c>
      <c r="N183" s="11">
        <f>Tabla2456789[[#This Row],[Columna1]]*19%</f>
        <v>0</v>
      </c>
      <c r="O183" s="11">
        <v>70000</v>
      </c>
      <c r="P183" s="11"/>
      <c r="Q183" s="11">
        <f>Tabla2456789[[#This Row],[Columna2]]*19%</f>
        <v>0</v>
      </c>
      <c r="R183" s="11">
        <f>Tabla2456789[[#This Row],[IVA VENTA ]]-Tabla2456789[[#This Row],[IV COMPRA]]</f>
        <v>0</v>
      </c>
      <c r="S183" s="11">
        <f>(Tabla2456789[[#This Row],[VENTA ]]-(Tabla2456789[[#This Row],[MONTO DE COMPRA]]+Tabla2456789[[#This Row],[DIFERENCIA IVA ]]))</f>
        <v>70000</v>
      </c>
      <c r="T183" s="11"/>
    </row>
    <row r="184" spans="1:20" s="1" customFormat="1" x14ac:dyDescent="0.25">
      <c r="A184" s="56">
        <v>44875</v>
      </c>
      <c r="B184" s="4" t="s">
        <v>3793</v>
      </c>
      <c r="C184" s="4" t="s">
        <v>3794</v>
      </c>
      <c r="D184" s="4" t="s">
        <v>3795</v>
      </c>
      <c r="E184" s="1" t="s">
        <v>3804</v>
      </c>
      <c r="F184" s="1" t="s">
        <v>2446</v>
      </c>
      <c r="G184" s="10" t="s">
        <v>3796</v>
      </c>
      <c r="H184" s="11">
        <v>150000</v>
      </c>
      <c r="I184" s="15">
        <f>Tabla2456789[[#This Row],[TOTAL FACTURA]]*0.7</f>
        <v>105000</v>
      </c>
      <c r="J184" s="149">
        <f>H184-I184</f>
        <v>45000</v>
      </c>
      <c r="K184" s="10" t="s">
        <v>3796</v>
      </c>
      <c r="L184" s="11">
        <f>520000+25000</f>
        <v>545000</v>
      </c>
      <c r="M184" s="11">
        <f>Tabla2456789[[#This Row],[MONTO DE COMPRA]]/1.19</f>
        <v>457983.19327731093</v>
      </c>
      <c r="N184" s="11">
        <f>Tabla2456789[[#This Row],[Columna1]]*19%</f>
        <v>87016.806722689071</v>
      </c>
      <c r="O184" s="11">
        <v>745000</v>
      </c>
      <c r="P184" s="11">
        <f>Tabla2456789[[#This Row],[VENTA ]]/1.19</f>
        <v>626050.42016806721</v>
      </c>
      <c r="Q184" s="11">
        <f>Tabla2456789[[#This Row],[Columna2]]*19%</f>
        <v>118949.57983193277</v>
      </c>
      <c r="R184" s="11">
        <f>Tabla2456789[[#This Row],[IVA VENTA ]]-Tabla2456789[[#This Row],[IV COMPRA]]</f>
        <v>31932.773109243702</v>
      </c>
      <c r="S184" s="11">
        <f>(Tabla2456789[[#This Row],[VENTA ]]-(Tabla2456789[[#This Row],[MONTO DE COMPRA]]+Tabla2456789[[#This Row],[DIFERENCIA IVA ]]))</f>
        <v>168067.22689075628</v>
      </c>
      <c r="T184" s="11"/>
    </row>
    <row r="185" spans="1:20" s="1" customFormat="1" x14ac:dyDescent="0.25">
      <c r="A185" s="56">
        <v>44876</v>
      </c>
      <c r="B185" s="4"/>
      <c r="C185" s="4"/>
      <c r="D185" s="4" t="s">
        <v>3791</v>
      </c>
      <c r="E185" s="1" t="s">
        <v>3792</v>
      </c>
      <c r="F185" s="1" t="s">
        <v>3666</v>
      </c>
      <c r="G185" s="10" t="s">
        <v>1794</v>
      </c>
      <c r="H185" s="11">
        <v>20000</v>
      </c>
      <c r="I185" s="15">
        <f>Tabla2456789[[#This Row],[TOTAL FACTURA]]*0.5</f>
        <v>10000</v>
      </c>
      <c r="J185" s="149">
        <f t="shared" si="2"/>
        <v>10000</v>
      </c>
      <c r="K185" s="10"/>
      <c r="L185" s="11"/>
      <c r="M185" s="11">
        <f>Tabla2456789[[#This Row],[MONTO DE COMPRA]]/1.19</f>
        <v>0</v>
      </c>
      <c r="N185" s="11">
        <f>Tabla2456789[[#This Row],[Columna1]]*19%</f>
        <v>0</v>
      </c>
      <c r="O185" s="11"/>
      <c r="P185" s="11">
        <f>Tabla2456789[[#This Row],[VENTA ]]/1.19</f>
        <v>0</v>
      </c>
      <c r="Q185" s="11">
        <f>Tabla2456789[[#This Row],[Columna2]]*19%</f>
        <v>0</v>
      </c>
      <c r="R185" s="11">
        <f>Tabla2456789[[#This Row],[IVA VENTA ]]-Tabla2456789[[#This Row],[IV COMPRA]]</f>
        <v>0</v>
      </c>
      <c r="S185" s="11">
        <f>(Tabla2456789[[#This Row],[VENTA ]]-(Tabla2456789[[#This Row],[MONTO DE COMPRA]]+Tabla2456789[[#This Row],[DIFERENCIA IVA ]]))</f>
        <v>0</v>
      </c>
      <c r="T185" s="11"/>
    </row>
    <row r="186" spans="1:20" s="1" customFormat="1" x14ac:dyDescent="0.25">
      <c r="A186" s="56">
        <v>44876</v>
      </c>
      <c r="B186" s="4" t="s">
        <v>3797</v>
      </c>
      <c r="C186" s="4" t="s">
        <v>1658</v>
      </c>
      <c r="D186" s="4" t="s">
        <v>3751</v>
      </c>
      <c r="E186" s="1" t="s">
        <v>435</v>
      </c>
      <c r="F186" s="1" t="s">
        <v>3666</v>
      </c>
      <c r="G186" s="10" t="s">
        <v>3798</v>
      </c>
      <c r="H186" s="11">
        <v>100000</v>
      </c>
      <c r="I186" s="15">
        <f>Tabla2456789[[#This Row],[TOTAL FACTURA]]*0.5</f>
        <v>50000</v>
      </c>
      <c r="J186" s="149">
        <f t="shared" si="2"/>
        <v>50000</v>
      </c>
      <c r="K186" s="10" t="s">
        <v>3386</v>
      </c>
      <c r="L186" s="11">
        <v>40000</v>
      </c>
      <c r="M186" s="11"/>
      <c r="N186" s="11"/>
      <c r="O186" s="11">
        <v>80000</v>
      </c>
      <c r="P186" s="11"/>
      <c r="Q186" s="11"/>
      <c r="R186" s="11">
        <f>Tabla2456789[[#This Row],[IVA VENTA ]]-Tabla2456789[[#This Row],[IV COMPRA]]</f>
        <v>0</v>
      </c>
      <c r="S186" s="11">
        <f>(Tabla2456789[[#This Row],[VENTA ]]-(Tabla2456789[[#This Row],[MONTO DE COMPRA]]+Tabla2456789[[#This Row],[DIFERENCIA IVA ]]))</f>
        <v>40000</v>
      </c>
      <c r="T186" s="11"/>
    </row>
    <row r="187" spans="1:20" s="1" customFormat="1" x14ac:dyDescent="0.25">
      <c r="A187" s="56">
        <v>44876</v>
      </c>
      <c r="B187" s="4"/>
      <c r="C187" s="4"/>
      <c r="D187" s="4" t="s">
        <v>3799</v>
      </c>
      <c r="E187" s="1" t="s">
        <v>1947</v>
      </c>
      <c r="F187" s="1" t="s">
        <v>3666</v>
      </c>
      <c r="G187" s="10" t="s">
        <v>3800</v>
      </c>
      <c r="H187" s="11">
        <v>65000</v>
      </c>
      <c r="I187" s="15">
        <f>Tabla2456789[[#This Row],[TOTAL FACTURA]]*0.5</f>
        <v>32500</v>
      </c>
      <c r="J187" s="149">
        <f t="shared" si="2"/>
        <v>32500</v>
      </c>
      <c r="K187" s="10"/>
      <c r="L187" s="11"/>
      <c r="M187" s="11">
        <f>Tabla2456789[[#This Row],[MONTO DE COMPRA]]/1.19</f>
        <v>0</v>
      </c>
      <c r="N187" s="11">
        <f>Tabla2456789[[#This Row],[Columna1]]*19%</f>
        <v>0</v>
      </c>
      <c r="O187" s="11"/>
      <c r="P187" s="11">
        <f>Tabla2456789[[#This Row],[VENTA ]]/1.19</f>
        <v>0</v>
      </c>
      <c r="Q187" s="11">
        <f>Tabla2456789[[#This Row],[Columna2]]*19%</f>
        <v>0</v>
      </c>
      <c r="R187" s="11">
        <f>Tabla2456789[[#This Row],[IVA VENTA ]]-Tabla2456789[[#This Row],[IV COMPRA]]</f>
        <v>0</v>
      </c>
      <c r="S187" s="11">
        <f>(Tabla2456789[[#This Row],[VENTA ]]-(Tabla2456789[[#This Row],[MONTO DE COMPRA]]+Tabla2456789[[#This Row],[DIFERENCIA IVA ]]))</f>
        <v>0</v>
      </c>
      <c r="T187" s="11"/>
    </row>
    <row r="188" spans="1:20" s="1" customFormat="1" x14ac:dyDescent="0.25">
      <c r="A188" s="56">
        <v>44876</v>
      </c>
      <c r="B188" s="4"/>
      <c r="C188" s="4"/>
      <c r="D188" s="4" t="s">
        <v>3801</v>
      </c>
      <c r="E188" s="1" t="s">
        <v>122</v>
      </c>
      <c r="F188" s="1" t="s">
        <v>3666</v>
      </c>
      <c r="G188" s="10" t="s">
        <v>3511</v>
      </c>
      <c r="H188" s="11">
        <v>40000</v>
      </c>
      <c r="I188" s="15">
        <f>Tabla2456789[[#This Row],[TOTAL FACTURA]]*0.5</f>
        <v>20000</v>
      </c>
      <c r="J188" s="149">
        <f t="shared" si="2"/>
        <v>20000</v>
      </c>
      <c r="K188" s="10"/>
      <c r="L188" s="11"/>
      <c r="M188" s="11">
        <f>Tabla2456789[[#This Row],[MONTO DE COMPRA]]/1.19</f>
        <v>0</v>
      </c>
      <c r="N188" s="11">
        <f>Tabla2456789[[#This Row],[Columna1]]*19%</f>
        <v>0</v>
      </c>
      <c r="O188" s="11"/>
      <c r="P188" s="11">
        <f>Tabla2456789[[#This Row],[VENTA ]]/1.19</f>
        <v>0</v>
      </c>
      <c r="Q188" s="11">
        <f>Tabla2456789[[#This Row],[Columna2]]*19%</f>
        <v>0</v>
      </c>
      <c r="R188" s="11">
        <f>Tabla2456789[[#This Row],[IVA VENTA ]]-Tabla2456789[[#This Row],[IV COMPRA]]</f>
        <v>0</v>
      </c>
      <c r="S188" s="11">
        <f>(Tabla2456789[[#This Row],[VENTA ]]-(Tabla2456789[[#This Row],[MONTO DE COMPRA]]+Tabla2456789[[#This Row],[DIFERENCIA IVA ]]))</f>
        <v>0</v>
      </c>
      <c r="T188" s="11"/>
    </row>
    <row r="189" spans="1:20" s="1" customFormat="1" x14ac:dyDescent="0.25">
      <c r="A189" s="56">
        <v>44876</v>
      </c>
      <c r="B189" s="4"/>
      <c r="C189" s="4"/>
      <c r="D189" s="4" t="s">
        <v>3801</v>
      </c>
      <c r="E189" s="1" t="s">
        <v>122</v>
      </c>
      <c r="F189" s="1" t="s">
        <v>2446</v>
      </c>
      <c r="G189" s="10" t="s">
        <v>3802</v>
      </c>
      <c r="H189" s="11">
        <v>30000</v>
      </c>
      <c r="I189" s="15">
        <f>Tabla2456789[[#This Row],[TOTAL FACTURA]]*0.7</f>
        <v>21000</v>
      </c>
      <c r="J189" s="149">
        <f t="shared" si="2"/>
        <v>9000</v>
      </c>
      <c r="K189" s="10"/>
      <c r="L189" s="11"/>
      <c r="M189" s="11">
        <f>Tabla2456789[[#This Row],[MONTO DE COMPRA]]/1.19</f>
        <v>0</v>
      </c>
      <c r="N189" s="11">
        <f>Tabla2456789[[#This Row],[Columna1]]*19%</f>
        <v>0</v>
      </c>
      <c r="O189" s="11"/>
      <c r="P189" s="11">
        <f>Tabla2456789[[#This Row],[VENTA ]]/1.19</f>
        <v>0</v>
      </c>
      <c r="Q189" s="11">
        <f>Tabla2456789[[#This Row],[Columna2]]*19%</f>
        <v>0</v>
      </c>
      <c r="R189" s="11">
        <f>Tabla2456789[[#This Row],[IVA VENTA ]]-Tabla2456789[[#This Row],[IV COMPRA]]</f>
        <v>0</v>
      </c>
      <c r="S189" s="11">
        <f>(Tabla2456789[[#This Row],[VENTA ]]-(Tabla2456789[[#This Row],[MONTO DE COMPRA]]+Tabla2456789[[#This Row],[DIFERENCIA IVA ]]))</f>
        <v>0</v>
      </c>
      <c r="T189" s="11"/>
    </row>
    <row r="190" spans="1:20" s="1" customFormat="1" x14ac:dyDescent="0.25">
      <c r="A190" s="56">
        <v>44876</v>
      </c>
      <c r="B190" s="4"/>
      <c r="C190" s="4" t="s">
        <v>3726</v>
      </c>
      <c r="D190" s="4" t="s">
        <v>85</v>
      </c>
      <c r="E190" s="1" t="s">
        <v>84</v>
      </c>
      <c r="F190" s="1" t="s">
        <v>2446</v>
      </c>
      <c r="G190" s="10" t="s">
        <v>869</v>
      </c>
      <c r="H190" s="11">
        <v>30000</v>
      </c>
      <c r="I190" s="15">
        <f>Tabla2456789[[#This Row],[TOTAL FACTURA]]*0.7</f>
        <v>21000</v>
      </c>
      <c r="J190" s="149">
        <f t="shared" si="2"/>
        <v>9000</v>
      </c>
      <c r="K190" s="10" t="s">
        <v>1015</v>
      </c>
      <c r="L190" s="11">
        <f>3600</f>
        <v>3600</v>
      </c>
      <c r="M190" s="11">
        <f>Tabla2456789[[#This Row],[MONTO DE COMPRA]]/1.19</f>
        <v>3025.2100840336134</v>
      </c>
      <c r="N190" s="11">
        <f>Tabla2456789[[#This Row],[Columna1]]*19%</f>
        <v>574.7899159663865</v>
      </c>
      <c r="O190" s="11">
        <v>10000</v>
      </c>
      <c r="P190" s="11">
        <f>Tabla2456789[[#This Row],[VENTA ]]/1.19</f>
        <v>8403.361344537816</v>
      </c>
      <c r="Q190" s="11">
        <f>Tabla2456789[[#This Row],[Columna2]]*19%</f>
        <v>1596.6386554621849</v>
      </c>
      <c r="R190" s="11">
        <f>Tabla2456789[[#This Row],[IVA VENTA ]]-Tabla2456789[[#This Row],[IV COMPRA]]</f>
        <v>1021.8487394957984</v>
      </c>
      <c r="S190" s="11">
        <f>(Tabla2456789[[#This Row],[VENTA ]]-(Tabla2456789[[#This Row],[MONTO DE COMPRA]]+Tabla2456789[[#This Row],[DIFERENCIA IVA ]]))</f>
        <v>5378.1512605042017</v>
      </c>
      <c r="T190" s="11"/>
    </row>
    <row r="191" spans="1:20" s="1" customFormat="1" x14ac:dyDescent="0.25">
      <c r="A191" s="56">
        <v>44876</v>
      </c>
      <c r="B191" s="4"/>
      <c r="C191" s="4" t="s">
        <v>129</v>
      </c>
      <c r="D191" s="150" t="s">
        <v>125</v>
      </c>
      <c r="E191" s="4" t="s">
        <v>202</v>
      </c>
      <c r="F191" s="1" t="s">
        <v>3666</v>
      </c>
      <c r="G191" s="10" t="s">
        <v>3827</v>
      </c>
      <c r="H191" s="11">
        <v>10000</v>
      </c>
      <c r="I191" s="15">
        <v>10000</v>
      </c>
      <c r="J191" s="149">
        <f t="shared" si="2"/>
        <v>0</v>
      </c>
      <c r="K191" s="10"/>
      <c r="L191" s="11"/>
      <c r="M191" s="11">
        <f>Tabla2456789[[#This Row],[MONTO DE COMPRA]]/1.19</f>
        <v>0</v>
      </c>
      <c r="N191" s="11">
        <f>Tabla2456789[[#This Row],[Columna1]]*19%</f>
        <v>0</v>
      </c>
      <c r="O191" s="11"/>
      <c r="P191" s="11">
        <f>Tabla2456789[[#This Row],[VENTA ]]/1.19</f>
        <v>0</v>
      </c>
      <c r="Q191" s="11">
        <f>Tabla2456789[[#This Row],[Columna2]]*19%</f>
        <v>0</v>
      </c>
      <c r="R191" s="11">
        <f>Tabla2456789[[#This Row],[IVA VENTA ]]-Tabla2456789[[#This Row],[IV COMPRA]]</f>
        <v>0</v>
      </c>
      <c r="S191" s="11">
        <f>(Tabla2456789[[#This Row],[VENTA ]]-(Tabla2456789[[#This Row],[MONTO DE COMPRA]]+Tabla2456789[[#This Row],[DIFERENCIA IVA ]]))</f>
        <v>0</v>
      </c>
      <c r="T191" s="11"/>
    </row>
    <row r="192" spans="1:20" s="1" customFormat="1" x14ac:dyDescent="0.25">
      <c r="A192" s="56">
        <v>44876</v>
      </c>
      <c r="B192" s="4" t="s">
        <v>3805</v>
      </c>
      <c r="C192" s="4" t="s">
        <v>3806</v>
      </c>
      <c r="D192" s="150" t="s">
        <v>1342</v>
      </c>
      <c r="E192" s="4"/>
      <c r="F192" s="1" t="s">
        <v>2446</v>
      </c>
      <c r="G192" s="10" t="s">
        <v>3807</v>
      </c>
      <c r="H192" s="11">
        <v>100000</v>
      </c>
      <c r="I192" s="15">
        <f>Tabla2456789[[#This Row],[TOTAL FACTURA]]*0.7</f>
        <v>70000</v>
      </c>
      <c r="J192" s="149">
        <f t="shared" si="2"/>
        <v>30000</v>
      </c>
      <c r="K192" s="10" t="s">
        <v>57</v>
      </c>
      <c r="L192" s="11">
        <v>25000</v>
      </c>
      <c r="M192" s="11">
        <f>Tabla2456789[[#This Row],[MONTO DE COMPRA]]/1.19</f>
        <v>21008.403361344539</v>
      </c>
      <c r="N192" s="11">
        <f>Tabla2456789[[#This Row],[Columna1]]*19%</f>
        <v>3991.5966386554624</v>
      </c>
      <c r="O192" s="11">
        <v>35000</v>
      </c>
      <c r="P192" s="11">
        <f>Tabla2456789[[#This Row],[VENTA ]]/1.19</f>
        <v>29411.764705882353</v>
      </c>
      <c r="Q192" s="11">
        <f>Tabla2456789[[#This Row],[Columna2]]*19%</f>
        <v>5588.2352941176468</v>
      </c>
      <c r="R192" s="11">
        <f>Tabla2456789[[#This Row],[IVA VENTA ]]-Tabla2456789[[#This Row],[IV COMPRA]]</f>
        <v>1596.6386554621845</v>
      </c>
      <c r="S192" s="11">
        <f>(Tabla2456789[[#This Row],[VENTA ]]-(Tabla2456789[[#This Row],[MONTO DE COMPRA]]+Tabla2456789[[#This Row],[DIFERENCIA IVA ]]))</f>
        <v>8403.3613445378141</v>
      </c>
      <c r="T192" s="11"/>
    </row>
    <row r="193" spans="1:21" x14ac:dyDescent="0.25">
      <c r="A193" s="56">
        <v>44876</v>
      </c>
      <c r="C193" s="4" t="s">
        <v>1434</v>
      </c>
      <c r="D193" s="150" t="s">
        <v>1435</v>
      </c>
      <c r="E193" s="4"/>
      <c r="F193" s="1" t="s">
        <v>2446</v>
      </c>
      <c r="G193" s="10" t="s">
        <v>3808</v>
      </c>
      <c r="H193" s="11">
        <v>50000</v>
      </c>
      <c r="I193" s="15">
        <f>Tabla2456789[[#This Row],[TOTAL FACTURA]]*0.7</f>
        <v>35000</v>
      </c>
      <c r="J193" s="149">
        <f t="shared" si="2"/>
        <v>15000</v>
      </c>
      <c r="K193" s="10"/>
      <c r="L193" s="11"/>
      <c r="M193" s="11">
        <f>Tabla2456789[[#This Row],[MONTO DE COMPRA]]/1.19</f>
        <v>0</v>
      </c>
      <c r="N193" s="11">
        <f>Tabla2456789[[#This Row],[Columna1]]*19%</f>
        <v>0</v>
      </c>
      <c r="O193" s="11"/>
      <c r="P193" s="11">
        <f>Tabla2456789[[#This Row],[VENTA ]]/1.19</f>
        <v>0</v>
      </c>
      <c r="Q193" s="11">
        <f>Tabla2456789[[#This Row],[Columna2]]*19%</f>
        <v>0</v>
      </c>
      <c r="R193" s="11">
        <f>Tabla2456789[[#This Row],[IVA VENTA ]]-Tabla2456789[[#This Row],[IV COMPRA]]</f>
        <v>0</v>
      </c>
      <c r="S193" s="11">
        <f>(Tabla2456789[[#This Row],[VENTA ]]-(Tabla2456789[[#This Row],[MONTO DE COMPRA]]+Tabla2456789[[#This Row],[DIFERENCIA IVA ]]))</f>
        <v>0</v>
      </c>
      <c r="T193" s="11"/>
      <c r="U193" s="1"/>
    </row>
    <row r="194" spans="1:21" x14ac:dyDescent="0.25">
      <c r="A194" s="56">
        <v>44877</v>
      </c>
      <c r="B194" s="4" t="s">
        <v>3815</v>
      </c>
      <c r="C194" s="4" t="s">
        <v>3812</v>
      </c>
      <c r="D194" s="150" t="s">
        <v>3813</v>
      </c>
      <c r="E194" s="4" t="s">
        <v>136</v>
      </c>
      <c r="F194" s="1" t="s">
        <v>2446</v>
      </c>
      <c r="G194" s="10" t="s">
        <v>338</v>
      </c>
      <c r="H194" s="11">
        <v>130000</v>
      </c>
      <c r="I194" s="15">
        <f>Tabla2456789[[#This Row],[TOTAL FACTURA]]*0.6</f>
        <v>78000</v>
      </c>
      <c r="J194" s="149">
        <f t="shared" si="2"/>
        <v>52000</v>
      </c>
      <c r="K194" s="10" t="s">
        <v>3814</v>
      </c>
      <c r="L194" s="11">
        <f>70000+20000</f>
        <v>90000</v>
      </c>
      <c r="M194" s="11">
        <f>Tabla2456789[[#This Row],[MONTO DE COMPRA]]/1.19</f>
        <v>75630.252100840342</v>
      </c>
      <c r="N194" s="11">
        <f>Tabla2456789[[#This Row],[Columna1]]*19%</f>
        <v>14369.747899159665</v>
      </c>
      <c r="O194" s="11">
        <f>130000</f>
        <v>130000</v>
      </c>
      <c r="P194" s="11">
        <f>Tabla2456789[[#This Row],[VENTA ]]/1.19</f>
        <v>109243.6974789916</v>
      </c>
      <c r="Q194" s="11">
        <f>Tabla2456789[[#This Row],[Columna2]]*19%</f>
        <v>20756.302521008405</v>
      </c>
      <c r="R194" s="11">
        <f>Tabla2456789[[#This Row],[IVA VENTA ]]-Tabla2456789[[#This Row],[IV COMPRA]]</f>
        <v>6386.5546218487398</v>
      </c>
      <c r="S194" s="11">
        <f>(Tabla2456789[[#This Row],[VENTA ]]-(Tabla2456789[[#This Row],[MONTO DE COMPRA]]+Tabla2456789[[#This Row],[DIFERENCIA IVA ]]))</f>
        <v>33613.445378151257</v>
      </c>
      <c r="T194" s="11"/>
      <c r="U194" s="1"/>
    </row>
    <row r="195" spans="1:21" ht="30" x14ac:dyDescent="0.25">
      <c r="A195" s="56">
        <v>44877</v>
      </c>
      <c r="B195" s="4" t="s">
        <v>3816</v>
      </c>
      <c r="C195" s="4" t="s">
        <v>2769</v>
      </c>
      <c r="D195" s="150" t="s">
        <v>3817</v>
      </c>
      <c r="E195" s="4" t="s">
        <v>84</v>
      </c>
      <c r="F195" s="1" t="s">
        <v>2446</v>
      </c>
      <c r="G195" s="10" t="s">
        <v>3819</v>
      </c>
      <c r="H195" s="11">
        <v>160000</v>
      </c>
      <c r="I195" s="15">
        <f>Tabla2456789[[#This Row],[TOTAL FACTURA]]*0.6</f>
        <v>96000</v>
      </c>
      <c r="J195" s="149">
        <f t="shared" si="2"/>
        <v>64000</v>
      </c>
      <c r="K195" s="10" t="s">
        <v>3818</v>
      </c>
      <c r="L195" s="11">
        <f>470000</f>
        <v>470000</v>
      </c>
      <c r="M195" s="11">
        <f>Tabla2456789[[#This Row],[MONTO DE COMPRA]]/1.19</f>
        <v>394957.98319327732</v>
      </c>
      <c r="N195" s="11">
        <f>Tabla2456789[[#This Row],[Columna1]]*19%</f>
        <v>75042.016806722691</v>
      </c>
      <c r="O195" s="11">
        <v>625000</v>
      </c>
      <c r="P195" s="11">
        <f>Tabla2456789[[#This Row],[VENTA ]]/1.19</f>
        <v>525210.08403361344</v>
      </c>
      <c r="Q195" s="11">
        <f>Tabla2456789[[#This Row],[Columna2]]*19%</f>
        <v>99789.915966386558</v>
      </c>
      <c r="R195" s="11">
        <f>Tabla2456789[[#This Row],[IVA VENTA ]]-Tabla2456789[[#This Row],[IV COMPRA]]</f>
        <v>24747.899159663866</v>
      </c>
      <c r="S195" s="11">
        <f>(Tabla2456789[[#This Row],[VENTA ]]-(Tabla2456789[[#This Row],[MONTO DE COMPRA]]+Tabla2456789[[#This Row],[DIFERENCIA IVA ]]))</f>
        <v>130252.10084033612</v>
      </c>
      <c r="T195" s="11"/>
      <c r="U195" s="1"/>
    </row>
    <row r="196" spans="1:21" x14ac:dyDescent="0.25">
      <c r="A196" s="56">
        <v>44877</v>
      </c>
      <c r="B196" s="4" t="s">
        <v>3820</v>
      </c>
      <c r="C196" s="4" t="s">
        <v>3821</v>
      </c>
      <c r="D196" s="150" t="s">
        <v>3822</v>
      </c>
      <c r="E196" s="4" t="s">
        <v>122</v>
      </c>
      <c r="F196" s="1" t="s">
        <v>2446</v>
      </c>
      <c r="G196" s="154" t="s">
        <v>3211</v>
      </c>
      <c r="H196" s="11">
        <v>30000</v>
      </c>
      <c r="I196" s="15">
        <f>Tabla2456789[[#This Row],[TOTAL FACTURA]]*0.6+7500</f>
        <v>25500</v>
      </c>
      <c r="J196" s="149">
        <f t="shared" ref="J196:J264" si="3">H196-I196</f>
        <v>4500</v>
      </c>
      <c r="K196" s="10" t="s">
        <v>3336</v>
      </c>
      <c r="L196" s="11">
        <v>90000</v>
      </c>
      <c r="M196" s="11">
        <f>Tabla2456789[[#This Row],[MONTO DE COMPRA]]/1.19</f>
        <v>75630.252100840342</v>
      </c>
      <c r="N196" s="11">
        <f>Tabla2456789[[#This Row],[Columna1]]*19%</f>
        <v>14369.747899159665</v>
      </c>
      <c r="O196" s="11">
        <v>110000</v>
      </c>
      <c r="P196" s="11">
        <f>Tabla2456789[[#This Row],[VENTA ]]/1.19</f>
        <v>92436.97478991597</v>
      </c>
      <c r="Q196" s="11">
        <f>Tabla2456789[[#This Row],[Columna2]]*19%</f>
        <v>17563.025210084033</v>
      </c>
      <c r="R196" s="11">
        <f>Tabla2456789[[#This Row],[IVA VENTA ]]-Tabla2456789[[#This Row],[IV COMPRA]]</f>
        <v>3193.2773109243681</v>
      </c>
      <c r="S196" s="11">
        <f>(Tabla2456789[[#This Row],[VENTA ]]-(Tabla2456789[[#This Row],[MONTO DE COMPRA]]+Tabla2456789[[#This Row],[DIFERENCIA IVA ]]))</f>
        <v>16806.722689075628</v>
      </c>
      <c r="T196" s="11"/>
      <c r="U196" s="1"/>
    </row>
    <row r="197" spans="1:21" x14ac:dyDescent="0.25">
      <c r="A197" s="56">
        <v>44877</v>
      </c>
      <c r="B197" s="4" t="s">
        <v>3825</v>
      </c>
      <c r="C197" s="4" t="s">
        <v>3823</v>
      </c>
      <c r="D197" s="150" t="s">
        <v>3824</v>
      </c>
      <c r="E197" s="4" t="s">
        <v>136</v>
      </c>
      <c r="F197" s="1" t="s">
        <v>3666</v>
      </c>
      <c r="G197" s="10" t="s">
        <v>3616</v>
      </c>
      <c r="H197" s="11">
        <v>105000</v>
      </c>
      <c r="I197" s="15">
        <f>Tabla2456789[[#This Row],[TOTAL FACTURA]]*0.5</f>
        <v>52500</v>
      </c>
      <c r="J197" s="149">
        <f t="shared" si="3"/>
        <v>52500</v>
      </c>
      <c r="K197" s="10" t="s">
        <v>3388</v>
      </c>
      <c r="L197" s="11">
        <v>33000</v>
      </c>
      <c r="M197" s="11"/>
      <c r="N197" s="11">
        <f>Tabla2456789[[#This Row],[Columna1]]*19%</f>
        <v>0</v>
      </c>
      <c r="O197" s="11">
        <v>70000</v>
      </c>
      <c r="P197" s="11"/>
      <c r="Q197" s="11">
        <f>Tabla2456789[[#This Row],[Columna2]]*19%</f>
        <v>0</v>
      </c>
      <c r="R197" s="11">
        <f>Tabla2456789[[#This Row],[IVA VENTA ]]-Tabla2456789[[#This Row],[IV COMPRA]]</f>
        <v>0</v>
      </c>
      <c r="S197" s="11">
        <f>(Tabla2456789[[#This Row],[VENTA ]]-(Tabla2456789[[#This Row],[MONTO DE COMPRA]]+Tabla2456789[[#This Row],[DIFERENCIA IVA ]]))</f>
        <v>37000</v>
      </c>
      <c r="T197" s="11"/>
      <c r="U197" s="1"/>
    </row>
    <row r="198" spans="1:21" x14ac:dyDescent="0.25">
      <c r="A198" s="56">
        <v>44880</v>
      </c>
      <c r="C198" s="4"/>
      <c r="D198" s="150" t="s">
        <v>3826</v>
      </c>
      <c r="E198" s="4" t="s">
        <v>1034</v>
      </c>
      <c r="F198" s="1" t="s">
        <v>2446</v>
      </c>
      <c r="G198" s="10" t="s">
        <v>138</v>
      </c>
      <c r="H198" s="11">
        <v>60000</v>
      </c>
      <c r="I198" s="15">
        <f>Tabla2456789[[#This Row],[TOTAL FACTURA]]*0.6</f>
        <v>36000</v>
      </c>
      <c r="J198" s="149">
        <f t="shared" si="3"/>
        <v>24000</v>
      </c>
      <c r="K198" s="10"/>
      <c r="L198" s="11"/>
      <c r="M198" s="11">
        <f>Tabla2456789[[#This Row],[MONTO DE COMPRA]]/1.19</f>
        <v>0</v>
      </c>
      <c r="N198" s="11">
        <f>Tabla2456789[[#This Row],[Columna1]]*19%</f>
        <v>0</v>
      </c>
      <c r="O198" s="11"/>
      <c r="P198" s="11">
        <f>Tabla2456789[[#This Row],[VENTA ]]/1.19</f>
        <v>0</v>
      </c>
      <c r="Q198" s="11">
        <f>Tabla2456789[[#This Row],[Columna2]]*19%</f>
        <v>0</v>
      </c>
      <c r="R198" s="11">
        <f>Tabla2456789[[#This Row],[IVA VENTA ]]-Tabla2456789[[#This Row],[IV COMPRA]]</f>
        <v>0</v>
      </c>
      <c r="S198" s="11">
        <f>(Tabla2456789[[#This Row],[VENTA ]]-(Tabla2456789[[#This Row],[MONTO DE COMPRA]]+Tabla2456789[[#This Row],[DIFERENCIA IVA ]]))</f>
        <v>0</v>
      </c>
      <c r="T198" s="11"/>
      <c r="U198" s="1"/>
    </row>
    <row r="199" spans="1:21" ht="45" x14ac:dyDescent="0.25">
      <c r="A199" s="56">
        <v>44880</v>
      </c>
      <c r="B199" s="4" t="s">
        <v>3828</v>
      </c>
      <c r="C199" s="4" t="s">
        <v>3829</v>
      </c>
      <c r="D199" s="150" t="s">
        <v>3830</v>
      </c>
      <c r="E199" s="4" t="s">
        <v>899</v>
      </c>
      <c r="F199" s="1" t="s">
        <v>2446</v>
      </c>
      <c r="G199" s="10" t="s">
        <v>3831</v>
      </c>
      <c r="H199" s="11">
        <v>290000</v>
      </c>
      <c r="I199" s="15">
        <f>Tabla2456789[[#This Row],[TOTAL FACTURA]]*0.6</f>
        <v>174000</v>
      </c>
      <c r="J199" s="149">
        <f t="shared" si="3"/>
        <v>116000</v>
      </c>
      <c r="K199" s="10" t="s">
        <v>3832</v>
      </c>
      <c r="L199" s="11">
        <v>640000</v>
      </c>
      <c r="M199" s="11">
        <f>Tabla2456789[[#This Row],[MONTO DE COMPRA]]/1.19</f>
        <v>537815.12605042022</v>
      </c>
      <c r="N199" s="11">
        <f>Tabla2456789[[#This Row],[Columna1]]*19%</f>
        <v>102184.87394957984</v>
      </c>
      <c r="O199" s="11">
        <v>805000</v>
      </c>
      <c r="P199" s="11">
        <f>Tabla2456789[[#This Row],[VENTA ]]/1.19</f>
        <v>676470.5882352941</v>
      </c>
      <c r="Q199" s="11">
        <f>Tabla2456789[[#This Row],[Columna2]]*19%</f>
        <v>128529.41176470587</v>
      </c>
      <c r="R199" s="11">
        <f>Tabla2456789[[#This Row],[IVA VENTA ]]-Tabla2456789[[#This Row],[IV COMPRA]]</f>
        <v>26344.537815126037</v>
      </c>
      <c r="S199" s="11">
        <f>(Tabla2456789[[#This Row],[VENTA ]]-(Tabla2456789[[#This Row],[MONTO DE COMPRA]]+Tabla2456789[[#This Row],[DIFERENCIA IVA ]]))</f>
        <v>138655.46218487399</v>
      </c>
      <c r="T199" s="11"/>
      <c r="U199" s="1"/>
    </row>
    <row r="200" spans="1:21" x14ac:dyDescent="0.25">
      <c r="A200" s="56">
        <v>44880</v>
      </c>
      <c r="B200" s="4" t="s">
        <v>3833</v>
      </c>
      <c r="C200" s="4" t="s">
        <v>3834</v>
      </c>
      <c r="D200" s="150" t="s">
        <v>3835</v>
      </c>
      <c r="E200" s="4" t="s">
        <v>76</v>
      </c>
      <c r="F200" s="1" t="s">
        <v>3768</v>
      </c>
      <c r="G200" s="10" t="s">
        <v>338</v>
      </c>
      <c r="H200" s="11">
        <v>110000</v>
      </c>
      <c r="I200" s="15">
        <f>Tabla2456789[[#This Row],[TOTAL FACTURA]]*0.7</f>
        <v>77000</v>
      </c>
      <c r="J200" s="149">
        <f t="shared" si="3"/>
        <v>33000</v>
      </c>
      <c r="K200" s="10"/>
      <c r="L200" s="11"/>
      <c r="M200" s="11">
        <f>Tabla2456789[[#This Row],[MONTO DE COMPRA]]/1.19</f>
        <v>0</v>
      </c>
      <c r="N200" s="11">
        <f>Tabla2456789[[#This Row],[Columna1]]*19%</f>
        <v>0</v>
      </c>
      <c r="O200" s="11"/>
      <c r="P200" s="11">
        <f>Tabla2456789[[#This Row],[VENTA ]]/1.19</f>
        <v>0</v>
      </c>
      <c r="Q200" s="11">
        <f>Tabla2456789[[#This Row],[Columna2]]*19%</f>
        <v>0</v>
      </c>
      <c r="R200" s="11">
        <f>Tabla2456789[[#This Row],[IVA VENTA ]]-Tabla2456789[[#This Row],[IV COMPRA]]</f>
        <v>0</v>
      </c>
      <c r="S200" s="11">
        <f>(Tabla2456789[[#This Row],[VENTA ]]-(Tabla2456789[[#This Row],[MONTO DE COMPRA]]+Tabla2456789[[#This Row],[DIFERENCIA IVA ]]))</f>
        <v>0</v>
      </c>
      <c r="T200" s="11"/>
      <c r="U200" s="1"/>
    </row>
    <row r="201" spans="1:21" x14ac:dyDescent="0.25">
      <c r="A201" s="56">
        <v>44880</v>
      </c>
      <c r="B201" s="4" t="s">
        <v>3839</v>
      </c>
      <c r="C201" s="4" t="s">
        <v>3836</v>
      </c>
      <c r="D201" s="150" t="s">
        <v>3837</v>
      </c>
      <c r="E201" s="4" t="s">
        <v>389</v>
      </c>
      <c r="F201" s="1" t="s">
        <v>2446</v>
      </c>
      <c r="G201" s="10" t="s">
        <v>3838</v>
      </c>
      <c r="H201" s="11">
        <v>24000</v>
      </c>
      <c r="I201" s="15">
        <f>Tabla2456789[[#This Row],[TOTAL FACTURA]]*0.6</f>
        <v>14400</v>
      </c>
      <c r="J201" s="149">
        <f t="shared" si="3"/>
        <v>9600</v>
      </c>
      <c r="K201" s="10"/>
      <c r="L201" s="11"/>
      <c r="M201" s="11">
        <f>Tabla2456789[[#This Row],[MONTO DE COMPRA]]/1.19</f>
        <v>0</v>
      </c>
      <c r="N201" s="11">
        <f>Tabla2456789[[#This Row],[Columna1]]*19%</f>
        <v>0</v>
      </c>
      <c r="O201" s="11"/>
      <c r="P201" s="11">
        <f>Tabla2456789[[#This Row],[VENTA ]]/1.19</f>
        <v>0</v>
      </c>
      <c r="Q201" s="11">
        <f>Tabla2456789[[#This Row],[Columna2]]*19%</f>
        <v>0</v>
      </c>
      <c r="R201" s="11">
        <f>Tabla2456789[[#This Row],[IVA VENTA ]]-Tabla2456789[[#This Row],[IV COMPRA]]</f>
        <v>0</v>
      </c>
      <c r="S201" s="11">
        <f>(Tabla2456789[[#This Row],[VENTA ]]-(Tabla2456789[[#This Row],[MONTO DE COMPRA]]+Tabla2456789[[#This Row],[DIFERENCIA IVA ]]))</f>
        <v>0</v>
      </c>
      <c r="T201" s="11"/>
      <c r="U201" s="1"/>
    </row>
    <row r="202" spans="1:21" ht="30" x14ac:dyDescent="0.25">
      <c r="A202" s="56">
        <v>44880</v>
      </c>
      <c r="B202" s="4" t="s">
        <v>3842</v>
      </c>
      <c r="C202" s="4"/>
      <c r="D202" s="150" t="s">
        <v>3840</v>
      </c>
      <c r="E202" s="4" t="s">
        <v>1044</v>
      </c>
      <c r="F202" s="1" t="s">
        <v>2446</v>
      </c>
      <c r="G202" s="10" t="s">
        <v>3846</v>
      </c>
      <c r="H202" s="11">
        <v>50000</v>
      </c>
      <c r="I202" s="15">
        <f>Tabla2456789[[#This Row],[TOTAL FACTURA]]*0.6</f>
        <v>30000</v>
      </c>
      <c r="J202" s="149">
        <f t="shared" si="3"/>
        <v>20000</v>
      </c>
      <c r="K202" s="10" t="s">
        <v>3841</v>
      </c>
      <c r="L202" s="11">
        <v>10000</v>
      </c>
      <c r="M202" s="11">
        <f>Tabla2456789[[#This Row],[MONTO DE COMPRA]]/1.19</f>
        <v>8403.361344537816</v>
      </c>
      <c r="N202" s="11">
        <f>Tabla2456789[[#This Row],[Columna1]]*19%</f>
        <v>1596.6386554621849</v>
      </c>
      <c r="O202" s="11">
        <v>7700</v>
      </c>
      <c r="P202" s="11">
        <f>Tabla2456789[[#This Row],[VENTA ]]/1.19</f>
        <v>6470.588235294118</v>
      </c>
      <c r="Q202" s="11">
        <f>Tabla2456789[[#This Row],[Columna2]]*19%</f>
        <v>1229.4117647058824</v>
      </c>
      <c r="R202" s="11">
        <f>Tabla2456789[[#This Row],[IVA VENTA ]]-Tabla2456789[[#This Row],[IV COMPRA]]</f>
        <v>-367.22689075630251</v>
      </c>
      <c r="S202" s="11">
        <f>(Tabla2456789[[#This Row],[VENTA ]]-(Tabla2456789[[#This Row],[MONTO DE COMPRA]]+Tabla2456789[[#This Row],[DIFERENCIA IVA ]]))</f>
        <v>-1932.773109243697</v>
      </c>
      <c r="T202" s="11"/>
      <c r="U202" s="1"/>
    </row>
    <row r="203" spans="1:21" x14ac:dyDescent="0.25">
      <c r="A203" s="56">
        <v>44880</v>
      </c>
      <c r="B203" s="4" t="s">
        <v>3845</v>
      </c>
      <c r="C203" s="1" t="s">
        <v>3843</v>
      </c>
      <c r="D203" s="150" t="s">
        <v>3844</v>
      </c>
      <c r="E203" s="1" t="s">
        <v>1907</v>
      </c>
      <c r="F203" s="1" t="s">
        <v>2446</v>
      </c>
      <c r="G203" s="10" t="s">
        <v>20</v>
      </c>
      <c r="H203" s="148">
        <v>30000</v>
      </c>
      <c r="I203" s="15">
        <f>Tabla2456789[[#This Row],[TOTAL FACTURA]]*0.6</f>
        <v>18000</v>
      </c>
      <c r="J203" s="149">
        <f t="shared" si="3"/>
        <v>12000</v>
      </c>
      <c r="K203" s="10" t="s">
        <v>71</v>
      </c>
      <c r="L203" s="11">
        <v>165000</v>
      </c>
      <c r="M203" s="11">
        <f>Tabla2456789[[#This Row],[MONTO DE COMPRA]]/1.19</f>
        <v>138655.46218487396</v>
      </c>
      <c r="N203" s="11">
        <f>Tabla2456789[[#This Row],[Columna1]]*19%</f>
        <v>26344.537815126052</v>
      </c>
      <c r="O203" s="11">
        <v>230000</v>
      </c>
      <c r="P203" s="11">
        <f>Tabla2456789[[#This Row],[VENTA ]]/1.19</f>
        <v>193277.31092436975</v>
      </c>
      <c r="Q203" s="11">
        <f>Tabla2456789[[#This Row],[Columna2]]*19%</f>
        <v>36722.689075630253</v>
      </c>
      <c r="R203" s="11">
        <f>Tabla2456789[[#This Row],[IVA VENTA ]]-Tabla2456789[[#This Row],[IV COMPRA]]</f>
        <v>10378.151260504201</v>
      </c>
      <c r="S203" s="11">
        <f>(Tabla2456789[[#This Row],[VENTA ]]-(Tabla2456789[[#This Row],[MONTO DE COMPRA]]+Tabla2456789[[#This Row],[DIFERENCIA IVA ]]))</f>
        <v>54621.848739495792</v>
      </c>
    </row>
    <row r="204" spans="1:21" x14ac:dyDescent="0.25">
      <c r="A204" s="56">
        <v>44880</v>
      </c>
      <c r="C204" s="1" t="s">
        <v>1878</v>
      </c>
      <c r="D204" s="150" t="s">
        <v>1880</v>
      </c>
      <c r="E204" s="1" t="s">
        <v>1077</v>
      </c>
      <c r="F204" s="1" t="s">
        <v>2446</v>
      </c>
      <c r="G204" s="10" t="s">
        <v>3848</v>
      </c>
      <c r="H204" s="148">
        <v>30000</v>
      </c>
      <c r="I204" s="15">
        <f>Tabla2456789[[#This Row],[TOTAL FACTURA]]*0.6</f>
        <v>18000</v>
      </c>
      <c r="J204" s="149">
        <f t="shared" si="3"/>
        <v>12000</v>
      </c>
      <c r="K204" s="10"/>
      <c r="L204" s="11"/>
      <c r="M204" s="11">
        <f>Tabla2456789[[#This Row],[MONTO DE COMPRA]]/1.19</f>
        <v>0</v>
      </c>
      <c r="N204" s="11">
        <f>Tabla2456789[[#This Row],[Columna1]]*19%</f>
        <v>0</v>
      </c>
      <c r="O204" s="11"/>
      <c r="P204" s="11">
        <f>Tabla2456789[[#This Row],[VENTA ]]/1.19</f>
        <v>0</v>
      </c>
      <c r="Q204" s="11">
        <f>Tabla2456789[[#This Row],[Columna2]]*19%</f>
        <v>0</v>
      </c>
      <c r="R204" s="11">
        <f>Tabla2456789[[#This Row],[IVA VENTA ]]-Tabla2456789[[#This Row],[IV COMPRA]]</f>
        <v>0</v>
      </c>
      <c r="S204" s="11">
        <f>(Tabla2456789[[#This Row],[VENTA ]]-(Tabla2456789[[#This Row],[MONTO DE COMPRA]]+Tabla2456789[[#This Row],[DIFERENCIA IVA ]]))</f>
        <v>0</v>
      </c>
    </row>
    <row r="205" spans="1:21" x14ac:dyDescent="0.25">
      <c r="A205" s="56">
        <v>44890</v>
      </c>
      <c r="C205" s="181"/>
      <c r="D205" s="150" t="s">
        <v>2980</v>
      </c>
      <c r="E205" s="1" t="s">
        <v>2856</v>
      </c>
      <c r="F205" s="1" t="s">
        <v>2446</v>
      </c>
      <c r="G205" s="154" t="s">
        <v>2595</v>
      </c>
      <c r="H205" s="148">
        <v>40000</v>
      </c>
      <c r="I205" s="15">
        <f>Tabla2456789[[#This Row],[TOTAL FACTURA]]*0.6</f>
        <v>24000</v>
      </c>
      <c r="J205" s="172">
        <f>H205-I205</f>
        <v>16000</v>
      </c>
      <c r="K205" s="10"/>
      <c r="L205" s="11"/>
      <c r="M205" s="11">
        <f>Tabla2456789[[#This Row],[MONTO DE COMPRA]]/1.19</f>
        <v>0</v>
      </c>
      <c r="N205" s="11">
        <f>Tabla2456789[[#This Row],[Columna1]]*19%</f>
        <v>0</v>
      </c>
      <c r="O205" s="11"/>
      <c r="P205" s="11">
        <f>Tabla2456789[[#This Row],[VENTA ]]/1.19</f>
        <v>0</v>
      </c>
      <c r="Q205" s="11">
        <f>Tabla2456789[[#This Row],[Columna2]]*19%</f>
        <v>0</v>
      </c>
      <c r="R205" s="11">
        <f>Tabla2456789[[#This Row],[IVA VENTA ]]-Tabla2456789[[#This Row],[IV COMPRA]]</f>
        <v>0</v>
      </c>
      <c r="S205" s="11">
        <f>(Tabla2456789[[#This Row],[VENTA ]]-(Tabla2456789[[#This Row],[MONTO DE COMPRA]]+Tabla2456789[[#This Row],[DIFERENCIA IVA ]]))</f>
        <v>0</v>
      </c>
    </row>
    <row r="206" spans="1:21" x14ac:dyDescent="0.25">
      <c r="A206" s="56">
        <v>44880</v>
      </c>
      <c r="D206" s="150" t="s">
        <v>2980</v>
      </c>
      <c r="E206" s="1" t="s">
        <v>2856</v>
      </c>
      <c r="F206" s="1" t="s">
        <v>3768</v>
      </c>
      <c r="G206" s="10" t="s">
        <v>3847</v>
      </c>
      <c r="H206" s="148">
        <v>20000</v>
      </c>
      <c r="I206" s="15">
        <f>Tabla2456789[[#This Row],[TOTAL FACTURA]]*0.7</f>
        <v>14000</v>
      </c>
      <c r="J206" s="149">
        <f t="shared" si="3"/>
        <v>6000</v>
      </c>
      <c r="L206" s="11"/>
      <c r="M206" s="11">
        <f>Tabla2456789[[#This Row],[MONTO DE COMPRA]]/1.19</f>
        <v>0</v>
      </c>
      <c r="N206" s="11">
        <f>Tabla2456789[[#This Row],[Columna1]]*19%</f>
        <v>0</v>
      </c>
      <c r="O206" s="11"/>
      <c r="P206" s="11">
        <f>Tabla2456789[[#This Row],[VENTA ]]/1.19</f>
        <v>0</v>
      </c>
      <c r="Q206" s="11">
        <f>Tabla2456789[[#This Row],[Columna2]]*19%</f>
        <v>0</v>
      </c>
      <c r="R206" s="11">
        <f>Tabla2456789[[#This Row],[IVA VENTA ]]-Tabla2456789[[#This Row],[IV COMPRA]]</f>
        <v>0</v>
      </c>
      <c r="S206" s="11">
        <f>(Tabla2456789[[#This Row],[VENTA ]]-(Tabla2456789[[#This Row],[MONTO DE COMPRA]]+Tabla2456789[[#This Row],[DIFERENCIA IVA ]]))</f>
        <v>0</v>
      </c>
    </row>
    <row r="207" spans="1:21" ht="45" x14ac:dyDescent="0.25">
      <c r="A207" s="56">
        <v>44881</v>
      </c>
      <c r="B207" s="4" t="s">
        <v>3850</v>
      </c>
      <c r="C207" s="4" t="s">
        <v>3851</v>
      </c>
      <c r="D207" s="150" t="s">
        <v>3852</v>
      </c>
      <c r="E207" s="4" t="s">
        <v>3853</v>
      </c>
      <c r="F207" s="1" t="s">
        <v>2446</v>
      </c>
      <c r="G207" s="10" t="s">
        <v>3854</v>
      </c>
      <c r="H207" s="11">
        <v>180000</v>
      </c>
      <c r="I207" s="15">
        <f>Tabla2456789[[#This Row],[TOTAL FACTURA]]*0.6</f>
        <v>108000</v>
      </c>
      <c r="J207" s="149">
        <f t="shared" si="3"/>
        <v>72000</v>
      </c>
      <c r="K207" s="10" t="s">
        <v>3855</v>
      </c>
      <c r="L207" s="11">
        <f>708933+120000+37000</f>
        <v>865933</v>
      </c>
      <c r="M207" s="11">
        <f>Tabla2456789[[#This Row],[MONTO DE COMPRA]]/1.19</f>
        <v>727674.78991596645</v>
      </c>
      <c r="N207" s="11">
        <f>Tabla2456789[[#This Row],[Columna1]]*19%</f>
        <v>138258.21008403364</v>
      </c>
      <c r="O207" s="11">
        <v>1270000</v>
      </c>
      <c r="P207" s="11">
        <f>Tabla2456789[[#This Row],[VENTA ]]/1.19</f>
        <v>1067226.8907563025</v>
      </c>
      <c r="Q207" s="11">
        <f>Tabla2456789[[#This Row],[Columna2]]*19%</f>
        <v>202773.10924369749</v>
      </c>
      <c r="R207" s="11">
        <f>Tabla2456789[[#This Row],[IVA VENTA ]]-Tabla2456789[[#This Row],[IV COMPRA]]</f>
        <v>64514.899159663852</v>
      </c>
      <c r="S207" s="11">
        <f>(Tabla2456789[[#This Row],[VENTA ]]-(Tabla2456789[[#This Row],[MONTO DE COMPRA]]+Tabla2456789[[#This Row],[DIFERENCIA IVA ]]))</f>
        <v>339552.10084033618</v>
      </c>
      <c r="T207" s="11"/>
      <c r="U207" s="1"/>
    </row>
    <row r="208" spans="1:21" ht="45" x14ac:dyDescent="0.25">
      <c r="A208" s="56">
        <v>44881</v>
      </c>
      <c r="B208" s="4" t="s">
        <v>3856</v>
      </c>
      <c r="C208" s="4" t="s">
        <v>2476</v>
      </c>
      <c r="D208" s="150" t="s">
        <v>2166</v>
      </c>
      <c r="E208" s="4" t="s">
        <v>3786</v>
      </c>
      <c r="F208" s="1" t="s">
        <v>2446</v>
      </c>
      <c r="G208" s="10" t="s">
        <v>3857</v>
      </c>
      <c r="H208" s="11">
        <v>80000</v>
      </c>
      <c r="I208" s="15">
        <f>Tabla2456789[[#This Row],[TOTAL FACTURA]]*0.6</f>
        <v>48000</v>
      </c>
      <c r="J208" s="149">
        <f t="shared" si="3"/>
        <v>32000</v>
      </c>
      <c r="K208" s="10" t="s">
        <v>1015</v>
      </c>
      <c r="L208" s="11">
        <v>7000</v>
      </c>
      <c r="M208" s="11">
        <f>Tabla2456789[[#This Row],[MONTO DE COMPRA]]/1.19</f>
        <v>5882.3529411764712</v>
      </c>
      <c r="N208" s="11">
        <f>Tabla2456789[[#This Row],[Columna1]]*19%</f>
        <v>1117.6470588235295</v>
      </c>
      <c r="O208" s="11">
        <v>20000</v>
      </c>
      <c r="P208" s="11">
        <f>Tabla2456789[[#This Row],[VENTA ]]/1.19</f>
        <v>16806.722689075632</v>
      </c>
      <c r="Q208" s="11">
        <f>Tabla2456789[[#This Row],[Columna2]]*19%</f>
        <v>3193.2773109243699</v>
      </c>
      <c r="R208" s="11">
        <f>Tabla2456789[[#This Row],[IVA VENTA ]]-Tabla2456789[[#This Row],[IV COMPRA]]</f>
        <v>2075.6302521008402</v>
      </c>
      <c r="S208" s="11">
        <f>(Tabla2456789[[#This Row],[VENTA ]]-(Tabla2456789[[#This Row],[MONTO DE COMPRA]]+Tabla2456789[[#This Row],[DIFERENCIA IVA ]]))</f>
        <v>10924.36974789916</v>
      </c>
      <c r="T208" s="11"/>
      <c r="U208" s="1"/>
    </row>
    <row r="209" spans="1:20" s="1" customFormat="1" x14ac:dyDescent="0.25">
      <c r="A209" s="56">
        <v>44882</v>
      </c>
      <c r="B209" s="4"/>
      <c r="C209" s="4" t="s">
        <v>3858</v>
      </c>
      <c r="D209" s="150" t="s">
        <v>3859</v>
      </c>
      <c r="E209" s="4" t="s">
        <v>3595</v>
      </c>
      <c r="F209" s="1" t="s">
        <v>2446</v>
      </c>
      <c r="G209" s="10" t="s">
        <v>3860</v>
      </c>
      <c r="H209" s="11">
        <v>20000</v>
      </c>
      <c r="I209" s="15">
        <f>Tabla2456789[[#This Row],[TOTAL FACTURA]]*0.6</f>
        <v>12000</v>
      </c>
      <c r="J209" s="149">
        <f t="shared" si="3"/>
        <v>8000</v>
      </c>
      <c r="K209" s="10" t="s">
        <v>3861</v>
      </c>
      <c r="L209" s="11">
        <v>105000</v>
      </c>
      <c r="M209" s="11">
        <f>Tabla2456789[[#This Row],[MONTO DE COMPRA]]/1.19</f>
        <v>88235.294117647063</v>
      </c>
      <c r="N209" s="11">
        <f>Tabla2456789[[#This Row],[Columna1]]*19%</f>
        <v>16764.705882352941</v>
      </c>
      <c r="O209" s="11">
        <v>130000</v>
      </c>
      <c r="P209" s="11">
        <f>Tabla2456789[[#This Row],[VENTA ]]/1.19</f>
        <v>109243.6974789916</v>
      </c>
      <c r="Q209" s="11">
        <f>Tabla2456789[[#This Row],[Columna2]]*19%</f>
        <v>20756.302521008405</v>
      </c>
      <c r="R209" s="11">
        <f>Tabla2456789[[#This Row],[IVA VENTA ]]-Tabla2456789[[#This Row],[IV COMPRA]]</f>
        <v>3991.5966386554646</v>
      </c>
      <c r="S209" s="11">
        <f>(Tabla2456789[[#This Row],[VENTA ]]-(Tabla2456789[[#This Row],[MONTO DE COMPRA]]+Tabla2456789[[#This Row],[DIFERENCIA IVA ]]))</f>
        <v>21008.403361344535</v>
      </c>
      <c r="T209" s="11"/>
    </row>
    <row r="210" spans="1:20" s="1" customFormat="1" ht="30" x14ac:dyDescent="0.25">
      <c r="A210" s="56">
        <v>44882</v>
      </c>
      <c r="B210" s="4"/>
      <c r="C210" s="4" t="s">
        <v>3862</v>
      </c>
      <c r="D210" s="150" t="s">
        <v>3863</v>
      </c>
      <c r="E210" s="4" t="s">
        <v>1414</v>
      </c>
      <c r="F210" s="1" t="s">
        <v>2446</v>
      </c>
      <c r="G210" s="10" t="s">
        <v>3877</v>
      </c>
      <c r="H210" s="11">
        <v>150000</v>
      </c>
      <c r="I210" s="15">
        <f>Tabla2456789[[#This Row],[TOTAL FACTURA]]*0.6</f>
        <v>90000</v>
      </c>
      <c r="J210" s="149">
        <f t="shared" si="3"/>
        <v>60000</v>
      </c>
      <c r="K210" s="10" t="s">
        <v>3864</v>
      </c>
      <c r="L210" s="11"/>
      <c r="M210" s="11">
        <f>Tabla2456789[[#This Row],[MONTO DE COMPRA]]/1.19</f>
        <v>0</v>
      </c>
      <c r="N210" s="11">
        <f>Tabla2456789[[#This Row],[Columna1]]*19%</f>
        <v>0</v>
      </c>
      <c r="O210" s="11"/>
      <c r="P210" s="11">
        <f>Tabla2456789[[#This Row],[VENTA ]]/1.19</f>
        <v>0</v>
      </c>
      <c r="Q210" s="11">
        <f>Tabla2456789[[#This Row],[Columna2]]*19%</f>
        <v>0</v>
      </c>
      <c r="R210" s="11">
        <f>Tabla2456789[[#This Row],[IVA VENTA ]]-Tabla2456789[[#This Row],[IV COMPRA]]</f>
        <v>0</v>
      </c>
      <c r="S210" s="11">
        <f>(Tabla2456789[[#This Row],[VENTA ]]-(Tabla2456789[[#This Row],[MONTO DE COMPRA]]+Tabla2456789[[#This Row],[DIFERENCIA IVA ]]))</f>
        <v>0</v>
      </c>
      <c r="T210" s="11"/>
    </row>
    <row r="211" spans="1:20" s="1" customFormat="1" ht="39.75" customHeight="1" x14ac:dyDescent="0.25">
      <c r="A211" s="56">
        <v>44882</v>
      </c>
      <c r="B211" s="4"/>
      <c r="C211" s="4"/>
      <c r="D211" s="150" t="s">
        <v>3865</v>
      </c>
      <c r="E211" s="4" t="s">
        <v>815</v>
      </c>
      <c r="F211" s="1" t="s">
        <v>3666</v>
      </c>
      <c r="G211" s="10" t="s">
        <v>3866</v>
      </c>
      <c r="H211" s="11">
        <v>80000</v>
      </c>
      <c r="I211" s="15">
        <f>Tabla2456789[[#This Row],[TOTAL FACTURA]]*0.5+110000</f>
        <v>150000</v>
      </c>
      <c r="J211" s="149">
        <f t="shared" si="3"/>
        <v>-70000</v>
      </c>
      <c r="K211" s="10"/>
      <c r="L211" s="11"/>
      <c r="M211" s="11">
        <f>Tabla2456789[[#This Row],[MONTO DE COMPRA]]/1.19</f>
        <v>0</v>
      </c>
      <c r="N211" s="11">
        <f>Tabla2456789[[#This Row],[Columna1]]*19%</f>
        <v>0</v>
      </c>
      <c r="O211" s="11"/>
      <c r="P211" s="11">
        <f>Tabla2456789[[#This Row],[VENTA ]]/1.19</f>
        <v>0</v>
      </c>
      <c r="Q211" s="11">
        <f>Tabla2456789[[#This Row],[Columna2]]*19%</f>
        <v>0</v>
      </c>
      <c r="R211" s="11">
        <f>Tabla2456789[[#This Row],[IVA VENTA ]]-Tabla2456789[[#This Row],[IV COMPRA]]</f>
        <v>0</v>
      </c>
      <c r="S211" s="11">
        <f>(Tabla2456789[[#This Row],[VENTA ]]-(Tabla2456789[[#This Row],[MONTO DE COMPRA]]+Tabla2456789[[#This Row],[DIFERENCIA IVA ]]))</f>
        <v>0</v>
      </c>
      <c r="T211" s="11"/>
    </row>
    <row r="212" spans="1:20" s="1" customFormat="1" x14ac:dyDescent="0.25">
      <c r="A212" s="56">
        <v>44883</v>
      </c>
      <c r="B212" s="4"/>
      <c r="C212" s="4"/>
      <c r="D212" s="150" t="s">
        <v>3867</v>
      </c>
      <c r="E212" s="4" t="s">
        <v>1931</v>
      </c>
      <c r="F212" s="1" t="s">
        <v>2446</v>
      </c>
      <c r="G212" s="10" t="s">
        <v>341</v>
      </c>
      <c r="H212" s="11">
        <v>15000</v>
      </c>
      <c r="I212" s="15">
        <f>Tabla2456789[[#This Row],[TOTAL FACTURA]]*0.6</f>
        <v>9000</v>
      </c>
      <c r="J212" s="149">
        <f t="shared" si="3"/>
        <v>6000</v>
      </c>
      <c r="K212" s="10"/>
      <c r="L212" s="11"/>
      <c r="M212" s="11">
        <f>Tabla2456789[[#This Row],[MONTO DE COMPRA]]/1.19</f>
        <v>0</v>
      </c>
      <c r="N212" s="11">
        <f>Tabla2456789[[#This Row],[Columna1]]*19%</f>
        <v>0</v>
      </c>
      <c r="O212" s="11"/>
      <c r="P212" s="11">
        <f>Tabla2456789[[#This Row],[VENTA ]]/1.19</f>
        <v>0</v>
      </c>
      <c r="Q212" s="11">
        <f>Tabla2456789[[#This Row],[Columna2]]*19%</f>
        <v>0</v>
      </c>
      <c r="R212" s="11">
        <f>Tabla2456789[[#This Row],[IVA VENTA ]]-Tabla2456789[[#This Row],[IV COMPRA]]</f>
        <v>0</v>
      </c>
      <c r="S212" s="11">
        <f>(Tabla2456789[[#This Row],[VENTA ]]-(Tabla2456789[[#This Row],[MONTO DE COMPRA]]+Tabla2456789[[#This Row],[DIFERENCIA IVA ]]))</f>
        <v>0</v>
      </c>
      <c r="T212" s="11"/>
    </row>
    <row r="213" spans="1:20" s="1" customFormat="1" x14ac:dyDescent="0.25">
      <c r="A213" s="56">
        <v>44883</v>
      </c>
      <c r="B213" s="4"/>
      <c r="C213" s="4" t="s">
        <v>1399</v>
      </c>
      <c r="D213" s="150" t="s">
        <v>963</v>
      </c>
      <c r="E213" s="4" t="s">
        <v>962</v>
      </c>
      <c r="F213" s="1" t="s">
        <v>2446</v>
      </c>
      <c r="G213" s="10" t="s">
        <v>2357</v>
      </c>
      <c r="H213" s="11">
        <v>20000</v>
      </c>
      <c r="I213" s="15">
        <f>Tabla2456789[[#This Row],[TOTAL FACTURA]]*0.6</f>
        <v>12000</v>
      </c>
      <c r="J213" s="149">
        <f t="shared" si="3"/>
        <v>8000</v>
      </c>
      <c r="K213" s="10" t="s">
        <v>1107</v>
      </c>
      <c r="L213" s="11">
        <v>80000</v>
      </c>
      <c r="M213" s="11">
        <f>Tabla2456789[[#This Row],[MONTO DE COMPRA]]/1.19</f>
        <v>67226.890756302528</v>
      </c>
      <c r="N213" s="11">
        <f>Tabla2456789[[#This Row],[Columna1]]*19%</f>
        <v>12773.10924369748</v>
      </c>
      <c r="O213" s="11">
        <v>95000</v>
      </c>
      <c r="P213" s="11">
        <f>Tabla2456789[[#This Row],[VENTA ]]/1.19</f>
        <v>79831.932773109249</v>
      </c>
      <c r="Q213" s="11">
        <f>Tabla2456789[[#This Row],[Columna2]]*19%</f>
        <v>15168.067226890758</v>
      </c>
      <c r="R213" s="11">
        <f>Tabla2456789[[#This Row],[IVA VENTA ]]-Tabla2456789[[#This Row],[IV COMPRA]]</f>
        <v>2394.9579831932788</v>
      </c>
      <c r="S213" s="11">
        <f>(Tabla2456789[[#This Row],[VENTA ]]-(Tabla2456789[[#This Row],[MONTO DE COMPRA]]+Tabla2456789[[#This Row],[DIFERENCIA IVA ]]))</f>
        <v>12605.042016806721</v>
      </c>
      <c r="T213" s="11"/>
    </row>
    <row r="214" spans="1:20" s="1" customFormat="1" ht="48" customHeight="1" x14ac:dyDescent="0.25">
      <c r="A214" s="56">
        <v>44883</v>
      </c>
      <c r="B214" s="4" t="s">
        <v>3890</v>
      </c>
      <c r="C214" s="4" t="s">
        <v>3868</v>
      </c>
      <c r="D214" s="152" t="s">
        <v>3869</v>
      </c>
      <c r="E214" s="4" t="s">
        <v>3870</v>
      </c>
      <c r="F214" s="1" t="s">
        <v>2446</v>
      </c>
      <c r="G214" s="10" t="s">
        <v>3871</v>
      </c>
      <c r="H214" s="11">
        <v>430000</v>
      </c>
      <c r="I214" s="15">
        <f>Tabla2456789[[#This Row],[TOTAL FACTURA]]*0.6</f>
        <v>258000</v>
      </c>
      <c r="J214" s="149">
        <f t="shared" si="3"/>
        <v>172000</v>
      </c>
      <c r="K214" s="10" t="s">
        <v>3872</v>
      </c>
      <c r="L214" s="11">
        <f>740000+26000+12000+20000</f>
        <v>798000</v>
      </c>
      <c r="M214" s="11"/>
      <c r="N214" s="11">
        <f>Tabla2456789[[#This Row],[Columna1]]*19%</f>
        <v>0</v>
      </c>
      <c r="O214" s="11">
        <v>1231600</v>
      </c>
      <c r="P214" s="11"/>
      <c r="Q214" s="11">
        <f>Tabla2456789[[#This Row],[Columna2]]*19%</f>
        <v>0</v>
      </c>
      <c r="R214" s="11">
        <f>Tabla2456789[[#This Row],[IVA VENTA ]]-Tabla2456789[[#This Row],[IV COMPRA]]</f>
        <v>0</v>
      </c>
      <c r="S214" s="11">
        <f>(Tabla2456789[[#This Row],[VENTA ]]-(Tabla2456789[[#This Row],[MONTO DE COMPRA]]+Tabla2456789[[#This Row],[DIFERENCIA IVA ]]))</f>
        <v>433600</v>
      </c>
      <c r="T214" s="11"/>
    </row>
    <row r="215" spans="1:20" s="1" customFormat="1" ht="15.75" customHeight="1" x14ac:dyDescent="0.25">
      <c r="A215" s="56">
        <v>44890</v>
      </c>
      <c r="B215" s="4"/>
      <c r="C215" s="4" t="s">
        <v>215</v>
      </c>
      <c r="D215" s="152"/>
      <c r="E215" s="4"/>
      <c r="F215" s="1" t="s">
        <v>2446</v>
      </c>
      <c r="G215" s="10" t="s">
        <v>341</v>
      </c>
      <c r="H215" s="15">
        <v>10000</v>
      </c>
      <c r="I215" s="15">
        <f>Tabla2456789[[#This Row],[TOTAL FACTURA]]*0.6</f>
        <v>6000</v>
      </c>
      <c r="J215" s="172">
        <f>H215-I215</f>
        <v>4000</v>
      </c>
      <c r="K215" s="10"/>
      <c r="L215" s="11"/>
      <c r="M215" s="11">
        <f>Tabla2456789[[#This Row],[MONTO DE COMPRA]]/1.19</f>
        <v>0</v>
      </c>
      <c r="N215" s="11">
        <f>Tabla2456789[[#This Row],[Columna1]]*19%</f>
        <v>0</v>
      </c>
      <c r="O215" s="11"/>
      <c r="P215" s="11">
        <f>Tabla2456789[[#This Row],[VENTA ]]/1.19</f>
        <v>0</v>
      </c>
      <c r="Q215" s="11">
        <f>Tabla2456789[[#This Row],[Columna2]]*19%</f>
        <v>0</v>
      </c>
      <c r="R215" s="11">
        <f>Tabla2456789[[#This Row],[IVA VENTA ]]-Tabla2456789[[#This Row],[IV COMPRA]]</f>
        <v>0</v>
      </c>
      <c r="S215" s="11">
        <f>(Tabla2456789[[#This Row],[VENTA ]]-(Tabla2456789[[#This Row],[MONTO DE COMPRA]]+Tabla2456789[[#This Row],[DIFERENCIA IVA ]]))</f>
        <v>0</v>
      </c>
      <c r="T215" s="11"/>
    </row>
    <row r="216" spans="1:20" s="1" customFormat="1" x14ac:dyDescent="0.25">
      <c r="A216" s="56">
        <v>44883</v>
      </c>
      <c r="B216" s="4" t="s">
        <v>3874</v>
      </c>
      <c r="C216" s="4" t="s">
        <v>837</v>
      </c>
      <c r="D216" s="150" t="s">
        <v>839</v>
      </c>
      <c r="E216" s="4" t="s">
        <v>1872</v>
      </c>
      <c r="F216" s="1" t="s">
        <v>2446</v>
      </c>
      <c r="G216" s="10" t="s">
        <v>3873</v>
      </c>
      <c r="H216" s="11">
        <v>60000</v>
      </c>
      <c r="I216" s="15">
        <f>Tabla2456789[[#This Row],[TOTAL FACTURA]]*0.6</f>
        <v>36000</v>
      </c>
      <c r="J216" s="149">
        <f t="shared" si="3"/>
        <v>24000</v>
      </c>
      <c r="K216" s="10"/>
      <c r="L216" s="11"/>
      <c r="M216" s="11">
        <f>Tabla2456789[[#This Row],[MONTO DE COMPRA]]/1.19</f>
        <v>0</v>
      </c>
      <c r="N216" s="11">
        <f>Tabla2456789[[#This Row],[Columna1]]*19%</f>
        <v>0</v>
      </c>
      <c r="O216" s="11"/>
      <c r="P216" s="11">
        <f>Tabla2456789[[#This Row],[VENTA ]]/1.19</f>
        <v>0</v>
      </c>
      <c r="Q216" s="11">
        <f>Tabla2456789[[#This Row],[Columna2]]*19%</f>
        <v>0</v>
      </c>
      <c r="R216" s="11">
        <f>Tabla2456789[[#This Row],[IVA VENTA ]]-Tabla2456789[[#This Row],[IV COMPRA]]</f>
        <v>0</v>
      </c>
      <c r="S216" s="11">
        <f>(Tabla2456789[[#This Row],[VENTA ]]-(Tabla2456789[[#This Row],[MONTO DE COMPRA]]+Tabla2456789[[#This Row],[DIFERENCIA IVA ]]))</f>
        <v>0</v>
      </c>
      <c r="T216" s="11"/>
    </row>
    <row r="217" spans="1:20" s="1" customFormat="1" x14ac:dyDescent="0.25">
      <c r="A217" s="56">
        <v>44883</v>
      </c>
      <c r="B217" s="4" t="s">
        <v>3874</v>
      </c>
      <c r="C217" s="4" t="s">
        <v>837</v>
      </c>
      <c r="D217" s="150" t="s">
        <v>839</v>
      </c>
      <c r="E217" s="4" t="s">
        <v>1872</v>
      </c>
      <c r="F217" s="1" t="s">
        <v>3768</v>
      </c>
      <c r="G217" s="10" t="s">
        <v>454</v>
      </c>
      <c r="H217" s="11">
        <v>60000</v>
      </c>
      <c r="I217" s="15">
        <f>Tabla2456789[[#This Row],[TOTAL FACTURA]]*0.7</f>
        <v>42000</v>
      </c>
      <c r="J217" s="149">
        <f t="shared" ref="J217" si="4">H217-I217</f>
        <v>18000</v>
      </c>
      <c r="K217" s="10"/>
      <c r="L217" s="11"/>
      <c r="M217" s="11">
        <f>Tabla2456789[[#This Row],[MONTO DE COMPRA]]/1.19</f>
        <v>0</v>
      </c>
      <c r="N217" s="11">
        <f>Tabla2456789[[#This Row],[Columna1]]*19%</f>
        <v>0</v>
      </c>
      <c r="O217" s="11"/>
      <c r="P217" s="11">
        <f>Tabla2456789[[#This Row],[VENTA ]]/1.19</f>
        <v>0</v>
      </c>
      <c r="Q217" s="11">
        <f>Tabla2456789[[#This Row],[Columna2]]*19%</f>
        <v>0</v>
      </c>
      <c r="R217" s="11">
        <f>Tabla2456789[[#This Row],[IVA VENTA ]]-Tabla2456789[[#This Row],[IV COMPRA]]</f>
        <v>0</v>
      </c>
      <c r="S217" s="11">
        <f>(Tabla2456789[[#This Row],[VENTA ]]-(Tabla2456789[[#This Row],[MONTO DE COMPRA]]+Tabla2456789[[#This Row],[DIFERENCIA IVA ]]))</f>
        <v>0</v>
      </c>
      <c r="T217" s="11"/>
    </row>
    <row r="218" spans="1:20" s="1" customFormat="1" x14ac:dyDescent="0.25">
      <c r="A218" s="56">
        <v>44883</v>
      </c>
      <c r="B218" s="4"/>
      <c r="C218" s="4"/>
      <c r="D218" s="150"/>
      <c r="E218" s="4" t="s">
        <v>3875</v>
      </c>
      <c r="F218" s="1" t="s">
        <v>2446</v>
      </c>
      <c r="G218" s="10" t="s">
        <v>341</v>
      </c>
      <c r="H218" s="11">
        <v>10000</v>
      </c>
      <c r="I218" s="15">
        <f>Tabla2456789[[#This Row],[TOTAL FACTURA]]*0.6</f>
        <v>6000</v>
      </c>
      <c r="J218" s="149">
        <f t="shared" si="3"/>
        <v>4000</v>
      </c>
      <c r="K218" s="10"/>
      <c r="L218" s="11"/>
      <c r="M218" s="11">
        <f>Tabla2456789[[#This Row],[MONTO DE COMPRA]]/1.19</f>
        <v>0</v>
      </c>
      <c r="N218" s="11">
        <f>Tabla2456789[[#This Row],[Columna1]]*19%</f>
        <v>0</v>
      </c>
      <c r="O218" s="11"/>
      <c r="P218" s="11">
        <f>Tabla2456789[[#This Row],[VENTA ]]/1.19</f>
        <v>0</v>
      </c>
      <c r="Q218" s="11">
        <f>Tabla2456789[[#This Row],[Columna2]]*19%</f>
        <v>0</v>
      </c>
      <c r="R218" s="11">
        <f>Tabla2456789[[#This Row],[IVA VENTA ]]-Tabla2456789[[#This Row],[IV COMPRA]]</f>
        <v>0</v>
      </c>
      <c r="S218" s="11">
        <f>(Tabla2456789[[#This Row],[VENTA ]]-(Tabla2456789[[#This Row],[MONTO DE COMPRA]]+Tabla2456789[[#This Row],[DIFERENCIA IVA ]]))</f>
        <v>0</v>
      </c>
      <c r="T218" s="11"/>
    </row>
    <row r="219" spans="1:20" s="1" customFormat="1" x14ac:dyDescent="0.25">
      <c r="A219" s="56">
        <v>44883</v>
      </c>
      <c r="B219" s="4"/>
      <c r="C219" s="4"/>
      <c r="D219" s="150" t="s">
        <v>2659</v>
      </c>
      <c r="E219" s="4" t="s">
        <v>88</v>
      </c>
      <c r="F219" s="1" t="s">
        <v>3768</v>
      </c>
      <c r="G219" s="10" t="s">
        <v>2130</v>
      </c>
      <c r="H219" s="11">
        <v>1200000</v>
      </c>
      <c r="I219" s="15">
        <f>Tabla2456789[[#This Row],[TOTAL FACTURA]]*0.7</f>
        <v>840000</v>
      </c>
      <c r="J219" s="149">
        <f t="shared" si="3"/>
        <v>360000</v>
      </c>
      <c r="K219" s="10"/>
      <c r="L219" s="11"/>
      <c r="M219" s="11">
        <f>Tabla2456789[[#This Row],[MONTO DE COMPRA]]/1.19</f>
        <v>0</v>
      </c>
      <c r="N219" s="11">
        <f>Tabla2456789[[#This Row],[Columna1]]*19%</f>
        <v>0</v>
      </c>
      <c r="O219" s="11"/>
      <c r="P219" s="11">
        <f>Tabla2456789[[#This Row],[VENTA ]]/1.19</f>
        <v>0</v>
      </c>
      <c r="Q219" s="11">
        <f>Tabla2456789[[#This Row],[Columna2]]*19%</f>
        <v>0</v>
      </c>
      <c r="R219" s="11">
        <f>Tabla2456789[[#This Row],[IVA VENTA ]]-Tabla2456789[[#This Row],[IV COMPRA]]</f>
        <v>0</v>
      </c>
      <c r="S219" s="11">
        <f>(Tabla2456789[[#This Row],[VENTA ]]-(Tabla2456789[[#This Row],[MONTO DE COMPRA]]+Tabla2456789[[#This Row],[DIFERENCIA IVA ]]))</f>
        <v>0</v>
      </c>
      <c r="T219" s="11"/>
    </row>
    <row r="220" spans="1:20" s="1" customFormat="1" ht="60" x14ac:dyDescent="0.25">
      <c r="A220" s="56">
        <v>44883</v>
      </c>
      <c r="B220" s="4" t="s">
        <v>129</v>
      </c>
      <c r="C220" s="4"/>
      <c r="D220" s="150" t="s">
        <v>125</v>
      </c>
      <c r="E220" s="4" t="s">
        <v>202</v>
      </c>
      <c r="F220" s="1" t="s">
        <v>3768</v>
      </c>
      <c r="G220" s="10" t="s">
        <v>2130</v>
      </c>
      <c r="H220" s="11">
        <v>1400000</v>
      </c>
      <c r="I220" s="15">
        <f>Tabla2456789[[#This Row],[TOTAL FACTURA]]*0.7-474000</f>
        <v>505999.99999999988</v>
      </c>
      <c r="J220" s="149">
        <f t="shared" si="3"/>
        <v>894000.00000000012</v>
      </c>
      <c r="K220" s="10" t="s">
        <v>4078</v>
      </c>
      <c r="L220" s="11">
        <f>1840000+630000+350000+100000+90000</f>
        <v>3010000</v>
      </c>
      <c r="M220" s="11"/>
      <c r="N220" s="11">
        <f>Tabla2456789[[#This Row],[Columna1]]*19%</f>
        <v>0</v>
      </c>
      <c r="O220" s="11">
        <v>10026001</v>
      </c>
      <c r="P220" s="11">
        <f>Tabla2456789[[#This Row],[VENTA ]]/1.19</f>
        <v>8425210.9243697487</v>
      </c>
      <c r="Q220" s="11">
        <f>Tabla2456789[[#This Row],[Columna2]]*19%</f>
        <v>1600790.0756302522</v>
      </c>
      <c r="R220" s="11">
        <f>Tabla2456789[[#This Row],[IVA VENTA ]]-Tabla2456789[[#This Row],[IV COMPRA]]</f>
        <v>1600790.0756302522</v>
      </c>
      <c r="S220" s="11">
        <f>(Tabla2456789[[#This Row],[VENTA ]]-(Tabla2456789[[#This Row],[MONTO DE COMPRA]]+Tabla2456789[[#This Row],[DIFERENCIA IVA ]]))</f>
        <v>5415210.9243697478</v>
      </c>
      <c r="T220" s="11"/>
    </row>
    <row r="221" spans="1:20" s="1" customFormat="1" x14ac:dyDescent="0.25">
      <c r="A221" s="56">
        <v>44884</v>
      </c>
      <c r="B221" s="4" t="s">
        <v>3880</v>
      </c>
      <c r="C221" s="4" t="s">
        <v>2979</v>
      </c>
      <c r="D221" s="150" t="s">
        <v>2980</v>
      </c>
      <c r="E221" s="4" t="s">
        <v>2856</v>
      </c>
      <c r="F221" s="1" t="s">
        <v>2446</v>
      </c>
      <c r="G221" s="154" t="s">
        <v>3881</v>
      </c>
      <c r="H221" s="15">
        <v>250000</v>
      </c>
      <c r="I221" s="15">
        <f>Tabla2456789[[#This Row],[TOTAL FACTURA]]*0.7</f>
        <v>175000</v>
      </c>
      <c r="J221" s="149">
        <f t="shared" si="3"/>
        <v>75000</v>
      </c>
      <c r="K221" s="10" t="s">
        <v>3882</v>
      </c>
      <c r="L221" s="11">
        <v>1400000</v>
      </c>
      <c r="M221" s="11"/>
      <c r="N221" s="11">
        <f>Tabla2456789[[#This Row],[Columna1]]*19%</f>
        <v>0</v>
      </c>
      <c r="O221" s="11">
        <v>1680000</v>
      </c>
      <c r="P221" s="11"/>
      <c r="Q221" s="11">
        <f>Tabla2456789[[#This Row],[Columna2]]*19%</f>
        <v>0</v>
      </c>
      <c r="R221" s="11">
        <f>Tabla2456789[[#This Row],[IVA VENTA ]]-Tabla2456789[[#This Row],[IV COMPRA]]</f>
        <v>0</v>
      </c>
      <c r="S221" s="11">
        <f>(Tabla2456789[[#This Row],[VENTA ]]-(Tabla2456789[[#This Row],[MONTO DE COMPRA]]+Tabla2456789[[#This Row],[DIFERENCIA IVA ]]))</f>
        <v>280000</v>
      </c>
      <c r="T221" s="11"/>
    </row>
    <row r="222" spans="1:20" s="1" customFormat="1" ht="45" x14ac:dyDescent="0.25">
      <c r="A222" s="56">
        <v>44884</v>
      </c>
      <c r="B222" s="4" t="s">
        <v>3885</v>
      </c>
      <c r="C222" s="4" t="s">
        <v>3883</v>
      </c>
      <c r="D222" s="152" t="s">
        <v>1208</v>
      </c>
      <c r="E222" s="4" t="s">
        <v>84</v>
      </c>
      <c r="F222" s="1" t="s">
        <v>34</v>
      </c>
      <c r="G222" s="10" t="s">
        <v>3884</v>
      </c>
      <c r="H222" s="11">
        <v>30000</v>
      </c>
      <c r="I222" s="15">
        <f>Tabla2456789[[#This Row],[TOTAL FACTURA]]*0.6</f>
        <v>18000</v>
      </c>
      <c r="J222" s="149">
        <f t="shared" si="3"/>
        <v>12000</v>
      </c>
      <c r="K222" s="10" t="s">
        <v>3886</v>
      </c>
      <c r="L222" s="11">
        <v>85000</v>
      </c>
      <c r="M222" s="11"/>
      <c r="N222" s="11">
        <f>Tabla2456789[[#This Row],[Columna1]]*19%</f>
        <v>0</v>
      </c>
      <c r="O222" s="11">
        <v>45000</v>
      </c>
      <c r="P222" s="11"/>
      <c r="Q222" s="11">
        <f>Tabla2456789[[#This Row],[Columna2]]*19%</f>
        <v>0</v>
      </c>
      <c r="R222" s="11">
        <f>Tabla2456789[[#This Row],[IVA VENTA ]]-Tabla2456789[[#This Row],[IV COMPRA]]</f>
        <v>0</v>
      </c>
      <c r="S222" s="11">
        <f>(Tabla2456789[[#This Row],[VENTA ]]-(Tabla2456789[[#This Row],[MONTO DE COMPRA]]+Tabla2456789[[#This Row],[DIFERENCIA IVA ]]))</f>
        <v>-40000</v>
      </c>
      <c r="T222" s="11"/>
    </row>
    <row r="223" spans="1:20" s="1" customFormat="1" ht="45" x14ac:dyDescent="0.25">
      <c r="A223" s="56">
        <v>44884</v>
      </c>
      <c r="B223" s="4"/>
      <c r="C223" s="4"/>
      <c r="D223" s="150" t="s">
        <v>1880</v>
      </c>
      <c r="E223" s="4" t="s">
        <v>1077</v>
      </c>
      <c r="F223" s="1" t="s">
        <v>2446</v>
      </c>
      <c r="G223" s="10" t="s">
        <v>3887</v>
      </c>
      <c r="H223" s="11">
        <v>85000</v>
      </c>
      <c r="I223" s="15">
        <f>Tabla2456789[[#This Row],[TOTAL FACTURA]]*0.7</f>
        <v>59499.999999999993</v>
      </c>
      <c r="J223" s="149">
        <f t="shared" si="3"/>
        <v>25500.000000000007</v>
      </c>
      <c r="K223" s="10"/>
      <c r="L223" s="11"/>
      <c r="M223" s="11">
        <f>Tabla2456789[[#This Row],[MONTO DE COMPRA]]/1.19</f>
        <v>0</v>
      </c>
      <c r="N223" s="11">
        <f>Tabla2456789[[#This Row],[Columna1]]*19%</f>
        <v>0</v>
      </c>
      <c r="O223" s="11"/>
      <c r="P223" s="11">
        <f>Tabla2456789[[#This Row],[VENTA ]]/1.19</f>
        <v>0</v>
      </c>
      <c r="Q223" s="11">
        <f>Tabla2456789[[#This Row],[Columna2]]*19%</f>
        <v>0</v>
      </c>
      <c r="R223" s="11">
        <f>Tabla2456789[[#This Row],[IVA VENTA ]]-Tabla2456789[[#This Row],[IV COMPRA]]</f>
        <v>0</v>
      </c>
      <c r="S223" s="11">
        <f>(Tabla2456789[[#This Row],[VENTA ]]-(Tabla2456789[[#This Row],[MONTO DE COMPRA]]+Tabla2456789[[#This Row],[DIFERENCIA IVA ]]))</f>
        <v>0</v>
      </c>
      <c r="T223" s="11"/>
    </row>
    <row r="224" spans="1:20" s="1" customFormat="1" x14ac:dyDescent="0.25">
      <c r="A224" s="56">
        <v>44884</v>
      </c>
      <c r="B224" s="4"/>
      <c r="C224" s="4"/>
      <c r="D224" s="150"/>
      <c r="E224" s="4" t="s">
        <v>3888</v>
      </c>
      <c r="F224" s="1" t="s">
        <v>2446</v>
      </c>
      <c r="G224" s="10" t="s">
        <v>3889</v>
      </c>
      <c r="H224" s="11">
        <v>10000</v>
      </c>
      <c r="I224" s="15">
        <f>Tabla2456789[[#This Row],[TOTAL FACTURA]]*0.7</f>
        <v>7000</v>
      </c>
      <c r="J224" s="149">
        <f t="shared" si="3"/>
        <v>3000</v>
      </c>
      <c r="L224" s="11"/>
      <c r="M224" s="11">
        <f>Tabla2456789[[#This Row],[MONTO DE COMPRA]]/1.19</f>
        <v>0</v>
      </c>
      <c r="N224" s="11">
        <f>Tabla2456789[[#This Row],[Columna1]]*19%</f>
        <v>0</v>
      </c>
      <c r="O224" s="11"/>
      <c r="P224" s="11">
        <f>Tabla2456789[[#This Row],[VENTA ]]/1.19</f>
        <v>0</v>
      </c>
      <c r="Q224" s="11">
        <f>Tabla2456789[[#This Row],[Columna2]]*19%</f>
        <v>0</v>
      </c>
      <c r="R224" s="11">
        <f>Tabla2456789[[#This Row],[IVA VENTA ]]-Tabla2456789[[#This Row],[IV COMPRA]]</f>
        <v>0</v>
      </c>
      <c r="S224" s="11">
        <f>(Tabla2456789[[#This Row],[VENTA ]]-(Tabla2456789[[#This Row],[MONTO DE COMPRA]]+Tabla2456789[[#This Row],[DIFERENCIA IVA ]]))</f>
        <v>0</v>
      </c>
      <c r="T224" s="11"/>
    </row>
    <row r="225" spans="1:21" x14ac:dyDescent="0.25">
      <c r="A225" s="56">
        <v>44886</v>
      </c>
      <c r="C225" s="1" t="s">
        <v>3891</v>
      </c>
      <c r="D225" s="1" t="s">
        <v>815</v>
      </c>
      <c r="E225" s="1" t="s">
        <v>3286</v>
      </c>
      <c r="F225" s="1" t="s">
        <v>2446</v>
      </c>
      <c r="G225" s="148" t="s">
        <v>3892</v>
      </c>
      <c r="H225" s="15">
        <v>25000</v>
      </c>
      <c r="I225" s="15">
        <f>Tabla2456789[[#This Row],[TOTAL FACTURA]]*0.7</f>
        <v>17500</v>
      </c>
      <c r="J225" s="149">
        <f t="shared" si="3"/>
        <v>7500</v>
      </c>
      <c r="M225" s="11">
        <f>Tabla2456789[[#This Row],[MONTO DE COMPRA]]/1.19</f>
        <v>0</v>
      </c>
      <c r="N225" s="11">
        <f>Tabla2456789[[#This Row],[Columna1]]*19%</f>
        <v>0</v>
      </c>
      <c r="P225" s="11">
        <f>Tabla2456789[[#This Row],[VENTA ]]/1.19</f>
        <v>0</v>
      </c>
      <c r="Q225" s="11">
        <f>Tabla2456789[[#This Row],[Columna2]]*19%</f>
        <v>0</v>
      </c>
      <c r="R225" s="11">
        <f>Tabla2456789[[#This Row],[IVA VENTA ]]-Tabla2456789[[#This Row],[IV COMPRA]]</f>
        <v>0</v>
      </c>
      <c r="S225" s="11">
        <f>(Tabla2456789[[#This Row],[VENTA ]]-(Tabla2456789[[#This Row],[MONTO DE COMPRA]]+Tabla2456789[[#This Row],[DIFERENCIA IVA ]]))</f>
        <v>0</v>
      </c>
      <c r="T225" s="15"/>
      <c r="U225" s="1"/>
    </row>
    <row r="226" spans="1:21" x14ac:dyDescent="0.25">
      <c r="A226" s="56">
        <v>44886</v>
      </c>
      <c r="C226" s="145"/>
      <c r="D226" s="150"/>
      <c r="E226" s="4"/>
      <c r="F226" s="1" t="s">
        <v>3666</v>
      </c>
      <c r="G226" s="154" t="s">
        <v>1794</v>
      </c>
      <c r="H226" s="148">
        <v>10000</v>
      </c>
      <c r="I226" s="15">
        <f>Tabla2456789[[#This Row],[TOTAL FACTURA]]*0.5</f>
        <v>5000</v>
      </c>
      <c r="J226" s="149">
        <f t="shared" si="3"/>
        <v>5000</v>
      </c>
      <c r="K226" s="148"/>
      <c r="L226" s="15"/>
      <c r="M226" s="15">
        <f>Tabla2456789[[#This Row],[MONTO DE COMPRA]]/1.19</f>
        <v>0</v>
      </c>
      <c r="N226" s="15">
        <f>Tabla2456789[[#This Row],[Columna1]]*19%</f>
        <v>0</v>
      </c>
      <c r="O226" s="15"/>
      <c r="P226" s="15">
        <f>Tabla2456789[[#This Row],[VENTA ]]/1.19</f>
        <v>0</v>
      </c>
      <c r="Q226" s="11">
        <f>Tabla2456789[[#This Row],[Columna2]]*19%</f>
        <v>0</v>
      </c>
      <c r="R226" s="11">
        <f>Tabla2456789[[#This Row],[IVA VENTA ]]-Tabla2456789[[#This Row],[IV COMPRA]]</f>
        <v>0</v>
      </c>
      <c r="S226" s="11">
        <f>(Tabla2456789[[#This Row],[VENTA ]]-(Tabla2456789[[#This Row],[MONTO DE COMPRA]]+Tabla2456789[[#This Row],[DIFERENCIA IVA ]]))</f>
        <v>0</v>
      </c>
      <c r="T226" s="11"/>
      <c r="U226" s="1"/>
    </row>
    <row r="227" spans="1:21" ht="15.75" customHeight="1" x14ac:dyDescent="0.25">
      <c r="A227" s="56">
        <v>44886</v>
      </c>
      <c r="C227" s="4"/>
      <c r="D227" s="150"/>
      <c r="E227" s="4"/>
      <c r="F227" s="1" t="s">
        <v>3666</v>
      </c>
      <c r="G227" s="154" t="s">
        <v>3893</v>
      </c>
      <c r="H227" s="148">
        <v>200000</v>
      </c>
      <c r="I227" s="15">
        <f>Tabla2456789[[#This Row],[TOTAL FACTURA]]*0.5</f>
        <v>100000</v>
      </c>
      <c r="J227" s="149">
        <f t="shared" si="3"/>
        <v>100000</v>
      </c>
      <c r="K227" s="10"/>
      <c r="L227" s="11"/>
      <c r="M227" s="11">
        <f>Tabla2456789[[#This Row],[MONTO DE COMPRA]]/1.19</f>
        <v>0</v>
      </c>
      <c r="N227" s="11">
        <f>Tabla2456789[[#This Row],[Columna1]]*19%</f>
        <v>0</v>
      </c>
      <c r="O227" s="11"/>
      <c r="P227" s="11">
        <f>Tabla2456789[[#This Row],[VENTA ]]/1.19</f>
        <v>0</v>
      </c>
      <c r="Q227" s="11">
        <f>Tabla2456789[[#This Row],[Columna2]]*19%</f>
        <v>0</v>
      </c>
      <c r="R227" s="11">
        <f>Tabla2456789[[#This Row],[IVA VENTA ]]-Tabla2456789[[#This Row],[IV COMPRA]]</f>
        <v>0</v>
      </c>
      <c r="S227" s="11">
        <f>(Tabla2456789[[#This Row],[VENTA ]]-(Tabla2456789[[#This Row],[MONTO DE COMPRA]]+Tabla2456789[[#This Row],[DIFERENCIA IVA ]]))</f>
        <v>0</v>
      </c>
    </row>
    <row r="228" spans="1:21" ht="30" x14ac:dyDescent="0.25">
      <c r="A228" s="56">
        <v>44886</v>
      </c>
      <c r="B228" s="4" t="s">
        <v>3895</v>
      </c>
      <c r="C228" s="4" t="s">
        <v>3894</v>
      </c>
      <c r="D228" s="152" t="s">
        <v>136</v>
      </c>
      <c r="E228" s="4" t="s">
        <v>3896</v>
      </c>
      <c r="F228" s="1" t="s">
        <v>2446</v>
      </c>
      <c r="G228" s="154" t="s">
        <v>3897</v>
      </c>
      <c r="H228" s="148">
        <v>120000</v>
      </c>
      <c r="I228" s="15">
        <f>Tabla2456789[[#This Row],[TOTAL FACTURA]]*0.7</f>
        <v>84000</v>
      </c>
      <c r="J228" s="149">
        <f t="shared" si="3"/>
        <v>36000</v>
      </c>
      <c r="K228" s="10" t="s">
        <v>3898</v>
      </c>
      <c r="L228" s="11">
        <f>137000+37000+120000</f>
        <v>294000</v>
      </c>
      <c r="M228" s="11">
        <f>Tabla2456789[[#This Row],[MONTO DE COMPRA]]/1.19</f>
        <v>247058.82352941178</v>
      </c>
      <c r="N228" s="11">
        <f>Tabla2456789[[#This Row],[Columna1]]*19%</f>
        <v>46941.176470588238</v>
      </c>
      <c r="O228" s="11">
        <v>630000</v>
      </c>
      <c r="P228" s="11">
        <f>Tabla2456789[[#This Row],[VENTA ]]/1.19</f>
        <v>529411.76470588241</v>
      </c>
      <c r="Q228" s="11">
        <f>Tabla2456789[[#This Row],[Columna2]]*19%</f>
        <v>100588.23529411767</v>
      </c>
      <c r="R228" s="11">
        <f>Tabla2456789[[#This Row],[IVA VENTA ]]-Tabla2456789[[#This Row],[IV COMPRA]]</f>
        <v>53647.058823529427</v>
      </c>
      <c r="S228" s="11">
        <f>(Tabla2456789[[#This Row],[VENTA ]]-(Tabla2456789[[#This Row],[MONTO DE COMPRA]]+Tabla2456789[[#This Row],[DIFERENCIA IVA ]]))</f>
        <v>282352.9411764706</v>
      </c>
    </row>
    <row r="229" spans="1:21" ht="120" x14ac:dyDescent="0.25">
      <c r="A229" s="56">
        <v>44887</v>
      </c>
      <c r="B229" s="4" t="s">
        <v>3916</v>
      </c>
      <c r="C229" s="4" t="s">
        <v>3917</v>
      </c>
      <c r="D229" s="4" t="s">
        <v>2720</v>
      </c>
      <c r="E229" s="4" t="s">
        <v>3918</v>
      </c>
      <c r="F229" s="1" t="s">
        <v>2446</v>
      </c>
      <c r="G229" s="154" t="s">
        <v>3919</v>
      </c>
      <c r="H229" s="148">
        <v>500000</v>
      </c>
      <c r="I229" s="15">
        <f>Tabla2456789[[#This Row],[TOTAL FACTURA]]*0.7</f>
        <v>350000</v>
      </c>
      <c r="J229" s="172">
        <f>H229-I229</f>
        <v>150000</v>
      </c>
      <c r="K229" s="10" t="s">
        <v>3920</v>
      </c>
      <c r="L229" s="11">
        <f>37800+10000</f>
        <v>47800</v>
      </c>
      <c r="M229" s="11">
        <f>Tabla2456789[[#This Row],[MONTO DE COMPRA]]/1.19</f>
        <v>40168.067226890758</v>
      </c>
      <c r="N229" s="11">
        <f>Tabla2456789[[#This Row],[Columna1]]*19%</f>
        <v>7631.9327731092444</v>
      </c>
      <c r="O229" s="11">
        <f>80000</f>
        <v>80000</v>
      </c>
      <c r="P229" s="11">
        <f>Tabla2456789[[#This Row],[VENTA ]]/1.19</f>
        <v>67226.890756302528</v>
      </c>
      <c r="Q229" s="11">
        <f>Tabla2456789[[#This Row],[Columna2]]*19%</f>
        <v>12773.10924369748</v>
      </c>
      <c r="R229" s="11">
        <f>Tabla2456789[[#This Row],[IVA VENTA ]]-Tabla2456789[[#This Row],[IV COMPRA]]</f>
        <v>5141.1764705882351</v>
      </c>
      <c r="S229" s="11">
        <f>(Tabla2456789[[#This Row],[VENTA ]]-(Tabla2456789[[#This Row],[MONTO DE COMPRA]]+Tabla2456789[[#This Row],[DIFERENCIA IVA ]]))</f>
        <v>27058.823529411762</v>
      </c>
    </row>
    <row r="230" spans="1:21" ht="14.25" customHeight="1" x14ac:dyDescent="0.25">
      <c r="A230" s="56">
        <v>44887</v>
      </c>
      <c r="C230" s="4" t="s">
        <v>3899</v>
      </c>
      <c r="D230" s="4" t="s">
        <v>3900</v>
      </c>
      <c r="E230" s="1" t="s">
        <v>962</v>
      </c>
      <c r="F230" s="1" t="s">
        <v>2446</v>
      </c>
      <c r="G230" s="154" t="s">
        <v>3901</v>
      </c>
      <c r="H230" s="148">
        <v>35000</v>
      </c>
      <c r="I230" s="15">
        <f>Tabla2456789[[#This Row],[TOTAL FACTURA]]*0.7</f>
        <v>24500</v>
      </c>
      <c r="J230" s="149">
        <f t="shared" si="3"/>
        <v>10500</v>
      </c>
      <c r="K230" s="10"/>
      <c r="L230" s="11"/>
      <c r="M230" s="11">
        <f>Tabla2456789[[#This Row],[MONTO DE COMPRA]]/1.19</f>
        <v>0</v>
      </c>
      <c r="N230" s="11">
        <f>Tabla2456789[[#This Row],[Columna1]]*19%</f>
        <v>0</v>
      </c>
      <c r="O230" s="11"/>
      <c r="P230" s="11">
        <f>Tabla2456789[[#This Row],[VENTA ]]/1.19</f>
        <v>0</v>
      </c>
      <c r="Q230" s="11">
        <f>Tabla2456789[[#This Row],[Columna2]]*19%</f>
        <v>0</v>
      </c>
      <c r="R230" s="11">
        <f>Tabla2456789[[#This Row],[IVA VENTA ]]-Tabla2456789[[#This Row],[IV COMPRA]]</f>
        <v>0</v>
      </c>
      <c r="S230" s="11">
        <f>(Tabla2456789[[#This Row],[VENTA ]]-(Tabla2456789[[#This Row],[MONTO DE COMPRA]]+Tabla2456789[[#This Row],[DIFERENCIA IVA ]]))</f>
        <v>0</v>
      </c>
    </row>
    <row r="231" spans="1:21" ht="45" x14ac:dyDescent="0.25">
      <c r="A231" s="56">
        <v>44887</v>
      </c>
      <c r="B231" s="4" t="s">
        <v>3906</v>
      </c>
      <c r="C231" s="4" t="s">
        <v>3902</v>
      </c>
      <c r="D231" s="4" t="s">
        <v>3903</v>
      </c>
      <c r="E231" s="1" t="s">
        <v>385</v>
      </c>
      <c r="F231" s="1" t="s">
        <v>2446</v>
      </c>
      <c r="G231" s="154" t="s">
        <v>3904</v>
      </c>
      <c r="H231" s="148">
        <v>60000</v>
      </c>
      <c r="I231" s="15">
        <f>Tabla2456789[[#This Row],[TOTAL FACTURA]]*0.7</f>
        <v>42000</v>
      </c>
      <c r="J231" s="149">
        <f t="shared" si="3"/>
        <v>18000</v>
      </c>
      <c r="K231" s="10" t="s">
        <v>3905</v>
      </c>
      <c r="L231" s="11">
        <f>4000+118000</f>
        <v>122000</v>
      </c>
      <c r="M231" s="11">
        <f>Tabla2456789[[#This Row],[MONTO DE COMPRA]]/1.19</f>
        <v>102521.00840336135</v>
      </c>
      <c r="N231" s="11">
        <f>Tabla2456789[[#This Row],[Columna1]]*19%</f>
        <v>19478.991596638658</v>
      </c>
      <c r="O231" s="11">
        <v>170000</v>
      </c>
      <c r="P231" s="11">
        <f>Tabla2456789[[#This Row],[VENTA ]]/1.19</f>
        <v>142857.14285714287</v>
      </c>
      <c r="Q231" s="11">
        <f>Tabla2456789[[#This Row],[Columna2]]*19%</f>
        <v>27142.857142857145</v>
      </c>
      <c r="R231" s="11">
        <f>Tabla2456789[[#This Row],[IVA VENTA ]]-Tabla2456789[[#This Row],[IV COMPRA]]</f>
        <v>7663.865546218487</v>
      </c>
      <c r="S231" s="11">
        <f>(Tabla2456789[[#This Row],[VENTA ]]-(Tabla2456789[[#This Row],[MONTO DE COMPRA]]+Tabla2456789[[#This Row],[DIFERENCIA IVA ]]))</f>
        <v>40336.134453781517</v>
      </c>
    </row>
    <row r="232" spans="1:21" ht="30" x14ac:dyDescent="0.25">
      <c r="A232" s="56">
        <v>44887</v>
      </c>
      <c r="B232" s="4" t="s">
        <v>3907</v>
      </c>
      <c r="C232" s="4" t="s">
        <v>3540</v>
      </c>
      <c r="D232" s="4" t="s">
        <v>3541</v>
      </c>
      <c r="E232" s="1" t="s">
        <v>200</v>
      </c>
      <c r="F232" s="1" t="s">
        <v>3666</v>
      </c>
      <c r="G232" s="154" t="s">
        <v>3908</v>
      </c>
      <c r="H232" s="148">
        <v>180000</v>
      </c>
      <c r="I232" s="15">
        <f>Tabla2456789[[#This Row],[TOTAL FACTURA]]*0.5</f>
        <v>90000</v>
      </c>
      <c r="J232" s="149">
        <f t="shared" si="3"/>
        <v>90000</v>
      </c>
      <c r="K232" s="10"/>
      <c r="L232" s="11"/>
      <c r="M232" s="11">
        <f>Tabla2456789[[#This Row],[MONTO DE COMPRA]]/1.19</f>
        <v>0</v>
      </c>
      <c r="N232" s="11">
        <f>Tabla2456789[[#This Row],[Columna1]]*19%</f>
        <v>0</v>
      </c>
      <c r="O232" s="11"/>
      <c r="P232" s="11">
        <f>Tabla2456789[[#This Row],[VENTA ]]/1.19</f>
        <v>0</v>
      </c>
      <c r="Q232" s="11">
        <f>Tabla2456789[[#This Row],[Columna2]]*19%</f>
        <v>0</v>
      </c>
      <c r="R232" s="11">
        <f>Tabla2456789[[#This Row],[IVA VENTA ]]-Tabla2456789[[#This Row],[IV COMPRA]]</f>
        <v>0</v>
      </c>
      <c r="S232" s="11">
        <f>(Tabla2456789[[#This Row],[VENTA ]]-(Tabla2456789[[#This Row],[MONTO DE COMPRA]]+Tabla2456789[[#This Row],[DIFERENCIA IVA ]]))</f>
        <v>0</v>
      </c>
    </row>
    <row r="233" spans="1:21" x14ac:dyDescent="0.25">
      <c r="A233" s="56">
        <v>44888</v>
      </c>
      <c r="B233" s="4" t="s">
        <v>3909</v>
      </c>
      <c r="C233" s="4" t="s">
        <v>3910</v>
      </c>
      <c r="D233" s="4" t="s">
        <v>3911</v>
      </c>
      <c r="E233" s="1" t="s">
        <v>84</v>
      </c>
      <c r="F233" s="1" t="s">
        <v>34</v>
      </c>
      <c r="G233" s="154" t="s">
        <v>3912</v>
      </c>
      <c r="H233" s="148">
        <v>20000</v>
      </c>
      <c r="I233" s="15">
        <f>Tabla2456789[[#This Row],[TOTAL FACTURA]]*0.6</f>
        <v>12000</v>
      </c>
      <c r="J233" s="149">
        <f t="shared" si="3"/>
        <v>8000</v>
      </c>
      <c r="K233" s="10"/>
      <c r="L233" s="11"/>
      <c r="M233" s="11">
        <f>Tabla2456789[[#This Row],[MONTO DE COMPRA]]/1.19</f>
        <v>0</v>
      </c>
      <c r="N233" s="11">
        <f>Tabla2456789[[#This Row],[Columna1]]*19%</f>
        <v>0</v>
      </c>
      <c r="O233" s="11"/>
      <c r="P233" s="11">
        <f>Tabla2456789[[#This Row],[VENTA ]]/1.19</f>
        <v>0</v>
      </c>
      <c r="Q233" s="11">
        <f>Tabla2456789[[#This Row],[Columna2]]*19%</f>
        <v>0</v>
      </c>
      <c r="R233" s="11">
        <f>Tabla2456789[[#This Row],[IVA VENTA ]]-Tabla2456789[[#This Row],[IV COMPRA]]</f>
        <v>0</v>
      </c>
      <c r="S233" s="11">
        <f>(Tabla2456789[[#This Row],[VENTA ]]-(Tabla2456789[[#This Row],[MONTO DE COMPRA]]+Tabla2456789[[#This Row],[DIFERENCIA IVA ]]))</f>
        <v>0</v>
      </c>
    </row>
    <row r="234" spans="1:21" x14ac:dyDescent="0.25">
      <c r="A234" s="56">
        <v>44888</v>
      </c>
      <c r="B234" s="4" t="s">
        <v>3913</v>
      </c>
      <c r="C234" s="4" t="s">
        <v>3914</v>
      </c>
      <c r="D234" s="4" t="s">
        <v>2976</v>
      </c>
      <c r="E234" s="1" t="s">
        <v>59</v>
      </c>
      <c r="F234" s="1" t="s">
        <v>2446</v>
      </c>
      <c r="G234" s="154" t="s">
        <v>21</v>
      </c>
      <c r="H234" s="148">
        <v>15000</v>
      </c>
      <c r="I234" s="15">
        <f>Tabla2456789[[#This Row],[TOTAL FACTURA]]*0.7</f>
        <v>10500</v>
      </c>
      <c r="J234" s="149">
        <f t="shared" si="3"/>
        <v>4500</v>
      </c>
      <c r="K234" s="10"/>
      <c r="L234" s="11"/>
      <c r="M234" s="11">
        <f>Tabla2456789[[#This Row],[MONTO DE COMPRA]]/1.19</f>
        <v>0</v>
      </c>
      <c r="N234" s="11">
        <f>Tabla2456789[[#This Row],[Columna1]]*19%</f>
        <v>0</v>
      </c>
      <c r="O234" s="11"/>
      <c r="P234" s="11">
        <f>Tabla2456789[[#This Row],[VENTA ]]/1.19</f>
        <v>0</v>
      </c>
      <c r="Q234" s="11">
        <f>Tabla2456789[[#This Row],[Columna2]]*19%</f>
        <v>0</v>
      </c>
      <c r="R234" s="11">
        <f>Tabla2456789[[#This Row],[IVA VENTA ]]-Tabla2456789[[#This Row],[IV COMPRA]]</f>
        <v>0</v>
      </c>
      <c r="S234" s="11">
        <f>(Tabla2456789[[#This Row],[VENTA ]]-(Tabla2456789[[#This Row],[MONTO DE COMPRA]]+Tabla2456789[[#This Row],[DIFERENCIA IVA ]]))</f>
        <v>0</v>
      </c>
    </row>
    <row r="235" spans="1:21" x14ac:dyDescent="0.25">
      <c r="A235" s="56">
        <v>44888</v>
      </c>
      <c r="C235" s="4"/>
      <c r="D235" s="4" t="s">
        <v>1682</v>
      </c>
      <c r="E235" s="1" t="s">
        <v>22</v>
      </c>
      <c r="F235" s="1" t="s">
        <v>3666</v>
      </c>
      <c r="G235" s="154" t="s">
        <v>3798</v>
      </c>
      <c r="H235" s="148">
        <v>100000</v>
      </c>
      <c r="I235" s="15">
        <f>Tabla2456789[[#This Row],[TOTAL FACTURA]]*0.5</f>
        <v>50000</v>
      </c>
      <c r="J235" s="149">
        <f t="shared" si="3"/>
        <v>50000</v>
      </c>
      <c r="K235" s="10" t="s">
        <v>3915</v>
      </c>
      <c r="L235" s="11"/>
      <c r="M235" s="11">
        <f>Tabla2456789[[#This Row],[MONTO DE COMPRA]]/1.19</f>
        <v>0</v>
      </c>
      <c r="N235" s="11">
        <f>Tabla2456789[[#This Row],[Columna1]]*19%</f>
        <v>0</v>
      </c>
      <c r="O235" s="11"/>
      <c r="P235" s="11">
        <f>Tabla2456789[[#This Row],[VENTA ]]/1.19</f>
        <v>0</v>
      </c>
      <c r="Q235" s="11">
        <f>Tabla2456789[[#This Row],[Columna2]]*19%</f>
        <v>0</v>
      </c>
      <c r="R235" s="11">
        <f>Tabla2456789[[#This Row],[IVA VENTA ]]-Tabla2456789[[#This Row],[IV COMPRA]]</f>
        <v>0</v>
      </c>
      <c r="S235" s="11">
        <f>(Tabla2456789[[#This Row],[VENTA ]]-(Tabla2456789[[#This Row],[MONTO DE COMPRA]]+Tabla2456789[[#This Row],[DIFERENCIA IVA ]]))</f>
        <v>0</v>
      </c>
    </row>
    <row r="236" spans="1:21" x14ac:dyDescent="0.25">
      <c r="A236" s="56">
        <v>44888</v>
      </c>
      <c r="C236" s="4" t="s">
        <v>3851</v>
      </c>
      <c r="D236" s="4" t="s">
        <v>3852</v>
      </c>
      <c r="E236" s="1" t="s">
        <v>200</v>
      </c>
      <c r="F236" s="1" t="s">
        <v>2446</v>
      </c>
      <c r="G236" s="154" t="s">
        <v>138</v>
      </c>
      <c r="H236" s="148">
        <v>60000</v>
      </c>
      <c r="I236" s="15">
        <f>Tabla2456789[[#This Row],[TOTAL FACTURA]]*0.7</f>
        <v>42000</v>
      </c>
      <c r="J236" s="149">
        <f t="shared" si="3"/>
        <v>18000</v>
      </c>
      <c r="K236" s="10"/>
      <c r="L236" s="11"/>
      <c r="M236" s="11">
        <f>Tabla2456789[[#This Row],[MONTO DE COMPRA]]/1.19</f>
        <v>0</v>
      </c>
      <c r="N236" s="11">
        <f>Tabla2456789[[#This Row],[Columna1]]*19%</f>
        <v>0</v>
      </c>
      <c r="O236" s="11"/>
      <c r="P236" s="11">
        <f>Tabla2456789[[#This Row],[VENTA ]]/1.19</f>
        <v>0</v>
      </c>
      <c r="Q236" s="11">
        <f>Tabla2456789[[#This Row],[Columna2]]*19%</f>
        <v>0</v>
      </c>
      <c r="R236" s="11">
        <f>Tabla2456789[[#This Row],[IVA VENTA ]]-Tabla2456789[[#This Row],[IV COMPRA]]</f>
        <v>0</v>
      </c>
      <c r="S236" s="11">
        <f>(Tabla2456789[[#This Row],[VENTA ]]-(Tabla2456789[[#This Row],[MONTO DE COMPRA]]+Tabla2456789[[#This Row],[DIFERENCIA IVA ]]))</f>
        <v>0</v>
      </c>
    </row>
    <row r="237" spans="1:21" x14ac:dyDescent="0.25">
      <c r="A237" s="56">
        <v>44889</v>
      </c>
      <c r="B237" s="4" t="s">
        <v>3921</v>
      </c>
      <c r="C237" s="4" t="s">
        <v>3922</v>
      </c>
      <c r="D237" s="4" t="s">
        <v>3923</v>
      </c>
      <c r="E237" s="1" t="s">
        <v>889</v>
      </c>
      <c r="F237" s="1" t="s">
        <v>2446</v>
      </c>
      <c r="G237" s="154" t="s">
        <v>1680</v>
      </c>
      <c r="H237" s="148">
        <v>60000</v>
      </c>
      <c r="I237" s="15">
        <f>Tabla2456789[[#This Row],[TOTAL FACTURA]]*0.7</f>
        <v>42000</v>
      </c>
      <c r="J237" s="149">
        <f t="shared" si="3"/>
        <v>18000</v>
      </c>
      <c r="K237" s="10" t="s">
        <v>1681</v>
      </c>
      <c r="L237" s="11">
        <v>100000</v>
      </c>
      <c r="M237" s="11">
        <f>Tabla2456789[[#This Row],[MONTO DE COMPRA]]/1.19</f>
        <v>84033.613445378156</v>
      </c>
      <c r="N237" s="11">
        <f>Tabla2456789[[#This Row],[Columna1]]*19%</f>
        <v>15966.386554621849</v>
      </c>
      <c r="O237" s="11">
        <v>140000</v>
      </c>
      <c r="P237" s="11">
        <f>Tabla2456789[[#This Row],[VENTA ]]/1.19</f>
        <v>117647.05882352941</v>
      </c>
      <c r="Q237" s="11">
        <f>Tabla2456789[[#This Row],[Columna2]]*19%</f>
        <v>22352.941176470587</v>
      </c>
      <c r="R237" s="11">
        <f>Tabla2456789[[#This Row],[IVA VENTA ]]-Tabla2456789[[#This Row],[IV COMPRA]]</f>
        <v>6386.554621848738</v>
      </c>
      <c r="S237" s="11">
        <f>(Tabla2456789[[#This Row],[VENTA ]]-(Tabla2456789[[#This Row],[MONTO DE COMPRA]]+Tabla2456789[[#This Row],[DIFERENCIA IVA ]]))</f>
        <v>33613.445378151257</v>
      </c>
    </row>
    <row r="238" spans="1:21" x14ac:dyDescent="0.25">
      <c r="A238" s="56">
        <v>44889</v>
      </c>
      <c r="C238" s="4"/>
      <c r="D238" s="4" t="s">
        <v>3924</v>
      </c>
      <c r="E238" s="1" t="s">
        <v>303</v>
      </c>
      <c r="F238" s="1" t="s">
        <v>3925</v>
      </c>
      <c r="G238" s="154" t="s">
        <v>3108</v>
      </c>
      <c r="H238" s="148">
        <v>180000</v>
      </c>
      <c r="I238" s="15">
        <f>Tabla2456789[[#This Row],[TOTAL FACTURA]]*0.7</f>
        <v>125999.99999999999</v>
      </c>
      <c r="J238" s="149">
        <f t="shared" si="3"/>
        <v>54000.000000000015</v>
      </c>
      <c r="K238" s="10"/>
      <c r="L238" s="11"/>
      <c r="M238" s="11">
        <f>Tabla2456789[[#This Row],[MONTO DE COMPRA]]/1.19</f>
        <v>0</v>
      </c>
      <c r="N238" s="11">
        <f>Tabla2456789[[#This Row],[Columna1]]*19%</f>
        <v>0</v>
      </c>
      <c r="O238" s="11"/>
      <c r="P238" s="11">
        <f>Tabla2456789[[#This Row],[VENTA ]]/1.19</f>
        <v>0</v>
      </c>
      <c r="Q238" s="11">
        <f>Tabla2456789[[#This Row],[Columna2]]*19%</f>
        <v>0</v>
      </c>
      <c r="R238" s="11">
        <f>Tabla2456789[[#This Row],[IVA VENTA ]]-Tabla2456789[[#This Row],[IV COMPRA]]</f>
        <v>0</v>
      </c>
      <c r="S238" s="11">
        <f>(Tabla2456789[[#This Row],[VENTA ]]-(Tabla2456789[[#This Row],[MONTO DE COMPRA]]+Tabla2456789[[#This Row],[DIFERENCIA IVA ]]))</f>
        <v>0</v>
      </c>
    </row>
    <row r="239" spans="1:21" x14ac:dyDescent="0.25">
      <c r="A239" s="56">
        <v>44889</v>
      </c>
      <c r="C239" s="4"/>
      <c r="D239" s="4" t="s">
        <v>3926</v>
      </c>
      <c r="E239" s="1" t="s">
        <v>201</v>
      </c>
      <c r="F239" s="1" t="s">
        <v>3666</v>
      </c>
      <c r="G239" s="154" t="s">
        <v>3511</v>
      </c>
      <c r="H239" s="148">
        <v>60000</v>
      </c>
      <c r="I239" s="15">
        <f>Tabla2456789[[#This Row],[TOTAL FACTURA]]*0.5</f>
        <v>30000</v>
      </c>
      <c r="J239" s="149">
        <f t="shared" si="3"/>
        <v>30000</v>
      </c>
      <c r="K239" s="10"/>
      <c r="L239" s="11"/>
      <c r="M239" s="11">
        <f>Tabla2456789[[#This Row],[MONTO DE COMPRA]]/1.19</f>
        <v>0</v>
      </c>
      <c r="N239" s="11">
        <f>Tabla2456789[[#This Row],[Columna1]]*19%</f>
        <v>0</v>
      </c>
      <c r="O239" s="11"/>
      <c r="P239" s="11">
        <f>Tabla2456789[[#This Row],[VENTA ]]/1.19</f>
        <v>0</v>
      </c>
      <c r="Q239" s="11">
        <f>Tabla2456789[[#This Row],[Columna2]]*19%</f>
        <v>0</v>
      </c>
      <c r="R239" s="11">
        <f>Tabla2456789[[#This Row],[IVA VENTA ]]-Tabla2456789[[#This Row],[IV COMPRA]]</f>
        <v>0</v>
      </c>
      <c r="S239" s="11">
        <f>(Tabla2456789[[#This Row],[VENTA ]]-(Tabla2456789[[#This Row],[MONTO DE COMPRA]]+Tabla2456789[[#This Row],[DIFERENCIA IVA ]]))</f>
        <v>0</v>
      </c>
    </row>
    <row r="240" spans="1:21" x14ac:dyDescent="0.25">
      <c r="A240" s="56">
        <v>44889</v>
      </c>
      <c r="B240" s="4" t="s">
        <v>3927</v>
      </c>
      <c r="C240" s="4" t="s">
        <v>2590</v>
      </c>
      <c r="D240" s="4" t="s">
        <v>2532</v>
      </c>
      <c r="E240" s="1" t="s">
        <v>815</v>
      </c>
      <c r="F240" s="1" t="s">
        <v>2446</v>
      </c>
      <c r="G240" s="154" t="s">
        <v>3928</v>
      </c>
      <c r="H240" s="148">
        <v>70000</v>
      </c>
      <c r="I240" s="15">
        <f>Tabla2456789[[#This Row],[TOTAL FACTURA]]*0.7</f>
        <v>49000</v>
      </c>
      <c r="J240" s="149">
        <f t="shared" si="3"/>
        <v>21000</v>
      </c>
      <c r="K240" s="10" t="s">
        <v>3929</v>
      </c>
      <c r="L240" s="11">
        <v>55000</v>
      </c>
      <c r="M240" s="11">
        <f>Tabla2456789[[#This Row],[MONTO DE COMPRA]]/1.19</f>
        <v>46218.487394957985</v>
      </c>
      <c r="N240" s="11">
        <f>Tabla2456789[[#This Row],[Columna1]]*19%</f>
        <v>8781.5126050420167</v>
      </c>
      <c r="O240" s="11">
        <v>65000</v>
      </c>
      <c r="P240" s="11">
        <f>Tabla2456789[[#This Row],[VENTA ]]/1.19</f>
        <v>54621.848739495799</v>
      </c>
      <c r="Q240" s="11">
        <f>Tabla2456789[[#This Row],[Columna2]]*19%</f>
        <v>10378.151260504203</v>
      </c>
      <c r="R240" s="11">
        <f>Tabla2456789[[#This Row],[IVA VENTA ]]-Tabla2456789[[#This Row],[IV COMPRA]]</f>
        <v>1596.6386554621859</v>
      </c>
      <c r="S240" s="11">
        <f>(Tabla2456789[[#This Row],[VENTA ]]-(Tabla2456789[[#This Row],[MONTO DE COMPRA]]+Tabla2456789[[#This Row],[DIFERENCIA IVA ]]))</f>
        <v>8403.3613445378141</v>
      </c>
    </row>
    <row r="241" spans="1:19" x14ac:dyDescent="0.25">
      <c r="A241" s="56">
        <v>44889</v>
      </c>
      <c r="B241" s="4" t="s">
        <v>3934</v>
      </c>
      <c r="C241" s="4" t="s">
        <v>3930</v>
      </c>
      <c r="D241" s="4" t="s">
        <v>3931</v>
      </c>
      <c r="E241" s="1" t="s">
        <v>637</v>
      </c>
      <c r="F241" s="1" t="s">
        <v>2446</v>
      </c>
      <c r="G241" s="154" t="s">
        <v>3932</v>
      </c>
      <c r="H241" s="148">
        <v>100000</v>
      </c>
      <c r="I241" s="15">
        <f>Tabla2456789[[#This Row],[TOTAL FACTURA]]*0.7</f>
        <v>70000</v>
      </c>
      <c r="J241" s="149">
        <f t="shared" si="3"/>
        <v>30000</v>
      </c>
      <c r="K241" s="10" t="s">
        <v>3933</v>
      </c>
      <c r="L241" s="11">
        <v>110000</v>
      </c>
      <c r="M241" s="11">
        <f>Tabla2456789[[#This Row],[MONTO DE COMPRA]]/1.19</f>
        <v>92436.97478991597</v>
      </c>
      <c r="N241" s="11">
        <f>Tabla2456789[[#This Row],[Columna1]]*19%</f>
        <v>17563.025210084033</v>
      </c>
      <c r="O241" s="11">
        <v>143000</v>
      </c>
      <c r="P241" s="11">
        <f>Tabla2456789[[#This Row],[VENTA ]]/1.19</f>
        <v>120168.06722689077</v>
      </c>
      <c r="Q241" s="11">
        <f>Tabla2456789[[#This Row],[Columna2]]*19%</f>
        <v>22831.932773109245</v>
      </c>
      <c r="R241" s="11">
        <f>Tabla2456789[[#This Row],[IVA VENTA ]]-Tabla2456789[[#This Row],[IV COMPRA]]</f>
        <v>5268.9075630252119</v>
      </c>
      <c r="S241" s="11">
        <f>(Tabla2456789[[#This Row],[VENTA ]]-(Tabla2456789[[#This Row],[MONTO DE COMPRA]]+Tabla2456789[[#This Row],[DIFERENCIA IVA ]]))</f>
        <v>27731.092436974781</v>
      </c>
    </row>
    <row r="242" spans="1:19" ht="30" x14ac:dyDescent="0.25">
      <c r="A242" s="56">
        <v>44890</v>
      </c>
      <c r="B242" s="4" t="s">
        <v>3927</v>
      </c>
      <c r="C242" s="4" t="s">
        <v>3935</v>
      </c>
      <c r="D242" s="4" t="s">
        <v>3936</v>
      </c>
      <c r="E242" s="1" t="s">
        <v>3937</v>
      </c>
      <c r="F242" s="1" t="s">
        <v>2446</v>
      </c>
      <c r="G242" s="154" t="s">
        <v>3938</v>
      </c>
      <c r="H242" s="148">
        <v>70000</v>
      </c>
      <c r="I242" s="15">
        <f>Tabla2456789[[#This Row],[TOTAL FACTURA]]*0.7</f>
        <v>49000</v>
      </c>
      <c r="J242" s="149">
        <f t="shared" si="3"/>
        <v>21000</v>
      </c>
      <c r="K242" s="10" t="s">
        <v>3939</v>
      </c>
      <c r="L242" s="11">
        <f>40000+37000</f>
        <v>77000</v>
      </c>
      <c r="M242" s="11">
        <f>Tabla2456789[[#This Row],[MONTO DE COMPRA]]/1.19</f>
        <v>64705.882352941182</v>
      </c>
      <c r="N242" s="11">
        <f>Tabla2456789[[#This Row],[Columna1]]*19%</f>
        <v>12294.117647058825</v>
      </c>
      <c r="O242" s="11">
        <v>120000</v>
      </c>
      <c r="P242" s="11">
        <f>Tabla2456789[[#This Row],[VENTA ]]/1.19</f>
        <v>100840.33613445378</v>
      </c>
      <c r="Q242" s="11">
        <f>Tabla2456789[[#This Row],[Columna2]]*19%</f>
        <v>19159.663865546219</v>
      </c>
      <c r="R242" s="11">
        <f>Tabla2456789[[#This Row],[IVA VENTA ]]-Tabla2456789[[#This Row],[IV COMPRA]]</f>
        <v>6865.5462184873941</v>
      </c>
      <c r="S242" s="11">
        <f>(Tabla2456789[[#This Row],[VENTA ]]-(Tabla2456789[[#This Row],[MONTO DE COMPRA]]+Tabla2456789[[#This Row],[DIFERENCIA IVA ]]))</f>
        <v>36134.45378151261</v>
      </c>
    </row>
    <row r="243" spans="1:19" x14ac:dyDescent="0.25">
      <c r="A243" s="56">
        <v>44890</v>
      </c>
      <c r="B243" s="4" t="s">
        <v>3940</v>
      </c>
      <c r="C243" s="4" t="s">
        <v>3941</v>
      </c>
      <c r="D243" s="4" t="s">
        <v>3942</v>
      </c>
      <c r="E243" s="1" t="s">
        <v>268</v>
      </c>
      <c r="F243" s="1" t="s">
        <v>2446</v>
      </c>
      <c r="G243" s="154" t="s">
        <v>3943</v>
      </c>
      <c r="H243" s="148">
        <v>40000</v>
      </c>
      <c r="I243" s="15">
        <f>Tabla2456789[[#This Row],[TOTAL FACTURA]]*0.7</f>
        <v>28000</v>
      </c>
      <c r="J243" s="149">
        <f t="shared" si="3"/>
        <v>12000</v>
      </c>
      <c r="K243" s="10" t="s">
        <v>3944</v>
      </c>
      <c r="L243" s="11">
        <v>65000</v>
      </c>
      <c r="M243" s="11">
        <f>Tabla2456789[[#This Row],[MONTO DE COMPRA]]/1.19</f>
        <v>54621.848739495799</v>
      </c>
      <c r="N243" s="11">
        <f>Tabla2456789[[#This Row],[Columna1]]*19%</f>
        <v>10378.151260504203</v>
      </c>
      <c r="O243" s="11">
        <v>80000</v>
      </c>
      <c r="P243" s="11">
        <f>Tabla2456789[[#This Row],[VENTA ]]/1.19</f>
        <v>67226.890756302528</v>
      </c>
      <c r="Q243" s="11">
        <f>Tabla2456789[[#This Row],[Columna2]]*19%</f>
        <v>12773.10924369748</v>
      </c>
      <c r="R243" s="11">
        <f>Tabla2456789[[#This Row],[IVA VENTA ]]-Tabla2456789[[#This Row],[IV COMPRA]]</f>
        <v>2394.957983193277</v>
      </c>
      <c r="S243" s="11">
        <f>(Tabla2456789[[#This Row],[VENTA ]]-(Tabla2456789[[#This Row],[MONTO DE COMPRA]]+Tabla2456789[[#This Row],[DIFERENCIA IVA ]]))</f>
        <v>12605.042016806721</v>
      </c>
    </row>
    <row r="244" spans="1:19" ht="30" x14ac:dyDescent="0.25">
      <c r="A244" s="56">
        <v>44890</v>
      </c>
      <c r="C244" s="4" t="s">
        <v>3945</v>
      </c>
      <c r="D244" s="4" t="s">
        <v>3946</v>
      </c>
      <c r="E244" s="1" t="s">
        <v>1947</v>
      </c>
      <c r="F244" s="1" t="s">
        <v>3925</v>
      </c>
      <c r="G244" s="154" t="s">
        <v>3947</v>
      </c>
      <c r="H244" s="148">
        <v>100000</v>
      </c>
      <c r="I244" s="15">
        <f>Tabla2456789[[#This Row],[TOTAL FACTURA]]*0.7</f>
        <v>70000</v>
      </c>
      <c r="J244" s="149">
        <f t="shared" si="3"/>
        <v>30000</v>
      </c>
      <c r="K244" s="10" t="s">
        <v>3948</v>
      </c>
      <c r="L244" s="11">
        <v>178000</v>
      </c>
      <c r="M244" s="11">
        <f>Tabla2456789[[#This Row],[MONTO DE COMPRA]]/1.19</f>
        <v>149579.83193277312</v>
      </c>
      <c r="N244" s="11">
        <f>Tabla2456789[[#This Row],[Columna1]]*19%</f>
        <v>28420.168067226892</v>
      </c>
      <c r="O244" s="11">
        <v>255000</v>
      </c>
      <c r="P244" s="11">
        <f>Tabla2456789[[#This Row],[VENTA ]]/1.19</f>
        <v>214285.71428571429</v>
      </c>
      <c r="Q244" s="11">
        <f>Tabla2456789[[#This Row],[Columna2]]*19%</f>
        <v>40714.285714285717</v>
      </c>
      <c r="R244" s="11">
        <f>Tabla2456789[[#This Row],[IVA VENTA ]]-Tabla2456789[[#This Row],[IV COMPRA]]</f>
        <v>12294.117647058825</v>
      </c>
      <c r="S244" s="11">
        <f>(Tabla2456789[[#This Row],[VENTA ]]-(Tabla2456789[[#This Row],[MONTO DE COMPRA]]+Tabla2456789[[#This Row],[DIFERENCIA IVA ]]))</f>
        <v>64705.882352941175</v>
      </c>
    </row>
    <row r="245" spans="1:19" x14ac:dyDescent="0.25">
      <c r="A245" s="56">
        <v>44890</v>
      </c>
      <c r="C245" s="4"/>
      <c r="D245" s="4" t="s">
        <v>3949</v>
      </c>
      <c r="E245" s="1" t="s">
        <v>54</v>
      </c>
      <c r="F245" s="1" t="s">
        <v>3666</v>
      </c>
      <c r="G245" s="154" t="s">
        <v>3511</v>
      </c>
      <c r="H245" s="148">
        <v>46000</v>
      </c>
      <c r="I245" s="15">
        <f>Tabla2456789[[#This Row],[TOTAL FACTURA]]*0.5</f>
        <v>23000</v>
      </c>
      <c r="J245" s="149">
        <f t="shared" si="3"/>
        <v>23000</v>
      </c>
      <c r="K245" s="10"/>
      <c r="L245" s="11"/>
      <c r="M245" s="11">
        <f>Tabla2456789[[#This Row],[MONTO DE COMPRA]]/1.19</f>
        <v>0</v>
      </c>
      <c r="N245" s="11">
        <f>Tabla2456789[[#This Row],[Columna1]]*19%</f>
        <v>0</v>
      </c>
      <c r="O245" s="11"/>
      <c r="P245" s="11">
        <f>Tabla2456789[[#This Row],[VENTA ]]/1.19</f>
        <v>0</v>
      </c>
      <c r="Q245" s="11">
        <f>Tabla2456789[[#This Row],[Columna2]]*19%</f>
        <v>0</v>
      </c>
      <c r="R245" s="11">
        <f>Tabla2456789[[#This Row],[IVA VENTA ]]-Tabla2456789[[#This Row],[IV COMPRA]]</f>
        <v>0</v>
      </c>
      <c r="S245" s="11">
        <f>(Tabla2456789[[#This Row],[VENTA ]]-(Tabla2456789[[#This Row],[MONTO DE COMPRA]]+Tabla2456789[[#This Row],[DIFERENCIA IVA ]]))</f>
        <v>0</v>
      </c>
    </row>
    <row r="246" spans="1:19" x14ac:dyDescent="0.25">
      <c r="A246" s="56">
        <v>44891</v>
      </c>
      <c r="B246" s="4" t="s">
        <v>3951</v>
      </c>
      <c r="C246" s="4" t="s">
        <v>3952</v>
      </c>
      <c r="D246" s="4" t="s">
        <v>3953</v>
      </c>
      <c r="E246" s="1" t="s">
        <v>688</v>
      </c>
      <c r="F246" s="1" t="s">
        <v>2446</v>
      </c>
      <c r="G246" s="154" t="s">
        <v>3954</v>
      </c>
      <c r="H246" s="148">
        <v>60000</v>
      </c>
      <c r="I246" s="15">
        <f>Tabla2456789[[#This Row],[TOTAL FACTURA]]*0.7</f>
        <v>42000</v>
      </c>
      <c r="J246" s="149">
        <f t="shared" si="3"/>
        <v>18000</v>
      </c>
      <c r="K246" s="10" t="s">
        <v>3454</v>
      </c>
      <c r="L246" s="11">
        <v>130000</v>
      </c>
      <c r="M246" s="11">
        <f>Tabla2456789[[#This Row],[MONTO DE COMPRA]]/1.19</f>
        <v>109243.6974789916</v>
      </c>
      <c r="N246" s="11">
        <f>Tabla2456789[[#This Row],[Columna1]]*19%</f>
        <v>20756.302521008405</v>
      </c>
      <c r="O246" s="11">
        <v>140000</v>
      </c>
      <c r="P246" s="11">
        <f>Tabla2456789[[#This Row],[VENTA ]]/1.19</f>
        <v>117647.05882352941</v>
      </c>
      <c r="Q246" s="11">
        <f>Tabla2456789[[#This Row],[Columna2]]*19%</f>
        <v>22352.941176470587</v>
      </c>
      <c r="R246" s="11">
        <f>Tabla2456789[[#This Row],[IVA VENTA ]]-Tabla2456789[[#This Row],[IV COMPRA]]</f>
        <v>1596.6386554621822</v>
      </c>
      <c r="S246" s="11">
        <f>(Tabla2456789[[#This Row],[VENTA ]]-(Tabla2456789[[#This Row],[MONTO DE COMPRA]]+Tabla2456789[[#This Row],[DIFERENCIA IVA ]]))</f>
        <v>8403.3613445378141</v>
      </c>
    </row>
    <row r="247" spans="1:19" x14ac:dyDescent="0.25">
      <c r="A247" s="56">
        <v>44891</v>
      </c>
      <c r="C247" s="4"/>
      <c r="D247" s="4" t="s">
        <v>3955</v>
      </c>
      <c r="F247" s="1" t="s">
        <v>3666</v>
      </c>
      <c r="G247" s="154" t="s">
        <v>3798</v>
      </c>
      <c r="H247" s="148">
        <v>130000</v>
      </c>
      <c r="I247" s="15">
        <f>Tabla2456789[[#This Row],[TOTAL FACTURA]]*0.5</f>
        <v>65000</v>
      </c>
      <c r="J247" s="149">
        <f t="shared" si="3"/>
        <v>65000</v>
      </c>
      <c r="K247" s="10" t="s">
        <v>3386</v>
      </c>
      <c r="L247" s="11">
        <v>40000</v>
      </c>
      <c r="M247" s="11">
        <f>Tabla2456789[[#This Row],[MONTO DE COMPRA]]/1.19</f>
        <v>33613.445378151264</v>
      </c>
      <c r="N247" s="11">
        <f>Tabla2456789[[#This Row],[Columna1]]*19%</f>
        <v>6386.5546218487398</v>
      </c>
      <c r="O247" s="11">
        <v>80000</v>
      </c>
      <c r="P247" s="11">
        <f>Tabla2456789[[#This Row],[VENTA ]]/1.19</f>
        <v>67226.890756302528</v>
      </c>
      <c r="Q247" s="11">
        <f>Tabla2456789[[#This Row],[Columna2]]*19%</f>
        <v>12773.10924369748</v>
      </c>
      <c r="R247" s="11">
        <f>Tabla2456789[[#This Row],[IVA VENTA ]]-Tabla2456789[[#This Row],[IV COMPRA]]</f>
        <v>6386.5546218487398</v>
      </c>
      <c r="S247" s="11">
        <f>(Tabla2456789[[#This Row],[VENTA ]]-(Tabla2456789[[#This Row],[MONTO DE COMPRA]]+Tabla2456789[[#This Row],[DIFERENCIA IVA ]]))</f>
        <v>33613.445378151257</v>
      </c>
    </row>
    <row r="248" spans="1:19" x14ac:dyDescent="0.25">
      <c r="A248" s="56">
        <v>44891</v>
      </c>
      <c r="C248" s="4"/>
      <c r="D248" s="4" t="s">
        <v>3956</v>
      </c>
      <c r="E248" s="1" t="s">
        <v>59</v>
      </c>
      <c r="F248" s="1" t="s">
        <v>34</v>
      </c>
      <c r="G248" s="154" t="s">
        <v>3957</v>
      </c>
      <c r="H248" s="148">
        <v>70000</v>
      </c>
      <c r="I248" s="15">
        <f>Tabla2456789[[#This Row],[TOTAL FACTURA]]*0.7</f>
        <v>49000</v>
      </c>
      <c r="J248" s="149">
        <f t="shared" si="3"/>
        <v>21000</v>
      </c>
      <c r="K248" s="10"/>
      <c r="L248" s="11"/>
      <c r="M248" s="11">
        <f>Tabla2456789[[#This Row],[MONTO DE COMPRA]]/1.19</f>
        <v>0</v>
      </c>
      <c r="N248" s="11">
        <f>Tabla2456789[[#This Row],[Columna1]]*19%</f>
        <v>0</v>
      </c>
      <c r="O248" s="11"/>
      <c r="P248" s="11">
        <f>Tabla2456789[[#This Row],[VENTA ]]/1.19</f>
        <v>0</v>
      </c>
      <c r="Q248" s="11">
        <f>Tabla2456789[[#This Row],[Columna2]]*19%</f>
        <v>0</v>
      </c>
      <c r="R248" s="11">
        <f>Tabla2456789[[#This Row],[IVA VENTA ]]-Tabla2456789[[#This Row],[IV COMPRA]]</f>
        <v>0</v>
      </c>
      <c r="S248" s="11">
        <f>(Tabla2456789[[#This Row],[VENTA ]]-(Tabla2456789[[#This Row],[MONTO DE COMPRA]]+Tabla2456789[[#This Row],[DIFERENCIA IVA ]]))</f>
        <v>0</v>
      </c>
    </row>
    <row r="249" spans="1:19" ht="30" x14ac:dyDescent="0.25">
      <c r="A249" s="56">
        <v>44891</v>
      </c>
      <c r="B249" s="4" t="s">
        <v>3958</v>
      </c>
      <c r="C249" s="4" t="s">
        <v>3959</v>
      </c>
      <c r="D249" s="4" t="s">
        <v>3960</v>
      </c>
      <c r="E249" s="1" t="s">
        <v>385</v>
      </c>
      <c r="F249" s="1" t="s">
        <v>2446</v>
      </c>
      <c r="G249" s="154" t="s">
        <v>4060</v>
      </c>
      <c r="H249" s="148">
        <v>50000</v>
      </c>
      <c r="I249" s="15">
        <f>Tabla2456789[[#This Row],[TOTAL FACTURA]]*0.7</f>
        <v>35000</v>
      </c>
      <c r="J249" s="149">
        <f t="shared" si="3"/>
        <v>15000</v>
      </c>
      <c r="K249" s="10"/>
      <c r="L249" s="11"/>
      <c r="M249" s="11">
        <f>Tabla2456789[[#This Row],[MONTO DE COMPRA]]/1.19</f>
        <v>0</v>
      </c>
      <c r="N249" s="11">
        <f>Tabla2456789[[#This Row],[Columna1]]*19%</f>
        <v>0</v>
      </c>
      <c r="O249" s="11"/>
      <c r="P249" s="11">
        <f>Tabla2456789[[#This Row],[VENTA ]]/1.19</f>
        <v>0</v>
      </c>
      <c r="Q249" s="11">
        <f>Tabla2456789[[#This Row],[Columna2]]*19%</f>
        <v>0</v>
      </c>
      <c r="R249" s="11">
        <f>Tabla2456789[[#This Row],[IVA VENTA ]]-Tabla2456789[[#This Row],[IV COMPRA]]</f>
        <v>0</v>
      </c>
      <c r="S249" s="11">
        <f>(Tabla2456789[[#This Row],[VENTA ]]-(Tabla2456789[[#This Row],[MONTO DE COMPRA]]+Tabla2456789[[#This Row],[DIFERENCIA IVA ]]))</f>
        <v>0</v>
      </c>
    </row>
    <row r="250" spans="1:19" x14ac:dyDescent="0.25">
      <c r="A250" s="56">
        <v>44891</v>
      </c>
      <c r="C250" s="4" t="s">
        <v>1097</v>
      </c>
      <c r="D250" s="4" t="s">
        <v>3961</v>
      </c>
      <c r="E250" s="1" t="s">
        <v>3962</v>
      </c>
      <c r="F250" s="1" t="s">
        <v>2446</v>
      </c>
      <c r="G250" s="154" t="s">
        <v>4061</v>
      </c>
      <c r="H250" s="148">
        <v>20000</v>
      </c>
      <c r="I250" s="15">
        <f>Tabla2456789[[#This Row],[TOTAL FACTURA]]*0.7</f>
        <v>14000</v>
      </c>
      <c r="J250" s="149">
        <f t="shared" si="3"/>
        <v>6000</v>
      </c>
      <c r="K250" s="10"/>
      <c r="L250" s="11"/>
      <c r="M250" s="11">
        <f>Tabla2456789[[#This Row],[MONTO DE COMPRA]]/1.19</f>
        <v>0</v>
      </c>
      <c r="N250" s="11">
        <f>Tabla2456789[[#This Row],[Columna1]]*19%</f>
        <v>0</v>
      </c>
      <c r="O250" s="11"/>
      <c r="P250" s="11">
        <f>Tabla2456789[[#This Row],[VENTA ]]/1.19</f>
        <v>0</v>
      </c>
      <c r="Q250" s="11">
        <f>Tabla2456789[[#This Row],[Columna2]]*19%</f>
        <v>0</v>
      </c>
      <c r="R250" s="11">
        <f>Tabla2456789[[#This Row],[IVA VENTA ]]-Tabla2456789[[#This Row],[IV COMPRA]]</f>
        <v>0</v>
      </c>
      <c r="S250" s="11">
        <f>(Tabla2456789[[#This Row],[VENTA ]]-(Tabla2456789[[#This Row],[MONTO DE COMPRA]]+Tabla2456789[[#This Row],[DIFERENCIA IVA ]]))</f>
        <v>0</v>
      </c>
    </row>
    <row r="251" spans="1:19" x14ac:dyDescent="0.25">
      <c r="A251" s="56">
        <v>44891</v>
      </c>
      <c r="C251" s="181"/>
      <c r="D251" s="4" t="s">
        <v>585</v>
      </c>
      <c r="E251" s="1" t="s">
        <v>2168</v>
      </c>
      <c r="F251" s="1" t="s">
        <v>2446</v>
      </c>
      <c r="G251" s="154" t="s">
        <v>3963</v>
      </c>
      <c r="H251" s="148">
        <v>30000</v>
      </c>
      <c r="I251" s="15">
        <f>Tabla2456789[[#This Row],[TOTAL FACTURA]]*0.7</f>
        <v>21000</v>
      </c>
      <c r="J251" s="149">
        <f t="shared" si="3"/>
        <v>9000</v>
      </c>
      <c r="K251" s="10" t="s">
        <v>3964</v>
      </c>
      <c r="L251" s="11">
        <v>200000</v>
      </c>
      <c r="M251" s="11">
        <f>Tabla2456789[[#This Row],[MONTO DE COMPRA]]/1.19</f>
        <v>168067.22689075631</v>
      </c>
      <c r="N251" s="11">
        <f>Tabla2456789[[#This Row],[Columna1]]*19%</f>
        <v>31932.773109243699</v>
      </c>
      <c r="O251" s="11">
        <v>250000</v>
      </c>
      <c r="P251" s="11">
        <f>Tabla2456789[[#This Row],[VENTA ]]/1.19</f>
        <v>210084.03361344538</v>
      </c>
      <c r="Q251" s="11">
        <f>Tabla2456789[[#This Row],[Columna2]]*19%</f>
        <v>39915.966386554624</v>
      </c>
      <c r="R251" s="11">
        <f>Tabla2456789[[#This Row],[IVA VENTA ]]-Tabla2456789[[#This Row],[IV COMPRA]]</f>
        <v>7983.1932773109256</v>
      </c>
      <c r="S251" s="11">
        <f>(Tabla2456789[[#This Row],[VENTA ]]-(Tabla2456789[[#This Row],[MONTO DE COMPRA]]+Tabla2456789[[#This Row],[DIFERENCIA IVA ]]))</f>
        <v>42016.806722689071</v>
      </c>
    </row>
    <row r="252" spans="1:19" ht="15.75" customHeight="1" x14ac:dyDescent="0.25">
      <c r="A252" s="56">
        <v>44893</v>
      </c>
      <c r="C252" s="4" t="s">
        <v>3971</v>
      </c>
      <c r="D252" s="4" t="s">
        <v>3965</v>
      </c>
      <c r="E252" s="1" t="s">
        <v>2176</v>
      </c>
      <c r="F252" s="1" t="s">
        <v>2446</v>
      </c>
      <c r="G252" s="154" t="s">
        <v>2645</v>
      </c>
      <c r="H252" s="148">
        <v>30000</v>
      </c>
      <c r="I252" s="15">
        <f>Tabla2456789[[#This Row],[TOTAL FACTURA]]*0.7</f>
        <v>21000</v>
      </c>
      <c r="J252" s="149">
        <f t="shared" si="3"/>
        <v>9000</v>
      </c>
      <c r="K252" s="10"/>
      <c r="L252" s="11"/>
      <c r="M252" s="11">
        <f>Tabla2456789[[#This Row],[MONTO DE COMPRA]]/1.19</f>
        <v>0</v>
      </c>
      <c r="N252" s="11">
        <f>Tabla2456789[[#This Row],[Columna1]]*19%</f>
        <v>0</v>
      </c>
      <c r="O252" s="11"/>
      <c r="P252" s="11">
        <f>Tabla2456789[[#This Row],[VENTA ]]/1.19</f>
        <v>0</v>
      </c>
      <c r="Q252" s="11">
        <f>Tabla2456789[[#This Row],[Columna2]]*19%</f>
        <v>0</v>
      </c>
      <c r="R252" s="11">
        <f>Tabla2456789[[#This Row],[IVA VENTA ]]-Tabla2456789[[#This Row],[IV COMPRA]]</f>
        <v>0</v>
      </c>
      <c r="S252" s="11">
        <f>(Tabla2456789[[#This Row],[VENTA ]]-(Tabla2456789[[#This Row],[MONTO DE COMPRA]]+Tabla2456789[[#This Row],[DIFERENCIA IVA ]]))</f>
        <v>0</v>
      </c>
    </row>
    <row r="253" spans="1:19" ht="90" x14ac:dyDescent="0.25">
      <c r="A253" s="56">
        <v>44893</v>
      </c>
      <c r="B253" s="4" t="s">
        <v>3970</v>
      </c>
      <c r="C253" s="4" t="s">
        <v>3966</v>
      </c>
      <c r="D253" s="4" t="s">
        <v>3967</v>
      </c>
      <c r="E253" s="1" t="s">
        <v>815</v>
      </c>
      <c r="F253" s="1" t="s">
        <v>2446</v>
      </c>
      <c r="G253" s="154" t="s">
        <v>3968</v>
      </c>
      <c r="H253" s="148">
        <v>225000</v>
      </c>
      <c r="I253" s="15">
        <f>Tabla2456789[[#This Row],[TOTAL FACTURA]]*0.7</f>
        <v>157500</v>
      </c>
      <c r="J253" s="149">
        <f t="shared" si="3"/>
        <v>67500</v>
      </c>
      <c r="K253" s="10" t="s">
        <v>3969</v>
      </c>
      <c r="L253" s="11">
        <f>592000+35300+1000</f>
        <v>628300</v>
      </c>
      <c r="M253" s="11">
        <f>Tabla2456789[[#This Row],[MONTO DE COMPRA]]/1.19</f>
        <v>527983.19327731093</v>
      </c>
      <c r="N253" s="11">
        <f>Tabla2456789[[#This Row],[Columna1]]*19%</f>
        <v>100316.80672268907</v>
      </c>
      <c r="O253" s="11">
        <v>797000</v>
      </c>
      <c r="P253" s="11">
        <f>Tabla2456789[[#This Row],[VENTA ]]/1.19</f>
        <v>669747.89915966394</v>
      </c>
      <c r="Q253" s="11">
        <f>Tabla2456789[[#This Row],[Columna2]]*19%</f>
        <v>127252.10084033615</v>
      </c>
      <c r="R253" s="11">
        <f>Tabla2456789[[#This Row],[IVA VENTA ]]-Tabla2456789[[#This Row],[IV COMPRA]]</f>
        <v>26935.294117647078</v>
      </c>
      <c r="S253" s="11">
        <f>(Tabla2456789[[#This Row],[VENTA ]]-(Tabla2456789[[#This Row],[MONTO DE COMPRA]]+Tabla2456789[[#This Row],[DIFERENCIA IVA ]]))</f>
        <v>141764.70588235289</v>
      </c>
    </row>
    <row r="254" spans="1:19" ht="60" x14ac:dyDescent="0.25">
      <c r="A254" s="56">
        <v>44894</v>
      </c>
      <c r="B254" s="4" t="s">
        <v>3973</v>
      </c>
      <c r="C254" s="4" t="s">
        <v>3972</v>
      </c>
      <c r="D254" s="4" t="s">
        <v>3974</v>
      </c>
      <c r="E254" s="1" t="s">
        <v>48</v>
      </c>
      <c r="F254" s="1" t="s">
        <v>2446</v>
      </c>
      <c r="G254" s="154" t="s">
        <v>3975</v>
      </c>
      <c r="H254" s="148">
        <v>60000</v>
      </c>
      <c r="I254" s="15">
        <f>Tabla2456789[[#This Row],[TOTAL FACTURA]]*0.7</f>
        <v>42000</v>
      </c>
      <c r="J254" s="149">
        <f t="shared" si="3"/>
        <v>18000</v>
      </c>
      <c r="K254" s="10" t="s">
        <v>3976</v>
      </c>
      <c r="L254" s="11">
        <v>20000</v>
      </c>
      <c r="M254" s="11">
        <f>Tabla2456789[[#This Row],[MONTO DE COMPRA]]/1.19</f>
        <v>16806.722689075632</v>
      </c>
      <c r="N254" s="11">
        <f>Tabla2456789[[#This Row],[Columna1]]*19%</f>
        <v>3193.2773109243699</v>
      </c>
      <c r="O254" s="11">
        <v>30000</v>
      </c>
      <c r="P254" s="11">
        <f>Tabla2456789[[#This Row],[VENTA ]]/1.19</f>
        <v>25210.084033613446</v>
      </c>
      <c r="Q254" s="11">
        <f>Tabla2456789[[#This Row],[Columna2]]*19%</f>
        <v>4789.9159663865548</v>
      </c>
      <c r="R254" s="11">
        <f>Tabla2456789[[#This Row],[IVA VENTA ]]-Tabla2456789[[#This Row],[IV COMPRA]]</f>
        <v>1596.6386554621849</v>
      </c>
      <c r="S254" s="11">
        <f>(Tabla2456789[[#This Row],[VENTA ]]-(Tabla2456789[[#This Row],[MONTO DE COMPRA]]+Tabla2456789[[#This Row],[DIFERENCIA IVA ]]))</f>
        <v>8403.3613445378141</v>
      </c>
    </row>
    <row r="255" spans="1:19" x14ac:dyDescent="0.25">
      <c r="A255" s="56">
        <v>44894</v>
      </c>
      <c r="B255" s="4" t="s">
        <v>3977</v>
      </c>
      <c r="C255" s="4" t="s">
        <v>2404</v>
      </c>
      <c r="D255" s="4" t="s">
        <v>2405</v>
      </c>
      <c r="E255" s="1" t="s">
        <v>2022</v>
      </c>
      <c r="F255" s="1" t="s">
        <v>2446</v>
      </c>
      <c r="G255" s="154" t="s">
        <v>140</v>
      </c>
      <c r="H255" s="148">
        <v>60000</v>
      </c>
      <c r="I255" s="15">
        <f>Tabla2456789[[#This Row],[TOTAL FACTURA]]*0.7</f>
        <v>42000</v>
      </c>
      <c r="J255" s="149">
        <f t="shared" si="3"/>
        <v>18000</v>
      </c>
      <c r="K255" s="10"/>
      <c r="L255" s="11"/>
      <c r="M255" s="11">
        <f>Tabla2456789[[#This Row],[MONTO DE COMPRA]]/1.19</f>
        <v>0</v>
      </c>
      <c r="N255" s="11">
        <f>Tabla2456789[[#This Row],[Columna1]]*19%</f>
        <v>0</v>
      </c>
      <c r="O255" s="11"/>
      <c r="P255" s="11">
        <f>Tabla2456789[[#This Row],[VENTA ]]/1.19</f>
        <v>0</v>
      </c>
      <c r="Q255" s="11">
        <f>Tabla2456789[[#This Row],[Columna2]]*19%</f>
        <v>0</v>
      </c>
      <c r="R255" s="11">
        <f>Tabla2456789[[#This Row],[IVA VENTA ]]-Tabla2456789[[#This Row],[IV COMPRA]]</f>
        <v>0</v>
      </c>
      <c r="S255" s="11">
        <f>(Tabla2456789[[#This Row],[VENTA ]]-(Tabla2456789[[#This Row],[MONTO DE COMPRA]]+Tabla2456789[[#This Row],[DIFERENCIA IVA ]]))</f>
        <v>0</v>
      </c>
    </row>
    <row r="256" spans="1:19" ht="60" x14ac:dyDescent="0.25">
      <c r="A256" s="56">
        <v>44894</v>
      </c>
      <c r="B256" s="4" t="s">
        <v>3982</v>
      </c>
      <c r="C256" s="4" t="s">
        <v>3978</v>
      </c>
      <c r="D256" s="4" t="s">
        <v>3979</v>
      </c>
      <c r="E256" s="1" t="s">
        <v>688</v>
      </c>
      <c r="F256" s="1" t="s">
        <v>2446</v>
      </c>
      <c r="G256" s="154" t="s">
        <v>3980</v>
      </c>
      <c r="H256" s="148">
        <v>135000</v>
      </c>
      <c r="I256" s="15">
        <f>Tabla2456789[[#This Row],[TOTAL FACTURA]]*0.7</f>
        <v>94500</v>
      </c>
      <c r="J256" s="149">
        <f t="shared" si="3"/>
        <v>40500</v>
      </c>
      <c r="K256" s="10" t="s">
        <v>3981</v>
      </c>
      <c r="L256" s="11">
        <f>35300+50000</f>
        <v>85300</v>
      </c>
      <c r="M256" s="11">
        <f>Tabla2456789[[#This Row],[MONTO DE COMPRA]]/1.19</f>
        <v>71680.672268907569</v>
      </c>
      <c r="N256" s="11">
        <f>Tabla2456789[[#This Row],[Columna1]]*19%</f>
        <v>13619.327731092439</v>
      </c>
      <c r="O256" s="11">
        <v>140000</v>
      </c>
      <c r="P256" s="11">
        <f>Tabla2456789[[#This Row],[VENTA ]]/1.19</f>
        <v>117647.05882352941</v>
      </c>
      <c r="Q256" s="11">
        <f>Tabla2456789[[#This Row],[Columna2]]*19%</f>
        <v>22352.941176470587</v>
      </c>
      <c r="R256" s="11">
        <f>Tabla2456789[[#This Row],[IVA VENTA ]]-Tabla2456789[[#This Row],[IV COMPRA]]</f>
        <v>8733.6134453781488</v>
      </c>
      <c r="S256" s="11">
        <f>(Tabla2456789[[#This Row],[VENTA ]]-(Tabla2456789[[#This Row],[MONTO DE COMPRA]]+Tabla2456789[[#This Row],[DIFERENCIA IVA ]]))</f>
        <v>45966.386554621859</v>
      </c>
    </row>
    <row r="257" spans="1:19" ht="30" x14ac:dyDescent="0.25">
      <c r="A257" s="56">
        <v>44894</v>
      </c>
      <c r="B257" s="4" t="s">
        <v>3997</v>
      </c>
      <c r="C257" s="4" t="s">
        <v>3998</v>
      </c>
      <c r="D257" s="4" t="s">
        <v>3999</v>
      </c>
      <c r="E257" s="1" t="s">
        <v>385</v>
      </c>
      <c r="F257" s="1" t="s">
        <v>3925</v>
      </c>
      <c r="G257" s="154" t="s">
        <v>4000</v>
      </c>
      <c r="H257" s="148">
        <v>320000</v>
      </c>
      <c r="I257" s="15">
        <f>Tabla2456789[[#This Row],[TOTAL FACTURA]]*0.7</f>
        <v>224000</v>
      </c>
      <c r="J257" s="172">
        <f>H257-I257</f>
        <v>96000</v>
      </c>
      <c r="K257" s="10" t="s">
        <v>4001</v>
      </c>
      <c r="L257" s="11">
        <v>370000</v>
      </c>
      <c r="M257" s="11">
        <f>Tabla2456789[[#This Row],[MONTO DE COMPRA]]/1.19</f>
        <v>310924.36974789918</v>
      </c>
      <c r="N257" s="11">
        <f>Tabla2456789[[#This Row],[Columna1]]*19%</f>
        <v>59075.630252100847</v>
      </c>
      <c r="O257" s="11">
        <f>148000+338000</f>
        <v>486000</v>
      </c>
      <c r="P257" s="11">
        <f>Tabla2456789[[#This Row],[VENTA ]]/1.19</f>
        <v>408403.36134453781</v>
      </c>
      <c r="Q257" s="11">
        <f>Tabla2456789[[#This Row],[Columna2]]*19%</f>
        <v>77596.638655462186</v>
      </c>
      <c r="R257" s="11">
        <f>Tabla2456789[[#This Row],[IVA VENTA ]]-Tabla2456789[[#This Row],[IV COMPRA]]</f>
        <v>18521.008403361338</v>
      </c>
      <c r="S257" s="11">
        <f>(Tabla2456789[[#This Row],[VENTA ]]-(Tabla2456789[[#This Row],[MONTO DE COMPRA]]+Tabla2456789[[#This Row],[DIFERENCIA IVA ]]))</f>
        <v>97478.991596638691</v>
      </c>
    </row>
    <row r="258" spans="1:19" x14ac:dyDescent="0.25">
      <c r="A258" s="56">
        <v>44894</v>
      </c>
      <c r="C258" s="4"/>
      <c r="D258" s="4" t="s">
        <v>3983</v>
      </c>
      <c r="E258" s="1" t="s">
        <v>3586</v>
      </c>
      <c r="F258" s="1" t="s">
        <v>3666</v>
      </c>
      <c r="G258" s="154" t="s">
        <v>3984</v>
      </c>
      <c r="H258" s="148">
        <v>40000</v>
      </c>
      <c r="I258" s="15">
        <f>Tabla2456789[[#This Row],[TOTAL FACTURA]]*0.5</f>
        <v>20000</v>
      </c>
      <c r="J258" s="149">
        <f t="shared" si="3"/>
        <v>20000</v>
      </c>
      <c r="K258" s="10"/>
      <c r="L258" s="11"/>
      <c r="M258" s="11">
        <f>Tabla2456789[[#This Row],[MONTO DE COMPRA]]/1.19</f>
        <v>0</v>
      </c>
      <c r="N258" s="11">
        <f>Tabla2456789[[#This Row],[Columna1]]*19%</f>
        <v>0</v>
      </c>
      <c r="O258" s="11"/>
      <c r="P258" s="11">
        <f>Tabla2456789[[#This Row],[VENTA ]]/1.19</f>
        <v>0</v>
      </c>
      <c r="Q258" s="11">
        <f>Tabla2456789[[#This Row],[Columna2]]*19%</f>
        <v>0</v>
      </c>
      <c r="R258" s="11">
        <f>Tabla2456789[[#This Row],[IVA VENTA ]]-Tabla2456789[[#This Row],[IV COMPRA]]</f>
        <v>0</v>
      </c>
      <c r="S258" s="11">
        <f>(Tabla2456789[[#This Row],[VENTA ]]-(Tabla2456789[[#This Row],[MONTO DE COMPRA]]+Tabla2456789[[#This Row],[DIFERENCIA IVA ]]))</f>
        <v>0</v>
      </c>
    </row>
    <row r="259" spans="1:19" x14ac:dyDescent="0.25">
      <c r="A259" s="56">
        <v>44895</v>
      </c>
      <c r="C259" s="4" t="s">
        <v>2827</v>
      </c>
      <c r="D259" s="4" t="s">
        <v>2828</v>
      </c>
      <c r="E259" s="1" t="s">
        <v>3985</v>
      </c>
      <c r="F259" s="1" t="s">
        <v>2446</v>
      </c>
      <c r="G259" s="154" t="s">
        <v>341</v>
      </c>
      <c r="H259" s="148">
        <v>10000</v>
      </c>
      <c r="I259" s="15">
        <f>Tabla2456789[[#This Row],[TOTAL FACTURA]]*0.7</f>
        <v>7000</v>
      </c>
      <c r="J259" s="149">
        <f t="shared" si="3"/>
        <v>3000</v>
      </c>
      <c r="K259" s="10"/>
      <c r="L259" s="11"/>
      <c r="M259" s="11">
        <f>Tabla2456789[[#This Row],[MONTO DE COMPRA]]/1.19</f>
        <v>0</v>
      </c>
      <c r="N259" s="11">
        <f>Tabla2456789[[#This Row],[Columna1]]*19%</f>
        <v>0</v>
      </c>
      <c r="O259" s="11"/>
      <c r="P259" s="11">
        <f>Tabla2456789[[#This Row],[VENTA ]]/1.19</f>
        <v>0</v>
      </c>
      <c r="Q259" s="11">
        <f>Tabla2456789[[#This Row],[Columna2]]*19%</f>
        <v>0</v>
      </c>
      <c r="R259" s="11">
        <f>Tabla2456789[[#This Row],[IVA VENTA ]]-Tabla2456789[[#This Row],[IV COMPRA]]</f>
        <v>0</v>
      </c>
      <c r="S259" s="11">
        <f>(Tabla2456789[[#This Row],[VENTA ]]-(Tabla2456789[[#This Row],[MONTO DE COMPRA]]+Tabla2456789[[#This Row],[DIFERENCIA IVA ]]))</f>
        <v>0</v>
      </c>
    </row>
    <row r="260" spans="1:19" x14ac:dyDescent="0.25">
      <c r="A260" s="56">
        <v>44895</v>
      </c>
      <c r="B260" s="4" t="s">
        <v>3988</v>
      </c>
      <c r="C260" s="4" t="s">
        <v>3986</v>
      </c>
      <c r="D260" s="4" t="s">
        <v>3987</v>
      </c>
      <c r="E260" s="1" t="s">
        <v>1332</v>
      </c>
      <c r="F260" s="1" t="s">
        <v>2446</v>
      </c>
      <c r="G260" s="154" t="s">
        <v>20</v>
      </c>
      <c r="H260" s="148">
        <v>30000</v>
      </c>
      <c r="I260" s="15">
        <f>Tabla2456789[[#This Row],[TOTAL FACTURA]]*0.7</f>
        <v>21000</v>
      </c>
      <c r="J260" s="149">
        <f t="shared" si="3"/>
        <v>9000</v>
      </c>
      <c r="K260" s="10" t="s">
        <v>71</v>
      </c>
      <c r="L260" s="11">
        <v>95000</v>
      </c>
      <c r="M260" s="11">
        <f>Tabla2456789[[#This Row],[MONTO DE COMPRA]]/1.19</f>
        <v>79831.932773109249</v>
      </c>
      <c r="N260" s="11">
        <f>Tabla2456789[[#This Row],[Columna1]]*19%</f>
        <v>15168.067226890758</v>
      </c>
      <c r="O260" s="11">
        <v>120000</v>
      </c>
      <c r="P260" s="11">
        <f>Tabla2456789[[#This Row],[VENTA ]]/1.19</f>
        <v>100840.33613445378</v>
      </c>
      <c r="Q260" s="11">
        <f>Tabla2456789[[#This Row],[Columna2]]*19%</f>
        <v>19159.663865546219</v>
      </c>
      <c r="R260" s="11">
        <f>Tabla2456789[[#This Row],[IVA VENTA ]]-Tabla2456789[[#This Row],[IV COMPRA]]</f>
        <v>3991.596638655461</v>
      </c>
      <c r="S260" s="11">
        <f>(Tabla2456789[[#This Row],[VENTA ]]-(Tabla2456789[[#This Row],[MONTO DE COMPRA]]+Tabla2456789[[#This Row],[DIFERENCIA IVA ]]))</f>
        <v>21008.403361344535</v>
      </c>
    </row>
    <row r="261" spans="1:19" ht="63.75" customHeight="1" x14ac:dyDescent="0.25">
      <c r="A261" s="56">
        <v>44895</v>
      </c>
      <c r="B261" s="4" t="s">
        <v>3989</v>
      </c>
      <c r="C261" s="4"/>
      <c r="D261" s="150" t="s">
        <v>2659</v>
      </c>
      <c r="E261" s="4" t="s">
        <v>88</v>
      </c>
      <c r="F261" s="1" t="s">
        <v>3768</v>
      </c>
      <c r="G261" s="154" t="s">
        <v>956</v>
      </c>
      <c r="I261" s="15">
        <f>Tabla2456789[[#This Row],[TOTAL FACTURA]]*0.7</f>
        <v>0</v>
      </c>
      <c r="J261" s="149">
        <f t="shared" si="3"/>
        <v>0</v>
      </c>
      <c r="K261" s="10" t="s">
        <v>3990</v>
      </c>
      <c r="L261" s="11">
        <f>130000+330000+1890000+150000+15000+20000+80000+665000</f>
        <v>3280000</v>
      </c>
      <c r="M261" s="11"/>
      <c r="N261" s="11">
        <f>Tabla2456789[[#This Row],[Columna1]]*19%</f>
        <v>0</v>
      </c>
      <c r="O261" s="11">
        <v>4825000</v>
      </c>
      <c r="P261" s="11"/>
      <c r="Q261" s="11">
        <f>Tabla2456789[[#This Row],[Columna2]]*19%</f>
        <v>0</v>
      </c>
      <c r="R261" s="11">
        <f>Tabla2456789[[#This Row],[IVA VENTA ]]-Tabla2456789[[#This Row],[IV COMPRA]]</f>
        <v>0</v>
      </c>
      <c r="S261" s="11">
        <f>(Tabla2456789[[#This Row],[VENTA ]]-(Tabla2456789[[#This Row],[MONTO DE COMPRA]]+Tabla2456789[[#This Row],[DIFERENCIA IVA ]]))</f>
        <v>1545000</v>
      </c>
    </row>
    <row r="262" spans="1:19" ht="45" x14ac:dyDescent="0.25">
      <c r="A262" s="56">
        <v>44895</v>
      </c>
      <c r="C262" s="4" t="s">
        <v>3991</v>
      </c>
      <c r="D262" s="4" t="s">
        <v>3992</v>
      </c>
      <c r="E262" s="1" t="s">
        <v>2720</v>
      </c>
      <c r="F262" s="1" t="s">
        <v>2446</v>
      </c>
      <c r="G262" s="154" t="s">
        <v>4064</v>
      </c>
      <c r="H262" s="148">
        <v>20000</v>
      </c>
      <c r="I262" s="15">
        <f>Tabla2456789[[#This Row],[TOTAL FACTURA]]*0.7</f>
        <v>14000</v>
      </c>
      <c r="J262" s="149">
        <f t="shared" si="3"/>
        <v>6000</v>
      </c>
      <c r="K262" s="10"/>
      <c r="L262" s="11"/>
      <c r="M262" s="11">
        <f>Tabla2456789[[#This Row],[MONTO DE COMPRA]]/1.19</f>
        <v>0</v>
      </c>
      <c r="N262" s="11">
        <f>Tabla2456789[[#This Row],[Columna1]]*19%</f>
        <v>0</v>
      </c>
      <c r="O262" s="11"/>
      <c r="P262" s="11">
        <f>Tabla2456789[[#This Row],[VENTA ]]/1.19</f>
        <v>0</v>
      </c>
      <c r="Q262" s="11">
        <f>Tabla2456789[[#This Row],[Columna2]]*19%</f>
        <v>0</v>
      </c>
      <c r="R262" s="11">
        <f>Tabla2456789[[#This Row],[IVA VENTA ]]-Tabla2456789[[#This Row],[IV COMPRA]]</f>
        <v>0</v>
      </c>
      <c r="S262" s="11">
        <f>(Tabla2456789[[#This Row],[VENTA ]]-(Tabla2456789[[#This Row],[MONTO DE COMPRA]]+Tabla2456789[[#This Row],[DIFERENCIA IVA ]]))</f>
        <v>0</v>
      </c>
    </row>
    <row r="263" spans="1:19" ht="34.5" customHeight="1" x14ac:dyDescent="0.25">
      <c r="A263" s="56">
        <v>44895</v>
      </c>
      <c r="B263" s="4" t="s">
        <v>3994</v>
      </c>
      <c r="C263" s="4" t="s">
        <v>3851</v>
      </c>
      <c r="D263" s="4" t="s">
        <v>3993</v>
      </c>
      <c r="E263" s="1" t="s">
        <v>2856</v>
      </c>
      <c r="F263" s="1" t="s">
        <v>2446</v>
      </c>
      <c r="G263" s="154" t="s">
        <v>3995</v>
      </c>
      <c r="H263" s="148">
        <v>420000</v>
      </c>
      <c r="I263" s="15">
        <f>Tabla2456789[[#This Row],[TOTAL FACTURA]]*0.7</f>
        <v>294000</v>
      </c>
      <c r="J263" s="149">
        <f t="shared" si="3"/>
        <v>126000</v>
      </c>
      <c r="K263" s="10" t="s">
        <v>3996</v>
      </c>
      <c r="L263" s="11">
        <f>950000+60000+294000</f>
        <v>1304000</v>
      </c>
      <c r="M263" s="11"/>
      <c r="N263" s="11">
        <v>46491</v>
      </c>
      <c r="O263" s="11">
        <v>1802000</v>
      </c>
      <c r="P263" s="11">
        <f>Tabla2456789[[#This Row],[VENTA ]]/1.19</f>
        <v>1514285.7142857143</v>
      </c>
      <c r="Q263" s="11">
        <f>Tabla2456789[[#This Row],[Columna2]]*19%</f>
        <v>287714.28571428574</v>
      </c>
      <c r="R263" s="11">
        <f>Tabla2456789[[#This Row],[IVA VENTA ]]-Tabla2456789[[#This Row],[IV COMPRA]]</f>
        <v>241223.28571428574</v>
      </c>
      <c r="S263" s="11">
        <f>(Tabla2456789[[#This Row],[VENTA ]]-(Tabla2456789[[#This Row],[MONTO DE COMPRA]]+Tabla2456789[[#This Row],[DIFERENCIA IVA ]]))</f>
        <v>256776.71428571432</v>
      </c>
    </row>
    <row r="264" spans="1:19" ht="45" x14ac:dyDescent="0.25">
      <c r="A264" s="56">
        <v>44896</v>
      </c>
      <c r="C264" s="4"/>
      <c r="D264" s="4" t="s">
        <v>4002</v>
      </c>
      <c r="E264" s="1" t="s">
        <v>1865</v>
      </c>
      <c r="F264" s="1" t="s">
        <v>2446</v>
      </c>
      <c r="G264" s="154" t="s">
        <v>4003</v>
      </c>
      <c r="H264" s="148">
        <v>80000</v>
      </c>
      <c r="I264" s="15">
        <f>Tabla2456789[[#This Row],[TOTAL FACTURA]]*0.6</f>
        <v>48000</v>
      </c>
      <c r="J264" s="149">
        <f t="shared" si="3"/>
        <v>32000</v>
      </c>
      <c r="K264" s="10" t="s">
        <v>4004</v>
      </c>
      <c r="L264" s="11"/>
      <c r="M264" s="11">
        <f>Tabla2456789[[#This Row],[MONTO DE COMPRA]]/1.19</f>
        <v>0</v>
      </c>
      <c r="N264" s="11">
        <f>Tabla2456789[[#This Row],[Columna1]]*19%</f>
        <v>0</v>
      </c>
      <c r="O264" s="11">
        <v>35000</v>
      </c>
      <c r="P264" s="11">
        <f>Tabla2456789[[#This Row],[VENTA ]]/1.19</f>
        <v>29411.764705882353</v>
      </c>
      <c r="Q264" s="11">
        <f>Tabla2456789[[#This Row],[Columna2]]*19%</f>
        <v>5588.2352941176468</v>
      </c>
      <c r="R264" s="11">
        <f>Tabla2456789[[#This Row],[IVA VENTA ]]-Tabla2456789[[#This Row],[IV COMPRA]]</f>
        <v>5588.2352941176468</v>
      </c>
      <c r="S264" s="11">
        <f>(Tabla2456789[[#This Row],[VENTA ]]-(Tabla2456789[[#This Row],[MONTO DE COMPRA]]+Tabla2456789[[#This Row],[DIFERENCIA IVA ]]))</f>
        <v>29411.764705882353</v>
      </c>
    </row>
    <row r="265" spans="1:19" x14ac:dyDescent="0.25">
      <c r="A265" s="56">
        <v>44896</v>
      </c>
      <c r="C265" s="4" t="s">
        <v>215</v>
      </c>
      <c r="D265" s="4" t="s">
        <v>1610</v>
      </c>
      <c r="E265" s="1" t="s">
        <v>1034</v>
      </c>
      <c r="F265" s="1" t="s">
        <v>34</v>
      </c>
      <c r="G265" s="154" t="s">
        <v>4005</v>
      </c>
      <c r="H265" s="148">
        <v>40000</v>
      </c>
      <c r="I265" s="15">
        <f>Tabla2456789[[#This Row],[TOTAL FACTURA]]*0.6</f>
        <v>24000</v>
      </c>
      <c r="J265" s="149">
        <f t="shared" ref="J265:J270" si="5">H265-I265</f>
        <v>16000</v>
      </c>
      <c r="K265" s="10"/>
      <c r="L265" s="11"/>
      <c r="M265" s="11">
        <f>Tabla2456789[[#This Row],[MONTO DE COMPRA]]/1.19</f>
        <v>0</v>
      </c>
      <c r="N265" s="11">
        <f>Tabla2456789[[#This Row],[Columna1]]*19%</f>
        <v>0</v>
      </c>
      <c r="O265" s="11"/>
      <c r="P265" s="11">
        <f>Tabla2456789[[#This Row],[VENTA ]]/1.19</f>
        <v>0</v>
      </c>
      <c r="Q265" s="11">
        <f>Tabla2456789[[#This Row],[Columna2]]*19%</f>
        <v>0</v>
      </c>
      <c r="R265" s="11">
        <f>Tabla2456789[[#This Row],[IVA VENTA ]]-Tabla2456789[[#This Row],[IV COMPRA]]</f>
        <v>0</v>
      </c>
      <c r="S265" s="11">
        <f>(Tabla2456789[[#This Row],[VENTA ]]-(Tabla2456789[[#This Row],[MONTO DE COMPRA]]+Tabla2456789[[#This Row],[DIFERENCIA IVA ]]))</f>
        <v>0</v>
      </c>
    </row>
    <row r="266" spans="1:19" x14ac:dyDescent="0.25">
      <c r="A266" s="56">
        <v>44896</v>
      </c>
      <c r="C266" s="4" t="s">
        <v>4006</v>
      </c>
      <c r="D266" s="4"/>
      <c r="F266" s="1" t="s">
        <v>3666</v>
      </c>
      <c r="G266" s="154" t="s">
        <v>4007</v>
      </c>
      <c r="H266" s="148">
        <v>90000</v>
      </c>
      <c r="I266" s="15">
        <f>Tabla2456789[[#This Row],[TOTAL FACTURA]]*0.5+80000</f>
        <v>125000</v>
      </c>
      <c r="J266" s="149">
        <f t="shared" si="5"/>
        <v>-35000</v>
      </c>
      <c r="K266" s="10"/>
      <c r="L266" s="11"/>
      <c r="M266" s="11">
        <f>Tabla2456789[[#This Row],[MONTO DE COMPRA]]/1.19</f>
        <v>0</v>
      </c>
      <c r="N266" s="11">
        <f>Tabla2456789[[#This Row],[Columna1]]*19%</f>
        <v>0</v>
      </c>
      <c r="O266" s="11"/>
      <c r="P266" s="11">
        <f>Tabla2456789[[#This Row],[VENTA ]]/1.19</f>
        <v>0</v>
      </c>
      <c r="Q266" s="11">
        <f>Tabla2456789[[#This Row],[Columna2]]*19%</f>
        <v>0</v>
      </c>
      <c r="R266" s="11">
        <f>Tabla2456789[[#This Row],[IVA VENTA ]]-Tabla2456789[[#This Row],[IV COMPRA]]</f>
        <v>0</v>
      </c>
      <c r="S266" s="11">
        <f>(Tabla2456789[[#This Row],[VENTA ]]-(Tabla2456789[[#This Row],[MONTO DE COMPRA]]+Tabla2456789[[#This Row],[DIFERENCIA IVA ]]))</f>
        <v>0</v>
      </c>
    </row>
    <row r="267" spans="1:19" x14ac:dyDescent="0.25">
      <c r="A267" s="56">
        <v>44896</v>
      </c>
      <c r="B267" s="4" t="s">
        <v>4008</v>
      </c>
      <c r="C267" s="4" t="s">
        <v>2271</v>
      </c>
      <c r="D267" s="4" t="s">
        <v>2272</v>
      </c>
      <c r="E267" s="1" t="s">
        <v>4009</v>
      </c>
      <c r="F267" s="1" t="s">
        <v>2446</v>
      </c>
      <c r="G267" s="154" t="s">
        <v>4010</v>
      </c>
      <c r="H267" s="148">
        <v>90000</v>
      </c>
      <c r="I267" s="15">
        <f>Tabla2456789[[#This Row],[TOTAL FACTURA]]*0.6</f>
        <v>54000</v>
      </c>
      <c r="J267" s="149">
        <f t="shared" si="5"/>
        <v>36000</v>
      </c>
      <c r="K267" s="10"/>
      <c r="L267" s="11"/>
      <c r="M267" s="11">
        <f>Tabla2456789[[#This Row],[MONTO DE COMPRA]]/1.19</f>
        <v>0</v>
      </c>
      <c r="N267" s="11">
        <f>Tabla2456789[[#This Row],[Columna1]]*19%</f>
        <v>0</v>
      </c>
      <c r="O267" s="11"/>
      <c r="P267" s="11">
        <f>Tabla2456789[[#This Row],[VENTA ]]/1.19</f>
        <v>0</v>
      </c>
      <c r="Q267" s="11">
        <f>Tabla2456789[[#This Row],[Columna2]]*19%</f>
        <v>0</v>
      </c>
      <c r="R267" s="11">
        <f>Tabla2456789[[#This Row],[IVA VENTA ]]-Tabla2456789[[#This Row],[IV COMPRA]]</f>
        <v>0</v>
      </c>
      <c r="S267" s="11">
        <f>(Tabla2456789[[#This Row],[VENTA ]]-(Tabla2456789[[#This Row],[MONTO DE COMPRA]]+Tabla2456789[[#This Row],[DIFERENCIA IVA ]]))</f>
        <v>0</v>
      </c>
    </row>
    <row r="268" spans="1:19" x14ac:dyDescent="0.25">
      <c r="A268" s="56">
        <v>44896</v>
      </c>
      <c r="C268" s="4" t="s">
        <v>4011</v>
      </c>
      <c r="D268" s="4" t="s">
        <v>2594</v>
      </c>
      <c r="E268" s="1" t="s">
        <v>385</v>
      </c>
      <c r="F268" s="1" t="s">
        <v>3925</v>
      </c>
      <c r="G268" s="154" t="s">
        <v>4012</v>
      </c>
      <c r="H268" s="148">
        <v>60000</v>
      </c>
      <c r="I268" s="15">
        <f>Tabla2456789[[#This Row],[TOTAL FACTURA]]*0.6</f>
        <v>36000</v>
      </c>
      <c r="J268" s="149">
        <f t="shared" si="5"/>
        <v>24000</v>
      </c>
      <c r="K268" s="10" t="s">
        <v>4013</v>
      </c>
      <c r="L268" s="11">
        <v>18000</v>
      </c>
      <c r="M268" s="11">
        <f>Tabla2456789[[#This Row],[MONTO DE COMPRA]]/1.19</f>
        <v>15126.050420168069</v>
      </c>
      <c r="N268" s="11">
        <f>Tabla2456789[[#This Row],[Columna1]]*19%</f>
        <v>2873.9495798319331</v>
      </c>
      <c r="O268" s="11">
        <v>30000</v>
      </c>
      <c r="P268" s="11">
        <f>Tabla2456789[[#This Row],[VENTA ]]/1.19</f>
        <v>25210.084033613446</v>
      </c>
      <c r="Q268" s="11">
        <f>Tabla2456789[[#This Row],[Columna2]]*19%</f>
        <v>4789.9159663865548</v>
      </c>
      <c r="R268" s="11">
        <f>Tabla2456789[[#This Row],[IVA VENTA ]]-Tabla2456789[[#This Row],[IV COMPRA]]</f>
        <v>1915.9663865546217</v>
      </c>
      <c r="S268" s="11">
        <f>(Tabla2456789[[#This Row],[VENTA ]]-(Tabla2456789[[#This Row],[MONTO DE COMPRA]]+Tabla2456789[[#This Row],[DIFERENCIA IVA ]]))</f>
        <v>10084.033613445379</v>
      </c>
    </row>
    <row r="269" spans="1:19" ht="15.75" customHeight="1" x14ac:dyDescent="0.25">
      <c r="A269" s="56">
        <v>44896</v>
      </c>
      <c r="C269" s="4" t="s">
        <v>4014</v>
      </c>
      <c r="D269" s="4" t="s">
        <v>4015</v>
      </c>
      <c r="E269" s="1" t="s">
        <v>4016</v>
      </c>
      <c r="F269" s="1" t="s">
        <v>2446</v>
      </c>
      <c r="G269" s="154" t="s">
        <v>4017</v>
      </c>
      <c r="H269" s="148">
        <v>50000</v>
      </c>
      <c r="I269" s="15">
        <f>Tabla2456789[[#This Row],[TOTAL FACTURA]]*0.6</f>
        <v>30000</v>
      </c>
      <c r="J269" s="149">
        <f t="shared" si="5"/>
        <v>20000</v>
      </c>
      <c r="K269" s="10"/>
      <c r="L269" s="11"/>
      <c r="M269" s="11">
        <f>Tabla2456789[[#This Row],[MONTO DE COMPRA]]/1.19</f>
        <v>0</v>
      </c>
      <c r="N269" s="11">
        <f>Tabla2456789[[#This Row],[Columna1]]*19%</f>
        <v>0</v>
      </c>
      <c r="O269" s="11"/>
      <c r="P269" s="11">
        <f>Tabla2456789[[#This Row],[VENTA ]]/1.19</f>
        <v>0</v>
      </c>
      <c r="Q269" s="11">
        <f>Tabla2456789[[#This Row],[Columna2]]*19%</f>
        <v>0</v>
      </c>
      <c r="R269" s="11">
        <f>Tabla2456789[[#This Row],[IVA VENTA ]]-Tabla2456789[[#This Row],[IV COMPRA]]</f>
        <v>0</v>
      </c>
      <c r="S269" s="11">
        <f>(Tabla2456789[[#This Row],[VENTA ]]-(Tabla2456789[[#This Row],[MONTO DE COMPRA]]+Tabla2456789[[#This Row],[DIFERENCIA IVA ]]))</f>
        <v>0</v>
      </c>
    </row>
    <row r="270" spans="1:19" x14ac:dyDescent="0.25">
      <c r="A270" s="56">
        <v>44896</v>
      </c>
      <c r="C270" s="4" t="s">
        <v>4018</v>
      </c>
      <c r="D270" s="4" t="s">
        <v>4019</v>
      </c>
      <c r="E270" s="1" t="s">
        <v>717</v>
      </c>
      <c r="F270" s="1" t="s">
        <v>34</v>
      </c>
      <c r="G270" s="154" t="s">
        <v>4020</v>
      </c>
      <c r="H270" s="148">
        <v>30000</v>
      </c>
      <c r="I270" s="15">
        <f>Tabla2456789[[#This Row],[TOTAL FACTURA]]*0.6</f>
        <v>18000</v>
      </c>
      <c r="J270" s="149">
        <f t="shared" si="5"/>
        <v>12000</v>
      </c>
      <c r="K270" s="10" t="s">
        <v>4021</v>
      </c>
      <c r="L270" s="11">
        <v>10000</v>
      </c>
      <c r="M270" s="11"/>
      <c r="N270" s="11">
        <f>Tabla2456789[[#This Row],[Columna1]]*19%</f>
        <v>0</v>
      </c>
      <c r="O270" s="11">
        <v>20000</v>
      </c>
      <c r="P270" s="11"/>
      <c r="Q270" s="11">
        <f>Tabla2456789[[#This Row],[Columna2]]*19%</f>
        <v>0</v>
      </c>
      <c r="R270" s="11">
        <f>Tabla2456789[[#This Row],[IVA VENTA ]]-Tabla2456789[[#This Row],[IV COMPRA]]</f>
        <v>0</v>
      </c>
      <c r="S270" s="11">
        <f>(Tabla2456789[[#This Row],[VENTA ]]-(Tabla2456789[[#This Row],[MONTO DE COMPRA]]+Tabla2456789[[#This Row],[DIFERENCIA IVA ]]))</f>
        <v>10000</v>
      </c>
    </row>
    <row r="271" spans="1:19" x14ac:dyDescent="0.25">
      <c r="A271" s="56">
        <v>44896</v>
      </c>
      <c r="B271" s="4" t="s">
        <v>4024</v>
      </c>
      <c r="C271" s="4" t="s">
        <v>4006</v>
      </c>
      <c r="D271" s="4" t="s">
        <v>4022</v>
      </c>
      <c r="E271" s="1" t="s">
        <v>1749</v>
      </c>
      <c r="F271" s="1" t="s">
        <v>3666</v>
      </c>
      <c r="G271" s="154" t="s">
        <v>4023</v>
      </c>
      <c r="H271" s="148">
        <v>120000</v>
      </c>
      <c r="I271" s="15">
        <f>Tabla2456789[[#This Row],[TOTAL FACTURA]]*0.5</f>
        <v>60000</v>
      </c>
      <c r="J271" s="177">
        <f t="shared" ref="J271:J274" si="6">H271-I271</f>
        <v>60000</v>
      </c>
      <c r="K271" s="10"/>
      <c r="L271" s="11"/>
      <c r="M271" s="11">
        <f>Tabla2456789[[#This Row],[MONTO DE COMPRA]]/1.19</f>
        <v>0</v>
      </c>
      <c r="N271" s="11">
        <f>Tabla2456789[[#This Row],[Columna1]]*19%</f>
        <v>0</v>
      </c>
      <c r="O271" s="11"/>
      <c r="P271" s="11">
        <f>Tabla2456789[[#This Row],[VENTA ]]/1.19</f>
        <v>0</v>
      </c>
      <c r="Q271" s="11">
        <f>Tabla2456789[[#This Row],[Columna2]]*19%</f>
        <v>0</v>
      </c>
      <c r="R271" s="11">
        <f>Tabla2456789[[#This Row],[IVA VENTA ]]-Tabla2456789[[#This Row],[IV COMPRA]]</f>
        <v>0</v>
      </c>
      <c r="S271" s="11">
        <f>(Tabla2456789[[#This Row],[VENTA ]]-(Tabla2456789[[#This Row],[MONTO DE COMPRA]]+Tabla2456789[[#This Row],[DIFERENCIA IVA ]]))</f>
        <v>0</v>
      </c>
    </row>
    <row r="272" spans="1:19" x14ac:dyDescent="0.25">
      <c r="A272" s="56">
        <v>44896</v>
      </c>
      <c r="C272" s="182"/>
      <c r="D272" s="4"/>
      <c r="E272" s="1" t="s">
        <v>48</v>
      </c>
      <c r="F272" s="1" t="s">
        <v>34</v>
      </c>
      <c r="G272" s="154" t="s">
        <v>341</v>
      </c>
      <c r="H272" s="148">
        <v>10000</v>
      </c>
      <c r="I272" s="15">
        <f>Tabla2456789[[#This Row],[TOTAL FACTURA]]*0.7</f>
        <v>7000</v>
      </c>
      <c r="J272" s="177">
        <f t="shared" si="6"/>
        <v>3000</v>
      </c>
      <c r="K272" s="10" t="s">
        <v>57</v>
      </c>
      <c r="L272" s="11">
        <v>7600</v>
      </c>
      <c r="M272" s="11">
        <f>Tabla2456789[[#This Row],[MONTO DE COMPRA]]/1.19</f>
        <v>6386.5546218487398</v>
      </c>
      <c r="N272" s="11">
        <f>Tabla2456789[[#This Row],[Columna1]]*19%</f>
        <v>1213.4453781512607</v>
      </c>
      <c r="O272" s="11">
        <v>15000</v>
      </c>
      <c r="P272" s="11">
        <f>Tabla2456789[[#This Row],[VENTA ]]/1.19</f>
        <v>12605.042016806723</v>
      </c>
      <c r="Q272" s="11">
        <f>Tabla2456789[[#This Row],[Columna2]]*19%</f>
        <v>2394.9579831932774</v>
      </c>
      <c r="R272" s="11">
        <f>Tabla2456789[[#This Row],[IVA VENTA ]]-Tabla2456789[[#This Row],[IV COMPRA]]</f>
        <v>1181.5126050420167</v>
      </c>
      <c r="S272" s="11">
        <f>(Tabla2456789[[#This Row],[VENTA ]]-(Tabla2456789[[#This Row],[MONTO DE COMPRA]]+Tabla2456789[[#This Row],[DIFERENCIA IVA ]]))</f>
        <v>6218.4873949579833</v>
      </c>
    </row>
    <row r="273" spans="1:19" x14ac:dyDescent="0.25">
      <c r="A273" s="56">
        <v>44896</v>
      </c>
      <c r="C273" s="4" t="s">
        <v>4025</v>
      </c>
      <c r="D273" s="4" t="s">
        <v>4026</v>
      </c>
      <c r="E273" s="1" t="s">
        <v>200</v>
      </c>
      <c r="F273" s="1" t="s">
        <v>3925</v>
      </c>
      <c r="G273" s="154" t="s">
        <v>4027</v>
      </c>
      <c r="H273" s="148">
        <v>70000</v>
      </c>
      <c r="I273" s="15">
        <f>Tabla2456789[[#This Row],[TOTAL FACTURA]]*0.6</f>
        <v>42000</v>
      </c>
      <c r="J273" s="177">
        <f t="shared" si="6"/>
        <v>28000</v>
      </c>
      <c r="K273" s="10" t="s">
        <v>4028</v>
      </c>
      <c r="L273" s="11">
        <f>38000+14800</f>
        <v>52800</v>
      </c>
      <c r="M273" s="11">
        <f>Tabla2456789[[#This Row],[MONTO DE COMPRA]]/1.19</f>
        <v>44369.747899159665</v>
      </c>
      <c r="N273" s="11">
        <f>Tabla2456789[[#This Row],[Columna1]]*19%</f>
        <v>8430.2521008403364</v>
      </c>
      <c r="O273" s="11">
        <f>48000+25000</f>
        <v>73000</v>
      </c>
      <c r="P273" s="11">
        <f>Tabla2456789[[#This Row],[VENTA ]]/1.19</f>
        <v>61344.537815126052</v>
      </c>
      <c r="Q273" s="11">
        <f>Tabla2456789[[#This Row],[Columna2]]*19%</f>
        <v>11655.46218487395</v>
      </c>
      <c r="R273" s="11">
        <f>Tabla2456789[[#This Row],[IVA VENTA ]]-Tabla2456789[[#This Row],[IV COMPRA]]</f>
        <v>3225.2100840336134</v>
      </c>
      <c r="S273" s="11">
        <f>(Tabla2456789[[#This Row],[VENTA ]]-(Tabla2456789[[#This Row],[MONTO DE COMPRA]]+Tabla2456789[[#This Row],[DIFERENCIA IVA ]]))</f>
        <v>16974.789915966387</v>
      </c>
    </row>
    <row r="274" spans="1:19" x14ac:dyDescent="0.25">
      <c r="A274" s="56">
        <v>44896</v>
      </c>
      <c r="C274" s="182"/>
      <c r="D274" s="4" t="s">
        <v>148</v>
      </c>
      <c r="E274" s="1" t="s">
        <v>1034</v>
      </c>
      <c r="F274" s="1" t="s">
        <v>34</v>
      </c>
      <c r="G274" s="154" t="s">
        <v>21</v>
      </c>
      <c r="H274" s="148">
        <v>10000</v>
      </c>
      <c r="I274" s="15">
        <f>Tabla2456789[[#This Row],[TOTAL FACTURA]]*0.7</f>
        <v>7000</v>
      </c>
      <c r="J274" s="177">
        <f t="shared" si="6"/>
        <v>3000</v>
      </c>
      <c r="K274" s="10"/>
      <c r="L274" s="11"/>
      <c r="M274" s="11">
        <f>Tabla2456789[[#This Row],[MONTO DE COMPRA]]/1.19</f>
        <v>0</v>
      </c>
      <c r="N274" s="11">
        <f>Tabla2456789[[#This Row],[Columna1]]*19%</f>
        <v>0</v>
      </c>
      <c r="O274" s="11"/>
      <c r="P274" s="11">
        <f>Tabla2456789[[#This Row],[VENTA ]]/1.19</f>
        <v>0</v>
      </c>
      <c r="Q274" s="11">
        <f>Tabla2456789[[#This Row],[Columna2]]*19%</f>
        <v>0</v>
      </c>
      <c r="R274" s="11">
        <f>Tabla2456789[[#This Row],[IVA VENTA ]]-Tabla2456789[[#This Row],[IV COMPRA]]</f>
        <v>0</v>
      </c>
      <c r="S274" s="11">
        <f>(Tabla2456789[[#This Row],[VENTA ]]-(Tabla2456789[[#This Row],[MONTO DE COMPRA]]+Tabla2456789[[#This Row],[DIFERENCIA IVA ]]))</f>
        <v>0</v>
      </c>
    </row>
    <row r="275" spans="1:19" x14ac:dyDescent="0.25">
      <c r="A275" s="56">
        <v>44897</v>
      </c>
      <c r="B275" s="4" t="s">
        <v>4031</v>
      </c>
      <c r="C275" s="4" t="s">
        <v>4029</v>
      </c>
      <c r="D275" s="4" t="s">
        <v>4030</v>
      </c>
      <c r="E275" s="1" t="s">
        <v>213</v>
      </c>
      <c r="F275" s="1" t="s">
        <v>2446</v>
      </c>
      <c r="G275" s="154" t="s">
        <v>338</v>
      </c>
      <c r="H275" s="148">
        <v>180000</v>
      </c>
      <c r="I275" s="15">
        <f>Tabla2456789[[#This Row],[TOTAL FACTURA]]*0.6</f>
        <v>108000</v>
      </c>
      <c r="J275" s="177">
        <f t="shared" ref="J275:J276" si="7">H275-I275</f>
        <v>72000</v>
      </c>
      <c r="K275" s="10" t="s">
        <v>3390</v>
      </c>
      <c r="L275" s="11">
        <v>100000</v>
      </c>
      <c r="M275" s="11">
        <f>Tabla2456789[[#This Row],[MONTO DE COMPRA]]/1.19</f>
        <v>84033.613445378156</v>
      </c>
      <c r="N275" s="11">
        <f>Tabla2456789[[#This Row],[Columna1]]*19%</f>
        <v>15966.386554621849</v>
      </c>
      <c r="O275" s="11">
        <v>75000</v>
      </c>
      <c r="P275" s="11">
        <f>Tabla2456789[[#This Row],[VENTA ]]/1.19</f>
        <v>63025.210084033613</v>
      </c>
      <c r="Q275" s="11">
        <f>Tabla2456789[[#This Row],[Columna2]]*19%</f>
        <v>11974.789915966387</v>
      </c>
      <c r="R275" s="11">
        <f>Tabla2456789[[#This Row],[IVA VENTA ]]-Tabla2456789[[#This Row],[IV COMPRA]]</f>
        <v>-3991.5966386554628</v>
      </c>
      <c r="S275" s="11">
        <f>(Tabla2456789[[#This Row],[VENTA ]]-(Tabla2456789[[#This Row],[MONTO DE COMPRA]]+Tabla2456789[[#This Row],[DIFERENCIA IVA ]]))</f>
        <v>-21008.403361344535</v>
      </c>
    </row>
    <row r="276" spans="1:19" x14ac:dyDescent="0.25">
      <c r="A276" s="56">
        <v>44897</v>
      </c>
      <c r="B276" s="4" t="s">
        <v>4032</v>
      </c>
      <c r="C276" s="4" t="s">
        <v>4033</v>
      </c>
      <c r="D276" s="4" t="s">
        <v>4034</v>
      </c>
      <c r="E276" s="1" t="s">
        <v>213</v>
      </c>
      <c r="F276" s="1" t="s">
        <v>2446</v>
      </c>
      <c r="G276" s="154" t="s">
        <v>20</v>
      </c>
      <c r="H276" s="148">
        <v>30000</v>
      </c>
      <c r="I276" s="15">
        <f>Tabla2456789[[#This Row],[TOTAL FACTURA]]*0.6</f>
        <v>18000</v>
      </c>
      <c r="J276" s="177">
        <f t="shared" si="7"/>
        <v>12000</v>
      </c>
      <c r="K276" s="10" t="s">
        <v>4035</v>
      </c>
      <c r="L276" s="11">
        <v>144000</v>
      </c>
      <c r="M276" s="11">
        <f>Tabla2456789[[#This Row],[MONTO DE COMPRA]]/1.19</f>
        <v>121008.40336134455</v>
      </c>
      <c r="N276" s="11">
        <f>Tabla2456789[[#This Row],[Columna1]]*19%</f>
        <v>22991.596638655465</v>
      </c>
      <c r="O276" s="11">
        <v>200000</v>
      </c>
      <c r="P276" s="11">
        <f>Tabla2456789[[#This Row],[VENTA ]]/1.19</f>
        <v>168067.22689075631</v>
      </c>
      <c r="Q276" s="11">
        <f>Tabla2456789[[#This Row],[Columna2]]*19%</f>
        <v>31932.773109243699</v>
      </c>
      <c r="R276" s="11">
        <f>Tabla2456789[[#This Row],[IVA VENTA ]]-Tabla2456789[[#This Row],[IV COMPRA]]</f>
        <v>8941.1764705882342</v>
      </c>
      <c r="S276" s="11">
        <f>(Tabla2456789[[#This Row],[VENTA ]]-(Tabla2456789[[#This Row],[MONTO DE COMPRA]]+Tabla2456789[[#This Row],[DIFERENCIA IVA ]]))</f>
        <v>47058.823529411777</v>
      </c>
    </row>
    <row r="277" spans="1:19" ht="60" x14ac:dyDescent="0.25">
      <c r="A277" s="56">
        <v>44897</v>
      </c>
      <c r="B277" s="4" t="s">
        <v>4062</v>
      </c>
      <c r="C277" s="4" t="s">
        <v>129</v>
      </c>
      <c r="D277" s="4" t="s">
        <v>125</v>
      </c>
      <c r="E277" s="1" t="s">
        <v>202</v>
      </c>
      <c r="F277" s="1" t="s">
        <v>2446</v>
      </c>
      <c r="G277" s="154" t="s">
        <v>4063</v>
      </c>
      <c r="H277" s="148">
        <v>80000</v>
      </c>
      <c r="I277" s="15">
        <f>Tabla2456789[[#This Row],[TOTAL FACTURA]]*0.7</f>
        <v>56000</v>
      </c>
      <c r="J277" s="177">
        <f>H277-I277</f>
        <v>24000</v>
      </c>
      <c r="K277" s="10"/>
      <c r="L277" s="11"/>
      <c r="M277" s="11">
        <f>Tabla2456789[[#This Row],[MONTO DE COMPRA]]/1.19</f>
        <v>0</v>
      </c>
      <c r="N277" s="11">
        <f>Tabla2456789[[#This Row],[Columna1]]*19%</f>
        <v>0</v>
      </c>
      <c r="O277" s="11"/>
      <c r="P277" s="11">
        <f>Tabla2456789[[#This Row],[VENTA ]]/1.19</f>
        <v>0</v>
      </c>
      <c r="Q277" s="11">
        <f>Tabla2456789[[#This Row],[Columna2]]*19%</f>
        <v>0</v>
      </c>
      <c r="R277" s="11">
        <f>Tabla2456789[[#This Row],[IVA VENTA ]]-Tabla2456789[[#This Row],[IV COMPRA]]</f>
        <v>0</v>
      </c>
      <c r="S277" s="11">
        <f>(Tabla2456789[[#This Row],[VENTA ]]-(Tabla2456789[[#This Row],[MONTO DE COMPRA]]+Tabla2456789[[#This Row],[DIFERENCIA IVA ]]))</f>
        <v>0</v>
      </c>
    </row>
    <row r="278" spans="1:19" ht="45" x14ac:dyDescent="0.25">
      <c r="A278" s="56">
        <v>44897</v>
      </c>
      <c r="B278" s="4" t="s">
        <v>4036</v>
      </c>
      <c r="C278" s="4" t="s">
        <v>129</v>
      </c>
      <c r="D278" s="4" t="s">
        <v>125</v>
      </c>
      <c r="E278" s="1" t="s">
        <v>202</v>
      </c>
      <c r="F278" s="1" t="s">
        <v>2446</v>
      </c>
      <c r="G278" s="154" t="s">
        <v>4037</v>
      </c>
      <c r="H278" s="148">
        <v>180000</v>
      </c>
      <c r="I278" s="15">
        <f>Tabla2456789[[#This Row],[TOTAL FACTURA]]*0.7</f>
        <v>125999.99999999999</v>
      </c>
      <c r="J278" s="177">
        <f>H278-I278</f>
        <v>54000.000000000015</v>
      </c>
      <c r="K278" s="10"/>
      <c r="L278" s="11"/>
      <c r="M278" s="11">
        <f>Tabla2456789[[#This Row],[MONTO DE COMPRA]]/1.19</f>
        <v>0</v>
      </c>
      <c r="N278" s="11">
        <f>Tabla2456789[[#This Row],[Columna1]]*19%</f>
        <v>0</v>
      </c>
      <c r="O278" s="11"/>
      <c r="P278" s="11">
        <f>Tabla2456789[[#This Row],[VENTA ]]/1.19</f>
        <v>0</v>
      </c>
      <c r="Q278" s="11">
        <f>Tabla2456789[[#This Row],[Columna2]]*19%</f>
        <v>0</v>
      </c>
      <c r="R278" s="11">
        <f>Tabla2456789[[#This Row],[IVA VENTA ]]-Tabla2456789[[#This Row],[IV COMPRA]]</f>
        <v>0</v>
      </c>
      <c r="S278" s="11">
        <f>(Tabla2456789[[#This Row],[VENTA ]]-(Tabla2456789[[#This Row],[MONTO DE COMPRA]]+Tabla2456789[[#This Row],[DIFERENCIA IVA ]]))</f>
        <v>0</v>
      </c>
    </row>
    <row r="279" spans="1:19" ht="30" x14ac:dyDescent="0.25">
      <c r="A279" s="56">
        <v>44897</v>
      </c>
      <c r="B279" s="4" t="s">
        <v>4039</v>
      </c>
      <c r="C279" s="4" t="s">
        <v>2761</v>
      </c>
      <c r="D279" s="4" t="s">
        <v>2778</v>
      </c>
      <c r="E279" s="1" t="s">
        <v>59</v>
      </c>
      <c r="F279" s="1" t="s">
        <v>2446</v>
      </c>
      <c r="G279" s="154" t="s">
        <v>4040</v>
      </c>
      <c r="H279" s="148">
        <v>80000</v>
      </c>
      <c r="I279" s="15">
        <f>Tabla2456789[[#This Row],[TOTAL FACTURA]]*0.6</f>
        <v>48000</v>
      </c>
      <c r="J279" s="177">
        <f t="shared" ref="J279:J282" si="8">H279-I279</f>
        <v>32000</v>
      </c>
      <c r="K279" s="10"/>
      <c r="L279" s="11"/>
      <c r="M279" s="11">
        <f>Tabla2456789[[#This Row],[MONTO DE COMPRA]]/1.19</f>
        <v>0</v>
      </c>
      <c r="N279" s="11">
        <f>Tabla2456789[[#This Row],[Columna1]]*19%</f>
        <v>0</v>
      </c>
      <c r="O279" s="11"/>
      <c r="P279" s="11">
        <f>Tabla2456789[[#This Row],[VENTA ]]/1.19</f>
        <v>0</v>
      </c>
      <c r="Q279" s="11">
        <f>Tabla2456789[[#This Row],[Columna2]]*19%</f>
        <v>0</v>
      </c>
      <c r="R279" s="11">
        <f>Tabla2456789[[#This Row],[IVA VENTA ]]-Tabla2456789[[#This Row],[IV COMPRA]]</f>
        <v>0</v>
      </c>
      <c r="S279" s="11">
        <f>(Tabla2456789[[#This Row],[VENTA ]]-(Tabla2456789[[#This Row],[MONTO DE COMPRA]]+Tabla2456789[[#This Row],[DIFERENCIA IVA ]]))</f>
        <v>0</v>
      </c>
    </row>
    <row r="280" spans="1:19" ht="30" x14ac:dyDescent="0.25">
      <c r="A280" s="56">
        <v>44897</v>
      </c>
      <c r="C280" s="182"/>
      <c r="D280" s="4"/>
      <c r="F280" s="1"/>
      <c r="G280" s="154" t="s">
        <v>4041</v>
      </c>
      <c r="H280" s="148">
        <v>20000</v>
      </c>
      <c r="I280" s="15">
        <f>Tabla2456789[[#This Row],[TOTAL FACTURA]]*0.7</f>
        <v>14000</v>
      </c>
      <c r="J280" s="177">
        <f t="shared" si="8"/>
        <v>6000</v>
      </c>
      <c r="K280" s="10"/>
      <c r="L280" s="11"/>
      <c r="M280" s="11">
        <f>Tabla2456789[[#This Row],[MONTO DE COMPRA]]/1.19</f>
        <v>0</v>
      </c>
      <c r="N280" s="11">
        <f>Tabla2456789[[#This Row],[Columna1]]*19%</f>
        <v>0</v>
      </c>
      <c r="O280" s="11"/>
      <c r="P280" s="11">
        <f>Tabla2456789[[#This Row],[VENTA ]]/1.19</f>
        <v>0</v>
      </c>
      <c r="Q280" s="11">
        <f>Tabla2456789[[#This Row],[Columna2]]*19%</f>
        <v>0</v>
      </c>
      <c r="R280" s="11">
        <f>Tabla2456789[[#This Row],[IVA VENTA ]]-Tabla2456789[[#This Row],[IV COMPRA]]</f>
        <v>0</v>
      </c>
      <c r="S280" s="11">
        <f>(Tabla2456789[[#This Row],[VENTA ]]-(Tabla2456789[[#This Row],[MONTO DE COMPRA]]+Tabla2456789[[#This Row],[DIFERENCIA IVA ]]))</f>
        <v>0</v>
      </c>
    </row>
    <row r="281" spans="1:19" ht="30" x14ac:dyDescent="0.25">
      <c r="A281" s="56">
        <v>44897</v>
      </c>
      <c r="B281" s="4" t="s">
        <v>4044</v>
      </c>
      <c r="C281" s="4" t="s">
        <v>4045</v>
      </c>
      <c r="D281" s="4" t="s">
        <v>4042</v>
      </c>
      <c r="E281" s="1" t="s">
        <v>54</v>
      </c>
      <c r="F281" s="1" t="s">
        <v>2446</v>
      </c>
      <c r="G281" s="154" t="s">
        <v>4043</v>
      </c>
      <c r="H281" s="148">
        <v>50000</v>
      </c>
      <c r="I281" s="15">
        <f>Tabla2456789[[#This Row],[TOTAL FACTURA]]*0.6</f>
        <v>30000</v>
      </c>
      <c r="J281" s="177">
        <f t="shared" si="8"/>
        <v>20000</v>
      </c>
      <c r="K281" s="10" t="s">
        <v>4046</v>
      </c>
      <c r="L281" s="11">
        <v>100000</v>
      </c>
      <c r="M281" s="11">
        <f>Tabla2456789[[#This Row],[MONTO DE COMPRA]]/1.19</f>
        <v>84033.613445378156</v>
      </c>
      <c r="N281" s="11">
        <f>Tabla2456789[[#This Row],[Columna1]]*19%</f>
        <v>15966.386554621849</v>
      </c>
      <c r="O281" s="11">
        <v>130000</v>
      </c>
      <c r="P281" s="11">
        <f>Tabla2456789[[#This Row],[VENTA ]]/1.19</f>
        <v>109243.6974789916</v>
      </c>
      <c r="Q281" s="11">
        <f>Tabla2456789[[#This Row],[Columna2]]*19%</f>
        <v>20756.302521008405</v>
      </c>
      <c r="R281" s="11">
        <f>Tabla2456789[[#This Row],[IVA VENTA ]]-Tabla2456789[[#This Row],[IV COMPRA]]</f>
        <v>4789.9159663865557</v>
      </c>
      <c r="S281" s="11">
        <f>(Tabla2456789[[#This Row],[VENTA ]]-(Tabla2456789[[#This Row],[MONTO DE COMPRA]]+Tabla2456789[[#This Row],[DIFERENCIA IVA ]]))</f>
        <v>25210.084033613442</v>
      </c>
    </row>
    <row r="282" spans="1:19" ht="30" x14ac:dyDescent="0.25">
      <c r="A282" s="56">
        <v>44897</v>
      </c>
      <c r="B282" s="4" t="s">
        <v>1601</v>
      </c>
      <c r="C282" s="4" t="s">
        <v>1278</v>
      </c>
      <c r="D282" s="4" t="s">
        <v>386</v>
      </c>
      <c r="E282" s="1" t="s">
        <v>3663</v>
      </c>
      <c r="F282" s="1" t="s">
        <v>2446</v>
      </c>
      <c r="G282" s="154" t="s">
        <v>4048</v>
      </c>
      <c r="H282" s="148">
        <v>70000</v>
      </c>
      <c r="I282" s="15">
        <f>Tabla2456789[[#This Row],[TOTAL FACTURA]]*0.6</f>
        <v>42000</v>
      </c>
      <c r="J282" s="177">
        <f t="shared" si="8"/>
        <v>28000</v>
      </c>
      <c r="K282" s="10" t="s">
        <v>4047</v>
      </c>
      <c r="L282" s="11">
        <v>40000</v>
      </c>
      <c r="M282" s="11"/>
      <c r="N282" s="11">
        <f>Tabla2456789[[#This Row],[Columna1]]*19%</f>
        <v>0</v>
      </c>
      <c r="O282" s="11">
        <v>90000</v>
      </c>
      <c r="P282" s="11">
        <f>Tabla2456789[[#This Row],[VENTA ]]/1.19</f>
        <v>75630.252100840342</v>
      </c>
      <c r="Q282" s="11">
        <f>Tabla2456789[[#This Row],[Columna2]]*19%</f>
        <v>14369.747899159665</v>
      </c>
      <c r="R282" s="11">
        <f>Tabla2456789[[#This Row],[IVA VENTA ]]-Tabla2456789[[#This Row],[IV COMPRA]]</f>
        <v>14369.747899159665</v>
      </c>
      <c r="S282" s="11">
        <f>(Tabla2456789[[#This Row],[VENTA ]]-(Tabla2456789[[#This Row],[MONTO DE COMPRA]]+Tabla2456789[[#This Row],[DIFERENCIA IVA ]]))</f>
        <v>35630.252100840335</v>
      </c>
    </row>
    <row r="283" spans="1:19" x14ac:dyDescent="0.25">
      <c r="A283" s="56">
        <v>44897</v>
      </c>
      <c r="C283" s="4" t="s">
        <v>4049</v>
      </c>
      <c r="D283" s="4" t="s">
        <v>4050</v>
      </c>
      <c r="E283" s="1" t="s">
        <v>76</v>
      </c>
      <c r="F283" s="1" t="s">
        <v>2446</v>
      </c>
      <c r="G283" s="154" t="s">
        <v>4051</v>
      </c>
      <c r="H283" s="148">
        <v>50000</v>
      </c>
      <c r="I283" s="15">
        <f>Tabla2456789[[#This Row],[TOTAL FACTURA]]*0.6</f>
        <v>30000</v>
      </c>
      <c r="J283" s="177">
        <f>H283-I283</f>
        <v>20000</v>
      </c>
      <c r="K283" s="10"/>
      <c r="L283" s="11"/>
      <c r="M283" s="11">
        <f>Tabla2456789[[#This Row],[MONTO DE COMPRA]]/1.19</f>
        <v>0</v>
      </c>
      <c r="N283" s="11">
        <f>Tabla2456789[[#This Row],[Columna1]]*19%</f>
        <v>0</v>
      </c>
      <c r="O283" s="11"/>
      <c r="P283" s="11">
        <f>Tabla2456789[[#This Row],[VENTA ]]/1.19</f>
        <v>0</v>
      </c>
      <c r="Q283" s="11">
        <f>Tabla2456789[[#This Row],[Columna2]]*19%</f>
        <v>0</v>
      </c>
      <c r="R283" s="11">
        <f>Tabla2456789[[#This Row],[IVA VENTA ]]-Tabla2456789[[#This Row],[IV COMPRA]]</f>
        <v>0</v>
      </c>
      <c r="S283" s="11">
        <f>(Tabla2456789[[#This Row],[VENTA ]]-(Tabla2456789[[#This Row],[MONTO DE COMPRA]]+Tabla2456789[[#This Row],[DIFERENCIA IVA ]]))</f>
        <v>0</v>
      </c>
    </row>
    <row r="284" spans="1:19" x14ac:dyDescent="0.25">
      <c r="A284" s="56">
        <v>44897</v>
      </c>
      <c r="C284" s="182"/>
      <c r="D284" s="4" t="s">
        <v>2105</v>
      </c>
      <c r="E284" s="1" t="s">
        <v>3545</v>
      </c>
      <c r="F284" s="1" t="s">
        <v>2446</v>
      </c>
      <c r="G284" s="154" t="s">
        <v>4052</v>
      </c>
      <c r="H284" s="148">
        <v>20000</v>
      </c>
      <c r="I284" s="15">
        <f>Tabla2456789[[#This Row],[TOTAL FACTURA]]*0.6</f>
        <v>12000</v>
      </c>
      <c r="J284" s="177">
        <f>H284-I284</f>
        <v>8000</v>
      </c>
      <c r="K284" s="10" t="s">
        <v>4053</v>
      </c>
      <c r="L284" s="11">
        <f>20000+8000</f>
        <v>28000</v>
      </c>
      <c r="M284" s="11">
        <f>Tabla2456789[[#This Row],[MONTO DE COMPRA]]/1.19</f>
        <v>23529.411764705885</v>
      </c>
      <c r="N284" s="11">
        <f>Tabla2456789[[#This Row],[Columna1]]*19%</f>
        <v>4470.588235294118</v>
      </c>
      <c r="O284" s="11">
        <f>26000+15000</f>
        <v>41000</v>
      </c>
      <c r="P284" s="11">
        <f>Tabla2456789[[#This Row],[VENTA ]]/1.19</f>
        <v>34453.781512605041</v>
      </c>
      <c r="Q284" s="11">
        <f>Tabla2456789[[#This Row],[Columna2]]*19%</f>
        <v>6546.2184873949582</v>
      </c>
      <c r="R284" s="11">
        <f>Tabla2456789[[#This Row],[IVA VENTA ]]-Tabla2456789[[#This Row],[IV COMPRA]]</f>
        <v>2075.6302521008402</v>
      </c>
      <c r="S284" s="11">
        <f>(Tabla2456789[[#This Row],[VENTA ]]-(Tabla2456789[[#This Row],[MONTO DE COMPRA]]+Tabla2456789[[#This Row],[DIFERENCIA IVA ]]))</f>
        <v>10924.36974789916</v>
      </c>
    </row>
    <row r="285" spans="1:19" x14ac:dyDescent="0.25">
      <c r="A285" s="56">
        <v>44897</v>
      </c>
      <c r="C285" s="4" t="s">
        <v>4055</v>
      </c>
      <c r="D285" s="4" t="s">
        <v>4056</v>
      </c>
      <c r="E285" s="1" t="s">
        <v>64</v>
      </c>
      <c r="F285" s="1" t="s">
        <v>3666</v>
      </c>
      <c r="G285" s="154" t="s">
        <v>4054</v>
      </c>
      <c r="H285" s="148">
        <v>148000</v>
      </c>
      <c r="I285" s="15">
        <f>Tabla2456789[[#This Row],[TOTAL FACTURA]]*0.5</f>
        <v>74000</v>
      </c>
      <c r="J285" s="177">
        <f>H285-I285</f>
        <v>74000</v>
      </c>
      <c r="K285" s="10"/>
      <c r="L285" s="11"/>
      <c r="M285" s="11">
        <f>Tabla2456789[[#This Row],[MONTO DE COMPRA]]/1.19</f>
        <v>0</v>
      </c>
      <c r="N285" s="11">
        <f>Tabla2456789[[#This Row],[Columna1]]*19%</f>
        <v>0</v>
      </c>
      <c r="O285" s="11"/>
      <c r="P285" s="11">
        <f>Tabla2456789[[#This Row],[VENTA ]]/1.19</f>
        <v>0</v>
      </c>
      <c r="Q285" s="11">
        <f>Tabla2456789[[#This Row],[Columna2]]*19%</f>
        <v>0</v>
      </c>
      <c r="R285" s="11">
        <f>Tabla2456789[[#This Row],[IVA VENTA ]]-Tabla2456789[[#This Row],[IV COMPRA]]</f>
        <v>0</v>
      </c>
      <c r="S285" s="11">
        <f>(Tabla2456789[[#This Row],[VENTA ]]-(Tabla2456789[[#This Row],[MONTO DE COMPRA]]+Tabla2456789[[#This Row],[DIFERENCIA IVA ]]))</f>
        <v>0</v>
      </c>
    </row>
    <row r="286" spans="1:19" ht="60" x14ac:dyDescent="0.25">
      <c r="A286" s="56">
        <v>44897</v>
      </c>
      <c r="C286" s="4" t="s">
        <v>4057</v>
      </c>
      <c r="D286" s="4" t="s">
        <v>4058</v>
      </c>
      <c r="E286" s="1" t="s">
        <v>2168</v>
      </c>
      <c r="F286" s="1" t="s">
        <v>2446</v>
      </c>
      <c r="G286" s="154" t="s">
        <v>4066</v>
      </c>
      <c r="H286" s="148">
        <v>120000</v>
      </c>
      <c r="I286" s="15">
        <f>Tabla2456789[[#This Row],[TOTAL FACTURA]]*0.6</f>
        <v>72000</v>
      </c>
      <c r="J286" s="172">
        <f>H286-I286</f>
        <v>48000</v>
      </c>
      <c r="K286" s="10" t="s">
        <v>4059</v>
      </c>
      <c r="L286" s="11">
        <f>190000+100000+17000</f>
        <v>307000</v>
      </c>
      <c r="M286" s="11">
        <f>Tabla2456789[[#This Row],[MONTO DE COMPRA]]/1.19</f>
        <v>257983.19327731093</v>
      </c>
      <c r="N286" s="11">
        <f>Tabla2456789[[#This Row],[Columna1]]*19%</f>
        <v>49016.806722689078</v>
      </c>
      <c r="O286" s="11">
        <f>250000+30000+150000</f>
        <v>430000</v>
      </c>
      <c r="P286" s="11">
        <f>Tabla2456789[[#This Row],[VENTA ]]/1.19</f>
        <v>361344.53781512607</v>
      </c>
      <c r="Q286" s="11">
        <f>Tabla2456789[[#This Row],[Columna2]]*19%</f>
        <v>68655.462184873948</v>
      </c>
      <c r="R286" s="11">
        <f>Tabla2456789[[#This Row],[IVA VENTA ]]-Tabla2456789[[#This Row],[IV COMPRA]]</f>
        <v>19638.65546218487</v>
      </c>
      <c r="S286" s="11">
        <f>(Tabla2456789[[#This Row],[VENTA ]]-(Tabla2456789[[#This Row],[MONTO DE COMPRA]]+Tabla2456789[[#This Row],[DIFERENCIA IVA ]]))</f>
        <v>103361.34453781514</v>
      </c>
    </row>
    <row r="287" spans="1:19" ht="45" x14ac:dyDescent="0.25">
      <c r="A287" s="56">
        <v>44898</v>
      </c>
      <c r="B287" s="4" t="s">
        <v>4071</v>
      </c>
      <c r="C287" s="4" t="s">
        <v>4067</v>
      </c>
      <c r="D287" s="4" t="s">
        <v>4068</v>
      </c>
      <c r="E287" s="1" t="s">
        <v>2285</v>
      </c>
      <c r="F287" s="1" t="s">
        <v>2446</v>
      </c>
      <c r="G287" s="154" t="s">
        <v>4069</v>
      </c>
      <c r="H287" s="148">
        <v>90000</v>
      </c>
      <c r="I287" s="15">
        <f>Tabla2456789[[#This Row],[TOTAL FACTURA]]*0.6</f>
        <v>54000</v>
      </c>
      <c r="J287" s="177">
        <f t="shared" ref="J287:J326" si="9">H287-I287</f>
        <v>36000</v>
      </c>
      <c r="K287" s="10" t="s">
        <v>4070</v>
      </c>
      <c r="L287" s="11">
        <f>145000+60000</f>
        <v>205000</v>
      </c>
      <c r="M287" s="11">
        <f>Tabla2456789[[#This Row],[MONTO DE COMPRA]]/1.19</f>
        <v>172268.90756302522</v>
      </c>
      <c r="N287" s="11">
        <f>Tabla2456789[[#This Row],[Columna1]]*19%</f>
        <v>32731.092436974792</v>
      </c>
      <c r="O287" s="11">
        <f>180000+70000</f>
        <v>250000</v>
      </c>
      <c r="P287" s="11">
        <f>Tabla2456789[[#This Row],[VENTA ]]/1.19</f>
        <v>210084.03361344538</v>
      </c>
      <c r="Q287" s="11">
        <f>Tabla2456789[[#This Row],[Columna2]]*19%</f>
        <v>39915.966386554624</v>
      </c>
      <c r="R287" s="11">
        <f>Tabla2456789[[#This Row],[IVA VENTA ]]-Tabla2456789[[#This Row],[IV COMPRA]]</f>
        <v>7184.8739495798327</v>
      </c>
      <c r="S287" s="11">
        <f>(Tabla2456789[[#This Row],[VENTA ]]-(Tabla2456789[[#This Row],[MONTO DE COMPRA]]+Tabla2456789[[#This Row],[DIFERENCIA IVA ]]))</f>
        <v>37815.126050420164</v>
      </c>
    </row>
    <row r="288" spans="1:19" x14ac:dyDescent="0.25">
      <c r="A288" s="56">
        <v>44900</v>
      </c>
      <c r="C288" s="4" t="s">
        <v>1278</v>
      </c>
      <c r="D288" s="4" t="s">
        <v>380</v>
      </c>
      <c r="E288" s="1" t="s">
        <v>59</v>
      </c>
      <c r="F288" s="1" t="s">
        <v>2446</v>
      </c>
      <c r="G288" s="154" t="s">
        <v>1159</v>
      </c>
      <c r="H288" s="148">
        <v>10000</v>
      </c>
      <c r="I288" s="15">
        <f>Tabla2456789[[#This Row],[TOTAL FACTURA]]*0.6</f>
        <v>6000</v>
      </c>
      <c r="J288" s="177">
        <f t="shared" si="9"/>
        <v>4000</v>
      </c>
      <c r="K288" s="10"/>
      <c r="L288" s="11"/>
      <c r="M288" s="11">
        <f>Tabla2456789[[#This Row],[MONTO DE COMPRA]]/1.19</f>
        <v>0</v>
      </c>
      <c r="N288" s="11">
        <f>Tabla2456789[[#This Row],[Columna1]]*19%</f>
        <v>0</v>
      </c>
      <c r="O288" s="11"/>
      <c r="P288" s="11">
        <f>Tabla2456789[[#This Row],[VENTA ]]/1.19</f>
        <v>0</v>
      </c>
      <c r="Q288" s="11">
        <f>Tabla2456789[[#This Row],[Columna2]]*19%</f>
        <v>0</v>
      </c>
      <c r="R288" s="11">
        <f>Tabla2456789[[#This Row],[IVA VENTA ]]-Tabla2456789[[#This Row],[IV COMPRA]]</f>
        <v>0</v>
      </c>
      <c r="S288" s="11">
        <f>(Tabla2456789[[#This Row],[VENTA ]]-(Tabla2456789[[#This Row],[MONTO DE COMPRA]]+Tabla2456789[[#This Row],[DIFERENCIA IVA ]]))</f>
        <v>0</v>
      </c>
    </row>
    <row r="289" spans="1:19" x14ac:dyDescent="0.25">
      <c r="A289" s="56">
        <v>44900</v>
      </c>
      <c r="C289" s="182"/>
      <c r="D289" s="4"/>
      <c r="E289" s="1" t="s">
        <v>46</v>
      </c>
      <c r="F289" s="1" t="s">
        <v>2446</v>
      </c>
      <c r="G289" s="154" t="s">
        <v>4072</v>
      </c>
      <c r="H289" s="148">
        <v>20000</v>
      </c>
      <c r="I289" s="15">
        <f>Tabla2456789[[#This Row],[TOTAL FACTURA]]*0.6</f>
        <v>12000</v>
      </c>
      <c r="J289" s="177">
        <f t="shared" si="9"/>
        <v>8000</v>
      </c>
      <c r="K289" s="10"/>
      <c r="L289" s="11"/>
      <c r="M289" s="11">
        <f>Tabla2456789[[#This Row],[MONTO DE COMPRA]]/1.19</f>
        <v>0</v>
      </c>
      <c r="N289" s="11">
        <f>Tabla2456789[[#This Row],[Columna1]]*19%</f>
        <v>0</v>
      </c>
      <c r="O289" s="11"/>
      <c r="P289" s="11">
        <f>Tabla2456789[[#This Row],[VENTA ]]/1.19</f>
        <v>0</v>
      </c>
      <c r="Q289" s="11">
        <f>Tabla2456789[[#This Row],[Columna2]]*19%</f>
        <v>0</v>
      </c>
      <c r="R289" s="11">
        <f>Tabla2456789[[#This Row],[IVA VENTA ]]-Tabla2456789[[#This Row],[IV COMPRA]]</f>
        <v>0</v>
      </c>
      <c r="S289" s="11">
        <f>(Tabla2456789[[#This Row],[VENTA ]]-(Tabla2456789[[#This Row],[MONTO DE COMPRA]]+Tabla2456789[[#This Row],[DIFERENCIA IVA ]]))</f>
        <v>0</v>
      </c>
    </row>
    <row r="290" spans="1:19" ht="30" x14ac:dyDescent="0.25">
      <c r="A290" s="56">
        <v>44900</v>
      </c>
      <c r="B290" s="4" t="s">
        <v>4075</v>
      </c>
      <c r="C290" s="4" t="s">
        <v>4073</v>
      </c>
      <c r="D290" s="4" t="s">
        <v>2078</v>
      </c>
      <c r="E290" s="1" t="s">
        <v>76</v>
      </c>
      <c r="F290" s="1" t="s">
        <v>2446</v>
      </c>
      <c r="G290" s="154" t="s">
        <v>4171</v>
      </c>
      <c r="H290" s="148">
        <v>50000</v>
      </c>
      <c r="I290" s="15">
        <f>Tabla2456789[[#This Row],[TOTAL FACTURA]]*0.6</f>
        <v>30000</v>
      </c>
      <c r="J290" s="177">
        <f t="shared" si="9"/>
        <v>20000</v>
      </c>
      <c r="K290" s="10" t="s">
        <v>4074</v>
      </c>
      <c r="L290" s="11">
        <v>35000</v>
      </c>
      <c r="M290" s="11">
        <f>Tabla2456789[[#This Row],[MONTO DE COMPRA]]/1.19</f>
        <v>29411.764705882353</v>
      </c>
      <c r="N290" s="11">
        <f>Tabla2456789[[#This Row],[Columna1]]*19%</f>
        <v>5588.2352941176468</v>
      </c>
      <c r="O290" s="11">
        <v>45000</v>
      </c>
      <c r="P290" s="11">
        <f>Tabla2456789[[#This Row],[VENTA ]]/1.19</f>
        <v>37815.126050420171</v>
      </c>
      <c r="Q290" s="11">
        <f>Tabla2456789[[#This Row],[Columna2]]*19%</f>
        <v>7184.8739495798327</v>
      </c>
      <c r="R290" s="11">
        <f>Tabla2456789[[#This Row],[IVA VENTA ]]-Tabla2456789[[#This Row],[IV COMPRA]]</f>
        <v>1596.6386554621859</v>
      </c>
      <c r="S290" s="11">
        <f>(Tabla2456789[[#This Row],[VENTA ]]-(Tabla2456789[[#This Row],[MONTO DE COMPRA]]+Tabla2456789[[#This Row],[DIFERENCIA IVA ]]))</f>
        <v>8403.3613445378141</v>
      </c>
    </row>
    <row r="291" spans="1:19" x14ac:dyDescent="0.25">
      <c r="A291" s="56">
        <v>44900</v>
      </c>
      <c r="C291" s="4" t="s">
        <v>4076</v>
      </c>
      <c r="D291" s="4" t="s">
        <v>4077</v>
      </c>
      <c r="F291" s="1" t="s">
        <v>3666</v>
      </c>
      <c r="G291" s="154" t="s">
        <v>1794</v>
      </c>
      <c r="H291" s="148">
        <v>250000</v>
      </c>
      <c r="I291" s="15">
        <f>Tabla2456789[[#This Row],[TOTAL FACTURA]]*0.5</f>
        <v>125000</v>
      </c>
      <c r="J291" s="177">
        <f t="shared" si="9"/>
        <v>125000</v>
      </c>
      <c r="K291" s="10"/>
      <c r="L291" s="11"/>
      <c r="M291" s="11">
        <f>Tabla2456789[[#This Row],[MONTO DE COMPRA]]/1.19</f>
        <v>0</v>
      </c>
      <c r="N291" s="11">
        <f>Tabla2456789[[#This Row],[Columna1]]*19%</f>
        <v>0</v>
      </c>
      <c r="O291" s="11"/>
      <c r="P291" s="11">
        <f>Tabla2456789[[#This Row],[VENTA ]]/1.19</f>
        <v>0</v>
      </c>
      <c r="Q291" s="11">
        <f>Tabla2456789[[#This Row],[Columna2]]*19%</f>
        <v>0</v>
      </c>
      <c r="R291" s="11">
        <f>Tabla2456789[[#This Row],[IVA VENTA ]]-Tabla2456789[[#This Row],[IV COMPRA]]</f>
        <v>0</v>
      </c>
      <c r="S291" s="11">
        <f>(Tabla2456789[[#This Row],[VENTA ]]-(Tabla2456789[[#This Row],[MONTO DE COMPRA]]+Tabla2456789[[#This Row],[DIFERENCIA IVA ]]))</f>
        <v>0</v>
      </c>
    </row>
    <row r="292" spans="1:19" x14ac:dyDescent="0.25">
      <c r="A292" s="56">
        <v>44900</v>
      </c>
      <c r="C292" s="4"/>
      <c r="D292" s="4"/>
      <c r="E292" s="1" t="s">
        <v>1574</v>
      </c>
      <c r="F292" s="1" t="s">
        <v>34</v>
      </c>
      <c r="G292" s="154" t="s">
        <v>4082</v>
      </c>
      <c r="H292" s="148">
        <v>10000</v>
      </c>
      <c r="I292" s="15">
        <f>Tabla2456789[[#This Row],[TOTAL FACTURA]]*0.7</f>
        <v>7000</v>
      </c>
      <c r="J292" s="177">
        <f t="shared" si="9"/>
        <v>3000</v>
      </c>
      <c r="K292" s="10" t="s">
        <v>676</v>
      </c>
      <c r="L292" s="11">
        <v>15000</v>
      </c>
      <c r="M292" s="11"/>
      <c r="N292" s="11">
        <f>Tabla2456789[[#This Row],[Columna1]]*19%</f>
        <v>0</v>
      </c>
      <c r="O292" s="11">
        <v>30000</v>
      </c>
      <c r="P292" s="11"/>
      <c r="Q292" s="11">
        <f>Tabla2456789[[#This Row],[Columna2]]*19%</f>
        <v>0</v>
      </c>
      <c r="R292" s="11">
        <f>Tabla2456789[[#This Row],[IVA VENTA ]]-Tabla2456789[[#This Row],[IV COMPRA]]</f>
        <v>0</v>
      </c>
      <c r="S292" s="11">
        <f>(Tabla2456789[[#This Row],[VENTA ]]-(Tabla2456789[[#This Row],[MONTO DE COMPRA]]+Tabla2456789[[#This Row],[DIFERENCIA IVA ]]))</f>
        <v>15000</v>
      </c>
    </row>
    <row r="293" spans="1:19" x14ac:dyDescent="0.25">
      <c r="A293" s="56">
        <v>44900</v>
      </c>
      <c r="B293" s="4" t="s">
        <v>4083</v>
      </c>
      <c r="C293" s="4" t="s">
        <v>2571</v>
      </c>
      <c r="D293" s="4" t="s">
        <v>2514</v>
      </c>
      <c r="E293" s="1" t="s">
        <v>200</v>
      </c>
      <c r="F293" s="1" t="s">
        <v>2446</v>
      </c>
      <c r="G293" s="154" t="s">
        <v>4084</v>
      </c>
      <c r="H293" s="148">
        <v>80000</v>
      </c>
      <c r="I293" s="15">
        <f>Tabla2456789[[#This Row],[TOTAL FACTURA]]*0.6</f>
        <v>48000</v>
      </c>
      <c r="J293" s="177">
        <f t="shared" si="9"/>
        <v>32000</v>
      </c>
      <c r="K293" s="10"/>
      <c r="L293" s="11"/>
      <c r="M293" s="11">
        <f>Tabla2456789[[#This Row],[MONTO DE COMPRA]]/1.19</f>
        <v>0</v>
      </c>
      <c r="N293" s="11">
        <f>Tabla2456789[[#This Row],[Columna1]]*19%</f>
        <v>0</v>
      </c>
      <c r="O293" s="11"/>
      <c r="P293" s="11">
        <f>Tabla2456789[[#This Row],[VENTA ]]/1.19</f>
        <v>0</v>
      </c>
      <c r="Q293" s="11">
        <f>Tabla2456789[[#This Row],[Columna2]]*19%</f>
        <v>0</v>
      </c>
      <c r="R293" s="11">
        <f>Tabla2456789[[#This Row],[IVA VENTA ]]-Tabla2456789[[#This Row],[IV COMPRA]]</f>
        <v>0</v>
      </c>
      <c r="S293" s="11">
        <f>(Tabla2456789[[#This Row],[VENTA ]]-(Tabla2456789[[#This Row],[MONTO DE COMPRA]]+Tabla2456789[[#This Row],[DIFERENCIA IVA ]]))</f>
        <v>0</v>
      </c>
    </row>
    <row r="294" spans="1:19" x14ac:dyDescent="0.25">
      <c r="A294" s="56">
        <v>44900</v>
      </c>
      <c r="C294" s="182"/>
      <c r="D294" s="4"/>
      <c r="E294" s="1" t="s">
        <v>4177</v>
      </c>
      <c r="F294" s="1"/>
      <c r="G294" s="154" t="s">
        <v>3984</v>
      </c>
      <c r="H294" s="148">
        <v>90000</v>
      </c>
      <c r="I294" s="15">
        <f>Tabla2456789[[#This Row],[TOTAL FACTURA]]*0.5</f>
        <v>45000</v>
      </c>
      <c r="J294" s="177">
        <f>H294-I294</f>
        <v>45000</v>
      </c>
      <c r="K294" s="10"/>
      <c r="L294" s="11"/>
      <c r="M294" s="11">
        <f>Tabla2456789[[#This Row],[MONTO DE COMPRA]]/1.19</f>
        <v>0</v>
      </c>
      <c r="N294" s="11">
        <f>Tabla2456789[[#This Row],[Columna1]]*19%</f>
        <v>0</v>
      </c>
      <c r="O294" s="11"/>
      <c r="P294" s="11">
        <f>Tabla2456789[[#This Row],[VENTA ]]/1.19</f>
        <v>0</v>
      </c>
      <c r="Q294" s="11">
        <f>Tabla2456789[[#This Row],[Columna2]]*19%</f>
        <v>0</v>
      </c>
      <c r="R294" s="11">
        <f>Tabla2456789[[#This Row],[IVA VENTA ]]-Tabla2456789[[#This Row],[IV COMPRA]]</f>
        <v>0</v>
      </c>
      <c r="S294" s="11">
        <f>(Tabla2456789[[#This Row],[VENTA ]]-(Tabla2456789[[#This Row],[MONTO DE COMPRA]]+Tabla2456789[[#This Row],[DIFERENCIA IVA ]]))</f>
        <v>0</v>
      </c>
    </row>
    <row r="295" spans="1:19" x14ac:dyDescent="0.25">
      <c r="A295" s="56">
        <v>44900</v>
      </c>
      <c r="C295" s="182"/>
      <c r="D295" s="4" t="s">
        <v>4085</v>
      </c>
      <c r="E295" s="1" t="s">
        <v>1077</v>
      </c>
      <c r="F295" s="1" t="s">
        <v>3666</v>
      </c>
      <c r="G295" s="154" t="s">
        <v>3538</v>
      </c>
      <c r="H295" s="148">
        <v>60000</v>
      </c>
      <c r="I295" s="15">
        <f>Tabla2456789[[#This Row],[TOTAL FACTURA]]*0.5</f>
        <v>30000</v>
      </c>
      <c r="J295" s="177">
        <f t="shared" si="9"/>
        <v>30000</v>
      </c>
      <c r="K295" s="10"/>
      <c r="L295" s="11"/>
      <c r="M295" s="11">
        <f>Tabla2456789[[#This Row],[MONTO DE COMPRA]]/1.19</f>
        <v>0</v>
      </c>
      <c r="N295" s="11">
        <f>Tabla2456789[[#This Row],[Columna1]]*19%</f>
        <v>0</v>
      </c>
      <c r="O295" s="11"/>
      <c r="P295" s="11">
        <f>Tabla2456789[[#This Row],[VENTA ]]/1.19</f>
        <v>0</v>
      </c>
      <c r="Q295" s="11">
        <f>Tabla2456789[[#This Row],[Columna2]]*19%</f>
        <v>0</v>
      </c>
      <c r="R295" s="11">
        <f>Tabla2456789[[#This Row],[IVA VENTA ]]-Tabla2456789[[#This Row],[IV COMPRA]]</f>
        <v>0</v>
      </c>
      <c r="S295" s="11">
        <f>(Tabla2456789[[#This Row],[VENTA ]]-(Tabla2456789[[#This Row],[MONTO DE COMPRA]]+Tabla2456789[[#This Row],[DIFERENCIA IVA ]]))</f>
        <v>0</v>
      </c>
    </row>
    <row r="296" spans="1:19" ht="30" x14ac:dyDescent="0.25">
      <c r="A296" s="56">
        <v>44900</v>
      </c>
      <c r="B296" s="4" t="s">
        <v>4087</v>
      </c>
      <c r="C296" s="4" t="s">
        <v>4088</v>
      </c>
      <c r="D296" s="4" t="s">
        <v>4086</v>
      </c>
      <c r="E296" s="1" t="s">
        <v>677</v>
      </c>
      <c r="F296" s="1" t="s">
        <v>2446</v>
      </c>
      <c r="G296" s="154" t="s">
        <v>4089</v>
      </c>
      <c r="H296" s="148">
        <v>180000</v>
      </c>
      <c r="I296" s="15">
        <f>Tabla2456789[[#This Row],[TOTAL FACTURA]]*0.6</f>
        <v>108000</v>
      </c>
      <c r="J296" s="177"/>
      <c r="K296" s="10" t="s">
        <v>4090</v>
      </c>
      <c r="L296" s="11">
        <f>260000+160000</f>
        <v>420000</v>
      </c>
      <c r="M296" s="11">
        <f>Tabla2456789[[#This Row],[MONTO DE COMPRA]]/1.19</f>
        <v>352941.17647058825</v>
      </c>
      <c r="N296" s="11">
        <f>Tabla2456789[[#This Row],[Columna1]]*19%</f>
        <v>67058.823529411762</v>
      </c>
      <c r="O296" s="11">
        <f>204000+80000</f>
        <v>284000</v>
      </c>
      <c r="P296" s="11">
        <f>Tabla2456789[[#This Row],[VENTA ]]/1.19</f>
        <v>238655.46218487396</v>
      </c>
      <c r="Q296" s="11">
        <f>Tabla2456789[[#This Row],[Columna2]]*19%</f>
        <v>45344.537815126052</v>
      </c>
      <c r="R296" s="11">
        <f>Tabla2456789[[#This Row],[IVA VENTA ]]-Tabla2456789[[#This Row],[IV COMPRA]]</f>
        <v>-21714.28571428571</v>
      </c>
      <c r="S296" s="11">
        <f>(Tabla2456789[[#This Row],[VENTA ]]-(Tabla2456789[[#This Row],[MONTO DE COMPRA]]+Tabla2456789[[#This Row],[DIFERENCIA IVA ]]))</f>
        <v>-114285.71428571432</v>
      </c>
    </row>
    <row r="297" spans="1:19" x14ac:dyDescent="0.25">
      <c r="A297" s="56">
        <v>44900</v>
      </c>
      <c r="B297" s="4" t="s">
        <v>4095</v>
      </c>
      <c r="C297" s="4" t="s">
        <v>4091</v>
      </c>
      <c r="D297" s="4" t="s">
        <v>4092</v>
      </c>
      <c r="E297" s="1" t="s">
        <v>688</v>
      </c>
      <c r="F297" s="1" t="s">
        <v>3666</v>
      </c>
      <c r="G297" s="154" t="s">
        <v>4093</v>
      </c>
      <c r="H297" s="148">
        <v>30000</v>
      </c>
      <c r="I297" s="15">
        <f>Tabla2456789[[#This Row],[TOTAL FACTURA]]*0.5</f>
        <v>15000</v>
      </c>
      <c r="J297" s="177">
        <f t="shared" si="9"/>
        <v>15000</v>
      </c>
      <c r="K297" s="10" t="s">
        <v>4094</v>
      </c>
      <c r="L297" s="11">
        <v>60000</v>
      </c>
      <c r="M297" s="11">
        <f>Tabla2456789[[#This Row],[MONTO DE COMPRA]]/1.19</f>
        <v>50420.168067226892</v>
      </c>
      <c r="N297" s="11">
        <f>Tabla2456789[[#This Row],[Columna1]]*19%</f>
        <v>9579.8319327731097</v>
      </c>
      <c r="O297" s="11">
        <v>70000</v>
      </c>
      <c r="P297" s="11">
        <f>Tabla2456789[[#This Row],[VENTA ]]/1.19</f>
        <v>58823.529411764706</v>
      </c>
      <c r="Q297" s="11">
        <f>Tabla2456789[[#This Row],[Columna2]]*19%</f>
        <v>11176.470588235294</v>
      </c>
      <c r="R297" s="11">
        <f>Tabla2456789[[#This Row],[IVA VENTA ]]-Tabla2456789[[#This Row],[IV COMPRA]]</f>
        <v>1596.638655462184</v>
      </c>
      <c r="S297" s="11">
        <f>(Tabla2456789[[#This Row],[VENTA ]]-(Tabla2456789[[#This Row],[MONTO DE COMPRA]]+Tabla2456789[[#This Row],[DIFERENCIA IVA ]]))</f>
        <v>8403.3613445378141</v>
      </c>
    </row>
    <row r="298" spans="1:19" x14ac:dyDescent="0.25">
      <c r="A298" s="56">
        <v>44900</v>
      </c>
      <c r="B298" s="4" t="s">
        <v>4095</v>
      </c>
      <c r="C298" s="4" t="s">
        <v>4091</v>
      </c>
      <c r="D298" s="4" t="s">
        <v>4092</v>
      </c>
      <c r="E298" s="1" t="s">
        <v>688</v>
      </c>
      <c r="F298" s="1" t="s">
        <v>2446</v>
      </c>
      <c r="G298" s="154" t="s">
        <v>4096</v>
      </c>
      <c r="H298" s="148">
        <v>120000</v>
      </c>
      <c r="I298" s="15">
        <f>Tabla2456789[[#This Row],[TOTAL FACTURA]]*0.6</f>
        <v>72000</v>
      </c>
      <c r="J298" s="177">
        <f t="shared" si="9"/>
        <v>48000</v>
      </c>
      <c r="K298" s="10" t="s">
        <v>4097</v>
      </c>
      <c r="L298" s="11">
        <f>114000+37000</f>
        <v>151000</v>
      </c>
      <c r="M298" s="11">
        <f>Tabla2456789[[#This Row],[MONTO DE COMPRA]]/1.19</f>
        <v>126890.75630252101</v>
      </c>
      <c r="N298" s="11">
        <f>Tabla2456789[[#This Row],[Columna1]]*19%</f>
        <v>24109.243697478993</v>
      </c>
      <c r="O298" s="11">
        <f>150000+50000</f>
        <v>200000</v>
      </c>
      <c r="P298" s="11">
        <f>Tabla2456789[[#This Row],[VENTA ]]/1.19</f>
        <v>168067.22689075631</v>
      </c>
      <c r="Q298" s="11">
        <f>Tabla2456789[[#This Row],[Columna2]]*19%</f>
        <v>31932.773109243699</v>
      </c>
      <c r="R298" s="11">
        <f>Tabla2456789[[#This Row],[IVA VENTA ]]-Tabla2456789[[#This Row],[IV COMPRA]]</f>
        <v>7823.5294117647063</v>
      </c>
      <c r="S298" s="11">
        <f>(Tabla2456789[[#This Row],[VENTA ]]-(Tabla2456789[[#This Row],[MONTO DE COMPRA]]+Tabla2456789[[#This Row],[DIFERENCIA IVA ]]))</f>
        <v>41176.470588235301</v>
      </c>
    </row>
    <row r="299" spans="1:19" x14ac:dyDescent="0.25">
      <c r="A299" s="56">
        <v>44900</v>
      </c>
      <c r="C299" s="4" t="s">
        <v>4098</v>
      </c>
      <c r="D299" s="4" t="s">
        <v>2365</v>
      </c>
      <c r="E299" s="1" t="s">
        <v>59</v>
      </c>
      <c r="F299" s="1" t="s">
        <v>2446</v>
      </c>
      <c r="G299" s="154" t="s">
        <v>3963</v>
      </c>
      <c r="H299" s="148">
        <v>30000</v>
      </c>
      <c r="I299" s="15">
        <f>Tabla2456789[[#This Row],[TOTAL FACTURA]]*0.6</f>
        <v>18000</v>
      </c>
      <c r="J299" s="177">
        <f t="shared" si="9"/>
        <v>12000</v>
      </c>
      <c r="K299" s="10"/>
      <c r="L299" s="11"/>
      <c r="M299" s="11">
        <f>Tabla2456789[[#This Row],[MONTO DE COMPRA]]/1.19</f>
        <v>0</v>
      </c>
      <c r="N299" s="11">
        <f>Tabla2456789[[#This Row],[Columna1]]*19%</f>
        <v>0</v>
      </c>
      <c r="O299" s="11"/>
      <c r="P299" s="11">
        <f>Tabla2456789[[#This Row],[VENTA ]]/1.19</f>
        <v>0</v>
      </c>
      <c r="Q299" s="11">
        <f>Tabla2456789[[#This Row],[Columna2]]*19%</f>
        <v>0</v>
      </c>
      <c r="R299" s="11">
        <f>Tabla2456789[[#This Row],[IVA VENTA ]]-Tabla2456789[[#This Row],[IV COMPRA]]</f>
        <v>0</v>
      </c>
      <c r="S299" s="11">
        <f>(Tabla2456789[[#This Row],[VENTA ]]-(Tabla2456789[[#This Row],[MONTO DE COMPRA]]+Tabla2456789[[#This Row],[DIFERENCIA IVA ]]))</f>
        <v>0</v>
      </c>
    </row>
    <row r="300" spans="1:19" ht="45" x14ac:dyDescent="0.25">
      <c r="A300" s="56">
        <v>44901</v>
      </c>
      <c r="B300" s="4" t="s">
        <v>4100</v>
      </c>
      <c r="C300" s="4" t="s">
        <v>1087</v>
      </c>
      <c r="D300" s="4" t="s">
        <v>1088</v>
      </c>
      <c r="E300" s="1" t="s">
        <v>1574</v>
      </c>
      <c r="F300" s="1" t="s">
        <v>2446</v>
      </c>
      <c r="G300" s="154" t="s">
        <v>4099</v>
      </c>
      <c r="H300" s="148">
        <v>40000</v>
      </c>
      <c r="I300" s="15">
        <f>Tabla2456789[[#This Row],[TOTAL FACTURA]]*0.6</f>
        <v>24000</v>
      </c>
      <c r="J300" s="177">
        <f t="shared" si="9"/>
        <v>16000</v>
      </c>
      <c r="K300" s="10" t="s">
        <v>4101</v>
      </c>
      <c r="L300" s="11">
        <v>90000</v>
      </c>
      <c r="M300" s="11">
        <f>Tabla2456789[[#This Row],[MONTO DE COMPRA]]/1.19</f>
        <v>75630.252100840342</v>
      </c>
      <c r="N300" s="11">
        <f>Tabla2456789[[#This Row],[Columna1]]*19%</f>
        <v>14369.747899159665</v>
      </c>
      <c r="O300" s="11">
        <v>116000</v>
      </c>
      <c r="P300" s="11">
        <f>Tabla2456789[[#This Row],[VENTA ]]/1.19</f>
        <v>97478.991596638662</v>
      </c>
      <c r="Q300" s="11">
        <f>Tabla2456789[[#This Row],[Columna2]]*19%</f>
        <v>18521.008403361346</v>
      </c>
      <c r="R300" s="11">
        <f>Tabla2456789[[#This Row],[IVA VENTA ]]-Tabla2456789[[#This Row],[IV COMPRA]]</f>
        <v>4151.2605042016803</v>
      </c>
      <c r="S300" s="11">
        <f>(Tabla2456789[[#This Row],[VENTA ]]-(Tabla2456789[[#This Row],[MONTO DE COMPRA]]+Tabla2456789[[#This Row],[DIFERENCIA IVA ]]))</f>
        <v>21848.73949579832</v>
      </c>
    </row>
    <row r="301" spans="1:19" x14ac:dyDescent="0.25">
      <c r="A301" s="56">
        <v>44901</v>
      </c>
      <c r="C301" s="4" t="s">
        <v>4102</v>
      </c>
      <c r="D301" s="4" t="s">
        <v>3469</v>
      </c>
      <c r="E301" s="1" t="s">
        <v>84</v>
      </c>
      <c r="F301" s="1" t="s">
        <v>34</v>
      </c>
      <c r="G301" s="154" t="s">
        <v>341</v>
      </c>
      <c r="H301" s="148">
        <v>10000</v>
      </c>
      <c r="I301" s="15">
        <f>Tabla2456789[[#This Row],[TOTAL FACTURA]]*0.7</f>
        <v>7000</v>
      </c>
      <c r="J301" s="177">
        <f t="shared" si="9"/>
        <v>3000</v>
      </c>
      <c r="K301" s="10"/>
      <c r="L301" s="11"/>
      <c r="M301" s="11">
        <f>Tabla2456789[[#This Row],[MONTO DE COMPRA]]/1.19</f>
        <v>0</v>
      </c>
      <c r="N301" s="11">
        <f>Tabla2456789[[#This Row],[Columna1]]*19%</f>
        <v>0</v>
      </c>
      <c r="O301" s="11"/>
      <c r="P301" s="11">
        <f>Tabla2456789[[#This Row],[VENTA ]]/1.19</f>
        <v>0</v>
      </c>
      <c r="Q301" s="11">
        <f>Tabla2456789[[#This Row],[Columna2]]*19%</f>
        <v>0</v>
      </c>
      <c r="R301" s="11">
        <f>Tabla2456789[[#This Row],[IVA VENTA ]]-Tabla2456789[[#This Row],[IV COMPRA]]</f>
        <v>0</v>
      </c>
      <c r="S301" s="11">
        <f>(Tabla2456789[[#This Row],[VENTA ]]-(Tabla2456789[[#This Row],[MONTO DE COMPRA]]+Tabla2456789[[#This Row],[DIFERENCIA IVA ]]))</f>
        <v>0</v>
      </c>
    </row>
    <row r="302" spans="1:19" x14ac:dyDescent="0.25">
      <c r="A302" s="56">
        <v>44901</v>
      </c>
      <c r="C302" s="182"/>
      <c r="D302" s="4" t="s">
        <v>4103</v>
      </c>
      <c r="E302" s="1" t="s">
        <v>4104</v>
      </c>
      <c r="F302" s="1" t="s">
        <v>2446</v>
      </c>
      <c r="G302" s="154" t="s">
        <v>341</v>
      </c>
      <c r="H302" s="148">
        <v>20000</v>
      </c>
      <c r="I302" s="15">
        <f>Tabla2456789[[#This Row],[TOTAL FACTURA]]*0.6</f>
        <v>12000</v>
      </c>
      <c r="J302" s="177">
        <f t="shared" si="9"/>
        <v>8000</v>
      </c>
      <c r="K302" s="10"/>
      <c r="L302" s="11"/>
      <c r="M302" s="11">
        <f>Tabla2456789[[#This Row],[MONTO DE COMPRA]]/1.19</f>
        <v>0</v>
      </c>
      <c r="N302" s="11">
        <f>Tabla2456789[[#This Row],[Columna1]]*19%</f>
        <v>0</v>
      </c>
      <c r="O302" s="11"/>
      <c r="P302" s="11">
        <f>Tabla2456789[[#This Row],[VENTA ]]/1.19</f>
        <v>0</v>
      </c>
      <c r="Q302" s="11">
        <f>Tabla2456789[[#This Row],[Columna2]]*19%</f>
        <v>0</v>
      </c>
      <c r="R302" s="11">
        <f>Tabla2456789[[#This Row],[IVA VENTA ]]-Tabla2456789[[#This Row],[IV COMPRA]]</f>
        <v>0</v>
      </c>
      <c r="S302" s="11">
        <f>(Tabla2456789[[#This Row],[VENTA ]]-(Tabla2456789[[#This Row],[MONTO DE COMPRA]]+Tabla2456789[[#This Row],[DIFERENCIA IVA ]]))</f>
        <v>0</v>
      </c>
    </row>
    <row r="303" spans="1:19" x14ac:dyDescent="0.25">
      <c r="A303" s="56">
        <v>44901</v>
      </c>
      <c r="B303" s="4" t="s">
        <v>4105</v>
      </c>
      <c r="C303" s="182"/>
      <c r="D303" s="4" t="s">
        <v>1103</v>
      </c>
      <c r="E303" s="1" t="s">
        <v>200</v>
      </c>
      <c r="F303" s="1" t="s">
        <v>2446</v>
      </c>
      <c r="G303" s="154" t="s">
        <v>140</v>
      </c>
      <c r="H303" s="148">
        <v>80000</v>
      </c>
      <c r="I303" s="15">
        <f>Tabla2456789[[#This Row],[TOTAL FACTURA]]*0.6</f>
        <v>48000</v>
      </c>
      <c r="J303" s="177">
        <f t="shared" si="9"/>
        <v>32000</v>
      </c>
      <c r="K303" s="10"/>
      <c r="L303" s="11"/>
      <c r="M303" s="11">
        <f>Tabla2456789[[#This Row],[MONTO DE COMPRA]]/1.19</f>
        <v>0</v>
      </c>
      <c r="N303" s="11">
        <f>Tabla2456789[[#This Row],[Columna1]]*19%</f>
        <v>0</v>
      </c>
      <c r="O303" s="11"/>
      <c r="P303" s="11">
        <f>Tabla2456789[[#This Row],[VENTA ]]/1.19</f>
        <v>0</v>
      </c>
      <c r="Q303" s="11">
        <f>Tabla2456789[[#This Row],[Columna2]]*19%</f>
        <v>0</v>
      </c>
      <c r="R303" s="11">
        <f>Tabla2456789[[#This Row],[IVA VENTA ]]-Tabla2456789[[#This Row],[IV COMPRA]]</f>
        <v>0</v>
      </c>
      <c r="S303" s="11">
        <f>(Tabla2456789[[#This Row],[VENTA ]]-(Tabla2456789[[#This Row],[MONTO DE COMPRA]]+Tabla2456789[[#This Row],[DIFERENCIA IVA ]]))</f>
        <v>0</v>
      </c>
    </row>
    <row r="304" spans="1:19" ht="75" x14ac:dyDescent="0.25">
      <c r="A304" s="56">
        <v>44901</v>
      </c>
      <c r="B304" s="4" t="s">
        <v>4106</v>
      </c>
      <c r="C304" s="4" t="s">
        <v>2531</v>
      </c>
      <c r="D304" s="4" t="s">
        <v>2609</v>
      </c>
      <c r="E304" s="1" t="s">
        <v>1077</v>
      </c>
      <c r="F304" s="1" t="s">
        <v>3925</v>
      </c>
      <c r="G304" s="154" t="s">
        <v>4107</v>
      </c>
      <c r="H304" s="148">
        <v>350000</v>
      </c>
      <c r="I304" s="15">
        <f>Tabla2456789[[#This Row],[TOTAL FACTURA]]*0.6</f>
        <v>210000</v>
      </c>
      <c r="J304" s="177">
        <f t="shared" si="9"/>
        <v>140000</v>
      </c>
      <c r="K304" s="10" t="s">
        <v>4108</v>
      </c>
      <c r="L304" s="11">
        <f>193000+38000</f>
        <v>231000</v>
      </c>
      <c r="M304" s="11">
        <f>Tabla2456789[[#This Row],[MONTO DE COMPRA]]/1.19</f>
        <v>194117.64705882352</v>
      </c>
      <c r="N304" s="11">
        <f>Tabla2456789[[#This Row],[Columna1]]*19%</f>
        <v>36882.352941176468</v>
      </c>
      <c r="O304" s="11">
        <v>323000</v>
      </c>
      <c r="P304" s="11">
        <f>Tabla2456789[[#This Row],[VENTA ]]/1.19</f>
        <v>271428.57142857142</v>
      </c>
      <c r="Q304" s="11">
        <f>Tabla2456789[[#This Row],[Columna2]]*19%</f>
        <v>51571.428571428572</v>
      </c>
      <c r="R304" s="11">
        <f>Tabla2456789[[#This Row],[IVA VENTA ]]-Tabla2456789[[#This Row],[IV COMPRA]]</f>
        <v>14689.075630252104</v>
      </c>
      <c r="S304" s="11">
        <f>(Tabla2456789[[#This Row],[VENTA ]]-(Tabla2456789[[#This Row],[MONTO DE COMPRA]]+Tabla2456789[[#This Row],[DIFERENCIA IVA ]]))</f>
        <v>77310.924369747896</v>
      </c>
    </row>
    <row r="305" spans="1:19" x14ac:dyDescent="0.25">
      <c r="A305" s="56">
        <v>44901</v>
      </c>
      <c r="B305" s="4" t="s">
        <v>4109</v>
      </c>
      <c r="C305" s="4" t="s">
        <v>4110</v>
      </c>
      <c r="D305" s="4" t="s">
        <v>4111</v>
      </c>
      <c r="E305" s="1" t="s">
        <v>52</v>
      </c>
      <c r="F305" s="1" t="s">
        <v>2446</v>
      </c>
      <c r="G305" s="154" t="s">
        <v>4112</v>
      </c>
      <c r="H305" s="148">
        <v>80000</v>
      </c>
      <c r="I305" s="15">
        <f>Tabla2456789[[#This Row],[TOTAL FACTURA]]*0.6</f>
        <v>48000</v>
      </c>
      <c r="J305" s="177">
        <f t="shared" si="9"/>
        <v>32000</v>
      </c>
      <c r="K305" s="10" t="s">
        <v>4113</v>
      </c>
      <c r="L305" s="11">
        <v>116000</v>
      </c>
      <c r="M305" s="11">
        <f>Tabla2456789[[#This Row],[MONTO DE COMPRA]]/1.19</f>
        <v>97478.991596638662</v>
      </c>
      <c r="N305" s="11">
        <f>Tabla2456789[[#This Row],[Columna1]]*19%</f>
        <v>18521.008403361346</v>
      </c>
      <c r="O305" s="11">
        <v>193000</v>
      </c>
      <c r="P305" s="11">
        <f>Tabla2456789[[#This Row],[VENTA ]]/1.19</f>
        <v>162184.87394957984</v>
      </c>
      <c r="Q305" s="11">
        <f>Tabla2456789[[#This Row],[Columna2]]*19%</f>
        <v>30815.126050420171</v>
      </c>
      <c r="R305" s="11">
        <f>Tabla2456789[[#This Row],[IVA VENTA ]]-Tabla2456789[[#This Row],[IV COMPRA]]</f>
        <v>12294.117647058825</v>
      </c>
      <c r="S305" s="11">
        <f>(Tabla2456789[[#This Row],[VENTA ]]-(Tabla2456789[[#This Row],[MONTO DE COMPRA]]+Tabla2456789[[#This Row],[DIFERENCIA IVA ]]))</f>
        <v>64705.882352941175</v>
      </c>
    </row>
    <row r="306" spans="1:19" ht="30" x14ac:dyDescent="0.25">
      <c r="A306" s="56">
        <v>44902</v>
      </c>
      <c r="B306" s="4" t="s">
        <v>4119</v>
      </c>
      <c r="C306" s="4" t="s">
        <v>4114</v>
      </c>
      <c r="D306" s="4" t="s">
        <v>4115</v>
      </c>
      <c r="E306" s="1" t="s">
        <v>4116</v>
      </c>
      <c r="F306" s="1" t="s">
        <v>2446</v>
      </c>
      <c r="G306" s="154" t="s">
        <v>4117</v>
      </c>
      <c r="H306" s="148">
        <v>130000</v>
      </c>
      <c r="I306" s="15">
        <f>Tabla2456789[[#This Row],[TOTAL FACTURA]]*0.6</f>
        <v>78000</v>
      </c>
      <c r="J306" s="177">
        <f t="shared" ref="J306:J317" si="10">H306-I306</f>
        <v>52000</v>
      </c>
      <c r="K306" s="10" t="s">
        <v>4118</v>
      </c>
      <c r="L306" s="11">
        <v>316000</v>
      </c>
      <c r="M306" s="11">
        <f>Tabla2456789[[#This Row],[MONTO DE COMPRA]]/1.19</f>
        <v>265546.21848739497</v>
      </c>
      <c r="N306" s="11">
        <f>Tabla2456789[[#This Row],[Columna1]]*19%</f>
        <v>50453.781512605048</v>
      </c>
      <c r="O306" s="11">
        <f>320000+110000</f>
        <v>430000</v>
      </c>
      <c r="P306" s="11">
        <f>Tabla2456789[[#This Row],[VENTA ]]/1.19</f>
        <v>361344.53781512607</v>
      </c>
      <c r="Q306" s="11">
        <f>Tabla2456789[[#This Row],[Columna2]]*19%</f>
        <v>68655.462184873948</v>
      </c>
      <c r="R306" s="11">
        <f>Tabla2456789[[#This Row],[IVA VENTA ]]-Tabla2456789[[#This Row],[IV COMPRA]]</f>
        <v>18201.6806722689</v>
      </c>
      <c r="S306" s="11">
        <f>(Tabla2456789[[#This Row],[VENTA ]]-(Tabla2456789[[#This Row],[MONTO DE COMPRA]]+Tabla2456789[[#This Row],[DIFERENCIA IVA ]]))</f>
        <v>95798.319327731093</v>
      </c>
    </row>
    <row r="307" spans="1:19" x14ac:dyDescent="0.25">
      <c r="A307" s="56">
        <v>44902</v>
      </c>
      <c r="C307" s="4" t="s">
        <v>4120</v>
      </c>
      <c r="D307" s="4" t="s">
        <v>4121</v>
      </c>
      <c r="E307" s="1" t="s">
        <v>540</v>
      </c>
      <c r="F307" s="1" t="s">
        <v>34</v>
      </c>
      <c r="G307" s="154" t="s">
        <v>4122</v>
      </c>
      <c r="H307" s="148">
        <v>30000</v>
      </c>
      <c r="I307" s="15">
        <f>Tabla2456789[[#This Row],[TOTAL FACTURA]]*0.7</f>
        <v>21000</v>
      </c>
      <c r="J307" s="177">
        <f t="shared" si="10"/>
        <v>9000</v>
      </c>
      <c r="K307" s="10" t="s">
        <v>4123</v>
      </c>
      <c r="L307" s="11">
        <v>25000</v>
      </c>
      <c r="M307" s="11"/>
      <c r="N307" s="11">
        <f>Tabla2456789[[#This Row],[Columna1]]*19%</f>
        <v>0</v>
      </c>
      <c r="O307" s="11">
        <v>50000</v>
      </c>
      <c r="P307" s="11">
        <f>Tabla2456789[[#This Row],[VENTA ]]/1.19</f>
        <v>42016.806722689078</v>
      </c>
      <c r="Q307" s="11">
        <f>Tabla2456789[[#This Row],[Columna2]]*19%</f>
        <v>7983.1932773109247</v>
      </c>
      <c r="R307" s="11">
        <f>Tabla2456789[[#This Row],[IVA VENTA ]]-Tabla2456789[[#This Row],[IV COMPRA]]</f>
        <v>7983.1932773109247</v>
      </c>
      <c r="S307" s="11">
        <f>(Tabla2456789[[#This Row],[VENTA ]]-(Tabla2456789[[#This Row],[MONTO DE COMPRA]]+Tabla2456789[[#This Row],[DIFERENCIA IVA ]]))</f>
        <v>17016.806722689078</v>
      </c>
    </row>
    <row r="308" spans="1:19" x14ac:dyDescent="0.25">
      <c r="A308" s="56">
        <v>44902</v>
      </c>
      <c r="B308" s="4" t="s">
        <v>4124</v>
      </c>
      <c r="C308" s="4" t="s">
        <v>1718</v>
      </c>
      <c r="D308" s="4" t="s">
        <v>1719</v>
      </c>
      <c r="E308" s="1" t="s">
        <v>1332</v>
      </c>
      <c r="F308" s="1" t="s">
        <v>2446</v>
      </c>
      <c r="G308" s="154" t="s">
        <v>4125</v>
      </c>
      <c r="H308" s="148">
        <v>80000</v>
      </c>
      <c r="I308" s="15">
        <f>Tabla2456789[[#This Row],[TOTAL FACTURA]]*0.6</f>
        <v>48000</v>
      </c>
      <c r="J308" s="177">
        <f t="shared" si="10"/>
        <v>32000</v>
      </c>
      <c r="K308" s="10" t="s">
        <v>4126</v>
      </c>
      <c r="L308" s="11">
        <v>110000</v>
      </c>
      <c r="M308" s="11">
        <f>Tabla2456789[[#This Row],[MONTO DE COMPRA]]/1.19</f>
        <v>92436.97478991597</v>
      </c>
      <c r="N308" s="11">
        <f>Tabla2456789[[#This Row],[Columna1]]*19%</f>
        <v>17563.025210084033</v>
      </c>
      <c r="O308" s="11">
        <v>170000</v>
      </c>
      <c r="P308" s="11">
        <f>Tabla2456789[[#This Row],[VENTA ]]/1.19</f>
        <v>142857.14285714287</v>
      </c>
      <c r="Q308" s="11">
        <f>Tabla2456789[[#This Row],[Columna2]]*19%</f>
        <v>27142.857142857145</v>
      </c>
      <c r="R308" s="11">
        <f>Tabla2456789[[#This Row],[IVA VENTA ]]-Tabla2456789[[#This Row],[IV COMPRA]]</f>
        <v>9579.8319327731115</v>
      </c>
      <c r="S308" s="11">
        <f>(Tabla2456789[[#This Row],[VENTA ]]-(Tabla2456789[[#This Row],[MONTO DE COMPRA]]+Tabla2456789[[#This Row],[DIFERENCIA IVA ]]))</f>
        <v>50420.168067226885</v>
      </c>
    </row>
    <row r="309" spans="1:19" ht="30" x14ac:dyDescent="0.25">
      <c r="A309" s="56">
        <v>44902</v>
      </c>
      <c r="B309" s="4" t="s">
        <v>4128</v>
      </c>
      <c r="C309" s="4" t="s">
        <v>2769</v>
      </c>
      <c r="D309" s="4" t="s">
        <v>2770</v>
      </c>
      <c r="E309" s="1" t="s">
        <v>52</v>
      </c>
      <c r="F309" s="1" t="s">
        <v>2446</v>
      </c>
      <c r="G309" s="154" t="s">
        <v>4127</v>
      </c>
      <c r="H309" s="148">
        <f>80000+60000</f>
        <v>140000</v>
      </c>
      <c r="I309" s="15">
        <f>Tabla2456789[[#This Row],[TOTAL FACTURA]]*0.6</f>
        <v>84000</v>
      </c>
      <c r="J309" s="177">
        <f t="shared" si="10"/>
        <v>56000</v>
      </c>
      <c r="K309" s="10" t="s">
        <v>4129</v>
      </c>
      <c r="L309" s="11">
        <f>90000+37000</f>
        <v>127000</v>
      </c>
      <c r="M309" s="11">
        <f>Tabla2456789[[#This Row],[MONTO DE COMPRA]]/1.19</f>
        <v>106722.68907563026</v>
      </c>
      <c r="N309" s="11">
        <f>Tabla2456789[[#This Row],[Columna1]]*19%</f>
        <v>20277.310924369751</v>
      </c>
      <c r="O309" s="11">
        <f>130000+60000</f>
        <v>190000</v>
      </c>
      <c r="P309" s="11">
        <f>Tabla2456789[[#This Row],[VENTA ]]/1.19</f>
        <v>159663.8655462185</v>
      </c>
      <c r="Q309" s="11">
        <f>Tabla2456789[[#This Row],[Columna2]]*19%</f>
        <v>30336.134453781517</v>
      </c>
      <c r="R309" s="11">
        <f>Tabla2456789[[#This Row],[IVA VENTA ]]-Tabla2456789[[#This Row],[IV COMPRA]]</f>
        <v>10058.823529411766</v>
      </c>
      <c r="S309" s="11">
        <f>(Tabla2456789[[#This Row],[VENTA ]]-(Tabla2456789[[#This Row],[MONTO DE COMPRA]]+Tabla2456789[[#This Row],[DIFERENCIA IVA ]]))</f>
        <v>52941.176470588223</v>
      </c>
    </row>
    <row r="310" spans="1:19" ht="30" x14ac:dyDescent="0.25">
      <c r="A310" s="56">
        <v>44902</v>
      </c>
      <c r="B310" s="4" t="s">
        <v>4134</v>
      </c>
      <c r="C310" s="4" t="s">
        <v>4130</v>
      </c>
      <c r="D310" s="4" t="s">
        <v>4131</v>
      </c>
      <c r="E310" s="1" t="s">
        <v>2720</v>
      </c>
      <c r="F310" s="1" t="s">
        <v>3666</v>
      </c>
      <c r="G310" s="154" t="s">
        <v>4132</v>
      </c>
      <c r="H310" s="148">
        <v>80000</v>
      </c>
      <c r="I310" s="15">
        <f>Tabla2456789[[#This Row],[TOTAL FACTURA]]*0.5</f>
        <v>40000</v>
      </c>
      <c r="J310" s="177">
        <f t="shared" si="10"/>
        <v>40000</v>
      </c>
      <c r="K310" s="10" t="s">
        <v>4133</v>
      </c>
      <c r="L310" s="11">
        <v>75000</v>
      </c>
      <c r="M310" s="11">
        <f>Tabla2456789[[#This Row],[MONTO DE COMPRA]]/1.19</f>
        <v>63025.210084033613</v>
      </c>
      <c r="N310" s="11">
        <f>Tabla2456789[[#This Row],[Columna1]]*19%</f>
        <v>11974.789915966387</v>
      </c>
      <c r="O310" s="11">
        <v>94000</v>
      </c>
      <c r="P310" s="11">
        <f>Tabla2456789[[#This Row],[VENTA ]]/1.19</f>
        <v>78991.596638655465</v>
      </c>
      <c r="Q310" s="11">
        <f>Tabla2456789[[#This Row],[Columna2]]*19%</f>
        <v>15008.403361344539</v>
      </c>
      <c r="R310" s="11">
        <f>Tabla2456789[[#This Row],[IVA VENTA ]]-Tabla2456789[[#This Row],[IV COMPRA]]</f>
        <v>3033.6134453781524</v>
      </c>
      <c r="S310" s="11">
        <f>(Tabla2456789[[#This Row],[VENTA ]]-(Tabla2456789[[#This Row],[MONTO DE COMPRA]]+Tabla2456789[[#This Row],[DIFERENCIA IVA ]]))</f>
        <v>15966.386554621844</v>
      </c>
    </row>
    <row r="311" spans="1:19" x14ac:dyDescent="0.25">
      <c r="A311" s="56">
        <v>44902</v>
      </c>
      <c r="C311" s="4" t="s">
        <v>4135</v>
      </c>
      <c r="D311" s="4" t="s">
        <v>4136</v>
      </c>
      <c r="E311" s="1" t="s">
        <v>59</v>
      </c>
      <c r="F311" s="1" t="s">
        <v>2446</v>
      </c>
      <c r="G311" s="154" t="s">
        <v>2324</v>
      </c>
      <c r="H311" s="148">
        <v>110000</v>
      </c>
      <c r="I311" s="15">
        <f>Tabla2456789[[#This Row],[TOTAL FACTURA]]*0.6</f>
        <v>66000</v>
      </c>
      <c r="J311" s="177">
        <f t="shared" si="10"/>
        <v>44000</v>
      </c>
      <c r="K311" s="10" t="s">
        <v>4137</v>
      </c>
      <c r="L311" s="11">
        <f>12000+30000+7800</f>
        <v>49800</v>
      </c>
      <c r="M311" s="11">
        <f>Tabla2456789[[#This Row],[MONTO DE COMPRA]]/1.19</f>
        <v>41848.73949579832</v>
      </c>
      <c r="N311" s="11">
        <f>Tabla2456789[[#This Row],[Columna1]]*19%</f>
        <v>7951.2605042016812</v>
      </c>
      <c r="O311" s="11">
        <v>110000</v>
      </c>
      <c r="P311" s="11">
        <f>Tabla2456789[[#This Row],[VENTA ]]/1.19</f>
        <v>92436.97478991597</v>
      </c>
      <c r="Q311" s="11">
        <f>Tabla2456789[[#This Row],[Columna2]]*19%</f>
        <v>17563.025210084033</v>
      </c>
      <c r="R311" s="11">
        <f>Tabla2456789[[#This Row],[IVA VENTA ]]-Tabla2456789[[#This Row],[IV COMPRA]]</f>
        <v>9611.7647058823532</v>
      </c>
      <c r="S311" s="11">
        <f>(Tabla2456789[[#This Row],[VENTA ]]-(Tabla2456789[[#This Row],[MONTO DE COMPRA]]+Tabla2456789[[#This Row],[DIFERENCIA IVA ]]))</f>
        <v>50588.23529411765</v>
      </c>
    </row>
    <row r="312" spans="1:19" x14ac:dyDescent="0.25">
      <c r="A312" s="56">
        <v>44902</v>
      </c>
      <c r="C312" s="4" t="s">
        <v>4138</v>
      </c>
      <c r="D312" s="4" t="s">
        <v>4139</v>
      </c>
      <c r="E312" s="1" t="s">
        <v>2102</v>
      </c>
      <c r="F312" s="1" t="s">
        <v>34</v>
      </c>
      <c r="G312" s="154" t="s">
        <v>2972</v>
      </c>
      <c r="H312" s="148">
        <v>15000</v>
      </c>
      <c r="I312" s="15">
        <f>Tabla2456789[[#This Row],[TOTAL FACTURA]]*0.7</f>
        <v>10500</v>
      </c>
      <c r="J312" s="177">
        <f t="shared" si="10"/>
        <v>4500</v>
      </c>
      <c r="K312" s="10" t="s">
        <v>3765</v>
      </c>
      <c r="L312" s="11">
        <v>7000</v>
      </c>
      <c r="M312" s="11"/>
      <c r="N312" s="11">
        <f>Tabla2456789[[#This Row],[Columna1]]*19%</f>
        <v>0</v>
      </c>
      <c r="O312" s="11">
        <v>15000</v>
      </c>
      <c r="P312" s="11"/>
      <c r="Q312" s="11">
        <f>Tabla2456789[[#This Row],[Columna2]]*19%</f>
        <v>0</v>
      </c>
      <c r="R312" s="11">
        <f>Tabla2456789[[#This Row],[IVA VENTA ]]-Tabla2456789[[#This Row],[IV COMPRA]]</f>
        <v>0</v>
      </c>
      <c r="S312" s="11">
        <f>(Tabla2456789[[#This Row],[VENTA ]]-(Tabla2456789[[#This Row],[MONTO DE COMPRA]]+Tabla2456789[[#This Row],[DIFERENCIA IVA ]]))</f>
        <v>8000</v>
      </c>
    </row>
    <row r="313" spans="1:19" x14ac:dyDescent="0.25">
      <c r="A313" s="56">
        <v>44902</v>
      </c>
      <c r="C313" s="182"/>
      <c r="D313" s="4" t="s">
        <v>4022</v>
      </c>
      <c r="E313" s="1" t="s">
        <v>2681</v>
      </c>
      <c r="F313" s="1" t="s">
        <v>3666</v>
      </c>
      <c r="G313" s="154" t="s">
        <v>3511</v>
      </c>
      <c r="H313" s="148">
        <v>100000</v>
      </c>
      <c r="I313" s="15">
        <f>Tabla2456789[[#This Row],[TOTAL FACTURA]]*0.5</f>
        <v>50000</v>
      </c>
      <c r="J313" s="177">
        <f t="shared" si="10"/>
        <v>50000</v>
      </c>
      <c r="K313" s="10"/>
      <c r="L313" s="11"/>
      <c r="M313" s="11">
        <f>Tabla2456789[[#This Row],[MONTO DE COMPRA]]/1.19</f>
        <v>0</v>
      </c>
      <c r="N313" s="11">
        <f>Tabla2456789[[#This Row],[Columna1]]*19%</f>
        <v>0</v>
      </c>
      <c r="O313" s="11"/>
      <c r="P313" s="11">
        <f>Tabla2456789[[#This Row],[VENTA ]]/1.19</f>
        <v>0</v>
      </c>
      <c r="Q313" s="11">
        <f>Tabla2456789[[#This Row],[Columna2]]*19%</f>
        <v>0</v>
      </c>
      <c r="R313" s="11">
        <f>Tabla2456789[[#This Row],[IVA VENTA ]]-Tabla2456789[[#This Row],[IV COMPRA]]</f>
        <v>0</v>
      </c>
      <c r="S313" s="11">
        <f>(Tabla2456789[[#This Row],[VENTA ]]-(Tabla2456789[[#This Row],[MONTO DE COMPRA]]+Tabla2456789[[#This Row],[DIFERENCIA IVA ]]))</f>
        <v>0</v>
      </c>
    </row>
    <row r="314" spans="1:19" x14ac:dyDescent="0.25">
      <c r="A314" s="56">
        <v>44902</v>
      </c>
      <c r="B314" s="4" t="s">
        <v>4140</v>
      </c>
      <c r="C314" s="4" t="s">
        <v>4141</v>
      </c>
      <c r="D314" s="4" t="s">
        <v>4142</v>
      </c>
      <c r="E314" s="1" t="s">
        <v>122</v>
      </c>
      <c r="F314" s="1" t="s">
        <v>2446</v>
      </c>
      <c r="G314" s="154" t="s">
        <v>4143</v>
      </c>
      <c r="H314" s="148">
        <v>100000</v>
      </c>
      <c r="I314" s="15">
        <f>Tabla2456789[[#This Row],[TOTAL FACTURA]]*0.6</f>
        <v>60000</v>
      </c>
      <c r="J314" s="177">
        <f t="shared" si="10"/>
        <v>40000</v>
      </c>
      <c r="K314" s="10" t="s">
        <v>4144</v>
      </c>
      <c r="L314" s="11">
        <v>47000</v>
      </c>
      <c r="M314" s="11">
        <f>Tabla2456789[[#This Row],[MONTO DE COMPRA]]/1.19</f>
        <v>39495.798319327732</v>
      </c>
      <c r="N314" s="11">
        <f>Tabla2456789[[#This Row],[Columna1]]*19%</f>
        <v>7504.2016806722695</v>
      </c>
      <c r="O314" s="11">
        <v>72000</v>
      </c>
      <c r="P314" s="11">
        <f>Tabla2456789[[#This Row],[VENTA ]]/1.19</f>
        <v>60504.201680672275</v>
      </c>
      <c r="Q314" s="11">
        <f>Tabla2456789[[#This Row],[Columna2]]*19%</f>
        <v>11495.798319327732</v>
      </c>
      <c r="R314" s="11">
        <f>Tabla2456789[[#This Row],[IVA VENTA ]]-Tabla2456789[[#This Row],[IV COMPRA]]</f>
        <v>3991.5966386554628</v>
      </c>
      <c r="S314" s="11">
        <f>(Tabla2456789[[#This Row],[VENTA ]]-(Tabla2456789[[#This Row],[MONTO DE COMPRA]]+Tabla2456789[[#This Row],[DIFERENCIA IVA ]]))</f>
        <v>21008.403361344535</v>
      </c>
    </row>
    <row r="315" spans="1:19" x14ac:dyDescent="0.25">
      <c r="A315" s="56">
        <v>44902</v>
      </c>
      <c r="B315" s="4" t="s">
        <v>4176</v>
      </c>
      <c r="C315" s="4" t="s">
        <v>4145</v>
      </c>
      <c r="D315" s="4" t="s">
        <v>4146</v>
      </c>
      <c r="E315" s="1" t="s">
        <v>200</v>
      </c>
      <c r="F315" s="1" t="s">
        <v>3666</v>
      </c>
      <c r="G315" s="154" t="s">
        <v>3511</v>
      </c>
      <c r="H315" s="148">
        <v>80000</v>
      </c>
      <c r="I315" s="15">
        <f>Tabla2456789[[#This Row],[TOTAL FACTURA]]*0.5</f>
        <v>40000</v>
      </c>
      <c r="J315" s="177">
        <f>H315-I315</f>
        <v>40000</v>
      </c>
      <c r="K315" s="10"/>
      <c r="L315" s="11"/>
      <c r="M315" s="11">
        <f>Tabla2456789[[#This Row],[MONTO DE COMPRA]]/1.19</f>
        <v>0</v>
      </c>
      <c r="N315" s="11">
        <f>Tabla2456789[[#This Row],[Columna1]]*19%</f>
        <v>0</v>
      </c>
      <c r="O315" s="11"/>
      <c r="P315" s="11">
        <f>Tabla2456789[[#This Row],[VENTA ]]/1.19</f>
        <v>0</v>
      </c>
      <c r="Q315" s="11">
        <f>Tabla2456789[[#This Row],[Columna2]]*19%</f>
        <v>0</v>
      </c>
      <c r="R315" s="11">
        <f>Tabla2456789[[#This Row],[IVA VENTA ]]-Tabla2456789[[#This Row],[IV COMPRA]]</f>
        <v>0</v>
      </c>
      <c r="S315" s="11">
        <f>(Tabla2456789[[#This Row],[VENTA ]]-(Tabla2456789[[#This Row],[MONTO DE COMPRA]]+Tabla2456789[[#This Row],[DIFERENCIA IVA ]]))</f>
        <v>0</v>
      </c>
    </row>
    <row r="316" spans="1:19" ht="30" x14ac:dyDescent="0.25">
      <c r="A316" s="56">
        <v>44902</v>
      </c>
      <c r="B316" s="4" t="s">
        <v>4176</v>
      </c>
      <c r="C316" s="4" t="s">
        <v>4145</v>
      </c>
      <c r="D316" s="4" t="s">
        <v>4146</v>
      </c>
      <c r="E316" s="1" t="s">
        <v>200</v>
      </c>
      <c r="F316" s="1" t="s">
        <v>2446</v>
      </c>
      <c r="G316" s="154" t="s">
        <v>4147</v>
      </c>
      <c r="H316" s="148">
        <v>280000</v>
      </c>
      <c r="I316" s="15">
        <v>200000</v>
      </c>
      <c r="J316" s="177">
        <f t="shared" si="10"/>
        <v>80000</v>
      </c>
      <c r="K316" s="10" t="s">
        <v>4148</v>
      </c>
      <c r="L316" s="11">
        <v>190000</v>
      </c>
      <c r="M316" s="11"/>
      <c r="N316" s="11">
        <f>Tabla2456789[[#This Row],[Columna1]]*19%</f>
        <v>0</v>
      </c>
      <c r="O316" s="11">
        <v>270000</v>
      </c>
      <c r="P316" s="11"/>
      <c r="Q316" s="11">
        <f>Tabla2456789[[#This Row],[Columna2]]*19%</f>
        <v>0</v>
      </c>
      <c r="R316" s="11">
        <f>Tabla2456789[[#This Row],[IVA VENTA ]]-Tabla2456789[[#This Row],[IV COMPRA]]</f>
        <v>0</v>
      </c>
      <c r="S316" s="11">
        <f>(Tabla2456789[[#This Row],[VENTA ]]-(Tabla2456789[[#This Row],[MONTO DE COMPRA]]+Tabla2456789[[#This Row],[DIFERENCIA IVA ]]))</f>
        <v>80000</v>
      </c>
    </row>
    <row r="317" spans="1:19" x14ac:dyDescent="0.25">
      <c r="A317" s="56">
        <v>44902</v>
      </c>
      <c r="B317" s="4" t="s">
        <v>4151</v>
      </c>
      <c r="C317" s="4" t="s">
        <v>4149</v>
      </c>
      <c r="D317" s="4" t="s">
        <v>4150</v>
      </c>
      <c r="E317" s="1" t="s">
        <v>64</v>
      </c>
      <c r="F317" s="1" t="s">
        <v>2446</v>
      </c>
      <c r="G317" s="154" t="s">
        <v>341</v>
      </c>
      <c r="H317" s="148">
        <v>15000</v>
      </c>
      <c r="I317" s="15">
        <f>Tabla2456789[[#This Row],[TOTAL FACTURA]]*0.6</f>
        <v>9000</v>
      </c>
      <c r="J317" s="177">
        <f t="shared" si="10"/>
        <v>6000</v>
      </c>
      <c r="K317" s="10"/>
      <c r="L317" s="11"/>
      <c r="M317" s="11">
        <f>Tabla2456789[[#This Row],[MONTO DE COMPRA]]/1.19</f>
        <v>0</v>
      </c>
      <c r="N317" s="11">
        <f>Tabla2456789[[#This Row],[Columna1]]*19%</f>
        <v>0</v>
      </c>
      <c r="O317" s="11"/>
      <c r="P317" s="11">
        <f>Tabla2456789[[#This Row],[VENTA ]]/1.19</f>
        <v>0</v>
      </c>
      <c r="Q317" s="11">
        <f>Tabla2456789[[#This Row],[Columna2]]*19%</f>
        <v>0</v>
      </c>
      <c r="R317" s="11">
        <f>Tabla2456789[[#This Row],[IVA VENTA ]]-Tabla2456789[[#This Row],[IV COMPRA]]</f>
        <v>0</v>
      </c>
      <c r="S317" s="11">
        <f>(Tabla2456789[[#This Row],[VENTA ]]-(Tabla2456789[[#This Row],[MONTO DE COMPRA]]+Tabla2456789[[#This Row],[DIFERENCIA IVA ]]))</f>
        <v>0</v>
      </c>
    </row>
    <row r="318" spans="1:19" x14ac:dyDescent="0.25">
      <c r="A318" s="56">
        <v>44903</v>
      </c>
      <c r="C318" s="4" t="s">
        <v>4152</v>
      </c>
      <c r="D318" s="4" t="s">
        <v>4153</v>
      </c>
      <c r="E318" s="1" t="s">
        <v>1196</v>
      </c>
      <c r="F318" s="1" t="s">
        <v>2446</v>
      </c>
      <c r="G318" s="154" t="s">
        <v>206</v>
      </c>
      <c r="H318" s="148">
        <v>70000</v>
      </c>
      <c r="I318" s="15">
        <f>Tabla2456789[[#This Row],[TOTAL FACTURA]]*0.6</f>
        <v>42000</v>
      </c>
      <c r="J318" s="177">
        <f t="shared" si="9"/>
        <v>28000</v>
      </c>
      <c r="K318" s="10" t="s">
        <v>4154</v>
      </c>
      <c r="L318" s="11">
        <f>7000+7700</f>
        <v>14700</v>
      </c>
      <c r="M318" s="11">
        <f>Tabla2456789[[#This Row],[MONTO DE COMPRA]]/1.19</f>
        <v>12352.941176470589</v>
      </c>
      <c r="N318" s="11">
        <f>Tabla2456789[[#This Row],[Columna1]]*19%</f>
        <v>2347.0588235294122</v>
      </c>
      <c r="O318" s="11">
        <v>30000</v>
      </c>
      <c r="P318" s="11">
        <f>Tabla2456789[[#This Row],[VENTA ]]/1.19</f>
        <v>25210.084033613446</v>
      </c>
      <c r="Q318" s="11">
        <f>Tabla2456789[[#This Row],[Columna2]]*19%</f>
        <v>4789.9159663865548</v>
      </c>
      <c r="R318" s="11">
        <f>Tabla2456789[[#This Row],[IVA VENTA ]]-Tabla2456789[[#This Row],[IV COMPRA]]</f>
        <v>2442.8571428571427</v>
      </c>
      <c r="S318" s="11">
        <f>(Tabla2456789[[#This Row],[VENTA ]]-(Tabla2456789[[#This Row],[MONTO DE COMPRA]]+Tabla2456789[[#This Row],[DIFERENCIA IVA ]]))</f>
        <v>12857.142857142859</v>
      </c>
    </row>
    <row r="319" spans="1:19" x14ac:dyDescent="0.25">
      <c r="A319" s="56">
        <v>44903</v>
      </c>
      <c r="C319" s="4" t="s">
        <v>4155</v>
      </c>
      <c r="D319" s="4" t="s">
        <v>4156</v>
      </c>
      <c r="E319" s="1" t="s">
        <v>48</v>
      </c>
      <c r="F319" s="1" t="s">
        <v>2446</v>
      </c>
      <c r="G319" s="154" t="s">
        <v>4157</v>
      </c>
      <c r="H319" s="148">
        <v>250000</v>
      </c>
      <c r="I319" s="15">
        <f>Tabla2456789[[#This Row],[TOTAL FACTURA]]*0.6</f>
        <v>150000</v>
      </c>
      <c r="J319" s="177">
        <f t="shared" si="9"/>
        <v>100000</v>
      </c>
      <c r="K319" s="10"/>
      <c r="L319" s="11"/>
      <c r="M319" s="11">
        <f>Tabla2456789[[#This Row],[MONTO DE COMPRA]]/1.19</f>
        <v>0</v>
      </c>
      <c r="N319" s="11">
        <f>Tabla2456789[[#This Row],[Columna1]]*19%</f>
        <v>0</v>
      </c>
      <c r="O319" s="11"/>
      <c r="P319" s="11">
        <f>Tabla2456789[[#This Row],[VENTA ]]/1.19</f>
        <v>0</v>
      </c>
      <c r="Q319" s="11">
        <f>Tabla2456789[[#This Row],[Columna2]]*19%</f>
        <v>0</v>
      </c>
      <c r="R319" s="11">
        <f>Tabla2456789[[#This Row],[IVA VENTA ]]-Tabla2456789[[#This Row],[IV COMPRA]]</f>
        <v>0</v>
      </c>
      <c r="S319" s="11">
        <f>(Tabla2456789[[#This Row],[VENTA ]]-(Tabla2456789[[#This Row],[MONTO DE COMPRA]]+Tabla2456789[[#This Row],[DIFERENCIA IVA ]]))</f>
        <v>0</v>
      </c>
    </row>
    <row r="320" spans="1:19" x14ac:dyDescent="0.25">
      <c r="A320" s="56">
        <v>44903</v>
      </c>
      <c r="C320" s="182"/>
      <c r="D320" s="4"/>
      <c r="E320" s="1" t="s">
        <v>218</v>
      </c>
      <c r="F320" s="1" t="s">
        <v>2446</v>
      </c>
      <c r="G320" s="154" t="s">
        <v>4158</v>
      </c>
      <c r="H320" s="148">
        <v>70000</v>
      </c>
      <c r="I320" s="15">
        <f>Tabla2456789[[#This Row],[TOTAL FACTURA]]*0.6</f>
        <v>42000</v>
      </c>
      <c r="J320" s="177">
        <f t="shared" si="9"/>
        <v>28000</v>
      </c>
      <c r="K320" s="10"/>
      <c r="L320" s="11"/>
      <c r="M320" s="11">
        <f>Tabla2456789[[#This Row],[MONTO DE COMPRA]]/1.19</f>
        <v>0</v>
      </c>
      <c r="N320" s="11">
        <f>Tabla2456789[[#This Row],[Columna1]]*19%</f>
        <v>0</v>
      </c>
      <c r="O320" s="11"/>
      <c r="P320" s="11">
        <f>Tabla2456789[[#This Row],[VENTA ]]/1.19</f>
        <v>0</v>
      </c>
      <c r="Q320" s="11">
        <f>Tabla2456789[[#This Row],[Columna2]]*19%</f>
        <v>0</v>
      </c>
      <c r="R320" s="11">
        <f>Tabla2456789[[#This Row],[IVA VENTA ]]-Tabla2456789[[#This Row],[IV COMPRA]]</f>
        <v>0</v>
      </c>
      <c r="S320" s="11">
        <f>(Tabla2456789[[#This Row],[VENTA ]]-(Tabla2456789[[#This Row],[MONTO DE COMPRA]]+Tabla2456789[[#This Row],[DIFERENCIA IVA ]]))</f>
        <v>0</v>
      </c>
    </row>
    <row r="321" spans="1:19" x14ac:dyDescent="0.25">
      <c r="A321" s="56">
        <v>44903</v>
      </c>
      <c r="C321" s="4" t="s">
        <v>4174</v>
      </c>
      <c r="D321" s="4" t="s">
        <v>3867</v>
      </c>
      <c r="E321" s="1" t="s">
        <v>52</v>
      </c>
      <c r="F321" s="1" t="s">
        <v>2446</v>
      </c>
      <c r="G321" s="154" t="s">
        <v>21</v>
      </c>
      <c r="H321" s="148">
        <v>15000</v>
      </c>
      <c r="I321" s="15">
        <f>Tabla2456789[[#This Row],[TOTAL FACTURA]]*0.6</f>
        <v>9000</v>
      </c>
      <c r="J321" s="177">
        <f t="shared" si="9"/>
        <v>6000</v>
      </c>
      <c r="K321" s="10"/>
      <c r="L321" s="11"/>
      <c r="M321" s="11">
        <f>Tabla2456789[[#This Row],[MONTO DE COMPRA]]/1.19</f>
        <v>0</v>
      </c>
      <c r="N321" s="11">
        <f>Tabla2456789[[#This Row],[Columna1]]*19%</f>
        <v>0</v>
      </c>
      <c r="O321" s="11"/>
      <c r="P321" s="11">
        <f>Tabla2456789[[#This Row],[VENTA ]]/1.19</f>
        <v>0</v>
      </c>
      <c r="Q321" s="11">
        <f>Tabla2456789[[#This Row],[Columna2]]*19%</f>
        <v>0</v>
      </c>
      <c r="R321" s="11">
        <f>Tabla2456789[[#This Row],[IVA VENTA ]]-Tabla2456789[[#This Row],[IV COMPRA]]</f>
        <v>0</v>
      </c>
      <c r="S321" s="11">
        <f>(Tabla2456789[[#This Row],[VENTA ]]-(Tabla2456789[[#This Row],[MONTO DE COMPRA]]+Tabla2456789[[#This Row],[DIFERENCIA IVA ]]))</f>
        <v>0</v>
      </c>
    </row>
    <row r="322" spans="1:19" ht="30" x14ac:dyDescent="0.25">
      <c r="A322" s="56">
        <v>44904</v>
      </c>
      <c r="C322" s="4" t="s">
        <v>4161</v>
      </c>
      <c r="D322" s="4" t="s">
        <v>684</v>
      </c>
      <c r="E322" s="1" t="s">
        <v>1196</v>
      </c>
      <c r="F322" s="1" t="s">
        <v>2446</v>
      </c>
      <c r="G322" s="154" t="s">
        <v>4159</v>
      </c>
      <c r="H322" s="148">
        <v>170000</v>
      </c>
      <c r="I322" s="15">
        <f>Tabla2456789[[#This Row],[TOTAL FACTURA]]*0.6</f>
        <v>102000</v>
      </c>
      <c r="J322" s="177">
        <f t="shared" si="9"/>
        <v>68000</v>
      </c>
      <c r="K322" s="10" t="s">
        <v>4162</v>
      </c>
      <c r="L322" s="11">
        <f>70000+38000</f>
        <v>108000</v>
      </c>
      <c r="M322" s="11">
        <f>Tabla2456789[[#This Row],[MONTO DE COMPRA]]/1.19</f>
        <v>90756.302521008402</v>
      </c>
      <c r="N322" s="11">
        <f>Tabla2456789[[#This Row],[Columna1]]*19%</f>
        <v>17243.697478991595</v>
      </c>
      <c r="O322" s="11">
        <v>138000</v>
      </c>
      <c r="P322" s="11">
        <f>Tabla2456789[[#This Row],[VENTA ]]/1.19</f>
        <v>115966.38655462186</v>
      </c>
      <c r="Q322" s="11">
        <f>Tabla2456789[[#This Row],[Columna2]]*19%</f>
        <v>22033.613445378152</v>
      </c>
      <c r="R322" s="11">
        <f>Tabla2456789[[#This Row],[IVA VENTA ]]-Tabla2456789[[#This Row],[IV COMPRA]]</f>
        <v>4789.9159663865576</v>
      </c>
      <c r="S322" s="11">
        <f>(Tabla2456789[[#This Row],[VENTA ]]-(Tabla2456789[[#This Row],[MONTO DE COMPRA]]+Tabla2456789[[#This Row],[DIFERENCIA IVA ]]))</f>
        <v>25210.084033613442</v>
      </c>
    </row>
    <row r="323" spans="1:19" ht="45" x14ac:dyDescent="0.25">
      <c r="A323" s="56">
        <v>44904</v>
      </c>
      <c r="C323" s="4" t="s">
        <v>4161</v>
      </c>
      <c r="D323" s="4" t="s">
        <v>684</v>
      </c>
      <c r="E323" s="1" t="s">
        <v>1196</v>
      </c>
      <c r="F323" s="1" t="s">
        <v>3925</v>
      </c>
      <c r="G323" s="154" t="s">
        <v>4160</v>
      </c>
      <c r="H323" s="148">
        <v>430000</v>
      </c>
      <c r="I323" s="15">
        <f>Tabla2456789[[#This Row],[TOTAL FACTURA]]*0.6</f>
        <v>258000</v>
      </c>
      <c r="J323" s="177">
        <f t="shared" si="9"/>
        <v>172000</v>
      </c>
      <c r="K323" s="10" t="s">
        <v>4163</v>
      </c>
      <c r="L323" s="11"/>
      <c r="M323" s="11">
        <f>Tabla2456789[[#This Row],[MONTO DE COMPRA]]/1.19</f>
        <v>0</v>
      </c>
      <c r="N323" s="11">
        <f>Tabla2456789[[#This Row],[Columna1]]*19%</f>
        <v>0</v>
      </c>
      <c r="O323" s="11">
        <v>90000</v>
      </c>
      <c r="P323" s="11">
        <f>Tabla2456789[[#This Row],[VENTA ]]/1.19</f>
        <v>75630.252100840342</v>
      </c>
      <c r="Q323" s="11">
        <f>Tabla2456789[[#This Row],[Columna2]]*19%</f>
        <v>14369.747899159665</v>
      </c>
      <c r="R323" s="11">
        <f>Tabla2456789[[#This Row],[IVA VENTA ]]-Tabla2456789[[#This Row],[IV COMPRA]]</f>
        <v>14369.747899159665</v>
      </c>
      <c r="S323" s="11">
        <f>(Tabla2456789[[#This Row],[VENTA ]]-(Tabla2456789[[#This Row],[MONTO DE COMPRA]]+Tabla2456789[[#This Row],[DIFERENCIA IVA ]]))</f>
        <v>75630.252100840327</v>
      </c>
    </row>
    <row r="324" spans="1:19" x14ac:dyDescent="0.25">
      <c r="A324" s="56">
        <v>44904</v>
      </c>
      <c r="C324" s="4" t="s">
        <v>4161</v>
      </c>
      <c r="D324" s="4" t="s">
        <v>684</v>
      </c>
      <c r="E324" s="1" t="s">
        <v>1196</v>
      </c>
      <c r="F324" s="1" t="s">
        <v>3666</v>
      </c>
      <c r="G324" s="154" t="s">
        <v>3511</v>
      </c>
      <c r="H324" s="148">
        <v>25000</v>
      </c>
      <c r="I324" s="15">
        <f>Tabla2456789[[#This Row],[TOTAL FACTURA]]*0.5</f>
        <v>12500</v>
      </c>
      <c r="J324" s="177">
        <f t="shared" si="9"/>
        <v>12500</v>
      </c>
      <c r="K324" s="10" t="s">
        <v>4164</v>
      </c>
      <c r="L324" s="11">
        <v>55000</v>
      </c>
      <c r="M324" s="11">
        <f>Tabla2456789[[#This Row],[MONTO DE COMPRA]]/1.19</f>
        <v>46218.487394957985</v>
      </c>
      <c r="N324" s="11">
        <f>Tabla2456789[[#This Row],[Columna1]]*19%</f>
        <v>8781.5126050420167</v>
      </c>
      <c r="O324" s="11">
        <v>70000</v>
      </c>
      <c r="P324" s="11">
        <f>Tabla2456789[[#This Row],[VENTA ]]/1.19</f>
        <v>58823.529411764706</v>
      </c>
      <c r="Q324" s="11">
        <f>Tabla2456789[[#This Row],[Columna2]]*19%</f>
        <v>11176.470588235294</v>
      </c>
      <c r="R324" s="11">
        <f>Tabla2456789[[#This Row],[IVA VENTA ]]-Tabla2456789[[#This Row],[IV COMPRA]]</f>
        <v>2394.957983193277</v>
      </c>
      <c r="S324" s="11">
        <f>(Tabla2456789[[#This Row],[VENTA ]]-(Tabla2456789[[#This Row],[MONTO DE COMPRA]]+Tabla2456789[[#This Row],[DIFERENCIA IVA ]]))</f>
        <v>12605.042016806721</v>
      </c>
    </row>
    <row r="325" spans="1:19" ht="30" x14ac:dyDescent="0.25">
      <c r="A325" s="56">
        <v>44904</v>
      </c>
      <c r="C325" s="4" t="s">
        <v>4165</v>
      </c>
      <c r="D325" s="4" t="s">
        <v>4166</v>
      </c>
      <c r="E325" s="1" t="s">
        <v>1196</v>
      </c>
      <c r="F325" s="1" t="s">
        <v>2446</v>
      </c>
      <c r="G325" s="154" t="s">
        <v>4168</v>
      </c>
      <c r="H325" s="148">
        <v>50000</v>
      </c>
      <c r="I325" s="15">
        <f>Tabla2456789[[#This Row],[TOTAL FACTURA]]*0.6</f>
        <v>30000</v>
      </c>
      <c r="J325" s="177">
        <f t="shared" si="9"/>
        <v>20000</v>
      </c>
      <c r="K325" s="10" t="s">
        <v>4167</v>
      </c>
      <c r="L325" s="11"/>
      <c r="M325" s="11">
        <f>Tabla2456789[[#This Row],[MONTO DE COMPRA]]/1.19</f>
        <v>0</v>
      </c>
      <c r="N325" s="11">
        <f>Tabla2456789[[#This Row],[Columna1]]*19%</f>
        <v>0</v>
      </c>
      <c r="O325" s="11"/>
      <c r="P325" s="11">
        <f>Tabla2456789[[#This Row],[VENTA ]]/1.19</f>
        <v>0</v>
      </c>
      <c r="Q325" s="11">
        <f>Tabla2456789[[#This Row],[Columna2]]*19%</f>
        <v>0</v>
      </c>
      <c r="R325" s="11">
        <f>Tabla2456789[[#This Row],[IVA VENTA ]]-Tabla2456789[[#This Row],[IV COMPRA]]</f>
        <v>0</v>
      </c>
      <c r="S325" s="11">
        <f>(Tabla2456789[[#This Row],[VENTA ]]-(Tabla2456789[[#This Row],[MONTO DE COMPRA]]+Tabla2456789[[#This Row],[DIFERENCIA IVA ]]))</f>
        <v>0</v>
      </c>
    </row>
    <row r="326" spans="1:19" x14ac:dyDescent="0.25">
      <c r="A326" s="56">
        <v>44904</v>
      </c>
      <c r="C326" s="4" t="s">
        <v>4169</v>
      </c>
      <c r="D326" s="4" t="s">
        <v>4170</v>
      </c>
      <c r="E326" s="1" t="s">
        <v>688</v>
      </c>
      <c r="F326" s="1" t="s">
        <v>2446</v>
      </c>
      <c r="G326" s="154" t="s">
        <v>3211</v>
      </c>
      <c r="H326" s="148">
        <v>50000</v>
      </c>
      <c r="I326" s="15">
        <f>Tabla2456789[[#This Row],[TOTAL FACTURA]]*0.6</f>
        <v>30000</v>
      </c>
      <c r="J326" s="177">
        <f t="shared" si="9"/>
        <v>20000</v>
      </c>
      <c r="K326" s="10" t="s">
        <v>3336</v>
      </c>
      <c r="L326" s="11">
        <v>65000</v>
      </c>
      <c r="M326" s="11">
        <f>Tabla2456789[[#This Row],[MONTO DE COMPRA]]/1.19</f>
        <v>54621.848739495799</v>
      </c>
      <c r="N326" s="11">
        <f>Tabla2456789[[#This Row],[Columna1]]*19%</f>
        <v>10378.151260504203</v>
      </c>
      <c r="O326" s="11">
        <v>82000</v>
      </c>
      <c r="P326" s="11">
        <f>Tabla2456789[[#This Row],[VENTA ]]/1.19</f>
        <v>68907.563025210082</v>
      </c>
      <c r="Q326" s="11">
        <f>Tabla2456789[[#This Row],[Columna2]]*19%</f>
        <v>13092.436974789916</v>
      </c>
      <c r="R326" s="11">
        <f>Tabla2456789[[#This Row],[IVA VENTA ]]-Tabla2456789[[#This Row],[IV COMPRA]]</f>
        <v>2714.2857142857138</v>
      </c>
      <c r="S326" s="11">
        <f>(Tabla2456789[[#This Row],[VENTA ]]-(Tabla2456789[[#This Row],[MONTO DE COMPRA]]+Tabla2456789[[#This Row],[DIFERENCIA IVA ]]))</f>
        <v>14285.71428571429</v>
      </c>
    </row>
    <row r="327" spans="1:19" x14ac:dyDescent="0.25">
      <c r="A327" s="56">
        <v>44904</v>
      </c>
      <c r="C327" s="4" t="s">
        <v>4172</v>
      </c>
      <c r="D327" s="4" t="s">
        <v>4173</v>
      </c>
      <c r="E327" s="1" t="s">
        <v>28</v>
      </c>
      <c r="F327" s="1" t="s">
        <v>2446</v>
      </c>
      <c r="G327" s="154" t="s">
        <v>3513</v>
      </c>
      <c r="H327" s="148">
        <v>60000</v>
      </c>
      <c r="I327" s="15">
        <f>Tabla2456789[[#This Row],[TOTAL FACTURA]]*0.6</f>
        <v>36000</v>
      </c>
      <c r="J327" s="177">
        <f>H327-I327</f>
        <v>24000</v>
      </c>
      <c r="K327" s="10"/>
      <c r="L327" s="11"/>
      <c r="M327" s="11">
        <f>Tabla2456789[[#This Row],[MONTO DE COMPRA]]/1.19</f>
        <v>0</v>
      </c>
      <c r="N327" s="11">
        <f>Tabla2456789[[#This Row],[Columna1]]*19%</f>
        <v>0</v>
      </c>
      <c r="O327" s="11"/>
      <c r="P327" s="11">
        <f>Tabla2456789[[#This Row],[VENTA ]]/1.19</f>
        <v>0</v>
      </c>
      <c r="Q327" s="11">
        <f>Tabla2456789[[#This Row],[Columna2]]*19%</f>
        <v>0</v>
      </c>
      <c r="R327" s="11">
        <f>Tabla2456789[[#This Row],[IVA VENTA ]]-Tabla2456789[[#This Row],[IV COMPRA]]</f>
        <v>0</v>
      </c>
      <c r="S327" s="11">
        <f>(Tabla2456789[[#This Row],[VENTA ]]-(Tabla2456789[[#This Row],[MONTO DE COMPRA]]+Tabla2456789[[#This Row],[DIFERENCIA IVA ]]))</f>
        <v>0</v>
      </c>
    </row>
    <row r="328" spans="1:19" x14ac:dyDescent="0.25">
      <c r="A328" s="56">
        <v>44905</v>
      </c>
      <c r="B328" s="4" t="s">
        <v>4182</v>
      </c>
      <c r="C328" s="4" t="s">
        <v>4179</v>
      </c>
      <c r="D328" s="4" t="s">
        <v>4180</v>
      </c>
      <c r="E328" s="1" t="s">
        <v>905</v>
      </c>
      <c r="F328" s="1" t="s">
        <v>2446</v>
      </c>
      <c r="G328" s="154" t="s">
        <v>2018</v>
      </c>
      <c r="H328" s="148">
        <v>40000</v>
      </c>
      <c r="I328" s="15">
        <f>Tabla2456789[[#This Row],[TOTAL FACTURA]]*0.6</f>
        <v>24000</v>
      </c>
      <c r="J328" s="177">
        <f t="shared" ref="J328:J361" si="11">H328-I328</f>
        <v>16000</v>
      </c>
      <c r="K328" s="10" t="s">
        <v>4181</v>
      </c>
      <c r="L328" s="11">
        <f>280000+37000</f>
        <v>317000</v>
      </c>
      <c r="M328" s="11">
        <f>Tabla2456789[[#This Row],[MONTO DE COMPRA]]/1.19</f>
        <v>266386.55462184874</v>
      </c>
      <c r="N328" s="11">
        <f>Tabla2456789[[#This Row],[Columna1]]*19%</f>
        <v>50613.445378151264</v>
      </c>
      <c r="O328" s="11">
        <f>310000+60000</f>
        <v>370000</v>
      </c>
      <c r="P328" s="11"/>
      <c r="Q328" s="11">
        <f>Tabla2456789[[#This Row],[Columna2]]*19%</f>
        <v>0</v>
      </c>
      <c r="R328" s="11">
        <f>Tabla2456789[[#This Row],[IVA VENTA ]]-Tabla2456789[[#This Row],[IV COMPRA]]</f>
        <v>-50613.445378151264</v>
      </c>
      <c r="S328" s="11">
        <f>(Tabla2456789[[#This Row],[VENTA ]]-(Tabla2456789[[#This Row],[MONTO DE COMPRA]]+Tabla2456789[[#This Row],[DIFERENCIA IVA ]]))</f>
        <v>103613.44537815126</v>
      </c>
    </row>
    <row r="329" spans="1:19" x14ac:dyDescent="0.25">
      <c r="A329" s="56">
        <v>44905</v>
      </c>
      <c r="B329" s="4" t="s">
        <v>4182</v>
      </c>
      <c r="C329" s="4" t="s">
        <v>4179</v>
      </c>
      <c r="D329" s="4" t="s">
        <v>4180</v>
      </c>
      <c r="E329" s="1" t="s">
        <v>905</v>
      </c>
      <c r="F329" s="1" t="s">
        <v>3666</v>
      </c>
      <c r="G329" s="154" t="s">
        <v>3798</v>
      </c>
      <c r="H329" s="148">
        <v>100000</v>
      </c>
      <c r="I329" s="15">
        <f>Tabla2456789[[#This Row],[TOTAL FACTURA]]*0.5</f>
        <v>50000</v>
      </c>
      <c r="J329" s="177">
        <f t="shared" si="11"/>
        <v>50000</v>
      </c>
      <c r="K329" s="10" t="s">
        <v>3386</v>
      </c>
      <c r="L329" s="11">
        <v>40000</v>
      </c>
      <c r="M329" s="11"/>
      <c r="N329" s="11">
        <f>Tabla2456789[[#This Row],[Columna1]]*19%</f>
        <v>0</v>
      </c>
      <c r="O329" s="11">
        <v>80000</v>
      </c>
      <c r="P329" s="11"/>
      <c r="Q329" s="11">
        <f>Tabla2456789[[#This Row],[Columna2]]*19%</f>
        <v>0</v>
      </c>
      <c r="R329" s="11">
        <f>Tabla2456789[[#This Row],[IVA VENTA ]]-Tabla2456789[[#This Row],[IV COMPRA]]</f>
        <v>0</v>
      </c>
      <c r="S329" s="11">
        <f>(Tabla2456789[[#This Row],[VENTA ]]-(Tabla2456789[[#This Row],[MONTO DE COMPRA]]+Tabla2456789[[#This Row],[DIFERENCIA IVA ]]))</f>
        <v>40000</v>
      </c>
    </row>
    <row r="330" spans="1:19" x14ac:dyDescent="0.25">
      <c r="A330" s="56">
        <v>44905</v>
      </c>
      <c r="C330" s="182"/>
      <c r="D330" s="4" t="s">
        <v>4183</v>
      </c>
      <c r="E330" s="1" t="s">
        <v>22</v>
      </c>
      <c r="F330" s="1" t="s">
        <v>2446</v>
      </c>
      <c r="G330" s="154" t="s">
        <v>341</v>
      </c>
      <c r="H330" s="148">
        <v>10000</v>
      </c>
      <c r="I330" s="15">
        <f>Tabla2456789[[#This Row],[TOTAL FACTURA]]*0.6</f>
        <v>6000</v>
      </c>
      <c r="J330" s="177">
        <f t="shared" si="11"/>
        <v>4000</v>
      </c>
      <c r="K330" s="10"/>
      <c r="L330" s="11"/>
      <c r="M330" s="11">
        <f>Tabla2456789[[#This Row],[MONTO DE COMPRA]]/1.19</f>
        <v>0</v>
      </c>
      <c r="N330" s="11">
        <f>Tabla2456789[[#This Row],[Columna1]]*19%</f>
        <v>0</v>
      </c>
      <c r="O330" s="11"/>
      <c r="P330" s="11">
        <f>Tabla2456789[[#This Row],[VENTA ]]/1.19</f>
        <v>0</v>
      </c>
      <c r="Q330" s="11">
        <f>Tabla2456789[[#This Row],[Columna2]]*19%</f>
        <v>0</v>
      </c>
      <c r="R330" s="11">
        <f>Tabla2456789[[#This Row],[IVA VENTA ]]-Tabla2456789[[#This Row],[IV COMPRA]]</f>
        <v>0</v>
      </c>
      <c r="S330" s="11">
        <f>(Tabla2456789[[#This Row],[VENTA ]]-(Tabla2456789[[#This Row],[MONTO DE COMPRA]]+Tabla2456789[[#This Row],[DIFERENCIA IVA ]]))</f>
        <v>0</v>
      </c>
    </row>
    <row r="331" spans="1:19" x14ac:dyDescent="0.25">
      <c r="A331" s="56">
        <v>44907</v>
      </c>
      <c r="B331" s="4" t="s">
        <v>4184</v>
      </c>
      <c r="C331" s="4" t="s">
        <v>2827</v>
      </c>
      <c r="D331" s="4" t="s">
        <v>2828</v>
      </c>
      <c r="E331" s="1" t="s">
        <v>3985</v>
      </c>
      <c r="F331" s="1" t="s">
        <v>2446</v>
      </c>
      <c r="G331" s="154" t="s">
        <v>20</v>
      </c>
      <c r="H331" s="148">
        <v>40000</v>
      </c>
      <c r="I331" s="15">
        <f>Tabla2456789[[#This Row],[TOTAL FACTURA]]*0.6</f>
        <v>24000</v>
      </c>
      <c r="J331" s="177">
        <f t="shared" si="11"/>
        <v>16000</v>
      </c>
      <c r="K331" s="10"/>
      <c r="L331" s="11"/>
      <c r="M331" s="11">
        <f>Tabla2456789[[#This Row],[MONTO DE COMPRA]]/1.19</f>
        <v>0</v>
      </c>
      <c r="N331" s="11">
        <f>Tabla2456789[[#This Row],[Columna1]]*19%</f>
        <v>0</v>
      </c>
      <c r="O331" s="11"/>
      <c r="P331" s="11">
        <f>Tabla2456789[[#This Row],[VENTA ]]/1.19</f>
        <v>0</v>
      </c>
      <c r="Q331" s="11">
        <f>Tabla2456789[[#This Row],[Columna2]]*19%</f>
        <v>0</v>
      </c>
      <c r="R331" s="11">
        <f>Tabla2456789[[#This Row],[IVA VENTA ]]-Tabla2456789[[#This Row],[IV COMPRA]]</f>
        <v>0</v>
      </c>
      <c r="S331" s="11">
        <f>(Tabla2456789[[#This Row],[VENTA ]]-(Tabla2456789[[#This Row],[MONTO DE COMPRA]]+Tabla2456789[[#This Row],[DIFERENCIA IVA ]]))</f>
        <v>0</v>
      </c>
    </row>
    <row r="332" spans="1:19" ht="30" x14ac:dyDescent="0.25">
      <c r="A332" s="56">
        <v>44907</v>
      </c>
      <c r="B332" s="4" t="s">
        <v>4188</v>
      </c>
      <c r="C332" s="4" t="s">
        <v>1144</v>
      </c>
      <c r="D332" s="4" t="s">
        <v>4185</v>
      </c>
      <c r="E332" s="1" t="s">
        <v>240</v>
      </c>
      <c r="F332" s="1" t="s">
        <v>34</v>
      </c>
      <c r="G332" s="154" t="s">
        <v>4186</v>
      </c>
      <c r="H332" s="148">
        <v>20000</v>
      </c>
      <c r="I332" s="15">
        <f>Tabla2456789[[#This Row],[TOTAL FACTURA]]*0.7</f>
        <v>14000</v>
      </c>
      <c r="J332" s="177">
        <f t="shared" si="11"/>
        <v>6000</v>
      </c>
      <c r="K332" s="10" t="s">
        <v>4187</v>
      </c>
      <c r="L332" s="11">
        <v>37000</v>
      </c>
      <c r="M332" s="11">
        <f>Tabla2456789[[#This Row],[MONTO DE COMPRA]]/1.19</f>
        <v>31092.436974789918</v>
      </c>
      <c r="N332" s="11">
        <f>Tabla2456789[[#This Row],[Columna1]]*19%</f>
        <v>5907.5630252100846</v>
      </c>
      <c r="O332" s="11">
        <v>29190</v>
      </c>
      <c r="P332" s="11">
        <f>Tabla2456789[[#This Row],[VENTA ]]/1.19</f>
        <v>24529.411764705885</v>
      </c>
      <c r="Q332" s="11">
        <f>Tabla2456789[[#This Row],[Columna2]]*19%</f>
        <v>4660.588235294118</v>
      </c>
      <c r="R332" s="11">
        <f>Tabla2456789[[#This Row],[IVA VENTA ]]-Tabla2456789[[#This Row],[IV COMPRA]]</f>
        <v>-1246.9747899159665</v>
      </c>
      <c r="S332" s="11">
        <f>(Tabla2456789[[#This Row],[VENTA ]]-(Tabla2456789[[#This Row],[MONTO DE COMPRA]]+Tabla2456789[[#This Row],[DIFERENCIA IVA ]]))</f>
        <v>-6563.0252100840298</v>
      </c>
    </row>
    <row r="333" spans="1:19" x14ac:dyDescent="0.25">
      <c r="A333" s="56">
        <v>44907</v>
      </c>
      <c r="C333" s="4" t="s">
        <v>4189</v>
      </c>
      <c r="D333" s="4" t="s">
        <v>4190</v>
      </c>
      <c r="E333" s="1" t="s">
        <v>1865</v>
      </c>
      <c r="F333" s="1" t="s">
        <v>2446</v>
      </c>
      <c r="G333" s="154" t="s">
        <v>4191</v>
      </c>
      <c r="H333" s="148">
        <v>70000</v>
      </c>
      <c r="I333" s="15">
        <f>Tabla2456789[[#This Row],[TOTAL FACTURA]]*0.6</f>
        <v>42000</v>
      </c>
      <c r="J333" s="177">
        <f t="shared" si="11"/>
        <v>28000</v>
      </c>
      <c r="K333" s="10"/>
      <c r="L333" s="11"/>
      <c r="M333" s="11">
        <f>Tabla2456789[[#This Row],[MONTO DE COMPRA]]/1.19</f>
        <v>0</v>
      </c>
      <c r="N333" s="11">
        <f>Tabla2456789[[#This Row],[Columna1]]*19%</f>
        <v>0</v>
      </c>
      <c r="O333" s="11"/>
      <c r="P333" s="11">
        <f>Tabla2456789[[#This Row],[VENTA ]]/1.19</f>
        <v>0</v>
      </c>
      <c r="Q333" s="11">
        <f>Tabla2456789[[#This Row],[Columna2]]*19%</f>
        <v>0</v>
      </c>
      <c r="R333" s="11">
        <f>Tabla2456789[[#This Row],[IVA VENTA ]]-Tabla2456789[[#This Row],[IV COMPRA]]</f>
        <v>0</v>
      </c>
      <c r="S333" s="11">
        <f>(Tabla2456789[[#This Row],[VENTA ]]-(Tabla2456789[[#This Row],[MONTO DE COMPRA]]+Tabla2456789[[#This Row],[DIFERENCIA IVA ]]))</f>
        <v>0</v>
      </c>
    </row>
    <row r="334" spans="1:19" x14ac:dyDescent="0.25">
      <c r="A334" s="56">
        <v>44908</v>
      </c>
      <c r="C334" s="182"/>
      <c r="D334" s="4"/>
      <c r="E334" s="1" t="s">
        <v>540</v>
      </c>
      <c r="F334" s="1" t="s">
        <v>34</v>
      </c>
      <c r="G334" s="154" t="s">
        <v>4192</v>
      </c>
      <c r="H334" s="148">
        <v>20000</v>
      </c>
      <c r="I334" s="15">
        <f>Tabla2456789[[#This Row],[TOTAL FACTURA]]*0.7</f>
        <v>14000</v>
      </c>
      <c r="J334" s="177">
        <f t="shared" si="11"/>
        <v>6000</v>
      </c>
      <c r="K334" s="10"/>
      <c r="L334" s="11"/>
      <c r="M334" s="11">
        <f>Tabla2456789[[#This Row],[MONTO DE COMPRA]]/1.19</f>
        <v>0</v>
      </c>
      <c r="N334" s="11">
        <f>Tabla2456789[[#This Row],[Columna1]]*19%</f>
        <v>0</v>
      </c>
      <c r="O334" s="11"/>
      <c r="P334" s="11">
        <f>Tabla2456789[[#This Row],[VENTA ]]/1.19</f>
        <v>0</v>
      </c>
      <c r="Q334" s="11">
        <f>Tabla2456789[[#This Row],[Columna2]]*19%</f>
        <v>0</v>
      </c>
      <c r="R334" s="11">
        <f>Tabla2456789[[#This Row],[IVA VENTA ]]-Tabla2456789[[#This Row],[IV COMPRA]]</f>
        <v>0</v>
      </c>
      <c r="S334" s="11">
        <f>(Tabla2456789[[#This Row],[VENTA ]]-(Tabla2456789[[#This Row],[MONTO DE COMPRA]]+Tabla2456789[[#This Row],[DIFERENCIA IVA ]]))</f>
        <v>0</v>
      </c>
    </row>
    <row r="335" spans="1:19" ht="30" x14ac:dyDescent="0.25">
      <c r="A335" s="56">
        <v>44908</v>
      </c>
      <c r="C335" s="182"/>
      <c r="D335" s="4" t="s">
        <v>1682</v>
      </c>
      <c r="E335" s="1" t="s">
        <v>76</v>
      </c>
      <c r="F335" s="1" t="s">
        <v>3666</v>
      </c>
      <c r="G335" s="154" t="s">
        <v>4193</v>
      </c>
      <c r="H335" s="148">
        <v>120000</v>
      </c>
      <c r="I335" s="15">
        <f>Tabla2456789[[#This Row],[TOTAL FACTURA]]*0.5</f>
        <v>60000</v>
      </c>
      <c r="J335" s="177">
        <f t="shared" si="11"/>
        <v>60000</v>
      </c>
      <c r="K335" s="10"/>
      <c r="L335" s="11"/>
      <c r="M335" s="11">
        <f>Tabla2456789[[#This Row],[MONTO DE COMPRA]]/1.19</f>
        <v>0</v>
      </c>
      <c r="N335" s="11">
        <f>Tabla2456789[[#This Row],[Columna1]]*19%</f>
        <v>0</v>
      </c>
      <c r="O335" s="11"/>
      <c r="P335" s="11">
        <f>Tabla2456789[[#This Row],[VENTA ]]/1.19</f>
        <v>0</v>
      </c>
      <c r="Q335" s="11">
        <f>Tabla2456789[[#This Row],[Columna2]]*19%</f>
        <v>0</v>
      </c>
      <c r="R335" s="11">
        <f>Tabla2456789[[#This Row],[IVA VENTA ]]-Tabla2456789[[#This Row],[IV COMPRA]]</f>
        <v>0</v>
      </c>
      <c r="S335" s="11">
        <f>(Tabla2456789[[#This Row],[VENTA ]]-(Tabla2456789[[#This Row],[MONTO DE COMPRA]]+Tabla2456789[[#This Row],[DIFERENCIA IVA ]]))</f>
        <v>0</v>
      </c>
    </row>
    <row r="336" spans="1:19" x14ac:dyDescent="0.25">
      <c r="A336" s="56">
        <v>44908</v>
      </c>
      <c r="C336" s="182"/>
      <c r="D336" s="4" t="s">
        <v>4195</v>
      </c>
      <c r="E336" s="1" t="s">
        <v>2176</v>
      </c>
      <c r="F336" s="1" t="s">
        <v>3666</v>
      </c>
      <c r="G336" s="154" t="s">
        <v>4194</v>
      </c>
      <c r="H336" s="148">
        <v>50000</v>
      </c>
      <c r="I336" s="15">
        <f>Tabla2456789[[#This Row],[TOTAL FACTURA]]*0.5</f>
        <v>25000</v>
      </c>
      <c r="J336" s="177">
        <f t="shared" si="11"/>
        <v>25000</v>
      </c>
      <c r="K336" s="10"/>
      <c r="L336" s="11"/>
      <c r="M336" s="11">
        <f>Tabla2456789[[#This Row],[MONTO DE COMPRA]]/1.19</f>
        <v>0</v>
      </c>
      <c r="N336" s="11">
        <f>Tabla2456789[[#This Row],[Columna1]]*19%</f>
        <v>0</v>
      </c>
      <c r="O336" s="11"/>
      <c r="P336" s="11">
        <f>Tabla2456789[[#This Row],[VENTA ]]/1.19</f>
        <v>0</v>
      </c>
      <c r="Q336" s="11">
        <f>Tabla2456789[[#This Row],[Columna2]]*19%</f>
        <v>0</v>
      </c>
      <c r="R336" s="11">
        <f>Tabla2456789[[#This Row],[IVA VENTA ]]-Tabla2456789[[#This Row],[IV COMPRA]]</f>
        <v>0</v>
      </c>
      <c r="S336" s="11">
        <f>(Tabla2456789[[#This Row],[VENTA ]]-(Tabla2456789[[#This Row],[MONTO DE COMPRA]]+Tabla2456789[[#This Row],[DIFERENCIA IVA ]]))</f>
        <v>0</v>
      </c>
    </row>
    <row r="337" spans="1:19" ht="30" x14ac:dyDescent="0.25">
      <c r="A337" s="56">
        <v>44908</v>
      </c>
      <c r="B337" s="4" t="s">
        <v>4196</v>
      </c>
      <c r="C337" s="4" t="s">
        <v>4197</v>
      </c>
      <c r="D337" s="4" t="s">
        <v>3258</v>
      </c>
      <c r="E337" s="1" t="s">
        <v>22</v>
      </c>
      <c r="F337" s="1" t="s">
        <v>2446</v>
      </c>
      <c r="G337" s="154" t="s">
        <v>4209</v>
      </c>
      <c r="H337" s="148">
        <v>70000</v>
      </c>
      <c r="I337" s="15">
        <f>Tabla2456789[[#This Row],[TOTAL FACTURA]]*0.6</f>
        <v>42000</v>
      </c>
      <c r="J337" s="177">
        <f t="shared" si="11"/>
        <v>28000</v>
      </c>
      <c r="K337" s="10"/>
      <c r="L337" s="11"/>
      <c r="M337" s="11">
        <f>Tabla2456789[[#This Row],[MONTO DE COMPRA]]/1.19</f>
        <v>0</v>
      </c>
      <c r="N337" s="11">
        <f>Tabla2456789[[#This Row],[Columna1]]*19%</f>
        <v>0</v>
      </c>
      <c r="O337" s="11"/>
      <c r="P337" s="11">
        <f>Tabla2456789[[#This Row],[VENTA ]]/1.19</f>
        <v>0</v>
      </c>
      <c r="Q337" s="11">
        <f>Tabla2456789[[#This Row],[Columna2]]*19%</f>
        <v>0</v>
      </c>
      <c r="R337" s="11">
        <f>Tabla2456789[[#This Row],[IVA VENTA ]]-Tabla2456789[[#This Row],[IV COMPRA]]</f>
        <v>0</v>
      </c>
      <c r="S337" s="11">
        <f>(Tabla2456789[[#This Row],[VENTA ]]-(Tabla2456789[[#This Row],[MONTO DE COMPRA]]+Tabla2456789[[#This Row],[DIFERENCIA IVA ]]))</f>
        <v>0</v>
      </c>
    </row>
    <row r="338" spans="1:19" x14ac:dyDescent="0.25">
      <c r="A338" s="56">
        <v>44908</v>
      </c>
      <c r="B338" s="4" t="s">
        <v>4198</v>
      </c>
      <c r="C338" s="4" t="s">
        <v>4199</v>
      </c>
      <c r="D338" s="4" t="s">
        <v>4200</v>
      </c>
      <c r="E338" s="1" t="s">
        <v>1011</v>
      </c>
      <c r="F338" s="1" t="s">
        <v>2446</v>
      </c>
      <c r="G338" s="154" t="s">
        <v>3185</v>
      </c>
      <c r="H338" s="148">
        <v>120000</v>
      </c>
      <c r="I338" s="15">
        <f>Tabla2456789[[#This Row],[TOTAL FACTURA]]*0.6</f>
        <v>72000</v>
      </c>
      <c r="J338" s="177">
        <f t="shared" si="11"/>
        <v>48000</v>
      </c>
      <c r="K338" s="10" t="s">
        <v>4074</v>
      </c>
      <c r="L338" s="11">
        <v>400000</v>
      </c>
      <c r="M338" s="11"/>
      <c r="N338" s="11">
        <f>Tabla2456789[[#This Row],[Columna1]]*19%</f>
        <v>0</v>
      </c>
      <c r="O338" s="11">
        <v>480000</v>
      </c>
      <c r="P338" s="11"/>
      <c r="Q338" s="11">
        <f>Tabla2456789[[#This Row],[Columna2]]*19%</f>
        <v>0</v>
      </c>
      <c r="R338" s="11">
        <f>Tabla2456789[[#This Row],[IVA VENTA ]]-Tabla2456789[[#This Row],[IV COMPRA]]</f>
        <v>0</v>
      </c>
      <c r="S338" s="11">
        <f>(Tabla2456789[[#This Row],[VENTA ]]-(Tabla2456789[[#This Row],[MONTO DE COMPRA]]+Tabla2456789[[#This Row],[DIFERENCIA IVA ]]))</f>
        <v>80000</v>
      </c>
    </row>
    <row r="339" spans="1:19" ht="30" x14ac:dyDescent="0.25">
      <c r="A339" s="56">
        <v>44908</v>
      </c>
      <c r="B339" s="4" t="s">
        <v>4201</v>
      </c>
      <c r="C339" s="4" t="s">
        <v>4202</v>
      </c>
      <c r="D339" s="4" t="s">
        <v>1101</v>
      </c>
      <c r="E339" s="1" t="s">
        <v>1947</v>
      </c>
      <c r="F339" s="1" t="s">
        <v>2446</v>
      </c>
      <c r="G339" s="154" t="s">
        <v>4203</v>
      </c>
      <c r="H339" s="148">
        <v>80000</v>
      </c>
      <c r="I339" s="15">
        <f>Tabla2456789[[#This Row],[TOTAL FACTURA]]*0.6</f>
        <v>48000</v>
      </c>
      <c r="J339" s="177">
        <f t="shared" si="11"/>
        <v>32000</v>
      </c>
      <c r="K339" s="10" t="s">
        <v>4204</v>
      </c>
      <c r="L339" s="11">
        <v>106000</v>
      </c>
      <c r="M339" s="11">
        <f>Tabla2456789[[#This Row],[MONTO DE COMPRA]]/1.19</f>
        <v>89075.630252100847</v>
      </c>
      <c r="N339" s="11">
        <f>Tabla2456789[[#This Row],[Columna1]]*19%</f>
        <v>16924.36974789916</v>
      </c>
      <c r="O339" s="11">
        <v>170000</v>
      </c>
      <c r="P339" s="11">
        <f>Tabla2456789[[#This Row],[VENTA ]]/1.19</f>
        <v>142857.14285714287</v>
      </c>
      <c r="Q339" s="11">
        <f>Tabla2456789[[#This Row],[Columna2]]*19%</f>
        <v>27142.857142857145</v>
      </c>
      <c r="R339" s="11">
        <f>Tabla2456789[[#This Row],[IVA VENTA ]]-Tabla2456789[[#This Row],[IV COMPRA]]</f>
        <v>10218.487394957985</v>
      </c>
      <c r="S339" s="11">
        <f>(Tabla2456789[[#This Row],[VENTA ]]-(Tabla2456789[[#This Row],[MONTO DE COMPRA]]+Tabla2456789[[#This Row],[DIFERENCIA IVA ]]))</f>
        <v>53781.512605042022</v>
      </c>
    </row>
    <row r="340" spans="1:19" ht="30" x14ac:dyDescent="0.25">
      <c r="A340" s="56">
        <v>44909</v>
      </c>
      <c r="B340" s="4" t="s">
        <v>4205</v>
      </c>
      <c r="C340" s="4" t="s">
        <v>4206</v>
      </c>
      <c r="D340" s="4" t="s">
        <v>4207</v>
      </c>
      <c r="E340" s="1" t="s">
        <v>4208</v>
      </c>
      <c r="F340" s="1" t="s">
        <v>2446</v>
      </c>
      <c r="G340" s="154" t="s">
        <v>4209</v>
      </c>
      <c r="H340" s="148">
        <v>35000</v>
      </c>
      <c r="I340" s="15">
        <f>Tabla2456789[[#This Row],[TOTAL FACTURA]]*0.6</f>
        <v>21000</v>
      </c>
      <c r="J340" s="177">
        <f t="shared" si="11"/>
        <v>14000</v>
      </c>
      <c r="K340" s="10" t="s">
        <v>4210</v>
      </c>
      <c r="L340" s="11">
        <v>70000</v>
      </c>
      <c r="M340" s="11">
        <f>Tabla2456789[[#This Row],[MONTO DE COMPRA]]/1.19</f>
        <v>58823.529411764706</v>
      </c>
      <c r="N340" s="11">
        <f>Tabla2456789[[#This Row],[Columna1]]*19%</f>
        <v>11176.470588235294</v>
      </c>
      <c r="O340" s="11">
        <v>90000</v>
      </c>
      <c r="P340" s="11">
        <f>Tabla2456789[[#This Row],[VENTA ]]/1.19</f>
        <v>75630.252100840342</v>
      </c>
      <c r="Q340" s="11">
        <f>Tabla2456789[[#This Row],[Columna2]]*19%</f>
        <v>14369.747899159665</v>
      </c>
      <c r="R340" s="11">
        <f>Tabla2456789[[#This Row],[IVA VENTA ]]-Tabla2456789[[#This Row],[IV COMPRA]]</f>
        <v>3193.2773109243717</v>
      </c>
      <c r="S340" s="11">
        <f>(Tabla2456789[[#This Row],[VENTA ]]-(Tabla2456789[[#This Row],[MONTO DE COMPRA]]+Tabla2456789[[#This Row],[DIFERENCIA IVA ]]))</f>
        <v>16806.722689075628</v>
      </c>
    </row>
    <row r="341" spans="1:19" ht="45" x14ac:dyDescent="0.25">
      <c r="A341" s="56">
        <v>44909</v>
      </c>
      <c r="C341" s="4" t="s">
        <v>4211</v>
      </c>
      <c r="D341" s="4" t="s">
        <v>4212</v>
      </c>
      <c r="E341" s="1" t="s">
        <v>1947</v>
      </c>
      <c r="F341" s="1" t="s">
        <v>2446</v>
      </c>
      <c r="G341" s="154" t="s">
        <v>4213</v>
      </c>
      <c r="H341" s="148">
        <v>150000</v>
      </c>
      <c r="I341" s="15">
        <f>Tabla2456789[[#This Row],[TOTAL FACTURA]]*0.6</f>
        <v>90000</v>
      </c>
      <c r="J341" s="177">
        <f t="shared" si="11"/>
        <v>60000</v>
      </c>
      <c r="K341" s="10" t="s">
        <v>4074</v>
      </c>
      <c r="L341" s="11">
        <v>50000</v>
      </c>
      <c r="M341" s="11">
        <f>Tabla2456789[[#This Row],[MONTO DE COMPRA]]/1.19</f>
        <v>42016.806722689078</v>
      </c>
      <c r="N341" s="11">
        <f>Tabla2456789[[#This Row],[Columna1]]*19%</f>
        <v>7983.1932773109247</v>
      </c>
      <c r="O341" s="11">
        <v>70000</v>
      </c>
      <c r="P341" s="11">
        <f>Tabla2456789[[#This Row],[VENTA ]]/1.19</f>
        <v>58823.529411764706</v>
      </c>
      <c r="Q341" s="11">
        <f>Tabla2456789[[#This Row],[Columna2]]*19%</f>
        <v>11176.470588235294</v>
      </c>
      <c r="R341" s="11">
        <f>Tabla2456789[[#This Row],[IVA VENTA ]]-Tabla2456789[[#This Row],[IV COMPRA]]</f>
        <v>3193.277310924369</v>
      </c>
      <c r="S341" s="11">
        <f>(Tabla2456789[[#This Row],[VENTA ]]-(Tabla2456789[[#This Row],[MONTO DE COMPRA]]+Tabla2456789[[#This Row],[DIFERENCIA IVA ]]))</f>
        <v>16806.722689075628</v>
      </c>
    </row>
    <row r="342" spans="1:19" x14ac:dyDescent="0.25">
      <c r="A342" s="56">
        <v>44909</v>
      </c>
      <c r="C342" s="4" t="s">
        <v>4211</v>
      </c>
      <c r="D342" s="4" t="s">
        <v>4212</v>
      </c>
      <c r="E342" s="1" t="s">
        <v>54</v>
      </c>
      <c r="F342" s="1" t="s">
        <v>3666</v>
      </c>
      <c r="G342" s="154" t="s">
        <v>3511</v>
      </c>
      <c r="H342" s="148">
        <v>80000</v>
      </c>
      <c r="I342" s="15">
        <f>Tabla2456789[[#This Row],[TOTAL FACTURA]]*0.5</f>
        <v>40000</v>
      </c>
      <c r="J342" s="177">
        <f t="shared" si="11"/>
        <v>40000</v>
      </c>
      <c r="K342" s="10" t="s">
        <v>4214</v>
      </c>
      <c r="L342" s="11"/>
      <c r="M342" s="11">
        <f>Tabla2456789[[#This Row],[MONTO DE COMPRA]]/1.19</f>
        <v>0</v>
      </c>
      <c r="N342" s="11">
        <f>Tabla2456789[[#This Row],[Columna1]]*19%</f>
        <v>0</v>
      </c>
      <c r="O342" s="11"/>
      <c r="P342" s="11">
        <f>Tabla2456789[[#This Row],[VENTA ]]/1.19</f>
        <v>0</v>
      </c>
      <c r="Q342" s="11">
        <f>Tabla2456789[[#This Row],[Columna2]]*19%</f>
        <v>0</v>
      </c>
      <c r="R342" s="11">
        <f>Tabla2456789[[#This Row],[IVA VENTA ]]-Tabla2456789[[#This Row],[IV COMPRA]]</f>
        <v>0</v>
      </c>
      <c r="S342" s="11">
        <f>(Tabla2456789[[#This Row],[VENTA ]]-(Tabla2456789[[#This Row],[MONTO DE COMPRA]]+Tabla2456789[[#This Row],[DIFERENCIA IVA ]]))</f>
        <v>0</v>
      </c>
    </row>
    <row r="343" spans="1:19" ht="30" x14ac:dyDescent="0.25">
      <c r="A343" s="56">
        <v>44909</v>
      </c>
      <c r="C343" s="4" t="s">
        <v>4215</v>
      </c>
      <c r="D343" s="4" t="s">
        <v>4216</v>
      </c>
      <c r="E343" s="1" t="s">
        <v>48</v>
      </c>
      <c r="F343" s="1" t="s">
        <v>2446</v>
      </c>
      <c r="G343" s="154" t="s">
        <v>4217</v>
      </c>
      <c r="H343" s="148">
        <v>70000</v>
      </c>
      <c r="I343" s="15">
        <f>Tabla2456789[[#This Row],[TOTAL FACTURA]]*0.6</f>
        <v>42000</v>
      </c>
      <c r="J343" s="177">
        <f t="shared" si="11"/>
        <v>28000</v>
      </c>
      <c r="K343" s="10"/>
      <c r="L343" s="11"/>
      <c r="M343" s="11">
        <f>Tabla2456789[[#This Row],[MONTO DE COMPRA]]/1.19</f>
        <v>0</v>
      </c>
      <c r="N343" s="11">
        <f>Tabla2456789[[#This Row],[Columna1]]*19%</f>
        <v>0</v>
      </c>
      <c r="O343" s="11"/>
      <c r="P343" s="11">
        <f>Tabla2456789[[#This Row],[VENTA ]]/1.19</f>
        <v>0</v>
      </c>
      <c r="Q343" s="11">
        <f>Tabla2456789[[#This Row],[Columna2]]*19%</f>
        <v>0</v>
      </c>
      <c r="R343" s="11">
        <f>Tabla2456789[[#This Row],[IVA VENTA ]]-Tabla2456789[[#This Row],[IV COMPRA]]</f>
        <v>0</v>
      </c>
      <c r="S343" s="11">
        <f>(Tabla2456789[[#This Row],[VENTA ]]-(Tabla2456789[[#This Row],[MONTO DE COMPRA]]+Tabla2456789[[#This Row],[DIFERENCIA IVA ]]))</f>
        <v>0</v>
      </c>
    </row>
    <row r="344" spans="1:19" ht="45" x14ac:dyDescent="0.25">
      <c r="A344" s="56">
        <v>44910</v>
      </c>
      <c r="C344" s="4" t="s">
        <v>2237</v>
      </c>
      <c r="D344" s="4" t="s">
        <v>4218</v>
      </c>
      <c r="E344" s="10" t="s">
        <v>4219</v>
      </c>
      <c r="F344" s="1" t="s">
        <v>2446</v>
      </c>
      <c r="G344" s="154" t="s">
        <v>4220</v>
      </c>
      <c r="H344" s="148">
        <v>40000</v>
      </c>
      <c r="I344" s="15">
        <f>Tabla2456789[[#This Row],[TOTAL FACTURA]]*0.6</f>
        <v>24000</v>
      </c>
      <c r="J344" s="177">
        <f t="shared" si="11"/>
        <v>16000</v>
      </c>
      <c r="K344" s="10"/>
      <c r="L344" s="11"/>
      <c r="M344" s="11">
        <f>Tabla2456789[[#This Row],[MONTO DE COMPRA]]/1.19</f>
        <v>0</v>
      </c>
      <c r="N344" s="11">
        <f>Tabla2456789[[#This Row],[Columna1]]*19%</f>
        <v>0</v>
      </c>
      <c r="O344" s="11"/>
      <c r="P344" s="11">
        <f>Tabla2456789[[#This Row],[VENTA ]]/1.19</f>
        <v>0</v>
      </c>
      <c r="Q344" s="11">
        <f>Tabla2456789[[#This Row],[Columna2]]*19%</f>
        <v>0</v>
      </c>
      <c r="R344" s="11">
        <f>Tabla2456789[[#This Row],[IVA VENTA ]]-Tabla2456789[[#This Row],[IV COMPRA]]</f>
        <v>0</v>
      </c>
      <c r="S344" s="11">
        <f>(Tabla2456789[[#This Row],[VENTA ]]-(Tabla2456789[[#This Row],[MONTO DE COMPRA]]+Tabla2456789[[#This Row],[DIFERENCIA IVA ]]))</f>
        <v>0</v>
      </c>
    </row>
    <row r="345" spans="1:19" ht="30" x14ac:dyDescent="0.25">
      <c r="A345" s="56">
        <v>44911</v>
      </c>
      <c r="C345" s="4" t="s">
        <v>4221</v>
      </c>
      <c r="D345" s="4" t="s">
        <v>924</v>
      </c>
      <c r="E345" s="1" t="s">
        <v>1865</v>
      </c>
      <c r="F345" s="1" t="s">
        <v>3925</v>
      </c>
      <c r="G345" s="154" t="s">
        <v>4243</v>
      </c>
      <c r="H345" s="148">
        <v>60000</v>
      </c>
      <c r="I345" s="15">
        <f>Tabla2456789[[#This Row],[TOTAL FACTURA]]*0.6</f>
        <v>36000</v>
      </c>
      <c r="J345" s="177">
        <f>H345-I345</f>
        <v>24000</v>
      </c>
      <c r="K345" s="10" t="s">
        <v>4244</v>
      </c>
      <c r="L345" s="11">
        <v>160000</v>
      </c>
      <c r="M345" s="11"/>
      <c r="N345" s="11">
        <f>Tabla2456789[[#This Row],[Columna1]]*19%</f>
        <v>0</v>
      </c>
      <c r="O345" s="11">
        <v>190000</v>
      </c>
      <c r="P345" s="11"/>
      <c r="Q345" s="11">
        <f>Tabla2456789[[#This Row],[Columna2]]*19%</f>
        <v>0</v>
      </c>
      <c r="R345" s="11">
        <f>Tabla2456789[[#This Row],[IVA VENTA ]]-Tabla2456789[[#This Row],[IV COMPRA]]</f>
        <v>0</v>
      </c>
      <c r="S345" s="11">
        <f>(Tabla2456789[[#This Row],[VENTA ]]-(Tabla2456789[[#This Row],[MONTO DE COMPRA]]+Tabla2456789[[#This Row],[DIFERENCIA IVA ]]))</f>
        <v>30000</v>
      </c>
    </row>
    <row r="346" spans="1:19" x14ac:dyDescent="0.25">
      <c r="A346" s="56">
        <v>44910</v>
      </c>
      <c r="C346" s="4" t="s">
        <v>4221</v>
      </c>
      <c r="D346" s="4" t="s">
        <v>924</v>
      </c>
      <c r="E346" s="1" t="s">
        <v>1865</v>
      </c>
      <c r="F346" s="1" t="s">
        <v>3925</v>
      </c>
      <c r="G346" s="154" t="s">
        <v>1407</v>
      </c>
      <c r="H346" s="148">
        <v>180000</v>
      </c>
      <c r="I346" s="15">
        <f>Tabla2456789[[#This Row],[TOTAL FACTURA]]*0.6</f>
        <v>108000</v>
      </c>
      <c r="J346" s="177">
        <f t="shared" si="11"/>
        <v>72000</v>
      </c>
      <c r="K346" s="10"/>
      <c r="L346" s="11"/>
      <c r="M346" s="11">
        <f>Tabla2456789[[#This Row],[MONTO DE COMPRA]]/1.19</f>
        <v>0</v>
      </c>
      <c r="N346" s="11">
        <f>Tabla2456789[[#This Row],[Columna1]]*19%</f>
        <v>0</v>
      </c>
      <c r="O346" s="11"/>
      <c r="P346" s="11">
        <f>Tabla2456789[[#This Row],[VENTA ]]/1.19</f>
        <v>0</v>
      </c>
      <c r="Q346" s="11">
        <f>Tabla2456789[[#This Row],[Columna2]]*19%</f>
        <v>0</v>
      </c>
      <c r="R346" s="11">
        <f>Tabla2456789[[#This Row],[IVA VENTA ]]-Tabla2456789[[#This Row],[IV COMPRA]]</f>
        <v>0</v>
      </c>
      <c r="S346" s="11">
        <f>(Tabla2456789[[#This Row],[VENTA ]]-(Tabla2456789[[#This Row],[MONTO DE COMPRA]]+Tabla2456789[[#This Row],[DIFERENCIA IVA ]]))</f>
        <v>0</v>
      </c>
    </row>
    <row r="347" spans="1:19" x14ac:dyDescent="0.25">
      <c r="A347" s="56">
        <v>44910</v>
      </c>
      <c r="C347" s="4" t="s">
        <v>4222</v>
      </c>
      <c r="D347" s="4" t="s">
        <v>4223</v>
      </c>
      <c r="E347" s="1" t="s">
        <v>1077</v>
      </c>
      <c r="F347" s="1" t="s">
        <v>3666</v>
      </c>
      <c r="G347" s="154" t="s">
        <v>4224</v>
      </c>
      <c r="H347" s="148">
        <v>115000</v>
      </c>
      <c r="I347" s="15">
        <f>Tabla2456789[[#This Row],[TOTAL FACTURA]]*0.5</f>
        <v>57500</v>
      </c>
      <c r="J347" s="177">
        <f t="shared" si="11"/>
        <v>57500</v>
      </c>
      <c r="K347" s="10" t="s">
        <v>3386</v>
      </c>
      <c r="L347" s="11">
        <v>40000</v>
      </c>
      <c r="M347" s="11"/>
      <c r="N347" s="11">
        <f>Tabla2456789[[#This Row],[Columna1]]*19%</f>
        <v>0</v>
      </c>
      <c r="O347" s="11">
        <v>80000</v>
      </c>
      <c r="P347" s="11"/>
      <c r="Q347" s="11">
        <f>Tabla2456789[[#This Row],[Columna2]]*19%</f>
        <v>0</v>
      </c>
      <c r="R347" s="11">
        <f>Tabla2456789[[#This Row],[IVA VENTA ]]-Tabla2456789[[#This Row],[IV COMPRA]]</f>
        <v>0</v>
      </c>
      <c r="S347" s="11">
        <f>(Tabla2456789[[#This Row],[VENTA ]]-(Tabla2456789[[#This Row],[MONTO DE COMPRA]]+Tabla2456789[[#This Row],[DIFERENCIA IVA ]]))</f>
        <v>40000</v>
      </c>
    </row>
    <row r="348" spans="1:19" ht="30" x14ac:dyDescent="0.25">
      <c r="A348" s="56">
        <v>44910</v>
      </c>
      <c r="C348" s="182"/>
      <c r="D348" s="4" t="s">
        <v>735</v>
      </c>
      <c r="E348" s="1" t="s">
        <v>1593</v>
      </c>
      <c r="F348" s="1" t="s">
        <v>3925</v>
      </c>
      <c r="G348" s="154" t="s">
        <v>4247</v>
      </c>
      <c r="H348" s="148">
        <v>200000</v>
      </c>
      <c r="I348" s="15">
        <v>200000</v>
      </c>
      <c r="J348" s="177">
        <f>H348-I348</f>
        <v>0</v>
      </c>
      <c r="K348" s="10" t="s">
        <v>4246</v>
      </c>
      <c r="L348" s="11"/>
      <c r="M348" s="11">
        <f>Tabla2456789[[#This Row],[MONTO DE COMPRA]]/1.19</f>
        <v>0</v>
      </c>
      <c r="N348" s="11">
        <f>Tabla2456789[[#This Row],[Columna1]]*19%</f>
        <v>0</v>
      </c>
      <c r="O348" s="11"/>
      <c r="P348" s="11">
        <f>Tabla2456789[[#This Row],[VENTA ]]/1.19</f>
        <v>0</v>
      </c>
      <c r="Q348" s="11">
        <f>Tabla2456789[[#This Row],[Columna2]]*19%</f>
        <v>0</v>
      </c>
      <c r="R348" s="11">
        <f>Tabla2456789[[#This Row],[IVA VENTA ]]-Tabla2456789[[#This Row],[IV COMPRA]]</f>
        <v>0</v>
      </c>
      <c r="S348" s="11">
        <f>(Tabla2456789[[#This Row],[VENTA ]]-(Tabla2456789[[#This Row],[MONTO DE COMPRA]]+Tabla2456789[[#This Row],[DIFERENCIA IVA ]]))</f>
        <v>0</v>
      </c>
    </row>
    <row r="349" spans="1:19" ht="30" x14ac:dyDescent="0.25">
      <c r="A349" s="56">
        <v>44910</v>
      </c>
      <c r="C349" s="4" t="s">
        <v>4225</v>
      </c>
      <c r="D349" s="4" t="s">
        <v>4226</v>
      </c>
      <c r="E349" s="1" t="s">
        <v>385</v>
      </c>
      <c r="F349" s="1" t="s">
        <v>3925</v>
      </c>
      <c r="G349" s="154" t="s">
        <v>4228</v>
      </c>
      <c r="H349" s="148">
        <v>500000</v>
      </c>
      <c r="I349" s="15">
        <f>Tabla2456789[[#This Row],[TOTAL FACTURA]]*0.6</f>
        <v>300000</v>
      </c>
      <c r="J349" s="177">
        <f t="shared" si="11"/>
        <v>200000</v>
      </c>
      <c r="K349" s="10">
        <v>0</v>
      </c>
      <c r="L349" s="11"/>
      <c r="M349" s="11">
        <f>Tabla2456789[[#This Row],[MONTO DE COMPRA]]/1.19</f>
        <v>0</v>
      </c>
      <c r="N349" s="11">
        <f>Tabla2456789[[#This Row],[Columna1]]*19%</f>
        <v>0</v>
      </c>
      <c r="O349" s="11"/>
      <c r="P349" s="11">
        <f>Tabla2456789[[#This Row],[VENTA ]]/1.19</f>
        <v>0</v>
      </c>
      <c r="Q349" s="11">
        <f>Tabla2456789[[#This Row],[Columna2]]*19%</f>
        <v>0</v>
      </c>
      <c r="R349" s="11">
        <f>Tabla2456789[[#This Row],[IVA VENTA ]]-Tabla2456789[[#This Row],[IV COMPRA]]</f>
        <v>0</v>
      </c>
      <c r="S349" s="11">
        <f>(Tabla2456789[[#This Row],[VENTA ]]-(Tabla2456789[[#This Row],[MONTO DE COMPRA]]+Tabla2456789[[#This Row],[DIFERENCIA IVA ]]))</f>
        <v>0</v>
      </c>
    </row>
    <row r="350" spans="1:19" x14ac:dyDescent="0.25">
      <c r="A350" s="56">
        <v>44911</v>
      </c>
      <c r="B350" s="4" t="s">
        <v>4235</v>
      </c>
      <c r="C350" s="4" t="s">
        <v>4229</v>
      </c>
      <c r="D350" s="4" t="s">
        <v>4230</v>
      </c>
      <c r="E350" s="1" t="s">
        <v>1907</v>
      </c>
      <c r="F350" s="1" t="s">
        <v>2446</v>
      </c>
      <c r="G350" s="154" t="s">
        <v>4231</v>
      </c>
      <c r="H350" s="148">
        <v>80000</v>
      </c>
      <c r="I350" s="15">
        <f>Tabla2456789[[#This Row],[TOTAL FACTURA]]*0.6</f>
        <v>48000</v>
      </c>
      <c r="J350" s="177">
        <f t="shared" si="11"/>
        <v>32000</v>
      </c>
      <c r="K350" s="10" t="s">
        <v>4232</v>
      </c>
      <c r="L350" s="11">
        <f>4000+108000</f>
        <v>112000</v>
      </c>
      <c r="M350" s="11">
        <f>Tabla2456789[[#This Row],[MONTO DE COMPRA]]/1.19</f>
        <v>94117.647058823539</v>
      </c>
      <c r="N350" s="11">
        <f>Tabla2456789[[#This Row],[Columna1]]*19%</f>
        <v>17882.352941176472</v>
      </c>
      <c r="O350" s="11">
        <f>150000</f>
        <v>150000</v>
      </c>
      <c r="P350" s="11">
        <f>Tabla2456789[[#This Row],[VENTA ]]/1.19</f>
        <v>126050.42016806723</v>
      </c>
      <c r="Q350" s="11">
        <f>Tabla2456789[[#This Row],[Columna2]]*19%</f>
        <v>23949.579831932773</v>
      </c>
      <c r="R350" s="11">
        <f>Tabla2456789[[#This Row],[IVA VENTA ]]-Tabla2456789[[#This Row],[IV COMPRA]]</f>
        <v>6067.2268907563011</v>
      </c>
      <c r="S350" s="11">
        <f>(Tabla2456789[[#This Row],[VENTA ]]-(Tabla2456789[[#This Row],[MONTO DE COMPRA]]+Tabla2456789[[#This Row],[DIFERENCIA IVA ]]))</f>
        <v>31932.773109243702</v>
      </c>
    </row>
    <row r="351" spans="1:19" ht="30" x14ac:dyDescent="0.25">
      <c r="A351" s="56">
        <v>44911</v>
      </c>
      <c r="B351" s="4" t="s">
        <v>4236</v>
      </c>
      <c r="C351" s="4" t="s">
        <v>4233</v>
      </c>
      <c r="D351" s="4" t="s">
        <v>1221</v>
      </c>
      <c r="E351" s="1" t="s">
        <v>65</v>
      </c>
      <c r="F351" s="1" t="s">
        <v>34</v>
      </c>
      <c r="G351" s="154" t="s">
        <v>4234</v>
      </c>
      <c r="H351" s="148">
        <v>75000</v>
      </c>
      <c r="I351" s="15">
        <f>Tabla2456789[[#This Row],[TOTAL FACTURA]]*0.6</f>
        <v>45000</v>
      </c>
      <c r="J351" s="177">
        <f t="shared" si="11"/>
        <v>30000</v>
      </c>
      <c r="K351" s="10"/>
      <c r="L351" s="11"/>
      <c r="M351" s="11">
        <f>Tabla2456789[[#This Row],[MONTO DE COMPRA]]/1.19</f>
        <v>0</v>
      </c>
      <c r="N351" s="11">
        <f>Tabla2456789[[#This Row],[Columna1]]*19%</f>
        <v>0</v>
      </c>
      <c r="O351" s="11"/>
      <c r="P351" s="11">
        <f>Tabla2456789[[#This Row],[VENTA ]]/1.19</f>
        <v>0</v>
      </c>
      <c r="Q351" s="11">
        <f>Tabla2456789[[#This Row],[Columna2]]*19%</f>
        <v>0</v>
      </c>
      <c r="R351" s="11">
        <f>Tabla2456789[[#This Row],[IVA VENTA ]]-Tabla2456789[[#This Row],[IV COMPRA]]</f>
        <v>0</v>
      </c>
      <c r="S351" s="11">
        <f>(Tabla2456789[[#This Row],[VENTA ]]-(Tabla2456789[[#This Row],[MONTO DE COMPRA]]+Tabla2456789[[#This Row],[DIFERENCIA IVA ]]))</f>
        <v>0</v>
      </c>
    </row>
    <row r="352" spans="1:19" x14ac:dyDescent="0.25">
      <c r="A352" s="56">
        <v>44911</v>
      </c>
      <c r="C352" s="4" t="s">
        <v>4237</v>
      </c>
      <c r="D352" s="4" t="s">
        <v>4238</v>
      </c>
      <c r="E352" s="1" t="s">
        <v>200</v>
      </c>
      <c r="F352" s="1" t="s">
        <v>34</v>
      </c>
      <c r="G352" s="154" t="s">
        <v>138</v>
      </c>
      <c r="H352" s="148">
        <v>50000</v>
      </c>
      <c r="I352" s="15">
        <f>Tabla2456789[[#This Row],[TOTAL FACTURA]]*0.6</f>
        <v>30000</v>
      </c>
      <c r="J352" s="177">
        <f t="shared" si="11"/>
        <v>20000</v>
      </c>
      <c r="K352" s="10"/>
      <c r="L352" s="11"/>
      <c r="M352" s="11">
        <f>Tabla2456789[[#This Row],[MONTO DE COMPRA]]/1.19</f>
        <v>0</v>
      </c>
      <c r="N352" s="11">
        <f>Tabla2456789[[#This Row],[Columna1]]*19%</f>
        <v>0</v>
      </c>
      <c r="O352" s="11"/>
      <c r="P352" s="11">
        <f>Tabla2456789[[#This Row],[VENTA ]]/1.19</f>
        <v>0</v>
      </c>
      <c r="Q352" s="11">
        <f>Tabla2456789[[#This Row],[Columna2]]*19%</f>
        <v>0</v>
      </c>
      <c r="R352" s="11">
        <f>Tabla2456789[[#This Row],[IVA VENTA ]]-Tabla2456789[[#This Row],[IV COMPRA]]</f>
        <v>0</v>
      </c>
      <c r="S352" s="11">
        <f>(Tabla2456789[[#This Row],[VENTA ]]-(Tabla2456789[[#This Row],[MONTO DE COMPRA]]+Tabla2456789[[#This Row],[DIFERENCIA IVA ]]))</f>
        <v>0</v>
      </c>
    </row>
    <row r="353" spans="1:19" ht="30" x14ac:dyDescent="0.25">
      <c r="A353" s="56">
        <v>44911</v>
      </c>
      <c r="B353" s="4" t="s">
        <v>4241</v>
      </c>
      <c r="C353" s="4" t="s">
        <v>4239</v>
      </c>
      <c r="D353" s="4" t="s">
        <v>1948</v>
      </c>
      <c r="E353" s="1" t="s">
        <v>1947</v>
      </c>
      <c r="F353" s="1" t="s">
        <v>2446</v>
      </c>
      <c r="G353" s="154" t="s">
        <v>4240</v>
      </c>
      <c r="H353" s="148">
        <v>70000</v>
      </c>
      <c r="I353" s="15">
        <f>Tabla2456789[[#This Row],[TOTAL FACTURA]]*0.6</f>
        <v>42000</v>
      </c>
      <c r="J353" s="177">
        <f t="shared" si="11"/>
        <v>28000</v>
      </c>
      <c r="K353" s="10"/>
      <c r="L353" s="11"/>
      <c r="M353" s="11">
        <f>Tabla2456789[[#This Row],[MONTO DE COMPRA]]/1.19</f>
        <v>0</v>
      </c>
      <c r="N353" s="11">
        <f>Tabla2456789[[#This Row],[Columna1]]*19%</f>
        <v>0</v>
      </c>
      <c r="O353" s="11"/>
      <c r="P353" s="11">
        <f>Tabla2456789[[#This Row],[VENTA ]]/1.19</f>
        <v>0</v>
      </c>
      <c r="Q353" s="11">
        <f>Tabla2456789[[#This Row],[Columna2]]*19%</f>
        <v>0</v>
      </c>
      <c r="R353" s="11">
        <f>Tabla2456789[[#This Row],[IVA VENTA ]]-Tabla2456789[[#This Row],[IV COMPRA]]</f>
        <v>0</v>
      </c>
      <c r="S353" s="11">
        <f>(Tabla2456789[[#This Row],[VENTA ]]-(Tabla2456789[[#This Row],[MONTO DE COMPRA]]+Tabla2456789[[#This Row],[DIFERENCIA IVA ]]))</f>
        <v>0</v>
      </c>
    </row>
    <row r="354" spans="1:19" x14ac:dyDescent="0.25">
      <c r="A354" s="56">
        <v>44911</v>
      </c>
      <c r="B354" s="4" t="s">
        <v>4241</v>
      </c>
      <c r="C354" s="4" t="s">
        <v>4239</v>
      </c>
      <c r="D354" s="4" t="s">
        <v>1948</v>
      </c>
      <c r="E354" s="1" t="s">
        <v>1947</v>
      </c>
      <c r="F354" s="1" t="s">
        <v>3925</v>
      </c>
      <c r="G354" s="154" t="s">
        <v>1570</v>
      </c>
      <c r="H354" s="148">
        <v>30000</v>
      </c>
      <c r="I354" s="15">
        <f>Tabla2456789[[#This Row],[TOTAL FACTURA]]*0.6</f>
        <v>18000</v>
      </c>
      <c r="J354" s="177">
        <f t="shared" si="11"/>
        <v>12000</v>
      </c>
      <c r="K354" s="10"/>
      <c r="L354" s="11"/>
      <c r="M354" s="11">
        <f>Tabla2456789[[#This Row],[MONTO DE COMPRA]]/1.19</f>
        <v>0</v>
      </c>
      <c r="N354" s="11">
        <f>Tabla2456789[[#This Row],[Columna1]]*19%</f>
        <v>0</v>
      </c>
      <c r="O354" s="11"/>
      <c r="P354" s="11">
        <f>Tabla2456789[[#This Row],[VENTA ]]/1.19</f>
        <v>0</v>
      </c>
      <c r="Q354" s="11">
        <f>Tabla2456789[[#This Row],[Columna2]]*19%</f>
        <v>0</v>
      </c>
      <c r="R354" s="11">
        <f>Tabla2456789[[#This Row],[IVA VENTA ]]-Tabla2456789[[#This Row],[IV COMPRA]]</f>
        <v>0</v>
      </c>
      <c r="S354" s="11">
        <f>(Tabla2456789[[#This Row],[VENTA ]]-(Tabla2456789[[#This Row],[MONTO DE COMPRA]]+Tabla2456789[[#This Row],[DIFERENCIA IVA ]]))</f>
        <v>0</v>
      </c>
    </row>
    <row r="355" spans="1:19" ht="30" x14ac:dyDescent="0.25">
      <c r="A355" s="56">
        <v>44911</v>
      </c>
      <c r="C355" s="4" t="s">
        <v>129</v>
      </c>
      <c r="D355" s="4" t="s">
        <v>125</v>
      </c>
      <c r="E355" s="1" t="s">
        <v>202</v>
      </c>
      <c r="F355" s="1" t="s">
        <v>2446</v>
      </c>
      <c r="G355" s="154" t="s">
        <v>4242</v>
      </c>
      <c r="H355" s="148">
        <v>110000</v>
      </c>
      <c r="I355" s="15">
        <f>Tabla2456789[[#This Row],[TOTAL FACTURA]]*0.6</f>
        <v>66000</v>
      </c>
      <c r="J355" s="177">
        <f t="shared" si="11"/>
        <v>44000</v>
      </c>
      <c r="K355" s="10"/>
      <c r="L355" s="11"/>
      <c r="M355" s="11">
        <f>Tabla2456789[[#This Row],[MONTO DE COMPRA]]/1.19</f>
        <v>0</v>
      </c>
      <c r="N355" s="11">
        <f>Tabla2456789[[#This Row],[Columna1]]*19%</f>
        <v>0</v>
      </c>
      <c r="O355" s="11"/>
      <c r="P355" s="11">
        <f>Tabla2456789[[#This Row],[VENTA ]]/1.19</f>
        <v>0</v>
      </c>
      <c r="Q355" s="11">
        <f>Tabla2456789[[#This Row],[Columna2]]*19%</f>
        <v>0</v>
      </c>
      <c r="R355" s="11">
        <f>Tabla2456789[[#This Row],[IVA VENTA ]]-Tabla2456789[[#This Row],[IV COMPRA]]</f>
        <v>0</v>
      </c>
      <c r="S355" s="11">
        <f>(Tabla2456789[[#This Row],[VENTA ]]-(Tabla2456789[[#This Row],[MONTO DE COMPRA]]+Tabla2456789[[#This Row],[DIFERENCIA IVA ]]))</f>
        <v>0</v>
      </c>
    </row>
    <row r="356" spans="1:19" x14ac:dyDescent="0.25">
      <c r="A356" s="56">
        <v>44912</v>
      </c>
      <c r="C356" s="4" t="s">
        <v>4254</v>
      </c>
      <c r="D356" s="4"/>
      <c r="F356" s="1" t="s">
        <v>2446</v>
      </c>
      <c r="G356" s="154" t="s">
        <v>21</v>
      </c>
      <c r="H356" s="148">
        <v>10000</v>
      </c>
      <c r="I356" s="15">
        <f>Tabla2456789[[#This Row],[TOTAL FACTURA]]*0.6</f>
        <v>6000</v>
      </c>
      <c r="J356" s="177">
        <f t="shared" si="11"/>
        <v>4000</v>
      </c>
      <c r="K356" s="10"/>
      <c r="L356" s="11"/>
      <c r="M356" s="11"/>
      <c r="N356" s="11">
        <f>Tabla2456789[[#This Row],[Columna1]]*19%</f>
        <v>0</v>
      </c>
      <c r="O356" s="11"/>
      <c r="P356" s="11">
        <f>Tabla2456789[[#This Row],[VENTA ]]/1.19</f>
        <v>0</v>
      </c>
      <c r="Q356" s="11">
        <f>Tabla2456789[[#This Row],[Columna2]]*19%</f>
        <v>0</v>
      </c>
      <c r="R356" s="11">
        <f>Tabla2456789[[#This Row],[IVA VENTA ]]-Tabla2456789[[#This Row],[IV COMPRA]]</f>
        <v>0</v>
      </c>
      <c r="S356" s="11">
        <f>(Tabla2456789[[#This Row],[VENTA ]]-(Tabla2456789[[#This Row],[MONTO DE COMPRA]]+Tabla2456789[[#This Row],[DIFERENCIA IVA ]]))</f>
        <v>0</v>
      </c>
    </row>
    <row r="357" spans="1:19" ht="30" x14ac:dyDescent="0.25">
      <c r="A357" s="56">
        <v>44914</v>
      </c>
      <c r="C357" s="4" t="s">
        <v>2878</v>
      </c>
      <c r="D357" s="4" t="s">
        <v>1275</v>
      </c>
      <c r="E357" s="1" t="s">
        <v>136</v>
      </c>
      <c r="F357" s="1" t="s">
        <v>2446</v>
      </c>
      <c r="G357" s="154" t="s">
        <v>4248</v>
      </c>
      <c r="H357" s="148">
        <v>30000</v>
      </c>
      <c r="I357" s="15">
        <f>Tabla2456789[[#This Row],[TOTAL FACTURA]]*0.6</f>
        <v>18000</v>
      </c>
      <c r="J357" s="177">
        <f t="shared" si="11"/>
        <v>12000</v>
      </c>
      <c r="K357" s="10"/>
      <c r="L357" s="11"/>
      <c r="M357" s="11">
        <f>Tabla2456789[[#This Row],[MONTO DE COMPRA]]/1.19</f>
        <v>0</v>
      </c>
      <c r="N357" s="11">
        <f>Tabla2456789[[#This Row],[Columna1]]*19%</f>
        <v>0</v>
      </c>
      <c r="O357" s="11"/>
      <c r="P357" s="11">
        <f>Tabla2456789[[#This Row],[VENTA ]]/1.19</f>
        <v>0</v>
      </c>
      <c r="Q357" s="11">
        <f>Tabla2456789[[#This Row],[Columna2]]*19%</f>
        <v>0</v>
      </c>
      <c r="R357" s="11">
        <f>Tabla2456789[[#This Row],[IVA VENTA ]]-Tabla2456789[[#This Row],[IV COMPRA]]</f>
        <v>0</v>
      </c>
      <c r="S357" s="11">
        <f>(Tabla2456789[[#This Row],[VENTA ]]-(Tabla2456789[[#This Row],[MONTO DE COMPRA]]+Tabla2456789[[#This Row],[DIFERENCIA IVA ]]))</f>
        <v>0</v>
      </c>
    </row>
    <row r="358" spans="1:19" ht="60" x14ac:dyDescent="0.25">
      <c r="A358" s="56">
        <v>44914</v>
      </c>
      <c r="B358" s="4" t="s">
        <v>4260</v>
      </c>
      <c r="C358" s="4" t="s">
        <v>4255</v>
      </c>
      <c r="D358" s="4" t="s">
        <v>4249</v>
      </c>
      <c r="E358" s="1" t="s">
        <v>200</v>
      </c>
      <c r="F358" s="1" t="s">
        <v>2446</v>
      </c>
      <c r="G358" s="154" t="s">
        <v>4250</v>
      </c>
      <c r="H358" s="148">
        <v>110000</v>
      </c>
      <c r="I358" s="15">
        <f>Tabla2456789[[#This Row],[TOTAL FACTURA]]*0.6</f>
        <v>66000</v>
      </c>
      <c r="J358" s="177">
        <f t="shared" si="11"/>
        <v>44000</v>
      </c>
      <c r="K358" s="10" t="s">
        <v>4251</v>
      </c>
      <c r="L358" s="11">
        <v>180000</v>
      </c>
      <c r="M358" s="11">
        <f>Tabla2456789[[#This Row],[MONTO DE COMPRA]]/1.19</f>
        <v>151260.50420168068</v>
      </c>
      <c r="N358" s="11">
        <f>Tabla2456789[[#This Row],[Columna1]]*19%</f>
        <v>28739.495798319331</v>
      </c>
      <c r="O358" s="11">
        <v>230000</v>
      </c>
      <c r="P358" s="11">
        <f>Tabla2456789[[#This Row],[VENTA ]]/1.19</f>
        <v>193277.31092436975</v>
      </c>
      <c r="Q358" s="11">
        <f>Tabla2456789[[#This Row],[Columna2]]*19%</f>
        <v>36722.689075630253</v>
      </c>
      <c r="R358" s="11">
        <f>Tabla2456789[[#This Row],[IVA VENTA ]]-Tabla2456789[[#This Row],[IV COMPRA]]</f>
        <v>7983.193277310922</v>
      </c>
      <c r="S358" s="11">
        <f>(Tabla2456789[[#This Row],[VENTA ]]-(Tabla2456789[[#This Row],[MONTO DE COMPRA]]+Tabla2456789[[#This Row],[DIFERENCIA IVA ]]))</f>
        <v>42016.806722689071</v>
      </c>
    </row>
    <row r="359" spans="1:19" ht="30" x14ac:dyDescent="0.25">
      <c r="A359" s="56">
        <v>44914</v>
      </c>
      <c r="B359" s="4" t="s">
        <v>4261</v>
      </c>
      <c r="C359" s="4" t="s">
        <v>4256</v>
      </c>
      <c r="D359" s="4" t="s">
        <v>4252</v>
      </c>
      <c r="E359" s="1" t="s">
        <v>59</v>
      </c>
      <c r="F359" s="1" t="s">
        <v>2446</v>
      </c>
      <c r="G359" s="154" t="s">
        <v>4253</v>
      </c>
      <c r="H359" s="148">
        <v>15000</v>
      </c>
      <c r="I359" s="15">
        <f>Tabla2456789[[#This Row],[TOTAL FACTURA]]*0.6</f>
        <v>9000</v>
      </c>
      <c r="J359" s="177">
        <f t="shared" si="11"/>
        <v>6000</v>
      </c>
      <c r="K359" s="10"/>
      <c r="L359" s="11"/>
      <c r="M359" s="11">
        <f>Tabla2456789[[#This Row],[MONTO DE COMPRA]]/1.19</f>
        <v>0</v>
      </c>
      <c r="N359" s="11">
        <f>Tabla2456789[[#This Row],[Columna1]]*19%</f>
        <v>0</v>
      </c>
      <c r="O359" s="11"/>
      <c r="P359" s="11">
        <f>Tabla2456789[[#This Row],[VENTA ]]/1.19</f>
        <v>0</v>
      </c>
      <c r="Q359" s="11">
        <f>Tabla2456789[[#This Row],[Columna2]]*19%</f>
        <v>0</v>
      </c>
      <c r="R359" s="11">
        <f>Tabla2456789[[#This Row],[IVA VENTA ]]-Tabla2456789[[#This Row],[IV COMPRA]]</f>
        <v>0</v>
      </c>
      <c r="S359" s="11">
        <f>(Tabla2456789[[#This Row],[VENTA ]]-(Tabla2456789[[#This Row],[MONTO DE COMPRA]]+Tabla2456789[[#This Row],[DIFERENCIA IVA ]]))</f>
        <v>0</v>
      </c>
    </row>
    <row r="360" spans="1:19" x14ac:dyDescent="0.25">
      <c r="A360" s="56">
        <v>44914</v>
      </c>
      <c r="B360" s="4" t="s">
        <v>4261</v>
      </c>
      <c r="C360" s="4" t="s">
        <v>4256</v>
      </c>
      <c r="D360" s="4" t="s">
        <v>4252</v>
      </c>
      <c r="E360" s="1" t="s">
        <v>59</v>
      </c>
      <c r="F360" s="1" t="s">
        <v>3666</v>
      </c>
      <c r="G360" s="154" t="s">
        <v>4257</v>
      </c>
      <c r="H360" s="148">
        <v>75000</v>
      </c>
      <c r="I360" s="15">
        <f>Tabla2456789[[#This Row],[TOTAL FACTURA]]*0.5</f>
        <v>37500</v>
      </c>
      <c r="J360" s="177">
        <f t="shared" si="11"/>
        <v>37500</v>
      </c>
      <c r="K360" s="10" t="s">
        <v>4258</v>
      </c>
      <c r="L360" s="11"/>
      <c r="M360" s="11">
        <f>Tabla2456789[[#This Row],[MONTO DE COMPRA]]/1.19</f>
        <v>0</v>
      </c>
      <c r="N360" s="11">
        <f>Tabla2456789[[#This Row],[Columna1]]*19%</f>
        <v>0</v>
      </c>
      <c r="O360" s="11"/>
      <c r="P360" s="11">
        <f>Tabla2456789[[#This Row],[VENTA ]]/1.19</f>
        <v>0</v>
      </c>
      <c r="Q360" s="11">
        <f>Tabla2456789[[#This Row],[Columna2]]*19%</f>
        <v>0</v>
      </c>
      <c r="R360" s="11">
        <f>Tabla2456789[[#This Row],[IVA VENTA ]]-Tabla2456789[[#This Row],[IV COMPRA]]</f>
        <v>0</v>
      </c>
      <c r="S360" s="11">
        <f>(Tabla2456789[[#This Row],[VENTA ]]-(Tabla2456789[[#This Row],[MONTO DE COMPRA]]+Tabla2456789[[#This Row],[DIFERENCIA IVA ]]))</f>
        <v>0</v>
      </c>
    </row>
    <row r="361" spans="1:19" x14ac:dyDescent="0.25">
      <c r="A361" s="56">
        <v>44915</v>
      </c>
      <c r="B361" s="4" t="s">
        <v>4262</v>
      </c>
      <c r="C361" s="4" t="s">
        <v>4263</v>
      </c>
      <c r="D361" s="4" t="s">
        <v>4259</v>
      </c>
      <c r="E361" s="1" t="s">
        <v>385</v>
      </c>
      <c r="F361" s="1" t="s">
        <v>3666</v>
      </c>
      <c r="G361" s="154" t="s">
        <v>4224</v>
      </c>
      <c r="H361" s="148">
        <v>70000</v>
      </c>
      <c r="I361" s="15">
        <f>Tabla2456789[[#This Row],[TOTAL FACTURA]]*0.5</f>
        <v>35000</v>
      </c>
      <c r="J361" s="177">
        <f t="shared" si="11"/>
        <v>35000</v>
      </c>
      <c r="K361" s="10" t="s">
        <v>3386</v>
      </c>
      <c r="L361" s="11">
        <v>40000</v>
      </c>
      <c r="M361" s="11"/>
      <c r="N361" s="11">
        <f>Tabla2456789[[#This Row],[Columna1]]*19%</f>
        <v>0</v>
      </c>
      <c r="O361" s="11">
        <v>80000</v>
      </c>
      <c r="P361" s="11"/>
      <c r="Q361" s="11">
        <f>Tabla2456789[[#This Row],[Columna2]]*19%</f>
        <v>0</v>
      </c>
      <c r="R361" s="11">
        <f>Tabla2456789[[#This Row],[IVA VENTA ]]-Tabla2456789[[#This Row],[IV COMPRA]]</f>
        <v>0</v>
      </c>
      <c r="S361" s="11">
        <f>(Tabla2456789[[#This Row],[VENTA ]]-(Tabla2456789[[#This Row],[MONTO DE COMPRA]]+Tabla2456789[[#This Row],[DIFERENCIA IVA ]]))</f>
        <v>40000</v>
      </c>
    </row>
    <row r="362" spans="1:19" x14ac:dyDescent="0.25">
      <c r="A362" s="56">
        <v>44915</v>
      </c>
      <c r="B362" s="4" t="s">
        <v>4265</v>
      </c>
      <c r="C362" s="4" t="s">
        <v>2325</v>
      </c>
      <c r="D362" s="1" t="s">
        <v>228</v>
      </c>
      <c r="E362" s="1" t="s">
        <v>227</v>
      </c>
      <c r="F362" s="1" t="s">
        <v>2446</v>
      </c>
      <c r="G362" s="154" t="s">
        <v>3185</v>
      </c>
      <c r="H362" s="148">
        <v>50000</v>
      </c>
      <c r="I362" s="15">
        <f>Tabla2456789[[#This Row],[TOTAL FACTURA]]*0.6</f>
        <v>30000</v>
      </c>
      <c r="J362" s="177">
        <f t="shared" ref="J362:J392" si="12">H362-I362</f>
        <v>20000</v>
      </c>
      <c r="K362" s="10"/>
      <c r="L362" s="11"/>
      <c r="M362" s="11">
        <f>Tabla2456789[[#This Row],[MONTO DE COMPRA]]/1.19</f>
        <v>0</v>
      </c>
      <c r="N362" s="11">
        <f>Tabla2456789[[#This Row],[Columna1]]*19%</f>
        <v>0</v>
      </c>
      <c r="O362" s="11"/>
      <c r="P362" s="11">
        <f>Tabla2456789[[#This Row],[VENTA ]]/1.19</f>
        <v>0</v>
      </c>
      <c r="Q362" s="11">
        <f>Tabla2456789[[#This Row],[Columna2]]*19%</f>
        <v>0</v>
      </c>
      <c r="R362" s="11">
        <f>Tabla2456789[[#This Row],[IVA VENTA ]]-Tabla2456789[[#This Row],[IV COMPRA]]</f>
        <v>0</v>
      </c>
      <c r="S362" s="11">
        <f>(Tabla2456789[[#This Row],[VENTA ]]-(Tabla2456789[[#This Row],[MONTO DE COMPRA]]+Tabla2456789[[#This Row],[DIFERENCIA IVA ]]))</f>
        <v>0</v>
      </c>
    </row>
    <row r="363" spans="1:19" x14ac:dyDescent="0.25">
      <c r="A363" s="56">
        <v>44915</v>
      </c>
      <c r="C363" s="4" t="s">
        <v>3978</v>
      </c>
      <c r="D363" s="4" t="s">
        <v>3979</v>
      </c>
      <c r="E363" s="1" t="s">
        <v>688</v>
      </c>
      <c r="F363" s="1" t="s">
        <v>2446</v>
      </c>
      <c r="G363" s="154" t="s">
        <v>4264</v>
      </c>
      <c r="H363" s="148">
        <v>20000</v>
      </c>
      <c r="I363" s="15">
        <f>Tabla2456789[[#This Row],[TOTAL FACTURA]]*0.6</f>
        <v>12000</v>
      </c>
      <c r="J363" s="177">
        <f t="shared" si="12"/>
        <v>8000</v>
      </c>
      <c r="K363" s="10"/>
      <c r="L363" s="11"/>
      <c r="M363" s="11">
        <f>Tabla2456789[[#This Row],[MONTO DE COMPRA]]/1.19</f>
        <v>0</v>
      </c>
      <c r="N363" s="11">
        <f>Tabla2456789[[#This Row],[Columna1]]*19%</f>
        <v>0</v>
      </c>
      <c r="O363" s="11"/>
      <c r="P363" s="11">
        <f>Tabla2456789[[#This Row],[VENTA ]]/1.19</f>
        <v>0</v>
      </c>
      <c r="Q363" s="11">
        <f>Tabla2456789[[#This Row],[Columna2]]*19%</f>
        <v>0</v>
      </c>
      <c r="R363" s="11">
        <f>Tabla2456789[[#This Row],[IVA VENTA ]]-Tabla2456789[[#This Row],[IV COMPRA]]</f>
        <v>0</v>
      </c>
      <c r="S363" s="11">
        <f>(Tabla2456789[[#This Row],[VENTA ]]-(Tabla2456789[[#This Row],[MONTO DE COMPRA]]+Tabla2456789[[#This Row],[DIFERENCIA IVA ]]))</f>
        <v>0</v>
      </c>
    </row>
    <row r="364" spans="1:19" ht="45" x14ac:dyDescent="0.25">
      <c r="A364" s="56">
        <v>44915</v>
      </c>
      <c r="B364" s="4" t="s">
        <v>4268</v>
      </c>
      <c r="C364" s="4" t="s">
        <v>1292</v>
      </c>
      <c r="D364" s="4" t="s">
        <v>4266</v>
      </c>
      <c r="E364" s="1" t="s">
        <v>1749</v>
      </c>
      <c r="F364" s="1" t="s">
        <v>2446</v>
      </c>
      <c r="G364" s="154" t="s">
        <v>4321</v>
      </c>
      <c r="H364" s="148">
        <v>100000</v>
      </c>
      <c r="I364" s="15">
        <f>Tabla2456789[[#This Row],[TOTAL FACTURA]]*0.6</f>
        <v>60000</v>
      </c>
      <c r="J364" s="177">
        <f t="shared" si="12"/>
        <v>40000</v>
      </c>
      <c r="K364" s="10" t="s">
        <v>4267</v>
      </c>
      <c r="L364" s="11">
        <f>76000+1800+78000+30000+1000</f>
        <v>186800</v>
      </c>
      <c r="M364" s="11">
        <f>Tabla2456789[[#This Row],[MONTO DE COMPRA]]/1.19</f>
        <v>156974.78991596639</v>
      </c>
      <c r="N364" s="11">
        <f>Tabla2456789[[#This Row],[Columna1]]*19%</f>
        <v>29825.210084033613</v>
      </c>
      <c r="O364" s="11">
        <v>257000</v>
      </c>
      <c r="P364" s="11">
        <f>Tabla2456789[[#This Row],[VENTA ]]/1.19</f>
        <v>215966.38655462186</v>
      </c>
      <c r="Q364" s="11">
        <f>Tabla2456789[[#This Row],[Columna2]]*19%</f>
        <v>41033.613445378156</v>
      </c>
      <c r="R364" s="11">
        <f>Tabla2456789[[#This Row],[IVA VENTA ]]-Tabla2456789[[#This Row],[IV COMPRA]]</f>
        <v>11208.403361344543</v>
      </c>
      <c r="S364" s="11">
        <f>(Tabla2456789[[#This Row],[VENTA ]]-(Tabla2456789[[#This Row],[MONTO DE COMPRA]]+Tabla2456789[[#This Row],[DIFERENCIA IVA ]]))</f>
        <v>58991.596638655465</v>
      </c>
    </row>
    <row r="365" spans="1:19" x14ac:dyDescent="0.25">
      <c r="A365" s="56">
        <v>44916</v>
      </c>
      <c r="B365" s="4" t="s">
        <v>4269</v>
      </c>
      <c r="C365" s="4" t="s">
        <v>3181</v>
      </c>
      <c r="D365" s="4" t="s">
        <v>396</v>
      </c>
      <c r="E365" s="1" t="s">
        <v>815</v>
      </c>
      <c r="F365" s="1" t="s">
        <v>2446</v>
      </c>
      <c r="G365" s="154" t="s">
        <v>4270</v>
      </c>
      <c r="H365" s="148">
        <v>70000</v>
      </c>
      <c r="I365" s="15">
        <f>Tabla2456789[[#This Row],[TOTAL FACTURA]]*0.6</f>
        <v>42000</v>
      </c>
      <c r="J365" s="177">
        <f t="shared" si="12"/>
        <v>28000</v>
      </c>
      <c r="K365" s="10"/>
      <c r="L365" s="11"/>
      <c r="M365" s="11">
        <f>Tabla2456789[[#This Row],[MONTO DE COMPRA]]/1.19</f>
        <v>0</v>
      </c>
      <c r="N365" s="11">
        <f>Tabla2456789[[#This Row],[Columna1]]*19%</f>
        <v>0</v>
      </c>
      <c r="O365" s="11"/>
      <c r="P365" s="11">
        <f>Tabla2456789[[#This Row],[VENTA ]]/1.19</f>
        <v>0</v>
      </c>
      <c r="Q365" s="11">
        <f>Tabla2456789[[#This Row],[Columna2]]*19%</f>
        <v>0</v>
      </c>
      <c r="R365" s="11">
        <f>Tabla2456789[[#This Row],[IVA VENTA ]]-Tabla2456789[[#This Row],[IV COMPRA]]</f>
        <v>0</v>
      </c>
      <c r="S365" s="11">
        <f>(Tabla2456789[[#This Row],[VENTA ]]-(Tabla2456789[[#This Row],[MONTO DE COMPRA]]+Tabla2456789[[#This Row],[DIFERENCIA IVA ]]))</f>
        <v>0</v>
      </c>
    </row>
    <row r="366" spans="1:19" x14ac:dyDescent="0.25">
      <c r="A366" s="56">
        <v>44916</v>
      </c>
      <c r="C366" s="182"/>
      <c r="D366" s="4" t="s">
        <v>4271</v>
      </c>
      <c r="E366" s="1" t="s">
        <v>65</v>
      </c>
      <c r="F366" s="1" t="s">
        <v>2446</v>
      </c>
      <c r="G366" s="154" t="s">
        <v>20</v>
      </c>
      <c r="H366" s="148">
        <v>30000</v>
      </c>
      <c r="I366" s="15">
        <f>Tabla2456789[[#This Row],[TOTAL FACTURA]]*0.6</f>
        <v>18000</v>
      </c>
      <c r="J366" s="177">
        <f t="shared" si="12"/>
        <v>12000</v>
      </c>
      <c r="K366" s="10"/>
      <c r="L366" s="11"/>
      <c r="M366" s="11">
        <f>Tabla2456789[[#This Row],[MONTO DE COMPRA]]/1.19</f>
        <v>0</v>
      </c>
      <c r="N366" s="11">
        <f>Tabla2456789[[#This Row],[Columna1]]*19%</f>
        <v>0</v>
      </c>
      <c r="O366" s="11"/>
      <c r="P366" s="11">
        <f>Tabla2456789[[#This Row],[VENTA ]]/1.19</f>
        <v>0</v>
      </c>
      <c r="Q366" s="11">
        <f>Tabla2456789[[#This Row],[Columna2]]*19%</f>
        <v>0</v>
      </c>
      <c r="R366" s="11">
        <f>Tabla2456789[[#This Row],[IVA VENTA ]]-Tabla2456789[[#This Row],[IV COMPRA]]</f>
        <v>0</v>
      </c>
      <c r="S366" s="11">
        <f>(Tabla2456789[[#This Row],[VENTA ]]-(Tabla2456789[[#This Row],[MONTO DE COMPRA]]+Tabla2456789[[#This Row],[DIFERENCIA IVA ]]))</f>
        <v>0</v>
      </c>
    </row>
    <row r="367" spans="1:19" x14ac:dyDescent="0.25">
      <c r="A367" s="56">
        <v>44916</v>
      </c>
      <c r="C367" s="182"/>
      <c r="D367" s="4"/>
      <c r="E367" s="1" t="s">
        <v>3503</v>
      </c>
      <c r="F367" s="1" t="s">
        <v>3666</v>
      </c>
      <c r="G367" s="154" t="s">
        <v>1794</v>
      </c>
      <c r="H367" s="148">
        <v>30000</v>
      </c>
      <c r="I367" s="15">
        <f>Tabla2456789[[#This Row],[TOTAL FACTURA]]*0.5</f>
        <v>15000</v>
      </c>
      <c r="J367" s="177">
        <f t="shared" si="12"/>
        <v>15000</v>
      </c>
      <c r="K367" s="10"/>
      <c r="L367" s="11"/>
      <c r="M367" s="11">
        <f>Tabla2456789[[#This Row],[MONTO DE COMPRA]]/1.19</f>
        <v>0</v>
      </c>
      <c r="N367" s="11">
        <f>Tabla2456789[[#This Row],[Columna1]]*19%</f>
        <v>0</v>
      </c>
      <c r="O367" s="11"/>
      <c r="P367" s="11">
        <f>Tabla2456789[[#This Row],[VENTA ]]/1.19</f>
        <v>0</v>
      </c>
      <c r="Q367" s="11">
        <f>Tabla2456789[[#This Row],[Columna2]]*19%</f>
        <v>0</v>
      </c>
      <c r="R367" s="11">
        <f>Tabla2456789[[#This Row],[IVA VENTA ]]-Tabla2456789[[#This Row],[IV COMPRA]]</f>
        <v>0</v>
      </c>
      <c r="S367" s="11">
        <f>(Tabla2456789[[#This Row],[VENTA ]]-(Tabla2456789[[#This Row],[MONTO DE COMPRA]]+Tabla2456789[[#This Row],[DIFERENCIA IVA ]]))</f>
        <v>0</v>
      </c>
    </row>
    <row r="368" spans="1:19" ht="45" x14ac:dyDescent="0.25">
      <c r="A368" s="56">
        <v>44916</v>
      </c>
      <c r="B368" s="4" t="s">
        <v>4273</v>
      </c>
      <c r="C368" s="4" t="s">
        <v>4272</v>
      </c>
      <c r="D368" s="4" t="s">
        <v>380</v>
      </c>
      <c r="E368" s="1" t="s">
        <v>59</v>
      </c>
      <c r="F368" s="1" t="s">
        <v>2446</v>
      </c>
      <c r="G368" s="154" t="s">
        <v>4274</v>
      </c>
      <c r="H368" s="148">
        <v>70000</v>
      </c>
      <c r="I368" s="15">
        <f>Tabla2456789[[#This Row],[TOTAL FACTURA]]*0.6</f>
        <v>42000</v>
      </c>
      <c r="J368" s="177">
        <f t="shared" si="12"/>
        <v>28000</v>
      </c>
      <c r="K368" s="10"/>
      <c r="L368" s="11"/>
      <c r="M368" s="11">
        <f>Tabla2456789[[#This Row],[MONTO DE COMPRA]]/1.19</f>
        <v>0</v>
      </c>
      <c r="N368" s="11">
        <f>Tabla2456789[[#This Row],[Columna1]]*19%</f>
        <v>0</v>
      </c>
      <c r="O368" s="11"/>
      <c r="P368" s="11">
        <f>Tabla2456789[[#This Row],[VENTA ]]/1.19</f>
        <v>0</v>
      </c>
      <c r="Q368" s="11">
        <f>Tabla2456789[[#This Row],[Columna2]]*19%</f>
        <v>0</v>
      </c>
      <c r="R368" s="11">
        <f>Tabla2456789[[#This Row],[IVA VENTA ]]-Tabla2456789[[#This Row],[IV COMPRA]]</f>
        <v>0</v>
      </c>
      <c r="S368" s="11">
        <f>(Tabla2456789[[#This Row],[VENTA ]]-(Tabla2456789[[#This Row],[MONTO DE COMPRA]]+Tabla2456789[[#This Row],[DIFERENCIA IVA ]]))</f>
        <v>0</v>
      </c>
    </row>
    <row r="369" spans="1:19" x14ac:dyDescent="0.25">
      <c r="A369" s="56">
        <v>44916</v>
      </c>
      <c r="B369" s="4" t="s">
        <v>4275</v>
      </c>
      <c r="C369" s="4" t="s">
        <v>2017</v>
      </c>
      <c r="D369" s="4" t="s">
        <v>1948</v>
      </c>
      <c r="E369" s="1" t="s">
        <v>1947</v>
      </c>
      <c r="F369" s="1" t="s">
        <v>2446</v>
      </c>
      <c r="G369" s="154" t="s">
        <v>3782</v>
      </c>
      <c r="H369" s="148">
        <v>100000</v>
      </c>
      <c r="I369" s="15">
        <f>Tabla2456789[[#This Row],[TOTAL FACTURA]]*0.6</f>
        <v>60000</v>
      </c>
      <c r="J369" s="177">
        <f t="shared" si="12"/>
        <v>40000</v>
      </c>
      <c r="K369" s="10"/>
      <c r="L369" s="11"/>
      <c r="M369" s="11">
        <f>Tabla2456789[[#This Row],[MONTO DE COMPRA]]/1.19</f>
        <v>0</v>
      </c>
      <c r="N369" s="11">
        <f>Tabla2456789[[#This Row],[Columna1]]*19%</f>
        <v>0</v>
      </c>
      <c r="O369" s="11"/>
      <c r="P369" s="11">
        <f>Tabla2456789[[#This Row],[VENTA ]]/1.19</f>
        <v>0</v>
      </c>
      <c r="Q369" s="11">
        <f>Tabla2456789[[#This Row],[Columna2]]*19%</f>
        <v>0</v>
      </c>
      <c r="R369" s="11">
        <f>Tabla2456789[[#This Row],[IVA VENTA ]]-Tabla2456789[[#This Row],[IV COMPRA]]</f>
        <v>0</v>
      </c>
      <c r="S369" s="11">
        <f>(Tabla2456789[[#This Row],[VENTA ]]-(Tabla2456789[[#This Row],[MONTO DE COMPRA]]+Tabla2456789[[#This Row],[DIFERENCIA IVA ]]))</f>
        <v>0</v>
      </c>
    </row>
    <row r="370" spans="1:19" ht="30" x14ac:dyDescent="0.25">
      <c r="A370" s="56">
        <v>44916</v>
      </c>
      <c r="C370" s="4" t="s">
        <v>4276</v>
      </c>
      <c r="D370" s="4" t="s">
        <v>4277</v>
      </c>
      <c r="E370" s="1" t="s">
        <v>88</v>
      </c>
      <c r="F370" s="1" t="s">
        <v>3925</v>
      </c>
      <c r="G370" s="154" t="s">
        <v>4278</v>
      </c>
      <c r="H370" s="148">
        <v>120000</v>
      </c>
      <c r="I370" s="15">
        <f>Tabla2456789[[#This Row],[TOTAL FACTURA]]*0.6</f>
        <v>72000</v>
      </c>
      <c r="J370" s="177">
        <f t="shared" si="12"/>
        <v>48000</v>
      </c>
      <c r="K370" s="10"/>
      <c r="L370" s="11"/>
      <c r="M370" s="11">
        <f>Tabla2456789[[#This Row],[MONTO DE COMPRA]]/1.19</f>
        <v>0</v>
      </c>
      <c r="N370" s="11">
        <f>Tabla2456789[[#This Row],[Columna1]]*19%</f>
        <v>0</v>
      </c>
      <c r="O370" s="11"/>
      <c r="P370" s="11">
        <f>Tabla2456789[[#This Row],[VENTA ]]/1.19</f>
        <v>0</v>
      </c>
      <c r="Q370" s="11">
        <f>Tabla2456789[[#This Row],[Columna2]]*19%</f>
        <v>0</v>
      </c>
      <c r="R370" s="11">
        <f>Tabla2456789[[#This Row],[IVA VENTA ]]-Tabla2456789[[#This Row],[IV COMPRA]]</f>
        <v>0</v>
      </c>
      <c r="S370" s="11">
        <f>(Tabla2456789[[#This Row],[VENTA ]]-(Tabla2456789[[#This Row],[MONTO DE COMPRA]]+Tabla2456789[[#This Row],[DIFERENCIA IVA ]]))</f>
        <v>0</v>
      </c>
    </row>
    <row r="371" spans="1:19" ht="45" x14ac:dyDescent="0.25">
      <c r="A371" s="56">
        <v>44916</v>
      </c>
      <c r="B371" s="4" t="s">
        <v>4279</v>
      </c>
      <c r="C371" s="135" t="s">
        <v>4280</v>
      </c>
      <c r="D371" s="4" t="s">
        <v>4281</v>
      </c>
      <c r="E371" s="1" t="s">
        <v>356</v>
      </c>
      <c r="F371" s="1" t="s">
        <v>2446</v>
      </c>
      <c r="G371" s="154" t="s">
        <v>4282</v>
      </c>
      <c r="H371" s="148">
        <v>470000</v>
      </c>
      <c r="I371" s="15">
        <f>Tabla2456789[[#This Row],[TOTAL FACTURA]]*0.6</f>
        <v>282000</v>
      </c>
      <c r="J371" s="177">
        <f t="shared" si="12"/>
        <v>188000</v>
      </c>
      <c r="K371" s="10" t="s">
        <v>4283</v>
      </c>
      <c r="L371" s="11">
        <v>1548579</v>
      </c>
      <c r="M371" s="11">
        <f>Tabla2456789[[#This Row],[MONTO DE COMPRA]]/1.19</f>
        <v>1301326.8907563025</v>
      </c>
      <c r="N371" s="11">
        <f>Tabla2456789[[#This Row],[Columna1]]*19%</f>
        <v>247252.10924369749</v>
      </c>
      <c r="O371" s="11">
        <v>2919910.04</v>
      </c>
      <c r="P371" s="11">
        <f>Tabla2456789[[#This Row],[VENTA ]]/1.19</f>
        <v>2453705.9159663869</v>
      </c>
      <c r="Q371" s="11">
        <f>Tabla2456789[[#This Row],[Columna2]]*19%</f>
        <v>466204.12403361354</v>
      </c>
      <c r="R371" s="11">
        <f>Tabla2456789[[#This Row],[IVA VENTA ]]-Tabla2456789[[#This Row],[IV COMPRA]]</f>
        <v>218952.01478991605</v>
      </c>
      <c r="S371" s="11">
        <f>(Tabla2456789[[#This Row],[VENTA ]]-(Tabla2456789[[#This Row],[MONTO DE COMPRA]]+Tabla2456789[[#This Row],[DIFERENCIA IVA ]]))</f>
        <v>1152379.0252100839</v>
      </c>
    </row>
    <row r="372" spans="1:19" ht="30" x14ac:dyDescent="0.25">
      <c r="A372" s="56">
        <v>44917</v>
      </c>
      <c r="B372" s="4" t="s">
        <v>4284</v>
      </c>
      <c r="C372" s="4" t="s">
        <v>4285</v>
      </c>
      <c r="D372" s="4" t="s">
        <v>4286</v>
      </c>
      <c r="E372" s="1" t="s">
        <v>4322</v>
      </c>
      <c r="F372" s="1" t="s">
        <v>2446</v>
      </c>
      <c r="G372" s="154" t="s">
        <v>4287</v>
      </c>
      <c r="H372" s="148">
        <v>80000</v>
      </c>
      <c r="I372" s="15">
        <f>Tabla2456789[[#This Row],[TOTAL FACTURA]]*0.6</f>
        <v>48000</v>
      </c>
      <c r="J372" s="177">
        <f t="shared" si="12"/>
        <v>32000</v>
      </c>
      <c r="K372" s="10"/>
      <c r="L372" s="11"/>
      <c r="M372" s="11">
        <f>Tabla2456789[[#This Row],[MONTO DE COMPRA]]/1.19</f>
        <v>0</v>
      </c>
      <c r="N372" s="11">
        <f>Tabla2456789[[#This Row],[Columna1]]*19%</f>
        <v>0</v>
      </c>
      <c r="O372" s="11"/>
      <c r="P372" s="11">
        <f>Tabla2456789[[#This Row],[VENTA ]]/1.19</f>
        <v>0</v>
      </c>
      <c r="Q372" s="11">
        <f>Tabla2456789[[#This Row],[Columna2]]*19%</f>
        <v>0</v>
      </c>
      <c r="R372" s="11">
        <f>Tabla2456789[[#This Row],[IVA VENTA ]]-Tabla2456789[[#This Row],[IV COMPRA]]</f>
        <v>0</v>
      </c>
      <c r="S372" s="11">
        <f>(Tabla2456789[[#This Row],[VENTA ]]-(Tabla2456789[[#This Row],[MONTO DE COMPRA]]+Tabla2456789[[#This Row],[DIFERENCIA IVA ]]))</f>
        <v>0</v>
      </c>
    </row>
    <row r="373" spans="1:19" ht="45" x14ac:dyDescent="0.25">
      <c r="A373" s="56">
        <v>44917</v>
      </c>
      <c r="B373" s="4" t="s">
        <v>4284</v>
      </c>
      <c r="C373" s="4" t="s">
        <v>4285</v>
      </c>
      <c r="D373" s="4" t="s">
        <v>2925</v>
      </c>
      <c r="E373" s="1" t="s">
        <v>200</v>
      </c>
      <c r="F373" s="1" t="s">
        <v>2446</v>
      </c>
      <c r="G373" s="154" t="s">
        <v>4288</v>
      </c>
      <c r="H373" s="148">
        <v>120000</v>
      </c>
      <c r="I373" s="15">
        <f>Tabla2456789[[#This Row],[TOTAL FACTURA]]*0.6</f>
        <v>72000</v>
      </c>
      <c r="J373" s="177">
        <f t="shared" si="12"/>
        <v>48000</v>
      </c>
      <c r="K373" s="10" t="s">
        <v>57</v>
      </c>
      <c r="L373" s="11">
        <v>37000</v>
      </c>
      <c r="M373" s="11">
        <f>Tabla2456789[[#This Row],[MONTO DE COMPRA]]/1.19</f>
        <v>31092.436974789918</v>
      </c>
      <c r="N373" s="11">
        <f>Tabla2456789[[#This Row],[Columna1]]*19%</f>
        <v>5907.5630252100846</v>
      </c>
      <c r="O373" s="11">
        <v>60000</v>
      </c>
      <c r="P373" s="11">
        <f>Tabla2456789[[#This Row],[VENTA ]]/1.19</f>
        <v>50420.168067226892</v>
      </c>
      <c r="Q373" s="11">
        <f>Tabla2456789[[#This Row],[Columna2]]*19%</f>
        <v>9579.8319327731097</v>
      </c>
      <c r="R373" s="11">
        <f>Tabla2456789[[#This Row],[IVA VENTA ]]-Tabla2456789[[#This Row],[IV COMPRA]]</f>
        <v>3672.2689075630251</v>
      </c>
      <c r="S373" s="11">
        <f>(Tabla2456789[[#This Row],[VENTA ]]-(Tabla2456789[[#This Row],[MONTO DE COMPRA]]+Tabla2456789[[#This Row],[DIFERENCIA IVA ]]))</f>
        <v>19327.731092436974</v>
      </c>
    </row>
    <row r="374" spans="1:19" x14ac:dyDescent="0.25">
      <c r="A374" s="56">
        <v>44917</v>
      </c>
      <c r="C374" s="4" t="s">
        <v>1023</v>
      </c>
      <c r="D374" s="4" t="s">
        <v>291</v>
      </c>
      <c r="E374" s="1" t="s">
        <v>200</v>
      </c>
      <c r="F374" s="1" t="s">
        <v>2446</v>
      </c>
      <c r="G374" s="154" t="s">
        <v>4231</v>
      </c>
      <c r="H374" s="148">
        <v>80000</v>
      </c>
      <c r="I374" s="15">
        <f>Tabla2456789[[#This Row],[TOTAL FACTURA]]*0.6</f>
        <v>48000</v>
      </c>
      <c r="J374" s="177">
        <f t="shared" si="12"/>
        <v>32000</v>
      </c>
      <c r="K374" s="10"/>
      <c r="L374" s="11"/>
      <c r="M374" s="11">
        <f>Tabla2456789[[#This Row],[MONTO DE COMPRA]]/1.19</f>
        <v>0</v>
      </c>
      <c r="N374" s="11">
        <f>Tabla2456789[[#This Row],[Columna1]]*19%</f>
        <v>0</v>
      </c>
      <c r="O374" s="11"/>
      <c r="P374" s="11">
        <f>Tabla2456789[[#This Row],[VENTA ]]/1.19</f>
        <v>0</v>
      </c>
      <c r="Q374" s="11">
        <f>Tabla2456789[[#This Row],[Columna2]]*19%</f>
        <v>0</v>
      </c>
      <c r="R374" s="11">
        <f>Tabla2456789[[#This Row],[IVA VENTA ]]-Tabla2456789[[#This Row],[IV COMPRA]]</f>
        <v>0</v>
      </c>
      <c r="S374" s="11">
        <f>(Tabla2456789[[#This Row],[VENTA ]]-(Tabla2456789[[#This Row],[MONTO DE COMPRA]]+Tabla2456789[[#This Row],[DIFERENCIA IVA ]]))</f>
        <v>0</v>
      </c>
    </row>
    <row r="375" spans="1:19" x14ac:dyDescent="0.25">
      <c r="A375" s="56">
        <v>44917</v>
      </c>
      <c r="C375" s="182"/>
      <c r="D375" s="4"/>
      <c r="F375" s="1" t="s">
        <v>3666</v>
      </c>
      <c r="G375" s="154" t="s">
        <v>1794</v>
      </c>
      <c r="H375" s="148">
        <v>40000</v>
      </c>
      <c r="I375" s="15">
        <f>Tabla2456789[[#This Row],[TOTAL FACTURA]]*0.5</f>
        <v>20000</v>
      </c>
      <c r="J375" s="177">
        <f t="shared" si="12"/>
        <v>20000</v>
      </c>
      <c r="K375" s="10"/>
      <c r="L375" s="11"/>
      <c r="M375" s="11">
        <f>Tabla2456789[[#This Row],[MONTO DE COMPRA]]/1.19</f>
        <v>0</v>
      </c>
      <c r="N375" s="11">
        <f>Tabla2456789[[#This Row],[Columna1]]*19%</f>
        <v>0</v>
      </c>
      <c r="O375" s="11"/>
      <c r="P375" s="11">
        <f>Tabla2456789[[#This Row],[VENTA ]]/1.19</f>
        <v>0</v>
      </c>
      <c r="Q375" s="11">
        <f>Tabla2456789[[#This Row],[Columna2]]*19%</f>
        <v>0</v>
      </c>
      <c r="R375" s="11">
        <f>Tabla2456789[[#This Row],[IVA VENTA ]]-Tabla2456789[[#This Row],[IV COMPRA]]</f>
        <v>0</v>
      </c>
      <c r="S375" s="11">
        <f>(Tabla2456789[[#This Row],[VENTA ]]-(Tabla2456789[[#This Row],[MONTO DE COMPRA]]+Tabla2456789[[#This Row],[DIFERENCIA IVA ]]))</f>
        <v>0</v>
      </c>
    </row>
    <row r="376" spans="1:19" x14ac:dyDescent="0.25">
      <c r="A376" s="56">
        <v>44917</v>
      </c>
      <c r="C376" s="182"/>
      <c r="D376" s="4" t="s">
        <v>4289</v>
      </c>
      <c r="E376" s="1" t="s">
        <v>566</v>
      </c>
      <c r="F376" s="1" t="s">
        <v>2446</v>
      </c>
      <c r="G376" s="154" t="s">
        <v>4290</v>
      </c>
      <c r="H376" s="148">
        <v>20000</v>
      </c>
      <c r="I376" s="15">
        <f>Tabla2456789[[#This Row],[TOTAL FACTURA]]*0.6</f>
        <v>12000</v>
      </c>
      <c r="J376" s="177">
        <f t="shared" si="12"/>
        <v>8000</v>
      </c>
      <c r="K376" s="10"/>
      <c r="L376" s="11"/>
      <c r="M376" s="11">
        <f>Tabla2456789[[#This Row],[MONTO DE COMPRA]]/1.19</f>
        <v>0</v>
      </c>
      <c r="N376" s="11">
        <f>Tabla2456789[[#This Row],[Columna1]]*19%</f>
        <v>0</v>
      </c>
      <c r="O376" s="11"/>
      <c r="P376" s="11">
        <f>Tabla2456789[[#This Row],[VENTA ]]/1.19</f>
        <v>0</v>
      </c>
      <c r="Q376" s="11">
        <f>Tabla2456789[[#This Row],[Columna2]]*19%</f>
        <v>0</v>
      </c>
      <c r="R376" s="11">
        <f>Tabla2456789[[#This Row],[IVA VENTA ]]-Tabla2456789[[#This Row],[IV COMPRA]]</f>
        <v>0</v>
      </c>
      <c r="S376" s="11">
        <f>(Tabla2456789[[#This Row],[VENTA ]]-(Tabla2456789[[#This Row],[MONTO DE COMPRA]]+Tabla2456789[[#This Row],[DIFERENCIA IVA ]]))</f>
        <v>0</v>
      </c>
    </row>
    <row r="377" spans="1:19" x14ac:dyDescent="0.25">
      <c r="A377" s="56">
        <v>44918</v>
      </c>
      <c r="C377" s="4" t="s">
        <v>4291</v>
      </c>
      <c r="D377" s="4" t="s">
        <v>4292</v>
      </c>
      <c r="E377" s="1" t="s">
        <v>22</v>
      </c>
      <c r="F377" s="1" t="s">
        <v>2446</v>
      </c>
      <c r="G377" s="154" t="s">
        <v>21</v>
      </c>
      <c r="H377" s="148">
        <v>10000</v>
      </c>
      <c r="I377" s="15">
        <f>Tabla2456789[[#This Row],[TOTAL FACTURA]]*0.6</f>
        <v>6000</v>
      </c>
      <c r="J377" s="177">
        <f t="shared" si="12"/>
        <v>4000</v>
      </c>
      <c r="K377" s="10"/>
      <c r="L377" s="11"/>
      <c r="M377" s="11">
        <f>Tabla2456789[[#This Row],[MONTO DE COMPRA]]/1.19</f>
        <v>0</v>
      </c>
      <c r="N377" s="11">
        <f>Tabla2456789[[#This Row],[Columna1]]*19%</f>
        <v>0</v>
      </c>
      <c r="O377" s="11"/>
      <c r="P377" s="11">
        <f>Tabla2456789[[#This Row],[VENTA ]]/1.19</f>
        <v>0</v>
      </c>
      <c r="Q377" s="11">
        <f>Tabla2456789[[#This Row],[Columna2]]*19%</f>
        <v>0</v>
      </c>
      <c r="R377" s="11">
        <f>Tabla2456789[[#This Row],[IVA VENTA ]]-Tabla2456789[[#This Row],[IV COMPRA]]</f>
        <v>0</v>
      </c>
      <c r="S377" s="11">
        <f>(Tabla2456789[[#This Row],[VENTA ]]-(Tabla2456789[[#This Row],[MONTO DE COMPRA]]+Tabla2456789[[#This Row],[DIFERENCIA IVA ]]))</f>
        <v>0</v>
      </c>
    </row>
    <row r="378" spans="1:19" ht="30" x14ac:dyDescent="0.25">
      <c r="A378" s="56">
        <v>44918</v>
      </c>
      <c r="B378" s="4" t="s">
        <v>4295</v>
      </c>
      <c r="C378" s="4" t="s">
        <v>4293</v>
      </c>
      <c r="D378" s="4" t="s">
        <v>4294</v>
      </c>
      <c r="E378" s="1" t="s">
        <v>1872</v>
      </c>
      <c r="F378" s="1" t="s">
        <v>2446</v>
      </c>
      <c r="G378" s="154" t="s">
        <v>4323</v>
      </c>
      <c r="H378" s="148">
        <v>50000</v>
      </c>
      <c r="I378" s="15">
        <f>Tabla2456789[[#This Row],[TOTAL FACTURA]]*0.6</f>
        <v>30000</v>
      </c>
      <c r="J378" s="177">
        <f t="shared" si="12"/>
        <v>20000</v>
      </c>
      <c r="K378" s="10" t="s">
        <v>256</v>
      </c>
      <c r="L378" s="11">
        <f>9722+8000</f>
        <v>17722</v>
      </c>
      <c r="M378" s="11">
        <f>Tabla2456789[[#This Row],[MONTO DE COMPRA]]/1.19</f>
        <v>14892.436974789916</v>
      </c>
      <c r="N378" s="11">
        <f>Tabla2456789[[#This Row],[Columna1]]*19%</f>
        <v>2829.5630252100841</v>
      </c>
      <c r="O378" s="11">
        <v>35000</v>
      </c>
      <c r="P378" s="11">
        <f>Tabla2456789[[#This Row],[VENTA ]]/1.19</f>
        <v>29411.764705882353</v>
      </c>
      <c r="Q378" s="11">
        <f>Tabla2456789[[#This Row],[Columna2]]*19%</f>
        <v>5588.2352941176468</v>
      </c>
      <c r="R378" s="11">
        <f>Tabla2456789[[#This Row],[IVA VENTA ]]-Tabla2456789[[#This Row],[IV COMPRA]]</f>
        <v>2758.6722689075627</v>
      </c>
      <c r="S378" s="11">
        <f>(Tabla2456789[[#This Row],[VENTA ]]-(Tabla2456789[[#This Row],[MONTO DE COMPRA]]+Tabla2456789[[#This Row],[DIFERENCIA IVA ]]))</f>
        <v>14519.327731092439</v>
      </c>
    </row>
    <row r="379" spans="1:19" ht="30" x14ac:dyDescent="0.25">
      <c r="A379" s="56">
        <v>44918</v>
      </c>
      <c r="B379" s="4" t="s">
        <v>4296</v>
      </c>
      <c r="C379" s="4" t="s">
        <v>4297</v>
      </c>
      <c r="D379" s="4" t="s">
        <v>585</v>
      </c>
      <c r="E379" s="1" t="s">
        <v>2168</v>
      </c>
      <c r="F379" s="1" t="s">
        <v>3925</v>
      </c>
      <c r="G379" s="154" t="s">
        <v>4298</v>
      </c>
      <c r="H379" s="148">
        <v>200000</v>
      </c>
      <c r="I379" s="15">
        <f>Tabla2456789[[#This Row],[TOTAL FACTURA]]*0.6</f>
        <v>120000</v>
      </c>
      <c r="J379" s="177">
        <f t="shared" si="12"/>
        <v>80000</v>
      </c>
      <c r="K379" s="10" t="s">
        <v>4299</v>
      </c>
      <c r="L379" s="11">
        <f>140000+80000</f>
        <v>220000</v>
      </c>
      <c r="M379" s="11">
        <f>Tabla2456789[[#This Row],[MONTO DE COMPRA]]/1.19</f>
        <v>184873.94957983194</v>
      </c>
      <c r="N379" s="11">
        <f>Tabla2456789[[#This Row],[Columna1]]*19%</f>
        <v>35126.050420168067</v>
      </c>
      <c r="O379" s="11">
        <v>280000</v>
      </c>
      <c r="P379" s="11">
        <f>Tabla2456789[[#This Row],[VENTA ]]/1.19</f>
        <v>235294.11764705883</v>
      </c>
      <c r="Q379" s="11">
        <f>Tabla2456789[[#This Row],[Columna2]]*19%</f>
        <v>44705.882352941175</v>
      </c>
      <c r="R379" s="11">
        <f>Tabla2456789[[#This Row],[IVA VENTA ]]-Tabla2456789[[#This Row],[IV COMPRA]]</f>
        <v>9579.8319327731078</v>
      </c>
      <c r="S379" s="11">
        <f>(Tabla2456789[[#This Row],[VENTA ]]-(Tabla2456789[[#This Row],[MONTO DE COMPRA]]+Tabla2456789[[#This Row],[DIFERENCIA IVA ]]))</f>
        <v>50420.168067226885</v>
      </c>
    </row>
    <row r="380" spans="1:19" ht="30" x14ac:dyDescent="0.25">
      <c r="A380" s="56">
        <v>44918</v>
      </c>
      <c r="B380" s="4" t="s">
        <v>4367</v>
      </c>
      <c r="C380" s="4" t="s">
        <v>1059</v>
      </c>
      <c r="D380" s="4" t="s">
        <v>1061</v>
      </c>
      <c r="E380" s="1" t="s">
        <v>1060</v>
      </c>
      <c r="F380" s="1" t="s">
        <v>2446</v>
      </c>
      <c r="G380" s="154" t="s">
        <v>4300</v>
      </c>
      <c r="H380" s="148">
        <v>100000</v>
      </c>
      <c r="I380" s="15">
        <f>Tabla2456789[[#This Row],[TOTAL FACTURA]]*0.6</f>
        <v>60000</v>
      </c>
      <c r="J380" s="177">
        <f t="shared" si="12"/>
        <v>40000</v>
      </c>
      <c r="K380" s="10" t="s">
        <v>4366</v>
      </c>
      <c r="L380" s="11">
        <f>120000+475000+140000</f>
        <v>735000</v>
      </c>
      <c r="M380" s="11"/>
      <c r="N380" s="11">
        <f>Tabla2456789[[#This Row],[Columna1]]*19%</f>
        <v>0</v>
      </c>
      <c r="O380" s="11">
        <v>870000</v>
      </c>
      <c r="P380" s="11"/>
      <c r="Q380" s="11">
        <f>Tabla2456789[[#This Row],[Columna2]]*19%</f>
        <v>0</v>
      </c>
      <c r="R380" s="11">
        <f>Tabla2456789[[#This Row],[IVA VENTA ]]-Tabla2456789[[#This Row],[IV COMPRA]]</f>
        <v>0</v>
      </c>
      <c r="S380" s="11">
        <f>(Tabla2456789[[#This Row],[VENTA ]]-(Tabla2456789[[#This Row],[MONTO DE COMPRA]]+Tabla2456789[[#This Row],[DIFERENCIA IVA ]]))</f>
        <v>135000</v>
      </c>
    </row>
    <row r="381" spans="1:19" ht="30" x14ac:dyDescent="0.25">
      <c r="A381" s="56">
        <v>44918</v>
      </c>
      <c r="B381" s="4" t="s">
        <v>4301</v>
      </c>
      <c r="C381" s="4" t="s">
        <v>814</v>
      </c>
      <c r="D381" s="4" t="s">
        <v>2196</v>
      </c>
      <c r="E381" s="1" t="s">
        <v>815</v>
      </c>
      <c r="F381" s="1" t="s">
        <v>2446</v>
      </c>
      <c r="G381" s="154" t="s">
        <v>4302</v>
      </c>
      <c r="H381" s="148">
        <v>40000</v>
      </c>
      <c r="I381" s="15">
        <f>Tabla2456789[[#This Row],[TOTAL FACTURA]]*0.6</f>
        <v>24000</v>
      </c>
      <c r="J381" s="177">
        <f t="shared" si="12"/>
        <v>16000</v>
      </c>
      <c r="K381" s="10"/>
      <c r="L381" s="11"/>
      <c r="M381" s="11">
        <f>Tabla2456789[[#This Row],[MONTO DE COMPRA]]/1.19</f>
        <v>0</v>
      </c>
      <c r="N381" s="11">
        <f>Tabla2456789[[#This Row],[Columna1]]*19%</f>
        <v>0</v>
      </c>
      <c r="O381" s="11"/>
      <c r="P381" s="11">
        <f>Tabla2456789[[#This Row],[VENTA ]]/1.19</f>
        <v>0</v>
      </c>
      <c r="Q381" s="11">
        <f>Tabla2456789[[#This Row],[Columna2]]*19%</f>
        <v>0</v>
      </c>
      <c r="R381" s="11">
        <f>Tabla2456789[[#This Row],[IVA VENTA ]]-Tabla2456789[[#This Row],[IV COMPRA]]</f>
        <v>0</v>
      </c>
      <c r="S381" s="11">
        <f>(Tabla2456789[[#This Row],[VENTA ]]-(Tabla2456789[[#This Row],[MONTO DE COMPRA]]+Tabla2456789[[#This Row],[DIFERENCIA IVA ]]))</f>
        <v>0</v>
      </c>
    </row>
    <row r="382" spans="1:19" x14ac:dyDescent="0.25">
      <c r="A382" s="56">
        <v>44918</v>
      </c>
      <c r="C382" s="4" t="s">
        <v>2912</v>
      </c>
      <c r="D382" s="4" t="s">
        <v>3103</v>
      </c>
      <c r="E382" s="1" t="s">
        <v>52</v>
      </c>
      <c r="F382" s="1" t="s">
        <v>2446</v>
      </c>
      <c r="G382" s="154" t="s">
        <v>21</v>
      </c>
      <c r="H382" s="148">
        <v>10000</v>
      </c>
      <c r="I382" s="15">
        <f>Tabla2456789[[#This Row],[TOTAL FACTURA]]*0.6</f>
        <v>6000</v>
      </c>
      <c r="J382" s="177">
        <f t="shared" si="12"/>
        <v>4000</v>
      </c>
      <c r="K382" s="10"/>
      <c r="L382" s="11"/>
      <c r="M382" s="11">
        <f>Tabla2456789[[#This Row],[MONTO DE COMPRA]]/1.19</f>
        <v>0</v>
      </c>
      <c r="N382" s="11">
        <f>Tabla2456789[[#This Row],[Columna1]]*19%</f>
        <v>0</v>
      </c>
      <c r="O382" s="11"/>
      <c r="P382" s="11">
        <f>Tabla2456789[[#This Row],[VENTA ]]/1.19</f>
        <v>0</v>
      </c>
      <c r="Q382" s="11">
        <f>Tabla2456789[[#This Row],[Columna2]]*19%</f>
        <v>0</v>
      </c>
      <c r="R382" s="11">
        <f>Tabla2456789[[#This Row],[IVA VENTA ]]-Tabla2456789[[#This Row],[IV COMPRA]]</f>
        <v>0</v>
      </c>
      <c r="S382" s="11">
        <f>(Tabla2456789[[#This Row],[VENTA ]]-(Tabla2456789[[#This Row],[MONTO DE COMPRA]]+Tabla2456789[[#This Row],[DIFERENCIA IVA ]]))</f>
        <v>0</v>
      </c>
    </row>
    <row r="383" spans="1:19" x14ac:dyDescent="0.25">
      <c r="A383" s="56">
        <v>44918</v>
      </c>
      <c r="C383" s="4" t="s">
        <v>4303</v>
      </c>
      <c r="D383" s="4" t="s">
        <v>4304</v>
      </c>
      <c r="E383" s="1" t="s">
        <v>4317</v>
      </c>
      <c r="F383" s="1" t="s">
        <v>3925</v>
      </c>
      <c r="G383" s="154" t="s">
        <v>2822</v>
      </c>
      <c r="H383" s="148">
        <v>50000</v>
      </c>
      <c r="I383" s="15">
        <f>Tabla2456789[[#This Row],[TOTAL FACTURA]]*0.6</f>
        <v>30000</v>
      </c>
      <c r="J383" s="177">
        <f t="shared" si="12"/>
        <v>20000</v>
      </c>
      <c r="K383" s="10"/>
      <c r="L383" s="11"/>
      <c r="M383" s="11">
        <f>Tabla2456789[[#This Row],[MONTO DE COMPRA]]/1.19</f>
        <v>0</v>
      </c>
      <c r="N383" s="11">
        <f>Tabla2456789[[#This Row],[Columna1]]*19%</f>
        <v>0</v>
      </c>
      <c r="O383" s="11"/>
      <c r="P383" s="11">
        <f>Tabla2456789[[#This Row],[VENTA ]]/1.19</f>
        <v>0</v>
      </c>
      <c r="Q383" s="11">
        <f>Tabla2456789[[#This Row],[Columna2]]*19%</f>
        <v>0</v>
      </c>
      <c r="R383" s="11">
        <f>Tabla2456789[[#This Row],[IVA VENTA ]]-Tabla2456789[[#This Row],[IV COMPRA]]</f>
        <v>0</v>
      </c>
      <c r="S383" s="11">
        <f>(Tabla2456789[[#This Row],[VENTA ]]-(Tabla2456789[[#This Row],[MONTO DE COMPRA]]+Tabla2456789[[#This Row],[DIFERENCIA IVA ]]))</f>
        <v>0</v>
      </c>
    </row>
    <row r="384" spans="1:19" x14ac:dyDescent="0.25">
      <c r="A384" s="56">
        <v>44918</v>
      </c>
      <c r="C384" s="4" t="s">
        <v>3346</v>
      </c>
      <c r="D384" s="4" t="s">
        <v>2966</v>
      </c>
      <c r="E384" s="1" t="s">
        <v>2392</v>
      </c>
      <c r="F384" s="1" t="s">
        <v>2446</v>
      </c>
      <c r="G384" s="154" t="s">
        <v>4305</v>
      </c>
      <c r="H384" s="148">
        <v>50000</v>
      </c>
      <c r="I384" s="15">
        <f>Tabla2456789[[#This Row],[TOTAL FACTURA]]*0.6</f>
        <v>30000</v>
      </c>
      <c r="J384" s="177">
        <f t="shared" si="12"/>
        <v>20000</v>
      </c>
      <c r="K384" s="10"/>
      <c r="L384" s="11"/>
      <c r="M384" s="11">
        <f>Tabla2456789[[#This Row],[MONTO DE COMPRA]]/1.19</f>
        <v>0</v>
      </c>
      <c r="N384" s="11">
        <f>Tabla2456789[[#This Row],[Columna1]]*19%</f>
        <v>0</v>
      </c>
      <c r="O384" s="11"/>
      <c r="P384" s="11">
        <f>Tabla2456789[[#This Row],[VENTA ]]/1.19</f>
        <v>0</v>
      </c>
      <c r="Q384" s="11">
        <f>Tabla2456789[[#This Row],[Columna2]]*19%</f>
        <v>0</v>
      </c>
      <c r="R384" s="11">
        <f>Tabla2456789[[#This Row],[IVA VENTA ]]-Tabla2456789[[#This Row],[IV COMPRA]]</f>
        <v>0</v>
      </c>
      <c r="S384" s="11">
        <f>(Tabla2456789[[#This Row],[VENTA ]]-(Tabla2456789[[#This Row],[MONTO DE COMPRA]]+Tabla2456789[[#This Row],[DIFERENCIA IVA ]]))</f>
        <v>0</v>
      </c>
    </row>
    <row r="385" spans="1:19" x14ac:dyDescent="0.25">
      <c r="A385" s="56">
        <v>44918</v>
      </c>
      <c r="C385" s="4" t="s">
        <v>4306</v>
      </c>
      <c r="D385" s="4" t="s">
        <v>70</v>
      </c>
      <c r="E385" s="1" t="s">
        <v>29</v>
      </c>
      <c r="F385" s="1" t="s">
        <v>2446</v>
      </c>
      <c r="G385" s="154" t="s">
        <v>2239</v>
      </c>
      <c r="H385" s="148">
        <v>10000</v>
      </c>
      <c r="I385" s="15">
        <f>Tabla2456789[[#This Row],[TOTAL FACTURA]]*0.6</f>
        <v>6000</v>
      </c>
      <c r="J385" s="177">
        <f t="shared" si="12"/>
        <v>4000</v>
      </c>
      <c r="K385" s="10"/>
      <c r="L385" s="11"/>
      <c r="M385" s="11">
        <f>Tabla2456789[[#This Row],[MONTO DE COMPRA]]/1.19</f>
        <v>0</v>
      </c>
      <c r="N385" s="11">
        <f>Tabla2456789[[#This Row],[Columna1]]*19%</f>
        <v>0</v>
      </c>
      <c r="O385" s="11"/>
      <c r="P385" s="11">
        <f>Tabla2456789[[#This Row],[VENTA ]]/1.19</f>
        <v>0</v>
      </c>
      <c r="Q385" s="11">
        <f>Tabla2456789[[#This Row],[Columna2]]*19%</f>
        <v>0</v>
      </c>
      <c r="R385" s="11">
        <f>Tabla2456789[[#This Row],[IVA VENTA ]]-Tabla2456789[[#This Row],[IV COMPRA]]</f>
        <v>0</v>
      </c>
      <c r="S385" s="11">
        <f>(Tabla2456789[[#This Row],[VENTA ]]-(Tabla2456789[[#This Row],[MONTO DE COMPRA]]+Tabla2456789[[#This Row],[DIFERENCIA IVA ]]))</f>
        <v>0</v>
      </c>
    </row>
    <row r="386" spans="1:19" x14ac:dyDescent="0.25">
      <c r="A386" s="56">
        <v>44918</v>
      </c>
      <c r="C386" s="4" t="s">
        <v>1087</v>
      </c>
      <c r="D386" s="4" t="s">
        <v>1088</v>
      </c>
      <c r="E386" s="1" t="s">
        <v>4307</v>
      </c>
      <c r="F386" s="1" t="s">
        <v>3925</v>
      </c>
      <c r="G386" s="154" t="s">
        <v>4308</v>
      </c>
      <c r="H386" s="148">
        <v>200000</v>
      </c>
      <c r="I386" s="15">
        <f>Tabla2456789[[#This Row],[TOTAL FACTURA]]*0.6</f>
        <v>120000</v>
      </c>
      <c r="J386" s="177">
        <f t="shared" si="12"/>
        <v>80000</v>
      </c>
      <c r="K386" s="10"/>
      <c r="L386" s="11"/>
      <c r="M386" s="11">
        <f>Tabla2456789[[#This Row],[MONTO DE COMPRA]]/1.19</f>
        <v>0</v>
      </c>
      <c r="N386" s="11">
        <f>Tabla2456789[[#This Row],[Columna1]]*19%</f>
        <v>0</v>
      </c>
      <c r="O386" s="11"/>
      <c r="P386" s="11">
        <f>Tabla2456789[[#This Row],[VENTA ]]/1.19</f>
        <v>0</v>
      </c>
      <c r="Q386" s="11">
        <f>Tabla2456789[[#This Row],[Columna2]]*19%</f>
        <v>0</v>
      </c>
      <c r="R386" s="11">
        <f>Tabla2456789[[#This Row],[IVA VENTA ]]-Tabla2456789[[#This Row],[IV COMPRA]]</f>
        <v>0</v>
      </c>
      <c r="S386" s="11">
        <f>(Tabla2456789[[#This Row],[VENTA ]]-(Tabla2456789[[#This Row],[MONTO DE COMPRA]]+Tabla2456789[[#This Row],[DIFERENCIA IVA ]]))</f>
        <v>0</v>
      </c>
    </row>
    <row r="387" spans="1:19" x14ac:dyDescent="0.25">
      <c r="A387" s="56">
        <v>44918</v>
      </c>
      <c r="C387" s="4" t="s">
        <v>1087</v>
      </c>
      <c r="D387" s="4" t="s">
        <v>1088</v>
      </c>
      <c r="E387" s="1" t="s">
        <v>4307</v>
      </c>
      <c r="F387" s="1" t="s">
        <v>2446</v>
      </c>
      <c r="G387" s="154" t="s">
        <v>4309</v>
      </c>
      <c r="H387" s="148">
        <v>20000</v>
      </c>
      <c r="I387" s="15">
        <f>Tabla2456789[[#This Row],[TOTAL FACTURA]]*0.6</f>
        <v>12000</v>
      </c>
      <c r="J387" s="177">
        <f t="shared" si="12"/>
        <v>8000</v>
      </c>
      <c r="K387" s="10"/>
      <c r="L387" s="11"/>
      <c r="M387" s="11">
        <f>Tabla2456789[[#This Row],[MONTO DE COMPRA]]/1.19</f>
        <v>0</v>
      </c>
      <c r="N387" s="11">
        <f>Tabla2456789[[#This Row],[Columna1]]*19%</f>
        <v>0</v>
      </c>
      <c r="O387" s="11"/>
      <c r="P387" s="11">
        <f>Tabla2456789[[#This Row],[VENTA ]]/1.19</f>
        <v>0</v>
      </c>
      <c r="Q387" s="11">
        <f>Tabla2456789[[#This Row],[Columna2]]*19%</f>
        <v>0</v>
      </c>
      <c r="R387" s="11">
        <f>Tabla2456789[[#This Row],[IVA VENTA ]]-Tabla2456789[[#This Row],[IV COMPRA]]</f>
        <v>0</v>
      </c>
      <c r="S387" s="11">
        <f>(Tabla2456789[[#This Row],[VENTA ]]-(Tabla2456789[[#This Row],[MONTO DE COMPRA]]+Tabla2456789[[#This Row],[DIFERENCIA IVA ]]))</f>
        <v>0</v>
      </c>
    </row>
    <row r="388" spans="1:19" x14ac:dyDescent="0.25">
      <c r="A388" s="56">
        <v>44918</v>
      </c>
      <c r="C388" s="182"/>
      <c r="D388" s="4" t="s">
        <v>3911</v>
      </c>
      <c r="E388" s="1" t="s">
        <v>84</v>
      </c>
      <c r="F388" s="1" t="s">
        <v>34</v>
      </c>
      <c r="G388" s="154" t="s">
        <v>4310</v>
      </c>
      <c r="H388" s="148">
        <v>10000</v>
      </c>
      <c r="I388" s="15">
        <f>Tabla2456789[[#This Row],[TOTAL FACTURA]]*0.6</f>
        <v>6000</v>
      </c>
      <c r="J388" s="177">
        <f t="shared" si="12"/>
        <v>4000</v>
      </c>
      <c r="K388" s="10"/>
      <c r="L388" s="11"/>
      <c r="M388" s="11">
        <f>Tabla2456789[[#This Row],[MONTO DE COMPRA]]/1.19</f>
        <v>0</v>
      </c>
      <c r="N388" s="11">
        <f>Tabla2456789[[#This Row],[Columna1]]*19%</f>
        <v>0</v>
      </c>
      <c r="O388" s="11"/>
      <c r="P388" s="11">
        <f>Tabla2456789[[#This Row],[VENTA ]]/1.19</f>
        <v>0</v>
      </c>
      <c r="Q388" s="11">
        <f>Tabla2456789[[#This Row],[Columna2]]*19%</f>
        <v>0</v>
      </c>
      <c r="R388" s="11">
        <f>Tabla2456789[[#This Row],[IVA VENTA ]]-Tabla2456789[[#This Row],[IV COMPRA]]</f>
        <v>0</v>
      </c>
      <c r="S388" s="11">
        <f>(Tabla2456789[[#This Row],[VENTA ]]-(Tabla2456789[[#This Row],[MONTO DE COMPRA]]+Tabla2456789[[#This Row],[DIFERENCIA IVA ]]))</f>
        <v>0</v>
      </c>
    </row>
    <row r="389" spans="1:19" x14ac:dyDescent="0.25">
      <c r="A389" s="56">
        <v>44918</v>
      </c>
      <c r="C389" s="4" t="s">
        <v>4311</v>
      </c>
      <c r="D389" s="4"/>
      <c r="E389" s="1" t="s">
        <v>2285</v>
      </c>
      <c r="F389" s="1" t="s">
        <v>3925</v>
      </c>
      <c r="G389" s="154" t="s">
        <v>338</v>
      </c>
      <c r="H389" s="148">
        <v>100000</v>
      </c>
      <c r="I389" s="15">
        <f>Tabla2456789[[#This Row],[TOTAL FACTURA]]*0.6</f>
        <v>60000</v>
      </c>
      <c r="J389" s="177">
        <f t="shared" si="12"/>
        <v>40000</v>
      </c>
      <c r="K389" s="10" t="s">
        <v>3390</v>
      </c>
      <c r="L389" s="11">
        <v>110000</v>
      </c>
      <c r="M389" s="11">
        <f>Tabla2456789[[#This Row],[MONTO DE COMPRA]]/1.19</f>
        <v>92436.97478991597</v>
      </c>
      <c r="N389" s="11">
        <f>Tabla2456789[[#This Row],[Columna1]]*19%</f>
        <v>17563.025210084033</v>
      </c>
      <c r="O389" s="11">
        <v>138000</v>
      </c>
      <c r="P389" s="11">
        <f>Tabla2456789[[#This Row],[VENTA ]]/1.19</f>
        <v>115966.38655462186</v>
      </c>
      <c r="Q389" s="11">
        <f>Tabla2456789[[#This Row],[Columna2]]*19%</f>
        <v>22033.613445378152</v>
      </c>
      <c r="R389" s="11">
        <f>Tabla2456789[[#This Row],[IVA VENTA ]]-Tabla2456789[[#This Row],[IV COMPRA]]</f>
        <v>4470.5882352941189</v>
      </c>
      <c r="S389" s="11">
        <f>(Tabla2456789[[#This Row],[VENTA ]]-(Tabla2456789[[#This Row],[MONTO DE COMPRA]]+Tabla2456789[[#This Row],[DIFERENCIA IVA ]]))</f>
        <v>23529.411764705874</v>
      </c>
    </row>
    <row r="390" spans="1:19" ht="30" x14ac:dyDescent="0.25">
      <c r="A390" s="56">
        <v>44918</v>
      </c>
      <c r="C390" s="4" t="s">
        <v>4312</v>
      </c>
      <c r="D390" s="4" t="s">
        <v>4313</v>
      </c>
      <c r="E390" s="1" t="s">
        <v>122</v>
      </c>
      <c r="F390" s="1" t="s">
        <v>2446</v>
      </c>
      <c r="G390" s="154" t="s">
        <v>515</v>
      </c>
      <c r="H390" s="148">
        <v>60000</v>
      </c>
      <c r="I390" s="15">
        <f>Tabla2456789[[#This Row],[TOTAL FACTURA]]*0.6</f>
        <v>36000</v>
      </c>
      <c r="J390" s="177">
        <f t="shared" si="12"/>
        <v>24000</v>
      </c>
      <c r="K390" s="10" t="s">
        <v>516</v>
      </c>
      <c r="L390" s="11">
        <v>260000</v>
      </c>
      <c r="M390" s="11">
        <f>Tabla2456789[[#This Row],[MONTO DE COMPRA]]/1.19</f>
        <v>218487.3949579832</v>
      </c>
      <c r="N390" s="11">
        <f>Tabla2456789[[#This Row],[Columna1]]*19%</f>
        <v>41512.60504201681</v>
      </c>
      <c r="O390" s="11">
        <v>330000</v>
      </c>
      <c r="P390" s="11">
        <f>Tabla2456789[[#This Row],[VENTA ]]/1.19</f>
        <v>277310.92436974793</v>
      </c>
      <c r="Q390" s="11">
        <f>Tabla2456789[[#This Row],[Columna2]]*19%</f>
        <v>52689.075630252104</v>
      </c>
      <c r="R390" s="11">
        <f>Tabla2456789[[#This Row],[IVA VENTA ]]-Tabla2456789[[#This Row],[IV COMPRA]]</f>
        <v>11176.470588235294</v>
      </c>
      <c r="S390" s="11">
        <f>(Tabla2456789[[#This Row],[VENTA ]]-(Tabla2456789[[#This Row],[MONTO DE COMPRA]]+Tabla2456789[[#This Row],[DIFERENCIA IVA ]]))</f>
        <v>58823.529411764699</v>
      </c>
    </row>
    <row r="391" spans="1:19" ht="45" x14ac:dyDescent="0.25">
      <c r="A391" s="56">
        <v>44918</v>
      </c>
      <c r="C391" s="4" t="s">
        <v>4314</v>
      </c>
      <c r="D391" s="4" t="s">
        <v>4315</v>
      </c>
      <c r="E391" s="1" t="s">
        <v>500</v>
      </c>
      <c r="F391" s="1" t="s">
        <v>2446</v>
      </c>
      <c r="G391" s="154" t="s">
        <v>4324</v>
      </c>
      <c r="H391" s="148">
        <v>80000</v>
      </c>
      <c r="I391" s="15">
        <f>Tabla2456789[[#This Row],[TOTAL FACTURA]]*0.6</f>
        <v>48000</v>
      </c>
      <c r="J391" s="177">
        <f t="shared" si="12"/>
        <v>32000</v>
      </c>
      <c r="K391" s="10" t="s">
        <v>51</v>
      </c>
      <c r="L391" s="11">
        <v>88000</v>
      </c>
      <c r="M391" s="11">
        <f>Tabla2456789[[#This Row],[MONTO DE COMPRA]]/1.19</f>
        <v>73949.579831932773</v>
      </c>
      <c r="N391" s="11">
        <f>Tabla2456789[[#This Row],[Columna1]]*19%</f>
        <v>14050.420168067227</v>
      </c>
      <c r="O391" s="11">
        <v>120000</v>
      </c>
      <c r="P391" s="11">
        <f>Tabla2456789[[#This Row],[VENTA ]]/1.19</f>
        <v>100840.33613445378</v>
      </c>
      <c r="Q391" s="11">
        <f>Tabla2456789[[#This Row],[Columna2]]*19%</f>
        <v>19159.663865546219</v>
      </c>
      <c r="R391" s="11">
        <f>Tabla2456789[[#This Row],[IVA VENTA ]]-Tabla2456789[[#This Row],[IV COMPRA]]</f>
        <v>5109.2436974789925</v>
      </c>
      <c r="S391" s="11">
        <f>(Tabla2456789[[#This Row],[VENTA ]]-(Tabla2456789[[#This Row],[MONTO DE COMPRA]]+Tabla2456789[[#This Row],[DIFERENCIA IVA ]]))</f>
        <v>26890.756302521011</v>
      </c>
    </row>
    <row r="392" spans="1:19" x14ac:dyDescent="0.25">
      <c r="A392" s="56">
        <v>44918</v>
      </c>
      <c r="C392" s="4" t="s">
        <v>129</v>
      </c>
      <c r="D392" s="4" t="s">
        <v>125</v>
      </c>
      <c r="E392" s="1" t="s">
        <v>202</v>
      </c>
      <c r="F392" s="1" t="s">
        <v>3925</v>
      </c>
      <c r="G392" s="154" t="s">
        <v>4157</v>
      </c>
      <c r="H392" s="148">
        <v>100000</v>
      </c>
      <c r="I392" s="15">
        <v>100000</v>
      </c>
      <c r="J392" s="177">
        <f t="shared" si="12"/>
        <v>0</v>
      </c>
      <c r="K392" s="10"/>
      <c r="L392" s="11"/>
      <c r="M392" s="11">
        <f>Tabla2456789[[#This Row],[MONTO DE COMPRA]]/1.19</f>
        <v>0</v>
      </c>
      <c r="N392" s="11">
        <f>Tabla2456789[[#This Row],[Columna1]]*19%</f>
        <v>0</v>
      </c>
      <c r="O392" s="11"/>
      <c r="P392" s="11">
        <f>Tabla2456789[[#This Row],[VENTA ]]/1.19</f>
        <v>0</v>
      </c>
      <c r="Q392" s="11">
        <f>Tabla2456789[[#This Row],[Columna2]]*19%</f>
        <v>0</v>
      </c>
      <c r="R392" s="11">
        <f>Tabla2456789[[#This Row],[IVA VENTA ]]-Tabla2456789[[#This Row],[IV COMPRA]]</f>
        <v>0</v>
      </c>
      <c r="S392" s="11">
        <f>(Tabla2456789[[#This Row],[VENTA ]]-(Tabla2456789[[#This Row],[MONTO DE COMPRA]]+Tabla2456789[[#This Row],[DIFERENCIA IVA ]]))</f>
        <v>0</v>
      </c>
    </row>
    <row r="393" spans="1:19" ht="30" x14ac:dyDescent="0.25">
      <c r="A393" s="56">
        <v>44919</v>
      </c>
      <c r="B393" s="4" t="s">
        <v>4327</v>
      </c>
      <c r="C393" s="4" t="s">
        <v>4328</v>
      </c>
      <c r="D393" s="4" t="s">
        <v>4329</v>
      </c>
      <c r="E393" s="1" t="s">
        <v>84</v>
      </c>
      <c r="F393" s="1" t="s">
        <v>2446</v>
      </c>
      <c r="G393" s="154" t="s">
        <v>4330</v>
      </c>
      <c r="H393" s="148">
        <v>75000</v>
      </c>
      <c r="I393" s="15">
        <f>Tabla2456789[[#This Row],[TOTAL FACTURA]]*0.7</f>
        <v>52500</v>
      </c>
      <c r="J393" s="177">
        <f t="shared" ref="J393:J426" si="13">H393-I393</f>
        <v>22500</v>
      </c>
      <c r="K393" s="10" t="s">
        <v>4331</v>
      </c>
      <c r="L393" s="11">
        <f>5000+5000+15000</f>
        <v>25000</v>
      </c>
      <c r="M393" s="11">
        <f>Tabla2456789[[#This Row],[MONTO DE COMPRA]]/1.19</f>
        <v>21008.403361344539</v>
      </c>
      <c r="N393" s="11">
        <f>Tabla2456789[[#This Row],[Columna1]]*19%</f>
        <v>3991.5966386554624</v>
      </c>
      <c r="O393" s="11">
        <v>40000</v>
      </c>
      <c r="P393" s="11">
        <f>Tabla2456789[[#This Row],[VENTA ]]/1.19</f>
        <v>33613.445378151264</v>
      </c>
      <c r="Q393" s="11">
        <f>Tabla2456789[[#This Row],[Columna2]]*19%</f>
        <v>6386.5546218487398</v>
      </c>
      <c r="R393" s="11">
        <f>Tabla2456789[[#This Row],[IVA VENTA ]]-Tabla2456789[[#This Row],[IV COMPRA]]</f>
        <v>2394.9579831932774</v>
      </c>
      <c r="S393" s="11">
        <f>(Tabla2456789[[#This Row],[VENTA ]]-(Tabla2456789[[#This Row],[MONTO DE COMPRA]]+Tabla2456789[[#This Row],[DIFERENCIA IVA ]]))</f>
        <v>12605.042016806721</v>
      </c>
    </row>
    <row r="394" spans="1:19" ht="30" x14ac:dyDescent="0.25">
      <c r="A394" s="56">
        <v>44919</v>
      </c>
      <c r="C394" s="4" t="s">
        <v>4332</v>
      </c>
      <c r="D394" s="4" t="s">
        <v>3946</v>
      </c>
      <c r="E394" s="1" t="s">
        <v>1947</v>
      </c>
      <c r="F394" s="1" t="s">
        <v>2446</v>
      </c>
      <c r="G394" s="154" t="s">
        <v>4412</v>
      </c>
      <c r="H394" s="148">
        <v>50000</v>
      </c>
      <c r="I394" s="15">
        <f>Tabla2456789[[#This Row],[TOTAL FACTURA]]*0.7</f>
        <v>35000</v>
      </c>
      <c r="J394" s="177">
        <f t="shared" si="13"/>
        <v>15000</v>
      </c>
      <c r="K394" s="10" t="s">
        <v>4333</v>
      </c>
      <c r="L394" s="11">
        <v>30000</v>
      </c>
      <c r="M394" s="11">
        <f>Tabla2456789[[#This Row],[MONTO DE COMPRA]]/1.19</f>
        <v>25210.084033613446</v>
      </c>
      <c r="N394" s="11">
        <f>Tabla2456789[[#This Row],[Columna1]]*19%</f>
        <v>4789.9159663865548</v>
      </c>
      <c r="O394" s="11">
        <v>40000</v>
      </c>
      <c r="P394" s="11">
        <f>Tabla2456789[[#This Row],[VENTA ]]/1.19</f>
        <v>33613.445378151264</v>
      </c>
      <c r="Q394" s="11">
        <f>Tabla2456789[[#This Row],[Columna2]]*19%</f>
        <v>6386.5546218487398</v>
      </c>
      <c r="R394" s="11">
        <f>Tabla2456789[[#This Row],[IVA VENTA ]]-Tabla2456789[[#This Row],[IV COMPRA]]</f>
        <v>1596.6386554621849</v>
      </c>
      <c r="S394" s="11">
        <f>(Tabla2456789[[#This Row],[VENTA ]]-(Tabla2456789[[#This Row],[MONTO DE COMPRA]]+Tabla2456789[[#This Row],[DIFERENCIA IVA ]]))</f>
        <v>8403.3613445378141</v>
      </c>
    </row>
    <row r="395" spans="1:19" x14ac:dyDescent="0.25">
      <c r="A395" s="56">
        <v>44919</v>
      </c>
      <c r="C395" s="4" t="s">
        <v>4334</v>
      </c>
      <c r="D395" s="4" t="s">
        <v>4335</v>
      </c>
      <c r="E395" s="1" t="s">
        <v>815</v>
      </c>
      <c r="F395" s="1" t="s">
        <v>2446</v>
      </c>
      <c r="G395" s="154" t="s">
        <v>381</v>
      </c>
      <c r="H395" s="148">
        <v>30000</v>
      </c>
      <c r="I395" s="15">
        <f>Tabla2456789[[#This Row],[TOTAL FACTURA]]*0.7</f>
        <v>21000</v>
      </c>
      <c r="J395" s="177">
        <f t="shared" si="13"/>
        <v>9000</v>
      </c>
      <c r="K395" s="10"/>
      <c r="L395" s="11"/>
      <c r="M395" s="11">
        <f>Tabla2456789[[#This Row],[MONTO DE COMPRA]]/1.19</f>
        <v>0</v>
      </c>
      <c r="N395" s="11">
        <f>Tabla2456789[[#This Row],[Columna1]]*19%</f>
        <v>0</v>
      </c>
      <c r="O395" s="11"/>
      <c r="P395" s="11">
        <f>Tabla2456789[[#This Row],[VENTA ]]/1.19</f>
        <v>0</v>
      </c>
      <c r="Q395" s="11">
        <f>Tabla2456789[[#This Row],[Columna2]]*19%</f>
        <v>0</v>
      </c>
      <c r="R395" s="11">
        <f>Tabla2456789[[#This Row],[IVA VENTA ]]-Tabla2456789[[#This Row],[IV COMPRA]]</f>
        <v>0</v>
      </c>
      <c r="S395" s="11">
        <f>(Tabla2456789[[#This Row],[VENTA ]]-(Tabla2456789[[#This Row],[MONTO DE COMPRA]]+Tabla2456789[[#This Row],[DIFERENCIA IVA ]]))</f>
        <v>0</v>
      </c>
    </row>
    <row r="396" spans="1:19" ht="30" x14ac:dyDescent="0.25">
      <c r="A396" s="56">
        <v>44919</v>
      </c>
      <c r="B396" s="4" t="s">
        <v>4341</v>
      </c>
      <c r="C396" s="4" t="s">
        <v>4336</v>
      </c>
      <c r="D396" s="4" t="s">
        <v>4337</v>
      </c>
      <c r="E396" s="1" t="s">
        <v>4338</v>
      </c>
      <c r="F396" s="1" t="s">
        <v>2446</v>
      </c>
      <c r="G396" s="154" t="s">
        <v>4339</v>
      </c>
      <c r="H396" s="148">
        <v>120000</v>
      </c>
      <c r="I396" s="15">
        <f>Tabla2456789[[#This Row],[TOTAL FACTURA]]*0.7</f>
        <v>84000</v>
      </c>
      <c r="J396" s="177">
        <f t="shared" si="13"/>
        <v>36000</v>
      </c>
      <c r="K396" s="10" t="s">
        <v>4340</v>
      </c>
      <c r="L396" s="11">
        <v>337000</v>
      </c>
      <c r="M396" s="11">
        <f>Tabla2456789[[#This Row],[MONTO DE COMPRA]]/1.19</f>
        <v>283193.27731092437</v>
      </c>
      <c r="N396" s="11">
        <f>Tabla2456789[[#This Row],[Columna1]]*19%</f>
        <v>53806.722689075628</v>
      </c>
      <c r="O396" s="11">
        <v>266000</v>
      </c>
      <c r="P396" s="11">
        <f>Tabla2456789[[#This Row],[VENTA ]]/1.19</f>
        <v>223529.4117647059</v>
      </c>
      <c r="Q396" s="11">
        <f>Tabla2456789[[#This Row],[Columna2]]*19%</f>
        <v>42470.588235294119</v>
      </c>
      <c r="R396" s="11">
        <f>Tabla2456789[[#This Row],[IVA VENTA ]]-Tabla2456789[[#This Row],[IV COMPRA]]</f>
        <v>-11336.134453781509</v>
      </c>
      <c r="S396" s="11">
        <f>(Tabla2456789[[#This Row],[VENTA ]]-(Tabla2456789[[#This Row],[MONTO DE COMPRA]]+Tabla2456789[[#This Row],[DIFERENCIA IVA ]]))</f>
        <v>-59663.865546218469</v>
      </c>
    </row>
    <row r="397" spans="1:19" ht="45" x14ac:dyDescent="0.25">
      <c r="A397" s="56">
        <v>44921</v>
      </c>
      <c r="B397" s="4" t="s">
        <v>4346</v>
      </c>
      <c r="C397" s="4" t="s">
        <v>4342</v>
      </c>
      <c r="D397" s="4" t="s">
        <v>4343</v>
      </c>
      <c r="E397" s="1" t="s">
        <v>356</v>
      </c>
      <c r="F397" s="1" t="s">
        <v>2446</v>
      </c>
      <c r="G397" s="154" t="s">
        <v>4344</v>
      </c>
      <c r="H397" s="148">
        <v>100000</v>
      </c>
      <c r="I397" s="15">
        <f>Tabla2456789[[#This Row],[TOTAL FACTURA]]*0.7</f>
        <v>70000</v>
      </c>
      <c r="J397" s="177">
        <f t="shared" si="13"/>
        <v>30000</v>
      </c>
      <c r="K397" s="10" t="s">
        <v>4345</v>
      </c>
      <c r="L397" s="11">
        <v>16000</v>
      </c>
      <c r="M397" s="11">
        <f>Tabla2456789[[#This Row],[MONTO DE COMPRA]]/1.19</f>
        <v>13445.378151260506</v>
      </c>
      <c r="N397" s="11">
        <f>Tabla2456789[[#This Row],[Columna1]]*19%</f>
        <v>2554.6218487394963</v>
      </c>
      <c r="O397" s="11">
        <v>20000</v>
      </c>
      <c r="P397" s="11">
        <f>Tabla2456789[[#This Row],[VENTA ]]/1.19</f>
        <v>16806.722689075632</v>
      </c>
      <c r="Q397" s="11">
        <f>Tabla2456789[[#This Row],[Columna2]]*19%</f>
        <v>3193.2773109243699</v>
      </c>
      <c r="R397" s="11">
        <f>Tabla2456789[[#This Row],[IVA VENTA ]]-Tabla2456789[[#This Row],[IV COMPRA]]</f>
        <v>638.65546218487361</v>
      </c>
      <c r="S397" s="11">
        <f>(Tabla2456789[[#This Row],[VENTA ]]-(Tabla2456789[[#This Row],[MONTO DE COMPRA]]+Tabla2456789[[#This Row],[DIFERENCIA IVA ]]))</f>
        <v>3361.3445378151264</v>
      </c>
    </row>
    <row r="398" spans="1:19" ht="30" x14ac:dyDescent="0.25">
      <c r="A398" s="56">
        <v>44921</v>
      </c>
      <c r="B398" s="4" t="s">
        <v>4347</v>
      </c>
      <c r="C398" s="4" t="s">
        <v>789</v>
      </c>
      <c r="D398" s="4" t="s">
        <v>790</v>
      </c>
      <c r="E398" s="1" t="s">
        <v>828</v>
      </c>
      <c r="F398" s="1" t="s">
        <v>2446</v>
      </c>
      <c r="G398" s="154" t="s">
        <v>4348</v>
      </c>
      <c r="H398" s="148">
        <v>50000</v>
      </c>
      <c r="I398" s="15">
        <f>Tabla2456789[[#This Row],[TOTAL FACTURA]]*0.7</f>
        <v>35000</v>
      </c>
      <c r="J398" s="177">
        <f t="shared" si="13"/>
        <v>15000</v>
      </c>
      <c r="K398" s="10" t="s">
        <v>4349</v>
      </c>
      <c r="L398" s="11"/>
      <c r="M398" s="11">
        <f>Tabla2456789[[#This Row],[MONTO DE COMPRA]]/1.19</f>
        <v>0</v>
      </c>
      <c r="N398" s="11">
        <f>Tabla2456789[[#This Row],[Columna1]]*19%</f>
        <v>0</v>
      </c>
      <c r="O398" s="11"/>
      <c r="P398" s="11">
        <f>Tabla2456789[[#This Row],[VENTA ]]/1.19</f>
        <v>0</v>
      </c>
      <c r="Q398" s="11">
        <f>Tabla2456789[[#This Row],[Columna2]]*19%</f>
        <v>0</v>
      </c>
      <c r="R398" s="11">
        <f>Tabla2456789[[#This Row],[IVA VENTA ]]-Tabla2456789[[#This Row],[IV COMPRA]]</f>
        <v>0</v>
      </c>
      <c r="S398" s="11">
        <f>(Tabla2456789[[#This Row],[VENTA ]]-(Tabla2456789[[#This Row],[MONTO DE COMPRA]]+Tabla2456789[[#This Row],[DIFERENCIA IVA ]]))</f>
        <v>0</v>
      </c>
    </row>
    <row r="399" spans="1:19" x14ac:dyDescent="0.25">
      <c r="A399" s="56">
        <v>44921</v>
      </c>
      <c r="B399" s="4" t="s">
        <v>4350</v>
      </c>
      <c r="C399" s="4" t="s">
        <v>765</v>
      </c>
      <c r="D399" s="4" t="s">
        <v>4351</v>
      </c>
      <c r="E399" s="1" t="s">
        <v>4009</v>
      </c>
      <c r="F399" s="1" t="s">
        <v>3925</v>
      </c>
      <c r="G399" s="154" t="s">
        <v>4352</v>
      </c>
      <c r="H399" s="148">
        <v>180000</v>
      </c>
      <c r="I399" s="15">
        <f>Tabla2456789[[#This Row],[TOTAL FACTURA]]*0.6</f>
        <v>108000</v>
      </c>
      <c r="J399" s="177">
        <f t="shared" si="13"/>
        <v>72000</v>
      </c>
      <c r="K399" s="10" t="s">
        <v>4353</v>
      </c>
      <c r="L399" s="11">
        <f>45000</f>
        <v>45000</v>
      </c>
      <c r="M399" s="11"/>
      <c r="N399" s="11">
        <f>Tabla2456789[[#This Row],[Columna1]]*19%</f>
        <v>0</v>
      </c>
      <c r="O399" s="11">
        <v>80000</v>
      </c>
      <c r="P399" s="11"/>
      <c r="Q399" s="11">
        <f>Tabla2456789[[#This Row],[Columna2]]*19%</f>
        <v>0</v>
      </c>
      <c r="R399" s="11">
        <f>Tabla2456789[[#This Row],[IVA VENTA ]]-Tabla2456789[[#This Row],[IV COMPRA]]</f>
        <v>0</v>
      </c>
      <c r="S399" s="11">
        <f>(Tabla2456789[[#This Row],[VENTA ]]-(Tabla2456789[[#This Row],[MONTO DE COMPRA]]+Tabla2456789[[#This Row],[DIFERENCIA IVA ]]))</f>
        <v>35000</v>
      </c>
    </row>
    <row r="400" spans="1:19" x14ac:dyDescent="0.25">
      <c r="A400" s="56">
        <v>44921</v>
      </c>
      <c r="C400" s="182"/>
      <c r="D400" s="4" t="s">
        <v>4354</v>
      </c>
      <c r="E400" s="1" t="s">
        <v>65</v>
      </c>
      <c r="F400" s="1" t="s">
        <v>2446</v>
      </c>
      <c r="G400" s="154" t="s">
        <v>4355</v>
      </c>
      <c r="H400" s="148">
        <v>30000</v>
      </c>
      <c r="I400" s="15">
        <f>Tabla2456789[[#This Row],[TOTAL FACTURA]]*0.7</f>
        <v>21000</v>
      </c>
      <c r="J400" s="177">
        <f t="shared" si="13"/>
        <v>9000</v>
      </c>
      <c r="K400" s="10"/>
      <c r="L400" s="11"/>
      <c r="M400" s="11">
        <f>Tabla2456789[[#This Row],[MONTO DE COMPRA]]/1.19</f>
        <v>0</v>
      </c>
      <c r="N400" s="11">
        <f>Tabla2456789[[#This Row],[Columna1]]*19%</f>
        <v>0</v>
      </c>
      <c r="O400" s="11"/>
      <c r="P400" s="11">
        <f>Tabla2456789[[#This Row],[VENTA ]]/1.19</f>
        <v>0</v>
      </c>
      <c r="Q400" s="11">
        <f>Tabla2456789[[#This Row],[Columna2]]*19%</f>
        <v>0</v>
      </c>
      <c r="R400" s="11">
        <f>Tabla2456789[[#This Row],[IVA VENTA ]]-Tabla2456789[[#This Row],[IV COMPRA]]</f>
        <v>0</v>
      </c>
      <c r="S400" s="11">
        <f>(Tabla2456789[[#This Row],[VENTA ]]-(Tabla2456789[[#This Row],[MONTO DE COMPRA]]+Tabla2456789[[#This Row],[DIFERENCIA IVA ]]))</f>
        <v>0</v>
      </c>
    </row>
    <row r="401" spans="1:19" ht="30" x14ac:dyDescent="0.25">
      <c r="A401" s="56">
        <v>44921</v>
      </c>
      <c r="B401" s="4" t="s">
        <v>4358</v>
      </c>
      <c r="C401" s="4" t="s">
        <v>1757</v>
      </c>
      <c r="D401" s="4" t="s">
        <v>1468</v>
      </c>
      <c r="E401" s="1" t="s">
        <v>4356</v>
      </c>
      <c r="F401" s="1" t="s">
        <v>2446</v>
      </c>
      <c r="G401" s="154" t="s">
        <v>4357</v>
      </c>
      <c r="H401" s="148">
        <v>40000</v>
      </c>
      <c r="I401" s="15">
        <f>Tabla2456789[[#This Row],[TOTAL FACTURA]]*0.7</f>
        <v>28000</v>
      </c>
      <c r="J401" s="177">
        <f t="shared" si="13"/>
        <v>12000</v>
      </c>
      <c r="K401" s="10" t="s">
        <v>1307</v>
      </c>
      <c r="L401" s="11">
        <v>117000</v>
      </c>
      <c r="M401" s="11">
        <f>Tabla2456789[[#This Row],[MONTO DE COMPRA]]/1.19</f>
        <v>98319.327731092446</v>
      </c>
      <c r="N401" s="11">
        <f>Tabla2456789[[#This Row],[Columna1]]*19%</f>
        <v>18680.672268907565</v>
      </c>
      <c r="O401" s="11">
        <v>160000</v>
      </c>
      <c r="P401" s="11">
        <f>Tabla2456789[[#This Row],[VENTA ]]/1.19</f>
        <v>134453.78151260506</v>
      </c>
      <c r="Q401" s="11">
        <f>Tabla2456789[[#This Row],[Columna2]]*19%</f>
        <v>25546.218487394959</v>
      </c>
      <c r="R401" s="11">
        <f>Tabla2456789[[#This Row],[IVA VENTA ]]-Tabla2456789[[#This Row],[IV COMPRA]]</f>
        <v>6865.5462184873941</v>
      </c>
      <c r="S401" s="11">
        <f>(Tabla2456789[[#This Row],[VENTA ]]-(Tabla2456789[[#This Row],[MONTO DE COMPRA]]+Tabla2456789[[#This Row],[DIFERENCIA IVA ]]))</f>
        <v>36134.45378151261</v>
      </c>
    </row>
    <row r="402" spans="1:19" x14ac:dyDescent="0.25">
      <c r="A402" s="56">
        <v>44921</v>
      </c>
      <c r="C402" s="4" t="s">
        <v>4359</v>
      </c>
      <c r="D402" s="4" t="s">
        <v>3675</v>
      </c>
      <c r="E402" s="1" t="s">
        <v>59</v>
      </c>
      <c r="F402" s="1" t="s">
        <v>2446</v>
      </c>
      <c r="G402" s="154" t="s">
        <v>21</v>
      </c>
      <c r="H402" s="148">
        <v>8000</v>
      </c>
      <c r="I402" s="15">
        <f>Tabla2456789[[#This Row],[TOTAL FACTURA]]*0.7</f>
        <v>5600</v>
      </c>
      <c r="J402" s="177">
        <f t="shared" si="13"/>
        <v>2400</v>
      </c>
      <c r="K402" s="10"/>
      <c r="L402" s="11"/>
      <c r="M402" s="11">
        <f>Tabla2456789[[#This Row],[MONTO DE COMPRA]]/1.19</f>
        <v>0</v>
      </c>
      <c r="N402" s="11">
        <f>Tabla2456789[[#This Row],[Columna1]]*19%</f>
        <v>0</v>
      </c>
      <c r="O402" s="11"/>
      <c r="P402" s="11">
        <f>Tabla2456789[[#This Row],[VENTA ]]/1.19</f>
        <v>0</v>
      </c>
      <c r="Q402" s="11">
        <f>Tabla2456789[[#This Row],[Columna2]]*19%</f>
        <v>0</v>
      </c>
      <c r="R402" s="11">
        <f>Tabla2456789[[#This Row],[IVA VENTA ]]-Tabla2456789[[#This Row],[IV COMPRA]]</f>
        <v>0</v>
      </c>
      <c r="S402" s="11">
        <f>(Tabla2456789[[#This Row],[VENTA ]]-(Tabla2456789[[#This Row],[MONTO DE COMPRA]]+Tabla2456789[[#This Row],[DIFERENCIA IVA ]]))</f>
        <v>0</v>
      </c>
    </row>
    <row r="403" spans="1:19" ht="30" x14ac:dyDescent="0.25">
      <c r="A403" s="56">
        <v>44921</v>
      </c>
      <c r="B403" s="4" t="s">
        <v>4364</v>
      </c>
      <c r="C403" s="4" t="s">
        <v>4360</v>
      </c>
      <c r="D403" s="4" t="s">
        <v>4361</v>
      </c>
      <c r="E403" s="1" t="s">
        <v>3080</v>
      </c>
      <c r="F403" s="1" t="s">
        <v>2446</v>
      </c>
      <c r="G403" s="154" t="s">
        <v>4362</v>
      </c>
      <c r="H403" s="148">
        <v>70000</v>
      </c>
      <c r="I403" s="15">
        <f>Tabla2456789[[#This Row],[TOTAL FACTURA]]*0.7</f>
        <v>49000</v>
      </c>
      <c r="J403" s="177">
        <f t="shared" si="13"/>
        <v>21000</v>
      </c>
      <c r="K403" s="10" t="s">
        <v>4363</v>
      </c>
      <c r="L403" s="11">
        <v>25000</v>
      </c>
      <c r="M403" s="11"/>
      <c r="N403" s="11">
        <f>Tabla2456789[[#This Row],[Columna1]]*19%</f>
        <v>0</v>
      </c>
      <c r="O403" s="11">
        <v>50000</v>
      </c>
      <c r="P403" s="11"/>
      <c r="Q403" s="11">
        <f>Tabla2456789[[#This Row],[Columna2]]*19%</f>
        <v>0</v>
      </c>
      <c r="R403" s="11">
        <f>Tabla2456789[[#This Row],[IVA VENTA ]]-Tabla2456789[[#This Row],[IV COMPRA]]</f>
        <v>0</v>
      </c>
      <c r="S403" s="11">
        <f>(Tabla2456789[[#This Row],[VENTA ]]-(Tabla2456789[[#This Row],[MONTO DE COMPRA]]+Tabla2456789[[#This Row],[DIFERENCIA IVA ]]))</f>
        <v>25000</v>
      </c>
    </row>
    <row r="404" spans="1:19" x14ac:dyDescent="0.25">
      <c r="A404" s="56">
        <v>44921</v>
      </c>
      <c r="C404" s="182"/>
      <c r="D404" s="4" t="s">
        <v>4365</v>
      </c>
      <c r="F404" s="1" t="s">
        <v>34</v>
      </c>
      <c r="G404" s="154" t="s">
        <v>341</v>
      </c>
      <c r="H404" s="148">
        <v>10000</v>
      </c>
      <c r="I404" s="15">
        <f>Tabla2456789[[#This Row],[TOTAL FACTURA]]*0.6</f>
        <v>6000</v>
      </c>
      <c r="J404" s="177">
        <f t="shared" si="13"/>
        <v>4000</v>
      </c>
      <c r="K404" s="10"/>
      <c r="L404" s="11"/>
      <c r="M404" s="11">
        <f>Tabla2456789[[#This Row],[MONTO DE COMPRA]]/1.19</f>
        <v>0</v>
      </c>
      <c r="N404" s="11">
        <f>Tabla2456789[[#This Row],[Columna1]]*19%</f>
        <v>0</v>
      </c>
      <c r="O404" s="11"/>
      <c r="P404" s="11">
        <f>Tabla2456789[[#This Row],[VENTA ]]/1.19</f>
        <v>0</v>
      </c>
      <c r="Q404" s="11">
        <f>Tabla2456789[[#This Row],[Columna2]]*19%</f>
        <v>0</v>
      </c>
      <c r="R404" s="11">
        <f>Tabla2456789[[#This Row],[IVA VENTA ]]-Tabla2456789[[#This Row],[IV COMPRA]]</f>
        <v>0</v>
      </c>
      <c r="S404" s="11">
        <f>(Tabla2456789[[#This Row],[VENTA ]]-(Tabla2456789[[#This Row],[MONTO DE COMPRA]]+Tabla2456789[[#This Row],[DIFERENCIA IVA ]]))</f>
        <v>0</v>
      </c>
    </row>
    <row r="405" spans="1:19" x14ac:dyDescent="0.25">
      <c r="A405" s="56">
        <v>44922</v>
      </c>
      <c r="C405" s="4" t="s">
        <v>4370</v>
      </c>
      <c r="D405" s="4" t="s">
        <v>4371</v>
      </c>
      <c r="E405" s="1" t="s">
        <v>4372</v>
      </c>
      <c r="F405" s="1" t="s">
        <v>2446</v>
      </c>
      <c r="G405" s="154" t="s">
        <v>2324</v>
      </c>
      <c r="H405" s="148">
        <v>30000</v>
      </c>
      <c r="I405" s="15">
        <f>Tabla2456789[[#This Row],[TOTAL FACTURA]]*0.7</f>
        <v>21000</v>
      </c>
      <c r="J405" s="177">
        <f t="shared" si="13"/>
        <v>9000</v>
      </c>
      <c r="K405" s="10"/>
      <c r="L405" s="11"/>
      <c r="M405" s="11">
        <f>Tabla2456789[[#This Row],[MONTO DE COMPRA]]/1.19</f>
        <v>0</v>
      </c>
      <c r="N405" s="11">
        <f>Tabla2456789[[#This Row],[Columna1]]*19%</f>
        <v>0</v>
      </c>
      <c r="O405" s="11"/>
      <c r="P405" s="11">
        <f>Tabla2456789[[#This Row],[VENTA ]]/1.19</f>
        <v>0</v>
      </c>
      <c r="Q405" s="11">
        <f>Tabla2456789[[#This Row],[Columna2]]*19%</f>
        <v>0</v>
      </c>
      <c r="R405" s="11">
        <f>Tabla2456789[[#This Row],[IVA VENTA ]]-Tabla2456789[[#This Row],[IV COMPRA]]</f>
        <v>0</v>
      </c>
      <c r="S405" s="11">
        <f>(Tabla2456789[[#This Row],[VENTA ]]-(Tabla2456789[[#This Row],[MONTO DE COMPRA]]+Tabla2456789[[#This Row],[DIFERENCIA IVA ]]))</f>
        <v>0</v>
      </c>
    </row>
    <row r="406" spans="1:19" x14ac:dyDescent="0.25">
      <c r="A406" s="56">
        <v>44922</v>
      </c>
      <c r="B406" s="4" t="s">
        <v>4375</v>
      </c>
      <c r="C406" s="4" t="s">
        <v>4373</v>
      </c>
      <c r="D406" s="4" t="s">
        <v>4374</v>
      </c>
      <c r="E406" s="1" t="s">
        <v>2999</v>
      </c>
      <c r="F406" s="1" t="s">
        <v>2446</v>
      </c>
      <c r="G406" s="154" t="s">
        <v>2575</v>
      </c>
      <c r="H406" s="148">
        <v>50000</v>
      </c>
      <c r="I406" s="15">
        <f>Tabla2456789[[#This Row],[TOTAL FACTURA]]*0.7</f>
        <v>35000</v>
      </c>
      <c r="J406" s="177">
        <f t="shared" si="13"/>
        <v>15000</v>
      </c>
      <c r="K406" s="10"/>
      <c r="L406" s="11"/>
      <c r="M406" s="11">
        <f>Tabla2456789[[#This Row],[MONTO DE COMPRA]]/1.19</f>
        <v>0</v>
      </c>
      <c r="N406" s="11">
        <f>Tabla2456789[[#This Row],[Columna1]]*19%</f>
        <v>0</v>
      </c>
      <c r="O406" s="11"/>
      <c r="P406" s="11">
        <f>Tabla2456789[[#This Row],[VENTA ]]/1.19</f>
        <v>0</v>
      </c>
      <c r="Q406" s="11">
        <f>Tabla2456789[[#This Row],[Columna2]]*19%</f>
        <v>0</v>
      </c>
      <c r="R406" s="11">
        <f>Tabla2456789[[#This Row],[IVA VENTA ]]-Tabla2456789[[#This Row],[IV COMPRA]]</f>
        <v>0</v>
      </c>
      <c r="S406" s="11">
        <f>(Tabla2456789[[#This Row],[VENTA ]]-(Tabla2456789[[#This Row],[MONTO DE COMPRA]]+Tabla2456789[[#This Row],[DIFERENCIA IVA ]]))</f>
        <v>0</v>
      </c>
    </row>
    <row r="407" spans="1:19" ht="30" x14ac:dyDescent="0.25">
      <c r="A407" s="56">
        <v>44922</v>
      </c>
      <c r="C407" s="182"/>
      <c r="D407" s="4" t="s">
        <v>2709</v>
      </c>
      <c r="E407" s="1" t="s">
        <v>1947</v>
      </c>
      <c r="F407" s="1" t="s">
        <v>2446</v>
      </c>
      <c r="G407" s="154" t="s">
        <v>4378</v>
      </c>
      <c r="H407" s="148">
        <v>30000</v>
      </c>
      <c r="I407" s="15">
        <f>Tabla2456789[[#This Row],[TOTAL FACTURA]]*0.7</f>
        <v>21000</v>
      </c>
      <c r="J407" s="177">
        <f t="shared" si="13"/>
        <v>9000</v>
      </c>
      <c r="K407" s="10" t="s">
        <v>4345</v>
      </c>
      <c r="L407" s="11"/>
      <c r="M407" s="11">
        <f>Tabla2456789[[#This Row],[MONTO DE COMPRA]]/1.19</f>
        <v>0</v>
      </c>
      <c r="N407" s="11">
        <f>Tabla2456789[[#This Row],[Columna1]]*19%</f>
        <v>0</v>
      </c>
      <c r="O407" s="11"/>
      <c r="P407" s="11">
        <f>Tabla2456789[[#This Row],[VENTA ]]/1.19</f>
        <v>0</v>
      </c>
      <c r="Q407" s="11">
        <f>Tabla2456789[[#This Row],[Columna2]]*19%</f>
        <v>0</v>
      </c>
      <c r="R407" s="11">
        <f>Tabla2456789[[#This Row],[IVA VENTA ]]-Tabla2456789[[#This Row],[IV COMPRA]]</f>
        <v>0</v>
      </c>
      <c r="S407" s="11">
        <f>(Tabla2456789[[#This Row],[VENTA ]]-(Tabla2456789[[#This Row],[MONTO DE COMPRA]]+Tabla2456789[[#This Row],[DIFERENCIA IVA ]]))</f>
        <v>0</v>
      </c>
    </row>
    <row r="408" spans="1:19" x14ac:dyDescent="0.25">
      <c r="A408" s="56">
        <v>44922</v>
      </c>
      <c r="C408" s="4" t="s">
        <v>4376</v>
      </c>
      <c r="D408" s="4" t="s">
        <v>4377</v>
      </c>
      <c r="E408" s="1" t="s">
        <v>3962</v>
      </c>
      <c r="F408" s="1" t="s">
        <v>34</v>
      </c>
      <c r="G408" s="154" t="s">
        <v>1518</v>
      </c>
      <c r="H408" s="148">
        <v>70000</v>
      </c>
      <c r="I408" s="15">
        <f>Tabla2456789[[#This Row],[TOTAL FACTURA]]*0.6</f>
        <v>42000</v>
      </c>
      <c r="J408" s="177">
        <f t="shared" si="13"/>
        <v>28000</v>
      </c>
      <c r="K408" s="10"/>
      <c r="L408" s="11"/>
      <c r="M408" s="11">
        <f>Tabla2456789[[#This Row],[MONTO DE COMPRA]]/1.19</f>
        <v>0</v>
      </c>
      <c r="N408" s="11">
        <f>Tabla2456789[[#This Row],[Columna1]]*19%</f>
        <v>0</v>
      </c>
      <c r="O408" s="11"/>
      <c r="P408" s="11">
        <f>Tabla2456789[[#This Row],[VENTA ]]/1.19</f>
        <v>0</v>
      </c>
      <c r="Q408" s="11">
        <f>Tabla2456789[[#This Row],[Columna2]]*19%</f>
        <v>0</v>
      </c>
      <c r="R408" s="11">
        <f>Tabla2456789[[#This Row],[IVA VENTA ]]-Tabla2456789[[#This Row],[IV COMPRA]]</f>
        <v>0</v>
      </c>
      <c r="S408" s="11">
        <f>(Tabla2456789[[#This Row],[VENTA ]]-(Tabla2456789[[#This Row],[MONTO DE COMPRA]]+Tabla2456789[[#This Row],[DIFERENCIA IVA ]]))</f>
        <v>0</v>
      </c>
    </row>
    <row r="409" spans="1:19" x14ac:dyDescent="0.25">
      <c r="A409" s="56">
        <v>44922</v>
      </c>
      <c r="C409" s="4" t="s">
        <v>4380</v>
      </c>
      <c r="D409" s="4" t="s">
        <v>4379</v>
      </c>
      <c r="E409" s="1" t="s">
        <v>240</v>
      </c>
      <c r="F409" s="1" t="s">
        <v>34</v>
      </c>
      <c r="G409" s="154" t="s">
        <v>21</v>
      </c>
      <c r="H409" s="148">
        <v>10000</v>
      </c>
      <c r="I409" s="15">
        <f>Tabla2456789[[#This Row],[TOTAL FACTURA]]*0.6</f>
        <v>6000</v>
      </c>
      <c r="J409" s="177">
        <f t="shared" si="13"/>
        <v>4000</v>
      </c>
      <c r="K409" s="10"/>
      <c r="L409" s="11"/>
      <c r="M409" s="11">
        <f>Tabla2456789[[#This Row],[MONTO DE COMPRA]]/1.19</f>
        <v>0</v>
      </c>
      <c r="N409" s="11">
        <f>Tabla2456789[[#This Row],[Columna1]]*19%</f>
        <v>0</v>
      </c>
      <c r="O409" s="11"/>
      <c r="P409" s="11">
        <f>Tabla2456789[[#This Row],[VENTA ]]/1.19</f>
        <v>0</v>
      </c>
      <c r="Q409" s="11">
        <f>Tabla2456789[[#This Row],[Columna2]]*19%</f>
        <v>0</v>
      </c>
      <c r="R409" s="11">
        <f>Tabla2456789[[#This Row],[IVA VENTA ]]-Tabla2456789[[#This Row],[IV COMPRA]]</f>
        <v>0</v>
      </c>
      <c r="S409" s="11">
        <f>(Tabla2456789[[#This Row],[VENTA ]]-(Tabla2456789[[#This Row],[MONTO DE COMPRA]]+Tabla2456789[[#This Row],[DIFERENCIA IVA ]]))</f>
        <v>0</v>
      </c>
    </row>
    <row r="410" spans="1:19" ht="30" x14ac:dyDescent="0.25">
      <c r="A410" s="56">
        <v>44922</v>
      </c>
      <c r="B410" s="4" t="s">
        <v>4382</v>
      </c>
      <c r="C410" s="4" t="s">
        <v>4381</v>
      </c>
      <c r="D410" s="4" t="s">
        <v>4383</v>
      </c>
      <c r="E410" s="1" t="s">
        <v>3545</v>
      </c>
      <c r="F410" s="1" t="s">
        <v>2446</v>
      </c>
      <c r="G410" s="154" t="s">
        <v>4384</v>
      </c>
      <c r="H410" s="148">
        <v>120000</v>
      </c>
      <c r="I410" s="15">
        <f>Tabla2456789[[#This Row],[TOTAL FACTURA]]*0.7</f>
        <v>84000</v>
      </c>
      <c r="J410" s="177">
        <f t="shared" si="13"/>
        <v>36000</v>
      </c>
      <c r="K410" s="10" t="s">
        <v>4385</v>
      </c>
      <c r="L410" s="11">
        <v>185000</v>
      </c>
      <c r="M410" s="11">
        <f>Tabla2456789[[#This Row],[MONTO DE COMPRA]]/1.19</f>
        <v>155462.18487394959</v>
      </c>
      <c r="N410" s="11">
        <f>Tabla2456789[[#This Row],[Columna1]]*19%</f>
        <v>29537.815126050424</v>
      </c>
      <c r="O410" s="11">
        <v>222000</v>
      </c>
      <c r="P410" s="11">
        <f>Tabla2456789[[#This Row],[VENTA ]]/1.19</f>
        <v>186554.62184873951</v>
      </c>
      <c r="Q410" s="11">
        <f>Tabla2456789[[#This Row],[Columna2]]*19%</f>
        <v>35445.378151260506</v>
      </c>
      <c r="R410" s="11">
        <f>Tabla2456789[[#This Row],[IVA VENTA ]]-Tabla2456789[[#This Row],[IV COMPRA]]</f>
        <v>5907.5630252100818</v>
      </c>
      <c r="S410" s="11">
        <f>(Tabla2456789[[#This Row],[VENTA ]]-(Tabla2456789[[#This Row],[MONTO DE COMPRA]]+Tabla2456789[[#This Row],[DIFERENCIA IVA ]]))</f>
        <v>31092.436974789918</v>
      </c>
    </row>
    <row r="411" spans="1:19" ht="30" x14ac:dyDescent="0.25">
      <c r="A411" s="56">
        <v>44922</v>
      </c>
      <c r="B411" s="4" t="s">
        <v>4386</v>
      </c>
      <c r="C411" s="135" t="s">
        <v>4387</v>
      </c>
      <c r="D411" s="4" t="s">
        <v>3911</v>
      </c>
      <c r="E411" s="1" t="s">
        <v>84</v>
      </c>
      <c r="F411" s="1" t="s">
        <v>2446</v>
      </c>
      <c r="G411" s="154" t="s">
        <v>50</v>
      </c>
      <c r="H411" s="148">
        <v>100000</v>
      </c>
      <c r="I411" s="15">
        <f>Tabla2456789[[#This Row],[TOTAL FACTURA]]*0.7</f>
        <v>70000</v>
      </c>
      <c r="J411" s="177">
        <f t="shared" si="13"/>
        <v>30000</v>
      </c>
      <c r="K411" s="10"/>
      <c r="L411" s="11"/>
      <c r="M411" s="11">
        <f>Tabla2456789[[#This Row],[MONTO DE COMPRA]]/1.19</f>
        <v>0</v>
      </c>
      <c r="N411" s="11">
        <f>Tabla2456789[[#This Row],[Columna1]]*19%</f>
        <v>0</v>
      </c>
      <c r="O411" s="11"/>
      <c r="P411" s="11">
        <f>Tabla2456789[[#This Row],[VENTA ]]/1.19</f>
        <v>0</v>
      </c>
      <c r="Q411" s="11">
        <f>Tabla2456789[[#This Row],[Columna2]]*19%</f>
        <v>0</v>
      </c>
      <c r="R411" s="11">
        <f>Tabla2456789[[#This Row],[IVA VENTA ]]-Tabla2456789[[#This Row],[IV COMPRA]]</f>
        <v>0</v>
      </c>
      <c r="S411" s="11">
        <f>(Tabla2456789[[#This Row],[VENTA ]]-(Tabla2456789[[#This Row],[MONTO DE COMPRA]]+Tabla2456789[[#This Row],[DIFERENCIA IVA ]]))</f>
        <v>0</v>
      </c>
    </row>
    <row r="412" spans="1:19" ht="30" x14ac:dyDescent="0.25">
      <c r="A412" s="56">
        <v>44922</v>
      </c>
      <c r="B412" s="4" t="s">
        <v>4386</v>
      </c>
      <c r="C412" s="135" t="s">
        <v>4387</v>
      </c>
      <c r="D412" s="4" t="s">
        <v>3911</v>
      </c>
      <c r="E412" s="1" t="s">
        <v>84</v>
      </c>
      <c r="F412" s="1" t="s">
        <v>3925</v>
      </c>
      <c r="G412" s="154" t="s">
        <v>3108</v>
      </c>
      <c r="H412" s="148">
        <v>200000</v>
      </c>
      <c r="I412" s="15">
        <f>Tabla2456789[[#This Row],[TOTAL FACTURA]]*0.6</f>
        <v>120000</v>
      </c>
      <c r="J412" s="177">
        <f t="shared" si="13"/>
        <v>80000</v>
      </c>
      <c r="K412" s="10"/>
      <c r="L412" s="11"/>
      <c r="M412" s="11">
        <f>Tabla2456789[[#This Row],[MONTO DE COMPRA]]/1.19</f>
        <v>0</v>
      </c>
      <c r="N412" s="11">
        <f>Tabla2456789[[#This Row],[Columna1]]*19%</f>
        <v>0</v>
      </c>
      <c r="O412" s="11"/>
      <c r="P412" s="11">
        <f>Tabla2456789[[#This Row],[VENTA ]]/1.19</f>
        <v>0</v>
      </c>
      <c r="Q412" s="11">
        <f>Tabla2456789[[#This Row],[Columna2]]*19%</f>
        <v>0</v>
      </c>
      <c r="R412" s="11">
        <f>Tabla2456789[[#This Row],[IVA VENTA ]]-Tabla2456789[[#This Row],[IV COMPRA]]</f>
        <v>0</v>
      </c>
      <c r="S412" s="11">
        <f>(Tabla2456789[[#This Row],[VENTA ]]-(Tabla2456789[[#This Row],[MONTO DE COMPRA]]+Tabla2456789[[#This Row],[DIFERENCIA IVA ]]))</f>
        <v>0</v>
      </c>
    </row>
    <row r="413" spans="1:19" ht="27.75" customHeight="1" x14ac:dyDescent="0.25">
      <c r="A413" s="56">
        <v>44922</v>
      </c>
      <c r="B413" s="4" t="s">
        <v>4386</v>
      </c>
      <c r="C413" s="135" t="s">
        <v>4387</v>
      </c>
      <c r="D413" s="4" t="s">
        <v>3911</v>
      </c>
      <c r="E413" s="1" t="s">
        <v>84</v>
      </c>
      <c r="F413" s="1" t="s">
        <v>3666</v>
      </c>
      <c r="G413" s="154" t="s">
        <v>4388</v>
      </c>
      <c r="H413" s="148">
        <v>205000</v>
      </c>
      <c r="I413" s="15">
        <f>Tabla2456789[[#This Row],[TOTAL FACTURA]]*0.5+25000</f>
        <v>127500</v>
      </c>
      <c r="J413" s="177">
        <v>102500</v>
      </c>
      <c r="K413" s="10"/>
      <c r="L413" s="11"/>
      <c r="M413" s="11">
        <f>Tabla2456789[[#This Row],[MONTO DE COMPRA]]/1.19</f>
        <v>0</v>
      </c>
      <c r="N413" s="11">
        <f>Tabla2456789[[#This Row],[Columna1]]*19%</f>
        <v>0</v>
      </c>
      <c r="O413" s="11"/>
      <c r="P413" s="11">
        <f>Tabla2456789[[#This Row],[VENTA ]]/1.19</f>
        <v>0</v>
      </c>
      <c r="Q413" s="11">
        <f>Tabla2456789[[#This Row],[Columna2]]*19%</f>
        <v>0</v>
      </c>
      <c r="R413" s="11">
        <f>Tabla2456789[[#This Row],[IVA VENTA ]]-Tabla2456789[[#This Row],[IV COMPRA]]</f>
        <v>0</v>
      </c>
      <c r="S413" s="11">
        <f>(Tabla2456789[[#This Row],[VENTA ]]-(Tabla2456789[[#This Row],[MONTO DE COMPRA]]+Tabla2456789[[#This Row],[DIFERENCIA IVA ]]))</f>
        <v>0</v>
      </c>
    </row>
    <row r="414" spans="1:19" x14ac:dyDescent="0.25">
      <c r="A414" s="56">
        <v>44923</v>
      </c>
      <c r="B414" s="4" t="s">
        <v>4389</v>
      </c>
      <c r="C414" s="4" t="s">
        <v>3978</v>
      </c>
      <c r="D414" s="4" t="s">
        <v>3979</v>
      </c>
      <c r="E414" s="1" t="s">
        <v>688</v>
      </c>
      <c r="F414" s="1" t="s">
        <v>2446</v>
      </c>
      <c r="G414" s="154" t="s">
        <v>206</v>
      </c>
      <c r="H414" s="148">
        <v>30000</v>
      </c>
      <c r="I414" s="15">
        <f>Tabla2456789[[#This Row],[TOTAL FACTURA]]*0.7</f>
        <v>21000</v>
      </c>
      <c r="J414" s="177">
        <f t="shared" ref="J414:J424" si="14">H414-I414</f>
        <v>9000</v>
      </c>
      <c r="K414" s="10"/>
      <c r="L414" s="11"/>
      <c r="M414" s="11">
        <f>Tabla2456789[[#This Row],[MONTO DE COMPRA]]/1.19</f>
        <v>0</v>
      </c>
      <c r="N414" s="11">
        <f>Tabla2456789[[#This Row],[Columna1]]*19%</f>
        <v>0</v>
      </c>
      <c r="O414" s="11"/>
      <c r="P414" s="11">
        <f>Tabla2456789[[#This Row],[VENTA ]]/1.19</f>
        <v>0</v>
      </c>
      <c r="Q414" s="11">
        <f>Tabla2456789[[#This Row],[Columna2]]*19%</f>
        <v>0</v>
      </c>
      <c r="R414" s="11">
        <f>Tabla2456789[[#This Row],[IVA VENTA ]]-Tabla2456789[[#This Row],[IV COMPRA]]</f>
        <v>0</v>
      </c>
      <c r="S414" s="11">
        <f>(Tabla2456789[[#This Row],[VENTA ]]-(Tabla2456789[[#This Row],[MONTO DE COMPRA]]+Tabla2456789[[#This Row],[DIFERENCIA IVA ]]))</f>
        <v>0</v>
      </c>
    </row>
    <row r="415" spans="1:19" x14ac:dyDescent="0.25">
      <c r="A415" s="56">
        <v>44923</v>
      </c>
      <c r="C415" s="4" t="s">
        <v>1278</v>
      </c>
      <c r="D415" s="4" t="s">
        <v>4407</v>
      </c>
      <c r="E415" s="1" t="s">
        <v>28</v>
      </c>
      <c r="F415" s="1" t="s">
        <v>3666</v>
      </c>
      <c r="G415" s="154" t="s">
        <v>3800</v>
      </c>
      <c r="H415" s="148">
        <v>110000</v>
      </c>
      <c r="I415" s="15">
        <f>Tabla2456789[[#This Row],[TOTAL FACTURA]]*0.5</f>
        <v>55000</v>
      </c>
      <c r="J415" s="177">
        <f>H415-I415</f>
        <v>55000</v>
      </c>
      <c r="K415" s="10"/>
      <c r="L415" s="11"/>
      <c r="M415" s="11">
        <f>Tabla2456789[[#This Row],[MONTO DE COMPRA]]/1.19</f>
        <v>0</v>
      </c>
      <c r="N415" s="11">
        <f>Tabla2456789[[#This Row],[Columna1]]*19%</f>
        <v>0</v>
      </c>
      <c r="O415" s="11"/>
      <c r="P415" s="11">
        <f>Tabla2456789[[#This Row],[VENTA ]]/1.19</f>
        <v>0</v>
      </c>
      <c r="Q415" s="11">
        <f>Tabla2456789[[#This Row],[Columna2]]*19%</f>
        <v>0</v>
      </c>
      <c r="R415" s="11">
        <f>Tabla2456789[[#This Row],[IVA VENTA ]]-Tabla2456789[[#This Row],[IV COMPRA]]</f>
        <v>0</v>
      </c>
      <c r="S415" s="11">
        <f>(Tabla2456789[[#This Row],[VENTA ]]-(Tabla2456789[[#This Row],[MONTO DE COMPRA]]+Tabla2456789[[#This Row],[DIFERENCIA IVA ]]))</f>
        <v>0</v>
      </c>
    </row>
    <row r="416" spans="1:19" ht="30" x14ac:dyDescent="0.25">
      <c r="A416" s="56">
        <v>44923</v>
      </c>
      <c r="C416" s="182"/>
      <c r="D416" s="4" t="s">
        <v>4413</v>
      </c>
      <c r="E416" s="1" t="s">
        <v>2022</v>
      </c>
      <c r="F416" s="1" t="s">
        <v>2446</v>
      </c>
      <c r="G416" s="154" t="s">
        <v>4392</v>
      </c>
      <c r="H416" s="148">
        <v>60000</v>
      </c>
      <c r="I416" s="15">
        <f>Tabla2456789[[#This Row],[TOTAL FACTURA]]*0.7</f>
        <v>42000</v>
      </c>
      <c r="J416" s="177">
        <f>H416-I416</f>
        <v>18000</v>
      </c>
      <c r="K416" s="10"/>
      <c r="L416" s="11"/>
      <c r="M416" s="11">
        <f>Tabla2456789[[#This Row],[MONTO DE COMPRA]]/1.19</f>
        <v>0</v>
      </c>
      <c r="N416" s="11">
        <f>Tabla2456789[[#This Row],[Columna1]]*19%</f>
        <v>0</v>
      </c>
      <c r="O416" s="11"/>
      <c r="P416" s="11">
        <f>Tabla2456789[[#This Row],[VENTA ]]/1.19</f>
        <v>0</v>
      </c>
      <c r="Q416" s="11">
        <f>Tabla2456789[[#This Row],[Columna2]]*19%</f>
        <v>0</v>
      </c>
      <c r="R416" s="11">
        <f>Tabla2456789[[#This Row],[IVA VENTA ]]-Tabla2456789[[#This Row],[IV COMPRA]]</f>
        <v>0</v>
      </c>
      <c r="S416" s="11">
        <f>(Tabla2456789[[#This Row],[VENTA ]]-(Tabla2456789[[#This Row],[MONTO DE COMPRA]]+Tabla2456789[[#This Row],[DIFERENCIA IVA ]]))</f>
        <v>0</v>
      </c>
    </row>
    <row r="417" spans="1:20" ht="30" x14ac:dyDescent="0.25">
      <c r="A417" s="56">
        <v>44923</v>
      </c>
      <c r="C417" s="4" t="s">
        <v>1278</v>
      </c>
      <c r="D417" s="4" t="s">
        <v>4407</v>
      </c>
      <c r="E417" s="1" t="s">
        <v>28</v>
      </c>
      <c r="F417" s="1" t="s">
        <v>2446</v>
      </c>
      <c r="G417" s="154" t="s">
        <v>4408</v>
      </c>
      <c r="H417" s="148">
        <v>100000</v>
      </c>
      <c r="I417" s="15">
        <f>Tabla2456789[[#This Row],[TOTAL FACTURA]]*0.7</f>
        <v>70000</v>
      </c>
      <c r="J417" s="177">
        <f>H417-I417</f>
        <v>30000</v>
      </c>
      <c r="K417" s="10"/>
      <c r="L417" s="11"/>
      <c r="M417" s="11">
        <f>Tabla2456789[[#This Row],[MONTO DE COMPRA]]/1.19</f>
        <v>0</v>
      </c>
      <c r="N417" s="11">
        <f>Tabla2456789[[#This Row],[Columna1]]*19%</f>
        <v>0</v>
      </c>
      <c r="O417" s="11"/>
      <c r="P417" s="11">
        <f>Tabla2456789[[#This Row],[VENTA ]]/1.19</f>
        <v>0</v>
      </c>
      <c r="Q417" s="11">
        <f>Tabla2456789[[#This Row],[Columna2]]*19%</f>
        <v>0</v>
      </c>
      <c r="R417" s="11">
        <f>Tabla2456789[[#This Row],[IVA VENTA ]]-Tabla2456789[[#This Row],[IV COMPRA]]</f>
        <v>0</v>
      </c>
      <c r="S417" s="11">
        <f>(Tabla2456789[[#This Row],[VENTA ]]-(Tabla2456789[[#This Row],[MONTO DE COMPRA]]+Tabla2456789[[#This Row],[DIFERENCIA IVA ]]))</f>
        <v>0</v>
      </c>
    </row>
    <row r="418" spans="1:20" x14ac:dyDescent="0.25">
      <c r="A418" s="56">
        <v>44923</v>
      </c>
      <c r="C418" s="4" t="s">
        <v>4390</v>
      </c>
      <c r="D418" s="4" t="s">
        <v>4391</v>
      </c>
      <c r="E418" s="1" t="s">
        <v>1220</v>
      </c>
      <c r="F418" s="1" t="s">
        <v>34</v>
      </c>
      <c r="G418" s="154" t="s">
        <v>423</v>
      </c>
      <c r="H418" s="148">
        <v>20000</v>
      </c>
      <c r="I418" s="15">
        <f>Tabla2456789[[#This Row],[TOTAL FACTURA]]*0.7</f>
        <v>14000</v>
      </c>
      <c r="J418" s="177">
        <f t="shared" si="14"/>
        <v>6000</v>
      </c>
      <c r="K418" s="10"/>
      <c r="L418" s="11"/>
      <c r="M418" s="11">
        <f>Tabla2456789[[#This Row],[MONTO DE COMPRA]]/1.19</f>
        <v>0</v>
      </c>
      <c r="N418" s="11">
        <f>Tabla2456789[[#This Row],[Columna1]]*19%</f>
        <v>0</v>
      </c>
      <c r="O418" s="11"/>
      <c r="P418" s="11">
        <f>Tabla2456789[[#This Row],[VENTA ]]/1.19</f>
        <v>0</v>
      </c>
      <c r="Q418" s="11">
        <f>Tabla2456789[[#This Row],[Columna2]]*19%</f>
        <v>0</v>
      </c>
      <c r="R418" s="11">
        <f>Tabla2456789[[#This Row],[IVA VENTA ]]-Tabla2456789[[#This Row],[IV COMPRA]]</f>
        <v>0</v>
      </c>
      <c r="S418" s="11">
        <f>(Tabla2456789[[#This Row],[VENTA ]]-(Tabla2456789[[#This Row],[MONTO DE COMPRA]]+Tabla2456789[[#This Row],[DIFERENCIA IVA ]]))</f>
        <v>0</v>
      </c>
    </row>
    <row r="419" spans="1:20" ht="30" x14ac:dyDescent="0.25">
      <c r="A419" s="56">
        <v>44923</v>
      </c>
      <c r="B419" s="4" t="s">
        <v>4394</v>
      </c>
      <c r="C419" s="4" t="s">
        <v>2769</v>
      </c>
      <c r="D419" s="4" t="s">
        <v>2770</v>
      </c>
      <c r="E419" s="1" t="s">
        <v>84</v>
      </c>
      <c r="F419" s="1" t="s">
        <v>2446</v>
      </c>
      <c r="G419" s="154" t="s">
        <v>4392</v>
      </c>
      <c r="H419" s="148">
        <v>140000</v>
      </c>
      <c r="I419" s="15">
        <f>Tabla2456789[[#This Row],[TOTAL FACTURA]]*0.7</f>
        <v>98000</v>
      </c>
      <c r="J419" s="177">
        <f t="shared" si="14"/>
        <v>42000</v>
      </c>
      <c r="K419" s="10" t="s">
        <v>4393</v>
      </c>
      <c r="L419" s="11">
        <f>15000+30000+76000+1000+5000+4000</f>
        <v>131000</v>
      </c>
      <c r="M419" s="11">
        <f>Tabla2456789[[#This Row],[MONTO DE COMPRA]]/1.19</f>
        <v>110084.03361344538</v>
      </c>
      <c r="N419" s="11">
        <f>Tabla2456789[[#This Row],[Columna1]]*19%</f>
        <v>20915.966386554624</v>
      </c>
      <c r="O419" s="11">
        <f>15000+40000+140000+4000+10000+10000</f>
        <v>219000</v>
      </c>
      <c r="P419" s="11">
        <f>Tabla2456789[[#This Row],[VENTA ]]/1.19</f>
        <v>184033.61344537817</v>
      </c>
      <c r="Q419" s="11">
        <f>Tabla2456789[[#This Row],[Columna2]]*19%</f>
        <v>34966.386554621851</v>
      </c>
      <c r="R419" s="11">
        <f>Tabla2456789[[#This Row],[IVA VENTA ]]-Tabla2456789[[#This Row],[IV COMPRA]]</f>
        <v>14050.420168067227</v>
      </c>
      <c r="S419" s="11">
        <f>(Tabla2456789[[#This Row],[VENTA ]]-(Tabla2456789[[#This Row],[MONTO DE COMPRA]]+Tabla2456789[[#This Row],[DIFERENCIA IVA ]]))</f>
        <v>73949.579831932788</v>
      </c>
    </row>
    <row r="420" spans="1:20" ht="30" x14ac:dyDescent="0.25">
      <c r="A420" s="56">
        <v>44924</v>
      </c>
      <c r="C420" s="182"/>
      <c r="D420" s="4" t="s">
        <v>1647</v>
      </c>
      <c r="E420" s="1" t="s">
        <v>4395</v>
      </c>
      <c r="F420" s="1" t="s">
        <v>2446</v>
      </c>
      <c r="G420" s="154" t="s">
        <v>4396</v>
      </c>
      <c r="H420" s="148">
        <v>40000</v>
      </c>
      <c r="I420" s="15">
        <f>Tabla2456789[[#This Row],[TOTAL FACTURA]]*0.7</f>
        <v>28000</v>
      </c>
      <c r="J420" s="177">
        <f t="shared" si="14"/>
        <v>12000</v>
      </c>
      <c r="K420" s="10" t="s">
        <v>2830</v>
      </c>
      <c r="L420" s="11"/>
      <c r="M420" s="11">
        <f>Tabla2456789[[#This Row],[MONTO DE COMPRA]]/1.19</f>
        <v>0</v>
      </c>
      <c r="N420" s="11">
        <f>Tabla2456789[[#This Row],[Columna1]]*19%</f>
        <v>0</v>
      </c>
      <c r="O420" s="11">
        <v>30000</v>
      </c>
      <c r="P420" s="11"/>
      <c r="Q420" s="11">
        <f>Tabla2456789[[#This Row],[Columna2]]*19%</f>
        <v>0</v>
      </c>
      <c r="R420" s="11">
        <f>Tabla2456789[[#This Row],[IVA VENTA ]]-Tabla2456789[[#This Row],[IV COMPRA]]</f>
        <v>0</v>
      </c>
      <c r="S420" s="11">
        <f>(Tabla2456789[[#This Row],[VENTA ]]-(Tabla2456789[[#This Row],[MONTO DE COMPRA]]+Tabla2456789[[#This Row],[DIFERENCIA IVA ]]))</f>
        <v>30000</v>
      </c>
    </row>
    <row r="421" spans="1:20" x14ac:dyDescent="0.25">
      <c r="A421" s="56">
        <v>44924</v>
      </c>
      <c r="C421" s="182"/>
      <c r="D421" s="4" t="s">
        <v>2025</v>
      </c>
      <c r="E421" s="1" t="s">
        <v>59</v>
      </c>
      <c r="F421" s="1" t="s">
        <v>34</v>
      </c>
      <c r="G421" s="154" t="s">
        <v>21</v>
      </c>
      <c r="H421" s="148">
        <v>10000</v>
      </c>
      <c r="I421" s="15">
        <f>Tabla2456789[[#This Row],[TOTAL FACTURA]]*0.7</f>
        <v>7000</v>
      </c>
      <c r="J421" s="177">
        <f t="shared" si="14"/>
        <v>3000</v>
      </c>
      <c r="K421" s="10"/>
      <c r="L421" s="11"/>
      <c r="M421" s="11">
        <f>Tabla2456789[[#This Row],[MONTO DE COMPRA]]/1.19</f>
        <v>0</v>
      </c>
      <c r="N421" s="11">
        <f>Tabla2456789[[#This Row],[Columna1]]*19%</f>
        <v>0</v>
      </c>
      <c r="O421" s="11"/>
      <c r="P421" s="11">
        <f>Tabla2456789[[#This Row],[VENTA ]]/1.19</f>
        <v>0</v>
      </c>
      <c r="Q421" s="11">
        <f>Tabla2456789[[#This Row],[Columna2]]*19%</f>
        <v>0</v>
      </c>
      <c r="R421" s="11">
        <f>Tabla2456789[[#This Row],[IVA VENTA ]]-Tabla2456789[[#This Row],[IV COMPRA]]</f>
        <v>0</v>
      </c>
      <c r="S421" s="11">
        <f>(Tabla2456789[[#This Row],[VENTA ]]-(Tabla2456789[[#This Row],[MONTO DE COMPRA]]+Tabla2456789[[#This Row],[DIFERENCIA IVA ]]))</f>
        <v>0</v>
      </c>
    </row>
    <row r="422" spans="1:20" x14ac:dyDescent="0.25">
      <c r="A422" s="56">
        <v>44924</v>
      </c>
      <c r="C422" s="4" t="s">
        <v>4397</v>
      </c>
      <c r="D422" s="4" t="s">
        <v>4398</v>
      </c>
      <c r="E422" s="1" t="s">
        <v>287</v>
      </c>
      <c r="F422" s="1" t="s">
        <v>2446</v>
      </c>
      <c r="G422" s="154" t="s">
        <v>3727</v>
      </c>
      <c r="H422" s="148">
        <v>40000</v>
      </c>
      <c r="I422" s="15">
        <f>Tabla2456789[[#This Row],[TOTAL FACTURA]]*0.7</f>
        <v>28000</v>
      </c>
      <c r="J422" s="177">
        <f t="shared" si="14"/>
        <v>12000</v>
      </c>
      <c r="K422" s="10" t="s">
        <v>4399</v>
      </c>
      <c r="L422" s="11">
        <f>95000+4000</f>
        <v>99000</v>
      </c>
      <c r="M422" s="11">
        <f>Tabla2456789[[#This Row],[MONTO DE COMPRA]]/1.19</f>
        <v>83193.277310924372</v>
      </c>
      <c r="N422" s="11">
        <f>Tabla2456789[[#This Row],[Columna1]]*19%</f>
        <v>15806.72268907563</v>
      </c>
      <c r="O422" s="11">
        <v>140000</v>
      </c>
      <c r="P422" s="11">
        <f>Tabla2456789[[#This Row],[VENTA ]]/1.19</f>
        <v>117647.05882352941</v>
      </c>
      <c r="Q422" s="11">
        <f>Tabla2456789[[#This Row],[Columna2]]*19%</f>
        <v>22352.941176470587</v>
      </c>
      <c r="R422" s="11">
        <f>Tabla2456789[[#This Row],[IVA VENTA ]]-Tabla2456789[[#This Row],[IV COMPRA]]</f>
        <v>6546.2184873949573</v>
      </c>
      <c r="S422" s="11">
        <f>(Tabla2456789[[#This Row],[VENTA ]]-(Tabla2456789[[#This Row],[MONTO DE COMPRA]]+Tabla2456789[[#This Row],[DIFERENCIA IVA ]]))</f>
        <v>34453.781512605041</v>
      </c>
    </row>
    <row r="423" spans="1:20" ht="105" x14ac:dyDescent="0.25">
      <c r="A423" s="56">
        <v>44925</v>
      </c>
      <c r="B423" s="4" t="s">
        <v>4400</v>
      </c>
      <c r="C423" s="4" t="s">
        <v>4401</v>
      </c>
      <c r="D423" s="4" t="s">
        <v>4402</v>
      </c>
      <c r="E423" s="1" t="s">
        <v>1203</v>
      </c>
      <c r="F423" s="1" t="s">
        <v>2446</v>
      </c>
      <c r="G423" s="154" t="s">
        <v>4403</v>
      </c>
      <c r="H423" s="148">
        <v>280000</v>
      </c>
      <c r="I423" s="15">
        <f>Tabla2456789[[#This Row],[TOTAL FACTURA]]*0.7</f>
        <v>196000</v>
      </c>
      <c r="J423" s="177">
        <f t="shared" si="14"/>
        <v>84000</v>
      </c>
      <c r="K423" s="10" t="s">
        <v>4404</v>
      </c>
      <c r="L423" s="11">
        <v>532000</v>
      </c>
      <c r="M423" s="11">
        <f>Tabla2456789[[#This Row],[MONTO DE COMPRA]]/1.19</f>
        <v>447058.82352941181</v>
      </c>
      <c r="N423" s="11">
        <f>Tabla2456789[[#This Row],[Columna1]]*19%</f>
        <v>84941.176470588238</v>
      </c>
      <c r="O423" s="11">
        <v>706000</v>
      </c>
      <c r="P423" s="11">
        <f>Tabla2456789[[#This Row],[VENTA ]]/1.19</f>
        <v>593277.31092436973</v>
      </c>
      <c r="Q423" s="11">
        <f>Tabla2456789[[#This Row],[Columna2]]*19%</f>
        <v>112722.68907563025</v>
      </c>
      <c r="R423" s="11">
        <f>Tabla2456789[[#This Row],[IVA VENTA ]]-Tabla2456789[[#This Row],[IV COMPRA]]</f>
        <v>27781.512605042008</v>
      </c>
      <c r="S423" s="11">
        <f>(Tabla2456789[[#This Row],[VENTA ]]-(Tabla2456789[[#This Row],[MONTO DE COMPRA]]+Tabla2456789[[#This Row],[DIFERENCIA IVA ]]))</f>
        <v>146218.48739495804</v>
      </c>
    </row>
    <row r="424" spans="1:20" ht="30" x14ac:dyDescent="0.25">
      <c r="A424" s="56">
        <v>44925</v>
      </c>
      <c r="C424" s="4" t="s">
        <v>646</v>
      </c>
      <c r="D424" s="4" t="s">
        <v>1435</v>
      </c>
      <c r="E424" s="1" t="s">
        <v>1434</v>
      </c>
      <c r="F424" s="1" t="s">
        <v>2446</v>
      </c>
      <c r="G424" s="154" t="s">
        <v>4405</v>
      </c>
      <c r="H424" s="148">
        <v>80000</v>
      </c>
      <c r="I424" s="15">
        <f>Tabla2456789[[#This Row],[TOTAL FACTURA]]*0.7</f>
        <v>56000</v>
      </c>
      <c r="J424" s="177">
        <f t="shared" si="14"/>
        <v>24000</v>
      </c>
      <c r="K424" s="10"/>
      <c r="L424" s="11"/>
      <c r="M424" s="11">
        <f>Tabla2456789[[#This Row],[MONTO DE COMPRA]]/1.19</f>
        <v>0</v>
      </c>
      <c r="N424" s="11">
        <f>Tabla2456789[[#This Row],[Columna1]]*19%</f>
        <v>0</v>
      </c>
      <c r="O424" s="11"/>
      <c r="P424" s="11">
        <f>Tabla2456789[[#This Row],[VENTA ]]/1.19</f>
        <v>0</v>
      </c>
      <c r="Q424" s="11">
        <f>Tabla2456789[[#This Row],[Columna2]]*19%</f>
        <v>0</v>
      </c>
      <c r="R424" s="11">
        <f>Tabla2456789[[#This Row],[IVA VENTA ]]-Tabla2456789[[#This Row],[IV COMPRA]]</f>
        <v>0</v>
      </c>
      <c r="S424" s="11">
        <f>(Tabla2456789[[#This Row],[VENTA ]]-(Tabla2456789[[#This Row],[MONTO DE COMPRA]]+Tabla2456789[[#This Row],[DIFERENCIA IVA ]]))</f>
        <v>0</v>
      </c>
    </row>
    <row r="425" spans="1:20" x14ac:dyDescent="0.25">
      <c r="A425" s="56">
        <v>44925</v>
      </c>
      <c r="C425" s="182"/>
      <c r="D425" s="4"/>
      <c r="F425" s="1" t="s">
        <v>3666</v>
      </c>
      <c r="G425" s="154" t="s">
        <v>4406</v>
      </c>
      <c r="H425" s="148">
        <v>20000</v>
      </c>
      <c r="I425" s="15">
        <f>Tabla2456789[[#This Row],[TOTAL FACTURA]]*0.5</f>
        <v>10000</v>
      </c>
      <c r="J425" s="177">
        <f t="shared" si="13"/>
        <v>10000</v>
      </c>
      <c r="K425" s="10"/>
      <c r="L425" s="11"/>
      <c r="M425" s="11">
        <f>Tabla2456789[[#This Row],[MONTO DE COMPRA]]/1.19</f>
        <v>0</v>
      </c>
      <c r="N425" s="11">
        <f>Tabla2456789[[#This Row],[Columna1]]*19%</f>
        <v>0</v>
      </c>
      <c r="O425" s="11"/>
      <c r="P425" s="11">
        <f>Tabla2456789[[#This Row],[VENTA ]]/1.19</f>
        <v>0</v>
      </c>
      <c r="Q425" s="11">
        <f>Tabla2456789[[#This Row],[Columna2]]*19%</f>
        <v>0</v>
      </c>
      <c r="R425" s="11">
        <f>Tabla2456789[[#This Row],[IVA VENTA ]]-Tabla2456789[[#This Row],[IV COMPRA]]</f>
        <v>0</v>
      </c>
      <c r="S425" s="11">
        <f>(Tabla2456789[[#This Row],[VENTA ]]-(Tabla2456789[[#This Row],[MONTO DE COMPRA]]+Tabla2456789[[#This Row],[DIFERENCIA IVA ]]))</f>
        <v>0</v>
      </c>
    </row>
    <row r="426" spans="1:20" ht="45" x14ac:dyDescent="0.25">
      <c r="A426" s="56">
        <v>44925</v>
      </c>
      <c r="C426" s="182"/>
      <c r="D426" s="4" t="s">
        <v>4410</v>
      </c>
      <c r="E426" s="1" t="s">
        <v>54</v>
      </c>
      <c r="F426" s="1" t="s">
        <v>2446</v>
      </c>
      <c r="G426" s="154" t="s">
        <v>4411</v>
      </c>
      <c r="H426" s="148">
        <v>110000</v>
      </c>
      <c r="I426" s="15">
        <f>Tabla2456789[[#This Row],[TOTAL FACTURA]]*0.7</f>
        <v>77000</v>
      </c>
      <c r="J426" s="177">
        <f t="shared" si="13"/>
        <v>33000</v>
      </c>
      <c r="K426" s="10"/>
      <c r="L426" s="11"/>
      <c r="M426" s="11">
        <f>Tabla2456789[[#This Row],[MONTO DE COMPRA]]/1.19</f>
        <v>0</v>
      </c>
      <c r="N426" s="11">
        <f>Tabla2456789[[#This Row],[Columna1]]*19%</f>
        <v>0</v>
      </c>
      <c r="O426" s="11"/>
      <c r="P426" s="11">
        <f>Tabla2456789[[#This Row],[VENTA ]]/1.19</f>
        <v>0</v>
      </c>
      <c r="Q426" s="11">
        <f>Tabla2456789[[#This Row],[Columna2]]*19%</f>
        <v>0</v>
      </c>
      <c r="R426" s="11">
        <f>Tabla2456789[[#This Row],[IVA VENTA ]]-Tabla2456789[[#This Row],[IV COMPRA]]</f>
        <v>0</v>
      </c>
      <c r="S426" s="11">
        <f>(Tabla2456789[[#This Row],[VENTA ]]-(Tabla2456789[[#This Row],[MONTO DE COMPRA]]+Tabla2456789[[#This Row],[DIFERENCIA IVA ]]))</f>
        <v>0</v>
      </c>
    </row>
    <row r="427" spans="1:20" x14ac:dyDescent="0.25">
      <c r="F427" s="1"/>
      <c r="G427" s="144"/>
      <c r="H427" s="11">
        <f>SUBTOTAL(109,Tabla2456789[TOTAL FACTURA])</f>
        <v>37901500</v>
      </c>
      <c r="I427" s="11">
        <f>SUBTOTAL(109,Tabla2456789[PORCENTAJE A CANCELAR])</f>
        <v>24175550</v>
      </c>
      <c r="J427" s="11">
        <f>SUBTOTAL(109,Tabla2456789[GANANCIA POR SERVICIOS])</f>
        <v>13681950</v>
      </c>
      <c r="T427" s="11"/>
    </row>
  </sheetData>
  <phoneticPr fontId="21" type="noConversion"/>
  <pageMargins left="0.70866141732283472" right="0.70866141732283472" top="0.74803149606299213" bottom="0.74803149606299213" header="0.31496062992125984" footer="0.31496062992125984"/>
  <pageSetup paperSize="9" scale="70" orientation="landscape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838118-4AF2-4A76-9EED-58AD9E1A2A7B}">
          <x14:formula1>
            <xm:f>DETALLES!$A$1:$A$2</xm:f>
          </x14:formula1>
          <xm:sqref>T1</xm:sqref>
        </x14:dataValidation>
        <x14:dataValidation type="list" allowBlank="1" showInputMessage="1" showErrorMessage="1" xr:uid="{33460AA3-B0C8-4F14-88E7-508B34DD963B}">
          <x14:formula1>
            <xm:f>AREA!$A$2:$A$12</xm:f>
          </x14:formula1>
          <xm:sqref>D428:D1048576 F2:F426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E3DC-854C-4656-8ED5-2D950DA06CF1}">
  <dimension ref="B1:I18"/>
  <sheetViews>
    <sheetView zoomScale="130" zoomScaleNormal="130" workbookViewId="0">
      <selection activeCell="D20" sqref="D20"/>
    </sheetView>
  </sheetViews>
  <sheetFormatPr baseColWidth="10" defaultRowHeight="15" x14ac:dyDescent="0.25"/>
  <cols>
    <col min="1" max="1" width="2.85546875" customWidth="1"/>
    <col min="2" max="2" width="20" customWidth="1"/>
    <col min="3" max="3" width="14" customWidth="1"/>
    <col min="4" max="4" width="20.7109375" customWidth="1"/>
    <col min="5" max="5" width="14.7109375" customWidth="1"/>
    <col min="6" max="6" width="14.5703125" customWidth="1"/>
    <col min="7" max="7" width="16.5703125" customWidth="1"/>
    <col min="8" max="8" width="20" customWidth="1"/>
    <col min="9" max="9" width="19.5703125" customWidth="1"/>
    <col min="10" max="10" width="24.28515625" customWidth="1"/>
    <col min="11" max="11" width="14.85546875" customWidth="1"/>
    <col min="12" max="12" width="14.42578125" customWidth="1"/>
  </cols>
  <sheetData>
    <row r="1" spans="2:9" x14ac:dyDescent="0.25">
      <c r="B1" s="3" t="s">
        <v>1754</v>
      </c>
    </row>
    <row r="2" spans="2:9" ht="15.75" customHeight="1" x14ac:dyDescent="0.25">
      <c r="B2" s="26" t="s">
        <v>187</v>
      </c>
      <c r="C2" s="26" t="s">
        <v>179</v>
      </c>
      <c r="D2" s="26" t="s">
        <v>15</v>
      </c>
      <c r="E2" s="26" t="s">
        <v>182</v>
      </c>
      <c r="F2" s="26" t="s">
        <v>184</v>
      </c>
      <c r="G2" s="65" t="s">
        <v>192</v>
      </c>
    </row>
    <row r="3" spans="2:9" x14ac:dyDescent="0.25">
      <c r="B3" s="27" t="s">
        <v>30</v>
      </c>
      <c r="C3" s="48">
        <v>1077085321</v>
      </c>
      <c r="D3" s="26" t="s">
        <v>12</v>
      </c>
      <c r="E3" s="28">
        <v>310000</v>
      </c>
      <c r="F3" s="28">
        <v>310000</v>
      </c>
      <c r="G3" s="49">
        <f t="shared" ref="G3" si="0">E3-F3</f>
        <v>0</v>
      </c>
    </row>
    <row r="6" spans="2:9" x14ac:dyDescent="0.25">
      <c r="B6" s="3" t="s">
        <v>1755</v>
      </c>
    </row>
    <row r="7" spans="2:9" x14ac:dyDescent="0.25">
      <c r="B7" s="26" t="s">
        <v>187</v>
      </c>
      <c r="C7" s="26" t="s">
        <v>179</v>
      </c>
      <c r="D7" s="26" t="s">
        <v>15</v>
      </c>
      <c r="E7" s="26" t="s">
        <v>182</v>
      </c>
      <c r="F7" s="26" t="s">
        <v>184</v>
      </c>
      <c r="G7" s="65" t="s">
        <v>192</v>
      </c>
    </row>
    <row r="8" spans="2:9" x14ac:dyDescent="0.25">
      <c r="B8" s="27" t="s">
        <v>30</v>
      </c>
      <c r="C8" s="48">
        <v>1077085321</v>
      </c>
      <c r="D8" s="26" t="s">
        <v>12</v>
      </c>
      <c r="E8" s="28">
        <v>150000</v>
      </c>
      <c r="F8" s="28">
        <v>150000</v>
      </c>
      <c r="G8" s="49">
        <f t="shared" ref="G8" si="1">E8-F8</f>
        <v>0</v>
      </c>
    </row>
    <row r="9" spans="2:9" x14ac:dyDescent="0.25">
      <c r="I9" s="64"/>
    </row>
    <row r="10" spans="2:9" x14ac:dyDescent="0.25">
      <c r="B10" s="3" t="s">
        <v>1843</v>
      </c>
    </row>
    <row r="11" spans="2:9" x14ac:dyDescent="0.25">
      <c r="B11" s="26" t="s">
        <v>187</v>
      </c>
      <c r="C11" s="26" t="s">
        <v>179</v>
      </c>
      <c r="D11" s="26" t="s">
        <v>15</v>
      </c>
      <c r="E11" s="26" t="s">
        <v>182</v>
      </c>
      <c r="F11" s="26" t="s">
        <v>184</v>
      </c>
      <c r="G11" s="65" t="s">
        <v>192</v>
      </c>
    </row>
    <row r="12" spans="2:9" x14ac:dyDescent="0.25">
      <c r="B12" s="27" t="s">
        <v>30</v>
      </c>
      <c r="C12" s="48">
        <v>1077085321</v>
      </c>
      <c r="D12" s="26" t="s">
        <v>12</v>
      </c>
      <c r="E12" s="28">
        <v>513000</v>
      </c>
      <c r="F12" s="28">
        <v>221000</v>
      </c>
      <c r="G12" s="103">
        <f t="shared" ref="G12" si="2">E12-F12</f>
        <v>292000</v>
      </c>
    </row>
    <row r="13" spans="2:9" x14ac:dyDescent="0.25">
      <c r="E13" s="51">
        <f>SUM(E12:E12)</f>
        <v>513000</v>
      </c>
      <c r="F13" s="3"/>
      <c r="G13" s="51">
        <f>SUM(G12:G12)</f>
        <v>292000</v>
      </c>
    </row>
    <row r="15" spans="2:9" x14ac:dyDescent="0.25">
      <c r="B15" s="3" t="s">
        <v>1906</v>
      </c>
    </row>
    <row r="16" spans="2:9" x14ac:dyDescent="0.25">
      <c r="B16" s="26" t="s">
        <v>187</v>
      </c>
      <c r="C16" s="26" t="s">
        <v>179</v>
      </c>
      <c r="D16" s="26" t="s">
        <v>15</v>
      </c>
      <c r="E16" s="26" t="s">
        <v>182</v>
      </c>
      <c r="F16" s="26" t="s">
        <v>184</v>
      </c>
      <c r="G16" s="65" t="s">
        <v>192</v>
      </c>
    </row>
    <row r="17" spans="2:7" x14ac:dyDescent="0.25">
      <c r="B17" s="27" t="s">
        <v>30</v>
      </c>
      <c r="C17" s="48">
        <v>1077085321</v>
      </c>
      <c r="D17" s="26" t="s">
        <v>12</v>
      </c>
      <c r="E17" s="28">
        <v>48000</v>
      </c>
      <c r="F17" s="28"/>
      <c r="G17" s="103">
        <f t="shared" ref="G17" si="3">E17-F17</f>
        <v>48000</v>
      </c>
    </row>
    <row r="18" spans="2:7" x14ac:dyDescent="0.25">
      <c r="E18" s="106">
        <f>SUM(E17:E17)</f>
        <v>48000</v>
      </c>
      <c r="F18" s="1"/>
      <c r="G18" s="106">
        <f>SUM(G17:G17)</f>
        <v>48000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C8C1-A3D0-41D5-AF04-B0361FF4E61F}">
  <dimension ref="A2:L174"/>
  <sheetViews>
    <sheetView topLeftCell="A88" workbookViewId="0">
      <selection activeCell="F119" sqref="F119"/>
    </sheetView>
  </sheetViews>
  <sheetFormatPr baseColWidth="10" defaultRowHeight="18.75" x14ac:dyDescent="0.3"/>
  <cols>
    <col min="1" max="1" width="26.7109375" style="165" customWidth="1"/>
    <col min="2" max="2" width="18.42578125" style="165" customWidth="1"/>
    <col min="3" max="3" width="27.140625" style="165" customWidth="1"/>
    <col min="4" max="4" width="22.140625" style="165" customWidth="1"/>
    <col min="5" max="5" width="19.42578125" style="165" customWidth="1"/>
    <col min="6" max="6" width="25.5703125" style="165" customWidth="1"/>
    <col min="7" max="7" width="22.5703125" style="165" customWidth="1"/>
    <col min="8" max="10" width="11.42578125" style="165"/>
    <col min="11" max="11" width="38.28515625" style="165" customWidth="1"/>
    <col min="12" max="12" width="34.7109375" style="165" customWidth="1"/>
    <col min="13" max="16384" width="11.42578125" style="165"/>
  </cols>
  <sheetData>
    <row r="2" spans="1:6" x14ac:dyDescent="0.3">
      <c r="A2" s="164" t="s">
        <v>3398</v>
      </c>
    </row>
    <row r="3" spans="1:6" x14ac:dyDescent="0.3">
      <c r="A3" s="166" t="s">
        <v>187</v>
      </c>
      <c r="B3" s="166" t="s">
        <v>179</v>
      </c>
      <c r="C3" s="166" t="s">
        <v>15</v>
      </c>
      <c r="D3" s="166" t="s">
        <v>182</v>
      </c>
      <c r="E3" s="166" t="s">
        <v>184</v>
      </c>
      <c r="F3" s="167" t="s">
        <v>192</v>
      </c>
    </row>
    <row r="4" spans="1:6" x14ac:dyDescent="0.3">
      <c r="A4" s="168" t="s">
        <v>10</v>
      </c>
      <c r="B4" s="169">
        <v>13029957</v>
      </c>
      <c r="C4" s="166" t="s">
        <v>12</v>
      </c>
      <c r="D4" s="170">
        <v>716000</v>
      </c>
      <c r="E4" s="170">
        <v>30000</v>
      </c>
      <c r="F4" s="167">
        <f t="shared" ref="F4:F8" si="0">D4-E4</f>
        <v>686000</v>
      </c>
    </row>
    <row r="5" spans="1:6" x14ac:dyDescent="0.3">
      <c r="A5" s="168" t="s">
        <v>33</v>
      </c>
      <c r="B5" s="169">
        <v>18929731</v>
      </c>
      <c r="C5" s="166" t="s">
        <v>18</v>
      </c>
      <c r="D5" s="170">
        <v>1098000</v>
      </c>
      <c r="E5" s="170"/>
      <c r="F5" s="167">
        <f t="shared" si="0"/>
        <v>1098000</v>
      </c>
    </row>
    <row r="6" spans="1:6" x14ac:dyDescent="0.3">
      <c r="A6" s="168" t="s">
        <v>408</v>
      </c>
      <c r="B6" s="169">
        <v>29642952</v>
      </c>
      <c r="C6" s="166" t="s">
        <v>188</v>
      </c>
      <c r="D6" s="170">
        <f>1318000/2</f>
        <v>659000</v>
      </c>
      <c r="E6" s="170"/>
      <c r="F6" s="167">
        <f t="shared" si="0"/>
        <v>659000</v>
      </c>
    </row>
    <row r="7" spans="1:6" x14ac:dyDescent="0.3">
      <c r="A7" s="168" t="s">
        <v>19</v>
      </c>
      <c r="B7" s="169">
        <v>26823112</v>
      </c>
      <c r="C7" s="166" t="s">
        <v>188</v>
      </c>
      <c r="D7" s="170">
        <f>1318000/2</f>
        <v>659000</v>
      </c>
      <c r="E7" s="170"/>
      <c r="F7" s="167">
        <f t="shared" si="0"/>
        <v>659000</v>
      </c>
    </row>
    <row r="8" spans="1:6" x14ac:dyDescent="0.3">
      <c r="A8" s="168" t="s">
        <v>2572</v>
      </c>
      <c r="B8" s="169">
        <v>14338908</v>
      </c>
      <c r="C8" s="166" t="s">
        <v>1617</v>
      </c>
      <c r="D8" s="170">
        <v>200000</v>
      </c>
      <c r="E8" s="170"/>
      <c r="F8" s="167">
        <f t="shared" si="0"/>
        <v>200000</v>
      </c>
    </row>
    <row r="9" spans="1:6" x14ac:dyDescent="0.3">
      <c r="F9" s="108">
        <f>SUM(F4:F8)</f>
        <v>3302000</v>
      </c>
    </row>
    <row r="11" spans="1:6" x14ac:dyDescent="0.3">
      <c r="F11" s="108">
        <v>150000</v>
      </c>
    </row>
    <row r="13" spans="1:6" x14ac:dyDescent="0.3">
      <c r="F13" s="171">
        <f>SUM(F9:F11)</f>
        <v>3452000</v>
      </c>
    </row>
    <row r="17" spans="1:6" x14ac:dyDescent="0.3">
      <c r="A17" s="164" t="s">
        <v>3507</v>
      </c>
    </row>
    <row r="18" spans="1:6" x14ac:dyDescent="0.3">
      <c r="A18" s="166" t="s">
        <v>187</v>
      </c>
      <c r="B18" s="166" t="s">
        <v>179</v>
      </c>
      <c r="C18" s="166" t="s">
        <v>15</v>
      </c>
      <c r="D18" s="166" t="s">
        <v>182</v>
      </c>
      <c r="E18" s="166" t="s">
        <v>184</v>
      </c>
      <c r="F18" s="167" t="s">
        <v>192</v>
      </c>
    </row>
    <row r="19" spans="1:6" x14ac:dyDescent="0.3">
      <c r="A19" s="168" t="s">
        <v>10</v>
      </c>
      <c r="B19" s="169">
        <v>13029957</v>
      </c>
      <c r="C19" s="166" t="s">
        <v>12</v>
      </c>
      <c r="D19" s="170">
        <v>385000</v>
      </c>
      <c r="E19" s="170"/>
      <c r="F19" s="167">
        <f t="shared" ref="F19:F25" si="1">D19-E19</f>
        <v>385000</v>
      </c>
    </row>
    <row r="20" spans="1:6" x14ac:dyDescent="0.3">
      <c r="A20" s="168" t="s">
        <v>33</v>
      </c>
      <c r="B20" s="169">
        <v>18929731</v>
      </c>
      <c r="C20" s="166" t="s">
        <v>18</v>
      </c>
      <c r="D20" s="170">
        <v>1011000</v>
      </c>
      <c r="E20" s="170"/>
      <c r="F20" s="167">
        <f t="shared" si="1"/>
        <v>1011000</v>
      </c>
    </row>
    <row r="21" spans="1:6" x14ac:dyDescent="0.3">
      <c r="A21" s="168" t="s">
        <v>408</v>
      </c>
      <c r="B21" s="169">
        <v>29642952</v>
      </c>
      <c r="C21" s="166" t="s">
        <v>188</v>
      </c>
      <c r="D21" s="170">
        <f>1012900/2</f>
        <v>506450</v>
      </c>
      <c r="E21" s="170"/>
      <c r="F21" s="167">
        <f t="shared" si="1"/>
        <v>506450</v>
      </c>
    </row>
    <row r="22" spans="1:6" x14ac:dyDescent="0.3">
      <c r="A22" s="168" t="s">
        <v>19</v>
      </c>
      <c r="B22" s="169">
        <v>26823112</v>
      </c>
      <c r="C22" s="166" t="s">
        <v>188</v>
      </c>
      <c r="D22" s="170">
        <f>1012900/2</f>
        <v>506450</v>
      </c>
      <c r="E22" s="170">
        <v>17500</v>
      </c>
      <c r="F22" s="167">
        <f t="shared" si="1"/>
        <v>488950</v>
      </c>
    </row>
    <row r="23" spans="1:6" x14ac:dyDescent="0.3">
      <c r="A23" s="168" t="s">
        <v>2572</v>
      </c>
      <c r="B23" s="169">
        <v>14338908</v>
      </c>
      <c r="C23" s="166" t="s">
        <v>1617</v>
      </c>
      <c r="D23" s="170">
        <v>200000</v>
      </c>
      <c r="E23" s="170"/>
      <c r="F23" s="167">
        <f t="shared" si="1"/>
        <v>200000</v>
      </c>
    </row>
    <row r="24" spans="1:6" x14ac:dyDescent="0.3">
      <c r="A24" s="168" t="s">
        <v>280</v>
      </c>
      <c r="B24" s="169"/>
      <c r="C24" s="166" t="s">
        <v>1617</v>
      </c>
      <c r="D24" s="170">
        <v>300000</v>
      </c>
      <c r="E24" s="170">
        <v>100000</v>
      </c>
      <c r="F24" s="167">
        <f t="shared" si="1"/>
        <v>200000</v>
      </c>
    </row>
    <row r="25" spans="1:6" x14ac:dyDescent="0.3">
      <c r="A25" s="168" t="s">
        <v>282</v>
      </c>
      <c r="B25" s="169">
        <v>16293069</v>
      </c>
      <c r="C25" s="166" t="s">
        <v>1617</v>
      </c>
      <c r="D25" s="170">
        <v>500000</v>
      </c>
      <c r="E25" s="170"/>
      <c r="F25" s="167">
        <f t="shared" si="1"/>
        <v>500000</v>
      </c>
    </row>
    <row r="26" spans="1:6" x14ac:dyDescent="0.3">
      <c r="A26" s="168" t="s">
        <v>3508</v>
      </c>
      <c r="B26" s="169"/>
      <c r="C26" s="166"/>
      <c r="D26" s="170">
        <v>302500</v>
      </c>
      <c r="E26" s="170"/>
      <c r="F26" s="167"/>
    </row>
    <row r="27" spans="1:6" x14ac:dyDescent="0.3">
      <c r="D27" s="171">
        <f>SUM(D19:D26)</f>
        <v>3711400</v>
      </c>
      <c r="F27" s="171">
        <f>SUM(F19:F26)</f>
        <v>3291400</v>
      </c>
    </row>
    <row r="31" spans="1:6" x14ac:dyDescent="0.3">
      <c r="A31" s="164" t="s">
        <v>3568</v>
      </c>
    </row>
    <row r="32" spans="1:6" x14ac:dyDescent="0.3">
      <c r="A32" s="166" t="s">
        <v>187</v>
      </c>
      <c r="B32" s="166" t="s">
        <v>179</v>
      </c>
      <c r="C32" s="166" t="s">
        <v>15</v>
      </c>
      <c r="D32" s="166" t="s">
        <v>182</v>
      </c>
      <c r="E32" s="166" t="s">
        <v>184</v>
      </c>
      <c r="F32" s="167" t="s">
        <v>192</v>
      </c>
    </row>
    <row r="33" spans="1:7" x14ac:dyDescent="0.3">
      <c r="A33" s="168" t="s">
        <v>10</v>
      </c>
      <c r="B33" s="169">
        <v>13029957</v>
      </c>
      <c r="C33" s="166" t="s">
        <v>12</v>
      </c>
      <c r="D33" s="170">
        <v>259000</v>
      </c>
      <c r="E33" s="170"/>
      <c r="F33" s="167">
        <f t="shared" ref="F33:F37" si="2">D33-E33</f>
        <v>259000</v>
      </c>
    </row>
    <row r="34" spans="1:7" x14ac:dyDescent="0.3">
      <c r="A34" s="168" t="s">
        <v>33</v>
      </c>
      <c r="B34" s="169">
        <v>18929731</v>
      </c>
      <c r="C34" s="166" t="s">
        <v>18</v>
      </c>
      <c r="D34" s="170">
        <v>600000</v>
      </c>
      <c r="E34" s="170"/>
      <c r="F34" s="167">
        <f t="shared" si="2"/>
        <v>600000</v>
      </c>
      <c r="G34" s="167">
        <v>101880</v>
      </c>
    </row>
    <row r="35" spans="1:7" x14ac:dyDescent="0.3">
      <c r="A35" s="168" t="s">
        <v>408</v>
      </c>
      <c r="B35" s="169">
        <v>29642952</v>
      </c>
      <c r="C35" s="166" t="s">
        <v>188</v>
      </c>
      <c r="D35" s="170">
        <f>880000/2</f>
        <v>440000</v>
      </c>
      <c r="E35" s="170"/>
      <c r="F35" s="167">
        <f t="shared" si="2"/>
        <v>440000</v>
      </c>
    </row>
    <row r="36" spans="1:7" x14ac:dyDescent="0.3">
      <c r="A36" s="168" t="s">
        <v>19</v>
      </c>
      <c r="B36" s="169">
        <v>26823112</v>
      </c>
      <c r="C36" s="166" t="s">
        <v>188</v>
      </c>
      <c r="D36" s="170">
        <f>880000/2</f>
        <v>440000</v>
      </c>
      <c r="E36" s="170">
        <v>75000</v>
      </c>
      <c r="F36" s="167">
        <f t="shared" si="2"/>
        <v>365000</v>
      </c>
    </row>
    <row r="37" spans="1:7" x14ac:dyDescent="0.3">
      <c r="A37" s="168" t="s">
        <v>2572</v>
      </c>
      <c r="B37" s="169">
        <v>14338908</v>
      </c>
      <c r="C37" s="166" t="s">
        <v>1617</v>
      </c>
      <c r="D37" s="170">
        <v>200000</v>
      </c>
      <c r="E37" s="170"/>
      <c r="F37" s="167">
        <f t="shared" si="2"/>
        <v>200000</v>
      </c>
    </row>
    <row r="38" spans="1:7" x14ac:dyDescent="0.3">
      <c r="A38" s="168" t="s">
        <v>3508</v>
      </c>
      <c r="B38" s="169"/>
      <c r="C38" s="166"/>
      <c r="D38" s="170">
        <v>235000</v>
      </c>
      <c r="E38" s="170"/>
      <c r="F38" s="167">
        <v>285000</v>
      </c>
    </row>
    <row r="39" spans="1:7" x14ac:dyDescent="0.3">
      <c r="D39" s="171">
        <f>SUM(D33:D38)</f>
        <v>2174000</v>
      </c>
      <c r="F39" s="171">
        <f>SUM(F33:F38)</f>
        <v>2149000</v>
      </c>
    </row>
    <row r="42" spans="1:7" x14ac:dyDescent="0.3">
      <c r="E42" s="165" t="s">
        <v>3572</v>
      </c>
      <c r="F42" s="171">
        <v>475000</v>
      </c>
    </row>
    <row r="43" spans="1:7" x14ac:dyDescent="0.3">
      <c r="F43" s="171"/>
    </row>
    <row r="45" spans="1:7" x14ac:dyDescent="0.3">
      <c r="F45" s="171"/>
    </row>
    <row r="46" spans="1:7" x14ac:dyDescent="0.3">
      <c r="A46" s="164" t="s">
        <v>3650</v>
      </c>
    </row>
    <row r="47" spans="1:7" x14ac:dyDescent="0.3">
      <c r="A47" s="166" t="s">
        <v>187</v>
      </c>
      <c r="B47" s="166" t="s">
        <v>179</v>
      </c>
      <c r="C47" s="166" t="s">
        <v>15</v>
      </c>
      <c r="D47" s="166" t="s">
        <v>182</v>
      </c>
      <c r="E47" s="166" t="s">
        <v>184</v>
      </c>
      <c r="F47" s="167" t="s">
        <v>192</v>
      </c>
    </row>
    <row r="48" spans="1:7" x14ac:dyDescent="0.3">
      <c r="A48" s="168" t="s">
        <v>10</v>
      </c>
      <c r="B48" s="169">
        <v>13029957</v>
      </c>
      <c r="C48" s="166" t="s">
        <v>12</v>
      </c>
      <c r="D48" s="170"/>
      <c r="E48" s="170"/>
      <c r="F48" s="167">
        <f t="shared" ref="F48:F55" si="3">D48-E48</f>
        <v>0</v>
      </c>
    </row>
    <row r="49" spans="1:6" x14ac:dyDescent="0.3">
      <c r="A49" s="168" t="s">
        <v>33</v>
      </c>
      <c r="B49" s="169">
        <v>18929731</v>
      </c>
      <c r="C49" s="166" t="s">
        <v>18</v>
      </c>
      <c r="D49" s="170">
        <v>1200000</v>
      </c>
      <c r="E49" s="170">
        <v>25000</v>
      </c>
      <c r="F49" s="167">
        <f t="shared" si="3"/>
        <v>1175000</v>
      </c>
    </row>
    <row r="50" spans="1:6" x14ac:dyDescent="0.3">
      <c r="A50" s="168" t="s">
        <v>408</v>
      </c>
      <c r="B50" s="169">
        <v>29642952</v>
      </c>
      <c r="C50" s="166" t="s">
        <v>188</v>
      </c>
      <c r="D50" s="170">
        <f>943600/2</f>
        <v>471800</v>
      </c>
      <c r="E50" s="170"/>
      <c r="F50" s="167">
        <f t="shared" si="3"/>
        <v>471800</v>
      </c>
    </row>
    <row r="51" spans="1:6" x14ac:dyDescent="0.3">
      <c r="A51" s="168" t="s">
        <v>19</v>
      </c>
      <c r="B51" s="169">
        <v>26823112</v>
      </c>
      <c r="C51" s="166" t="s">
        <v>188</v>
      </c>
      <c r="D51" s="170">
        <f>943600/2</f>
        <v>471800</v>
      </c>
      <c r="E51" s="170">
        <v>75000</v>
      </c>
      <c r="F51" s="167">
        <f t="shared" si="3"/>
        <v>396800</v>
      </c>
    </row>
    <row r="52" spans="1:6" x14ac:dyDescent="0.3">
      <c r="A52" s="168" t="s">
        <v>2572</v>
      </c>
      <c r="B52" s="169">
        <v>14338908</v>
      </c>
      <c r="C52" s="166" t="s">
        <v>1617</v>
      </c>
      <c r="D52" s="170">
        <v>200000</v>
      </c>
      <c r="E52" s="170"/>
      <c r="F52" s="167">
        <f t="shared" si="3"/>
        <v>200000</v>
      </c>
    </row>
    <row r="53" spans="1:6" x14ac:dyDescent="0.3">
      <c r="A53" s="168" t="s">
        <v>3508</v>
      </c>
      <c r="B53" s="169"/>
      <c r="C53" s="166" t="s">
        <v>3651</v>
      </c>
      <c r="D53" s="170">
        <v>252500</v>
      </c>
      <c r="E53" s="170"/>
      <c r="F53" s="167">
        <f t="shared" si="3"/>
        <v>252500</v>
      </c>
    </row>
    <row r="54" spans="1:6" x14ac:dyDescent="0.3">
      <c r="A54" s="168" t="s">
        <v>280</v>
      </c>
      <c r="B54" s="169"/>
      <c r="C54" s="166" t="s">
        <v>1617</v>
      </c>
      <c r="D54" s="170">
        <v>300000</v>
      </c>
      <c r="E54" s="170">
        <v>44000</v>
      </c>
      <c r="F54" s="167">
        <f t="shared" si="3"/>
        <v>256000</v>
      </c>
    </row>
    <row r="55" spans="1:6" x14ac:dyDescent="0.3">
      <c r="A55" s="168" t="s">
        <v>282</v>
      </c>
      <c r="B55" s="169">
        <v>16293069</v>
      </c>
      <c r="C55" s="166" t="s">
        <v>1617</v>
      </c>
      <c r="D55" s="170">
        <v>500000</v>
      </c>
      <c r="E55" s="170">
        <v>30000</v>
      </c>
      <c r="F55" s="167">
        <f t="shared" si="3"/>
        <v>470000</v>
      </c>
    </row>
    <row r="56" spans="1:6" x14ac:dyDescent="0.3">
      <c r="F56" s="171">
        <f>SUM(F48:F55)</f>
        <v>3222100</v>
      </c>
    </row>
    <row r="60" spans="1:6" x14ac:dyDescent="0.3">
      <c r="A60" s="164" t="s">
        <v>3742</v>
      </c>
    </row>
    <row r="61" spans="1:6" x14ac:dyDescent="0.3">
      <c r="A61" s="166" t="s">
        <v>187</v>
      </c>
      <c r="B61" s="166" t="s">
        <v>179</v>
      </c>
      <c r="C61" s="166" t="s">
        <v>15</v>
      </c>
      <c r="D61" s="166" t="s">
        <v>182</v>
      </c>
      <c r="E61" s="166" t="s">
        <v>184</v>
      </c>
      <c r="F61" s="167" t="s">
        <v>192</v>
      </c>
    </row>
    <row r="62" spans="1:6" x14ac:dyDescent="0.3">
      <c r="A62" s="168" t="s">
        <v>33</v>
      </c>
      <c r="B62" s="169">
        <v>18929731</v>
      </c>
      <c r="C62" s="166" t="s">
        <v>18</v>
      </c>
      <c r="D62" s="170">
        <v>1539000</v>
      </c>
      <c r="E62" s="170"/>
      <c r="F62" s="167">
        <f t="shared" ref="F62:F67" si="4">D62-E62</f>
        <v>1539000</v>
      </c>
    </row>
    <row r="63" spans="1:6" x14ac:dyDescent="0.3">
      <c r="A63" s="168" t="s">
        <v>408</v>
      </c>
      <c r="B63" s="169">
        <v>29642952</v>
      </c>
      <c r="C63" s="166" t="s">
        <v>188</v>
      </c>
      <c r="D63" s="170">
        <v>670750</v>
      </c>
      <c r="E63" s="170"/>
      <c r="F63" s="167">
        <f t="shared" si="4"/>
        <v>670750</v>
      </c>
    </row>
    <row r="64" spans="1:6" x14ac:dyDescent="0.3">
      <c r="A64" s="168" t="s">
        <v>19</v>
      </c>
      <c r="B64" s="169">
        <v>26823112</v>
      </c>
      <c r="C64" s="166" t="s">
        <v>188</v>
      </c>
      <c r="D64" s="170">
        <v>670750</v>
      </c>
      <c r="E64" s="170">
        <v>20000</v>
      </c>
      <c r="F64" s="167">
        <f>D64-E64</f>
        <v>650750</v>
      </c>
    </row>
    <row r="65" spans="1:6" x14ac:dyDescent="0.3">
      <c r="A65" s="168" t="s">
        <v>2572</v>
      </c>
      <c r="B65" s="169">
        <v>14338908</v>
      </c>
      <c r="C65" s="166" t="s">
        <v>1617</v>
      </c>
      <c r="D65" s="170">
        <v>200000</v>
      </c>
      <c r="E65" s="170"/>
      <c r="F65" s="167">
        <f t="shared" si="4"/>
        <v>200000</v>
      </c>
    </row>
    <row r="66" spans="1:6" x14ac:dyDescent="0.3">
      <c r="A66" s="168" t="s">
        <v>3508</v>
      </c>
      <c r="B66" s="169"/>
      <c r="C66" s="166" t="s">
        <v>3651</v>
      </c>
      <c r="D66" s="170">
        <f>252500+30000</f>
        <v>282500</v>
      </c>
      <c r="E66" s="170">
        <v>60000</v>
      </c>
      <c r="F66" s="167">
        <f t="shared" si="4"/>
        <v>222500</v>
      </c>
    </row>
    <row r="67" spans="1:6" x14ac:dyDescent="0.3">
      <c r="A67" s="168" t="s">
        <v>282</v>
      </c>
      <c r="B67" s="169">
        <v>16293069</v>
      </c>
      <c r="C67" s="166" t="s">
        <v>1617</v>
      </c>
      <c r="D67" s="170">
        <v>150000</v>
      </c>
      <c r="E67" s="170"/>
      <c r="F67" s="167">
        <f t="shared" si="4"/>
        <v>150000</v>
      </c>
    </row>
    <row r="68" spans="1:6" x14ac:dyDescent="0.3">
      <c r="D68" s="171">
        <f>SUM(D62:D67)</f>
        <v>3513000</v>
      </c>
      <c r="F68" s="171">
        <f>SUM(F62:F67)</f>
        <v>3433000</v>
      </c>
    </row>
    <row r="71" spans="1:6" x14ac:dyDescent="0.3">
      <c r="A71" s="164" t="s">
        <v>3811</v>
      </c>
    </row>
    <row r="72" spans="1:6" x14ac:dyDescent="0.3">
      <c r="A72" s="166" t="s">
        <v>187</v>
      </c>
      <c r="B72" s="166" t="s">
        <v>179</v>
      </c>
      <c r="C72" s="166" t="s">
        <v>15</v>
      </c>
      <c r="D72" s="166" t="s">
        <v>182</v>
      </c>
      <c r="E72" s="166" t="s">
        <v>184</v>
      </c>
      <c r="F72" s="167" t="s">
        <v>192</v>
      </c>
    </row>
    <row r="73" spans="1:6" x14ac:dyDescent="0.3">
      <c r="A73" s="168" t="s">
        <v>33</v>
      </c>
      <c r="B73" s="169">
        <v>18929731</v>
      </c>
      <c r="C73" s="166" t="s">
        <v>18</v>
      </c>
      <c r="D73" s="170">
        <v>1300000</v>
      </c>
      <c r="E73" s="170"/>
      <c r="F73" s="167">
        <f t="shared" ref="F73:F74" si="5">D73-E73</f>
        <v>1300000</v>
      </c>
    </row>
    <row r="74" spans="1:6" x14ac:dyDescent="0.3">
      <c r="A74" s="168" t="s">
        <v>408</v>
      </c>
      <c r="B74" s="169">
        <v>29642952</v>
      </c>
      <c r="C74" s="166" t="s">
        <v>188</v>
      </c>
      <c r="D74" s="170">
        <f>763000/2</f>
        <v>381500</v>
      </c>
      <c r="E74" s="170">
        <v>10000</v>
      </c>
      <c r="F74" s="167">
        <f t="shared" si="5"/>
        <v>371500</v>
      </c>
    </row>
    <row r="75" spans="1:6" x14ac:dyDescent="0.3">
      <c r="A75" s="168" t="s">
        <v>19</v>
      </c>
      <c r="B75" s="169">
        <v>26823112</v>
      </c>
      <c r="C75" s="166" t="s">
        <v>188</v>
      </c>
      <c r="D75" s="170">
        <f>763000/2</f>
        <v>381500</v>
      </c>
      <c r="E75" s="170"/>
      <c r="F75" s="167">
        <f>D75-E75</f>
        <v>381500</v>
      </c>
    </row>
    <row r="76" spans="1:6" x14ac:dyDescent="0.3">
      <c r="A76" s="168" t="s">
        <v>2572</v>
      </c>
      <c r="B76" s="169">
        <v>14338908</v>
      </c>
      <c r="C76" s="166" t="s">
        <v>1617</v>
      </c>
      <c r="D76" s="170">
        <v>200000</v>
      </c>
      <c r="E76" s="170"/>
      <c r="F76" s="167">
        <f t="shared" ref="F76:F80" si="6">D76-E76</f>
        <v>200000</v>
      </c>
    </row>
    <row r="77" spans="1:6" x14ac:dyDescent="0.3">
      <c r="A77" s="168" t="s">
        <v>3508</v>
      </c>
      <c r="B77" s="169"/>
      <c r="C77" s="166" t="s">
        <v>3651</v>
      </c>
      <c r="D77" s="170">
        <v>373250</v>
      </c>
      <c r="E77" s="170"/>
      <c r="F77" s="167">
        <f t="shared" si="6"/>
        <v>373250</v>
      </c>
    </row>
    <row r="78" spans="1:6" x14ac:dyDescent="0.3">
      <c r="A78" s="168" t="s">
        <v>3809</v>
      </c>
      <c r="B78" s="169"/>
      <c r="C78" s="166" t="s">
        <v>3810</v>
      </c>
      <c r="D78" s="170">
        <v>50000</v>
      </c>
      <c r="E78" s="170"/>
      <c r="F78" s="167">
        <f t="shared" si="6"/>
        <v>50000</v>
      </c>
    </row>
    <row r="79" spans="1:6" x14ac:dyDescent="0.3">
      <c r="A79" s="168" t="s">
        <v>282</v>
      </c>
      <c r="B79" s="169">
        <v>16293069</v>
      </c>
      <c r="C79" s="166" t="s">
        <v>1617</v>
      </c>
      <c r="D79" s="170">
        <v>500000</v>
      </c>
      <c r="E79" s="170"/>
      <c r="F79" s="167">
        <f t="shared" si="6"/>
        <v>500000</v>
      </c>
    </row>
    <row r="80" spans="1:6" x14ac:dyDescent="0.3">
      <c r="A80" s="168" t="s">
        <v>280</v>
      </c>
      <c r="B80" s="169"/>
      <c r="C80" s="166" t="s">
        <v>1617</v>
      </c>
      <c r="D80" s="170">
        <v>300000</v>
      </c>
      <c r="E80" s="170"/>
      <c r="F80" s="167">
        <f t="shared" si="6"/>
        <v>300000</v>
      </c>
    </row>
    <row r="81" spans="1:8" x14ac:dyDescent="0.3">
      <c r="F81" s="171">
        <f>SUM(F73:F80)</f>
        <v>3476250</v>
      </c>
    </row>
    <row r="84" spans="1:8" x14ac:dyDescent="0.3">
      <c r="A84" s="164" t="s">
        <v>3876</v>
      </c>
    </row>
    <row r="85" spans="1:8" x14ac:dyDescent="0.3">
      <c r="A85" s="166" t="s">
        <v>187</v>
      </c>
      <c r="B85" s="166" t="s">
        <v>179</v>
      </c>
      <c r="C85" s="166" t="s">
        <v>15</v>
      </c>
      <c r="D85" s="166" t="s">
        <v>182</v>
      </c>
      <c r="E85" s="166" t="s">
        <v>184</v>
      </c>
      <c r="F85" s="167" t="s">
        <v>192</v>
      </c>
    </row>
    <row r="86" spans="1:8" x14ac:dyDescent="0.3">
      <c r="A86" s="168" t="s">
        <v>33</v>
      </c>
      <c r="B86" s="169">
        <v>18929731</v>
      </c>
      <c r="C86" s="166" t="s">
        <v>18</v>
      </c>
      <c r="D86" s="170">
        <v>1000000</v>
      </c>
      <c r="E86" s="170"/>
      <c r="F86" s="167">
        <f t="shared" ref="F86:F87" si="7">D86-E86</f>
        <v>1000000</v>
      </c>
    </row>
    <row r="87" spans="1:8" x14ac:dyDescent="0.3">
      <c r="A87" s="168" t="s">
        <v>408</v>
      </c>
      <c r="B87" s="169">
        <v>29642952</v>
      </c>
      <c r="C87" s="166" t="s">
        <v>188</v>
      </c>
      <c r="D87" s="170">
        <f>534400+30000</f>
        <v>564400</v>
      </c>
      <c r="E87" s="170"/>
      <c r="F87" s="167">
        <f t="shared" si="7"/>
        <v>564400</v>
      </c>
    </row>
    <row r="88" spans="1:8" x14ac:dyDescent="0.3">
      <c r="A88" s="168" t="s">
        <v>19</v>
      </c>
      <c r="B88" s="169">
        <v>26823112</v>
      </c>
      <c r="C88" s="166" t="s">
        <v>188</v>
      </c>
      <c r="D88" s="170">
        <f>534400</f>
        <v>534400</v>
      </c>
      <c r="E88" s="170"/>
      <c r="F88" s="167">
        <f>D88-E88</f>
        <v>534400</v>
      </c>
    </row>
    <row r="89" spans="1:8" x14ac:dyDescent="0.3">
      <c r="A89" s="168" t="s">
        <v>2572</v>
      </c>
      <c r="B89" s="169">
        <v>14338908</v>
      </c>
      <c r="C89" s="166" t="s">
        <v>1617</v>
      </c>
      <c r="D89" s="170">
        <v>200000</v>
      </c>
      <c r="E89" s="170"/>
      <c r="F89" s="167">
        <f t="shared" ref="F89:F93" si="8">D89-E89</f>
        <v>200000</v>
      </c>
    </row>
    <row r="90" spans="1:8" x14ac:dyDescent="0.3">
      <c r="A90" s="168" t="s">
        <v>3508</v>
      </c>
      <c r="B90" s="169"/>
      <c r="C90" s="166" t="s">
        <v>3651</v>
      </c>
      <c r="D90" s="170">
        <v>202500</v>
      </c>
      <c r="E90" s="170"/>
      <c r="F90" s="167">
        <f t="shared" si="8"/>
        <v>202500</v>
      </c>
    </row>
    <row r="91" spans="1:8" x14ac:dyDescent="0.3">
      <c r="A91" s="168" t="s">
        <v>3878</v>
      </c>
      <c r="B91" s="169"/>
      <c r="C91" s="166" t="s">
        <v>3810</v>
      </c>
      <c r="D91" s="170">
        <v>150000</v>
      </c>
      <c r="E91" s="170"/>
      <c r="F91" s="167">
        <f t="shared" si="8"/>
        <v>150000</v>
      </c>
    </row>
    <row r="92" spans="1:8" x14ac:dyDescent="0.3">
      <c r="A92" s="168" t="s">
        <v>3879</v>
      </c>
      <c r="B92" s="169"/>
      <c r="C92" s="166"/>
      <c r="D92" s="170">
        <f>133000+673000</f>
        <v>806000</v>
      </c>
      <c r="E92" s="170">
        <v>20000</v>
      </c>
      <c r="F92" s="167">
        <f t="shared" si="8"/>
        <v>786000</v>
      </c>
      <c r="G92" s="170">
        <v>1346000</v>
      </c>
      <c r="H92" s="165">
        <v>673000</v>
      </c>
    </row>
    <row r="93" spans="1:8" x14ac:dyDescent="0.3">
      <c r="A93" s="168" t="s">
        <v>282</v>
      </c>
      <c r="B93" s="169">
        <v>16293069</v>
      </c>
      <c r="C93" s="166" t="s">
        <v>1617</v>
      </c>
      <c r="D93" s="170">
        <v>150000</v>
      </c>
      <c r="E93" s="170"/>
      <c r="F93" s="167">
        <f t="shared" si="8"/>
        <v>150000</v>
      </c>
    </row>
    <row r="94" spans="1:8" x14ac:dyDescent="0.3">
      <c r="F94" s="171">
        <f>SUM(F86:F93)</f>
        <v>3587300</v>
      </c>
    </row>
    <row r="97" spans="1:6" x14ac:dyDescent="0.3">
      <c r="F97" s="176">
        <f>F94-70000</f>
        <v>3517300</v>
      </c>
    </row>
    <row r="99" spans="1:6" x14ac:dyDescent="0.3">
      <c r="A99" s="164" t="s">
        <v>3950</v>
      </c>
    </row>
    <row r="100" spans="1:6" x14ac:dyDescent="0.3">
      <c r="A100" s="166" t="s">
        <v>187</v>
      </c>
      <c r="B100" s="166" t="s">
        <v>179</v>
      </c>
      <c r="C100" s="166" t="s">
        <v>15</v>
      </c>
      <c r="D100" s="166" t="s">
        <v>182</v>
      </c>
      <c r="E100" s="166" t="s">
        <v>184</v>
      </c>
      <c r="F100" s="167" t="s">
        <v>192</v>
      </c>
    </row>
    <row r="101" spans="1:6" x14ac:dyDescent="0.3">
      <c r="A101" s="168" t="s">
        <v>33</v>
      </c>
      <c r="B101" s="169">
        <v>18929731</v>
      </c>
      <c r="C101" s="166" t="s">
        <v>18</v>
      </c>
      <c r="D101" s="170">
        <v>1501560</v>
      </c>
      <c r="E101" s="170"/>
      <c r="F101" s="167">
        <f t="shared" ref="F101:F102" si="9">D101-E101</f>
        <v>1501560</v>
      </c>
    </row>
    <row r="102" spans="1:6" x14ac:dyDescent="0.3">
      <c r="A102" s="168" t="s">
        <v>408</v>
      </c>
      <c r="B102" s="169">
        <v>29642952</v>
      </c>
      <c r="C102" s="166" t="s">
        <v>188</v>
      </c>
      <c r="D102" s="170">
        <f>1050000/2</f>
        <v>525000</v>
      </c>
      <c r="E102" s="170">
        <v>40000</v>
      </c>
      <c r="F102" s="167">
        <f t="shared" si="9"/>
        <v>485000</v>
      </c>
    </row>
    <row r="103" spans="1:6" x14ac:dyDescent="0.3">
      <c r="A103" s="168" t="s">
        <v>19</v>
      </c>
      <c r="B103" s="169">
        <v>26823112</v>
      </c>
      <c r="C103" s="166" t="s">
        <v>188</v>
      </c>
      <c r="D103" s="170">
        <f>1050000/2</f>
        <v>525000</v>
      </c>
      <c r="E103" s="170"/>
      <c r="F103" s="167">
        <f>D103-E103</f>
        <v>525000</v>
      </c>
    </row>
    <row r="104" spans="1:6" x14ac:dyDescent="0.3">
      <c r="A104" s="168" t="s">
        <v>2572</v>
      </c>
      <c r="B104" s="169">
        <v>14338908</v>
      </c>
      <c r="C104" s="166" t="s">
        <v>1617</v>
      </c>
      <c r="D104" s="170">
        <v>200000</v>
      </c>
      <c r="E104" s="170"/>
      <c r="F104" s="167">
        <f t="shared" ref="F104:F106" si="10">D104-E104</f>
        <v>200000</v>
      </c>
    </row>
    <row r="105" spans="1:6" x14ac:dyDescent="0.3">
      <c r="A105" s="168" t="s">
        <v>3508</v>
      </c>
      <c r="B105" s="169"/>
      <c r="C105" s="166" t="s">
        <v>3651</v>
      </c>
      <c r="D105" s="170">
        <v>298000</v>
      </c>
      <c r="E105" s="170"/>
      <c r="F105" s="167">
        <f t="shared" si="10"/>
        <v>298000</v>
      </c>
    </row>
    <row r="106" spans="1:6" x14ac:dyDescent="0.3">
      <c r="A106" s="168" t="s">
        <v>3925</v>
      </c>
      <c r="B106" s="169"/>
      <c r="C106" s="166"/>
      <c r="D106" s="170">
        <f>196000+27000</f>
        <v>223000</v>
      </c>
      <c r="E106" s="170"/>
      <c r="F106" s="167">
        <f t="shared" si="10"/>
        <v>223000</v>
      </c>
    </row>
    <row r="107" spans="1:6" x14ac:dyDescent="0.3">
      <c r="D107" s="171">
        <f>SUM(D101:D106)</f>
        <v>3272560</v>
      </c>
      <c r="E107" s="171">
        <f>SUM(E101:E105)</f>
        <v>40000</v>
      </c>
      <c r="F107" s="171">
        <f>SUM(F101:F106)</f>
        <v>3232560</v>
      </c>
    </row>
    <row r="110" spans="1:6" x14ac:dyDescent="0.3">
      <c r="A110" s="164" t="s">
        <v>4038</v>
      </c>
    </row>
    <row r="111" spans="1:6" x14ac:dyDescent="0.3">
      <c r="A111" s="166" t="s">
        <v>187</v>
      </c>
      <c r="B111" s="166" t="s">
        <v>179</v>
      </c>
      <c r="C111" s="166" t="s">
        <v>15</v>
      </c>
      <c r="D111" s="166" t="s">
        <v>182</v>
      </c>
      <c r="E111" s="166" t="s">
        <v>184</v>
      </c>
      <c r="F111" s="167" t="s">
        <v>192</v>
      </c>
    </row>
    <row r="112" spans="1:6" x14ac:dyDescent="0.3">
      <c r="A112" s="168" t="s">
        <v>33</v>
      </c>
      <c r="B112" s="169">
        <v>18929731</v>
      </c>
      <c r="C112" s="166" t="s">
        <v>18</v>
      </c>
      <c r="D112" s="170">
        <v>1243000</v>
      </c>
      <c r="E112" s="170"/>
      <c r="F112" s="167">
        <f t="shared" ref="F112:F113" si="11">D112-E112</f>
        <v>1243000</v>
      </c>
    </row>
    <row r="113" spans="1:8" x14ac:dyDescent="0.3">
      <c r="A113" s="168" t="s">
        <v>408</v>
      </c>
      <c r="B113" s="169">
        <v>29642952</v>
      </c>
      <c r="C113" s="166" t="s">
        <v>188</v>
      </c>
      <c r="D113" s="170">
        <f>1479000/2</f>
        <v>739500</v>
      </c>
      <c r="E113" s="170"/>
      <c r="F113" s="167">
        <f t="shared" si="11"/>
        <v>739500</v>
      </c>
    </row>
    <row r="114" spans="1:8" x14ac:dyDescent="0.3">
      <c r="A114" s="168" t="s">
        <v>19</v>
      </c>
      <c r="B114" s="169">
        <v>26823112</v>
      </c>
      <c r="C114" s="166" t="s">
        <v>188</v>
      </c>
      <c r="D114" s="170">
        <f>1479000/2</f>
        <v>739500</v>
      </c>
      <c r="E114" s="170"/>
      <c r="F114" s="167">
        <f>D114-E114</f>
        <v>739500</v>
      </c>
    </row>
    <row r="115" spans="1:8" x14ac:dyDescent="0.3">
      <c r="A115" s="168" t="s">
        <v>2572</v>
      </c>
      <c r="B115" s="169">
        <v>14338908</v>
      </c>
      <c r="C115" s="166" t="s">
        <v>1617</v>
      </c>
      <c r="D115" s="170">
        <v>200000</v>
      </c>
      <c r="E115" s="170"/>
      <c r="F115" s="167">
        <f t="shared" ref="F115:F119" si="12">D115-E115</f>
        <v>200000</v>
      </c>
    </row>
    <row r="116" spans="1:8" x14ac:dyDescent="0.3">
      <c r="A116" s="168" t="s">
        <v>3508</v>
      </c>
      <c r="B116" s="169"/>
      <c r="C116" s="166" t="s">
        <v>3651</v>
      </c>
      <c r="D116" s="170">
        <v>344000</v>
      </c>
      <c r="E116" s="170"/>
      <c r="F116" s="167">
        <f t="shared" si="12"/>
        <v>344000</v>
      </c>
    </row>
    <row r="117" spans="1:8" x14ac:dyDescent="0.3">
      <c r="A117" s="168" t="s">
        <v>3878</v>
      </c>
      <c r="B117" s="169"/>
      <c r="C117" s="166" t="s">
        <v>3810</v>
      </c>
      <c r="D117" s="170">
        <f>75000+25000</f>
        <v>100000</v>
      </c>
      <c r="E117" s="170"/>
      <c r="F117" s="167">
        <f t="shared" si="12"/>
        <v>100000</v>
      </c>
    </row>
    <row r="118" spans="1:8" x14ac:dyDescent="0.3">
      <c r="A118" s="168" t="s">
        <v>3879</v>
      </c>
      <c r="B118" s="169"/>
      <c r="C118" s="166" t="s">
        <v>12</v>
      </c>
      <c r="D118" s="170">
        <v>673000</v>
      </c>
      <c r="E118" s="170">
        <v>30000</v>
      </c>
      <c r="F118" s="167"/>
      <c r="G118" s="170">
        <v>1346000</v>
      </c>
      <c r="H118" s="165">
        <v>673000</v>
      </c>
    </row>
    <row r="119" spans="1:8" x14ac:dyDescent="0.3">
      <c r="A119" s="168" t="s">
        <v>3925</v>
      </c>
      <c r="B119" s="169"/>
      <c r="C119" s="166" t="s">
        <v>12</v>
      </c>
      <c r="D119" s="170">
        <v>302000</v>
      </c>
      <c r="E119" s="170"/>
      <c r="F119" s="167">
        <f t="shared" si="12"/>
        <v>302000</v>
      </c>
      <c r="G119" s="178"/>
    </row>
    <row r="120" spans="1:8" x14ac:dyDescent="0.3">
      <c r="D120" s="171">
        <f>SUM(D112:D119)</f>
        <v>4341000</v>
      </c>
      <c r="F120" s="171">
        <f>SUM(F112:F119)</f>
        <v>3668000</v>
      </c>
    </row>
    <row r="124" spans="1:8" x14ac:dyDescent="0.3">
      <c r="A124" s="164" t="s">
        <v>4175</v>
      </c>
    </row>
    <row r="125" spans="1:8" x14ac:dyDescent="0.3">
      <c r="A125" s="166" t="s">
        <v>187</v>
      </c>
      <c r="B125" s="166" t="s">
        <v>179</v>
      </c>
      <c r="C125" s="166" t="s">
        <v>15</v>
      </c>
      <c r="D125" s="166" t="s">
        <v>182</v>
      </c>
      <c r="E125" s="166" t="s">
        <v>184</v>
      </c>
      <c r="F125" s="167" t="s">
        <v>192</v>
      </c>
    </row>
    <row r="126" spans="1:8" x14ac:dyDescent="0.3">
      <c r="A126" s="168" t="s">
        <v>33</v>
      </c>
      <c r="B126" s="169">
        <v>18929731</v>
      </c>
      <c r="C126" s="166" t="s">
        <v>18</v>
      </c>
      <c r="D126" s="170">
        <v>1500000</v>
      </c>
      <c r="E126" s="170"/>
      <c r="F126" s="167">
        <f t="shared" ref="F126:F127" si="13">D126-E126</f>
        <v>1500000</v>
      </c>
    </row>
    <row r="127" spans="1:8" x14ac:dyDescent="0.3">
      <c r="A127" s="168" t="s">
        <v>408</v>
      </c>
      <c r="B127" s="169">
        <v>29642952</v>
      </c>
      <c r="C127" s="166" t="s">
        <v>188</v>
      </c>
      <c r="D127" s="170">
        <f>1466000/2</f>
        <v>733000</v>
      </c>
      <c r="E127" s="170"/>
      <c r="F127" s="167">
        <f t="shared" si="13"/>
        <v>733000</v>
      </c>
    </row>
    <row r="128" spans="1:8" x14ac:dyDescent="0.3">
      <c r="A128" s="168" t="s">
        <v>19</v>
      </c>
      <c r="B128" s="169">
        <v>26823112</v>
      </c>
      <c r="C128" s="166" t="s">
        <v>188</v>
      </c>
      <c r="D128" s="170">
        <f>1466000/2</f>
        <v>733000</v>
      </c>
      <c r="E128" s="170">
        <v>150000</v>
      </c>
      <c r="F128" s="167">
        <f>D128-E128</f>
        <v>583000</v>
      </c>
    </row>
    <row r="129" spans="1:10" x14ac:dyDescent="0.3">
      <c r="A129" s="168" t="s">
        <v>2572</v>
      </c>
      <c r="B129" s="169">
        <v>14338908</v>
      </c>
      <c r="C129" s="166" t="s">
        <v>1617</v>
      </c>
      <c r="D129" s="170">
        <v>115000</v>
      </c>
      <c r="E129" s="170">
        <v>50000</v>
      </c>
      <c r="F129" s="167">
        <f t="shared" ref="F129:F131" si="14">D129-E129</f>
        <v>65000</v>
      </c>
    </row>
    <row r="130" spans="1:10" x14ac:dyDescent="0.3">
      <c r="A130" s="168" t="s">
        <v>3508</v>
      </c>
      <c r="B130" s="169"/>
      <c r="C130" s="166" t="s">
        <v>3651</v>
      </c>
      <c r="D130" s="170">
        <v>357500</v>
      </c>
      <c r="E130" s="170"/>
      <c r="F130" s="167">
        <f t="shared" si="14"/>
        <v>357500</v>
      </c>
    </row>
    <row r="131" spans="1:10" x14ac:dyDescent="0.3">
      <c r="A131" s="168" t="s">
        <v>3878</v>
      </c>
      <c r="B131" s="169"/>
      <c r="C131" s="166" t="s">
        <v>3810</v>
      </c>
      <c r="D131" s="170">
        <f>150000+64000</f>
        <v>214000</v>
      </c>
      <c r="E131" s="170"/>
      <c r="F131" s="167">
        <f t="shared" si="14"/>
        <v>214000</v>
      </c>
    </row>
    <row r="132" spans="1:10" x14ac:dyDescent="0.3">
      <c r="A132" s="168" t="s">
        <v>3925</v>
      </c>
      <c r="B132" s="169"/>
      <c r="C132" s="166" t="s">
        <v>12</v>
      </c>
      <c r="D132" s="170">
        <v>468000</v>
      </c>
      <c r="E132" s="170">
        <v>45000</v>
      </c>
      <c r="F132" s="167"/>
    </row>
    <row r="133" spans="1:10" x14ac:dyDescent="0.3">
      <c r="F133" s="171">
        <f>SUM(F126:F132)</f>
        <v>3452500</v>
      </c>
    </row>
    <row r="135" spans="1:10" x14ac:dyDescent="0.3">
      <c r="F135" s="171"/>
      <c r="J135" s="165" t="s">
        <v>4245</v>
      </c>
    </row>
    <row r="137" spans="1:10" x14ac:dyDescent="0.3">
      <c r="A137" s="164" t="s">
        <v>4227</v>
      </c>
    </row>
    <row r="138" spans="1:10" x14ac:dyDescent="0.3">
      <c r="A138" s="166" t="s">
        <v>187</v>
      </c>
      <c r="B138" s="166" t="s">
        <v>179</v>
      </c>
      <c r="C138" s="166" t="s">
        <v>15</v>
      </c>
      <c r="D138" s="166" t="s">
        <v>182</v>
      </c>
      <c r="E138" s="166" t="s">
        <v>184</v>
      </c>
      <c r="F138" s="167" t="s">
        <v>192</v>
      </c>
    </row>
    <row r="139" spans="1:10" x14ac:dyDescent="0.3">
      <c r="A139" s="168" t="s">
        <v>33</v>
      </c>
      <c r="B139" s="169">
        <v>18929731</v>
      </c>
      <c r="C139" s="166" t="s">
        <v>18</v>
      </c>
      <c r="D139" s="170">
        <v>2145600</v>
      </c>
      <c r="E139" s="170"/>
      <c r="F139" s="167">
        <f t="shared" ref="F139:F145" si="15">D139-E139</f>
        <v>2145600</v>
      </c>
    </row>
    <row r="140" spans="1:10" x14ac:dyDescent="0.3">
      <c r="A140" s="168" t="s">
        <v>408</v>
      </c>
      <c r="B140" s="169">
        <v>29642952</v>
      </c>
      <c r="C140" s="166" t="s">
        <v>188</v>
      </c>
      <c r="D140" s="170">
        <f>591000/2</f>
        <v>295500</v>
      </c>
      <c r="E140" s="170"/>
      <c r="F140" s="167">
        <f t="shared" si="15"/>
        <v>295500</v>
      </c>
    </row>
    <row r="141" spans="1:10" x14ac:dyDescent="0.3">
      <c r="A141" s="168" t="s">
        <v>19</v>
      </c>
      <c r="B141" s="169">
        <v>26823112</v>
      </c>
      <c r="C141" s="166" t="s">
        <v>188</v>
      </c>
      <c r="D141" s="170">
        <f>591000/2</f>
        <v>295500</v>
      </c>
      <c r="E141" s="170"/>
      <c r="F141" s="167">
        <f t="shared" si="15"/>
        <v>295500</v>
      </c>
    </row>
    <row r="142" spans="1:10" x14ac:dyDescent="0.3">
      <c r="A142" s="168" t="s">
        <v>2572</v>
      </c>
      <c r="B142" s="169">
        <v>14338908</v>
      </c>
      <c r="C142" s="166" t="s">
        <v>1617</v>
      </c>
      <c r="D142" s="170">
        <v>200000</v>
      </c>
      <c r="E142" s="170"/>
      <c r="F142" s="167">
        <f t="shared" si="15"/>
        <v>200000</v>
      </c>
    </row>
    <row r="143" spans="1:10" x14ac:dyDescent="0.3">
      <c r="A143" s="168" t="s">
        <v>3508</v>
      </c>
      <c r="B143" s="169"/>
      <c r="C143" s="166" t="s">
        <v>3651</v>
      </c>
      <c r="D143" s="170">
        <v>232500</v>
      </c>
      <c r="E143" s="170"/>
      <c r="F143" s="167">
        <f t="shared" si="15"/>
        <v>232500</v>
      </c>
    </row>
    <row r="144" spans="1:10" x14ac:dyDescent="0.3">
      <c r="A144" s="168" t="s">
        <v>3878</v>
      </c>
      <c r="B144" s="169"/>
      <c r="C144" s="166" t="s">
        <v>3810</v>
      </c>
      <c r="D144" s="170">
        <v>240000</v>
      </c>
      <c r="E144" s="170"/>
      <c r="F144" s="167">
        <f t="shared" si="15"/>
        <v>240000</v>
      </c>
    </row>
    <row r="145" spans="1:12" x14ac:dyDescent="0.3">
      <c r="A145" s="168" t="s">
        <v>3925</v>
      </c>
      <c r="B145" s="169"/>
      <c r="C145" s="166" t="s">
        <v>12</v>
      </c>
      <c r="D145" s="170">
        <v>662000</v>
      </c>
      <c r="E145" s="170">
        <v>292000</v>
      </c>
      <c r="F145" s="167">
        <f t="shared" si="15"/>
        <v>370000</v>
      </c>
    </row>
    <row r="146" spans="1:12" x14ac:dyDescent="0.3">
      <c r="A146" s="164"/>
      <c r="B146" s="183"/>
      <c r="C146" s="23"/>
      <c r="D146" s="178"/>
      <c r="E146" s="178"/>
      <c r="F146" s="108"/>
    </row>
    <row r="147" spans="1:12" x14ac:dyDescent="0.3">
      <c r="A147" s="164"/>
      <c r="B147" s="183"/>
      <c r="C147" s="23"/>
      <c r="D147" s="178"/>
      <c r="E147" s="178"/>
      <c r="F147" s="108"/>
      <c r="K147" s="197" t="s">
        <v>4369</v>
      </c>
      <c r="L147" s="197"/>
    </row>
    <row r="148" spans="1:12" x14ac:dyDescent="0.3">
      <c r="F148" s="171">
        <f>SUM(F139:F145)</f>
        <v>3779100</v>
      </c>
      <c r="K148" s="197"/>
      <c r="L148" s="197"/>
    </row>
    <row r="149" spans="1:12" x14ac:dyDescent="0.3">
      <c r="K149" s="185" t="s">
        <v>4318</v>
      </c>
      <c r="L149" s="170">
        <v>35000</v>
      </c>
    </row>
    <row r="150" spans="1:12" x14ac:dyDescent="0.3">
      <c r="A150" s="164" t="s">
        <v>4316</v>
      </c>
      <c r="K150" s="185" t="s">
        <v>4319</v>
      </c>
      <c r="L150" s="170">
        <v>12000</v>
      </c>
    </row>
    <row r="151" spans="1:12" x14ac:dyDescent="0.3">
      <c r="A151" s="166" t="s">
        <v>187</v>
      </c>
      <c r="B151" s="166" t="s">
        <v>179</v>
      </c>
      <c r="C151" s="166" t="s">
        <v>15</v>
      </c>
      <c r="D151" s="166" t="s">
        <v>182</v>
      </c>
      <c r="E151" s="166" t="s">
        <v>184</v>
      </c>
      <c r="F151" s="167" t="s">
        <v>192</v>
      </c>
      <c r="K151" s="185" t="s">
        <v>4320</v>
      </c>
      <c r="L151" s="170">
        <v>12000</v>
      </c>
    </row>
    <row r="152" spans="1:12" x14ac:dyDescent="0.3">
      <c r="A152" s="168" t="s">
        <v>33</v>
      </c>
      <c r="B152" s="169">
        <v>18929731</v>
      </c>
      <c r="C152" s="166" t="s">
        <v>18</v>
      </c>
      <c r="D152" s="170">
        <v>1000000</v>
      </c>
      <c r="E152" s="170"/>
      <c r="F152" s="167">
        <f t="shared" ref="F152:F158" si="16">D152-E152</f>
        <v>1000000</v>
      </c>
      <c r="K152" s="185" t="s">
        <v>4326</v>
      </c>
      <c r="L152" s="170">
        <v>180000</v>
      </c>
    </row>
    <row r="153" spans="1:12" x14ac:dyDescent="0.3">
      <c r="A153" s="168" t="s">
        <v>408</v>
      </c>
      <c r="B153" s="169">
        <v>29642952</v>
      </c>
      <c r="C153" s="166" t="s">
        <v>188</v>
      </c>
      <c r="D153" s="170">
        <f>1083000/2</f>
        <v>541500</v>
      </c>
      <c r="E153" s="170"/>
      <c r="F153" s="167">
        <f t="shared" si="16"/>
        <v>541500</v>
      </c>
      <c r="K153" s="185"/>
      <c r="L153" s="170">
        <v>280000</v>
      </c>
    </row>
    <row r="154" spans="1:12" x14ac:dyDescent="0.3">
      <c r="A154" s="168" t="s">
        <v>19</v>
      </c>
      <c r="B154" s="169">
        <v>26823112</v>
      </c>
      <c r="C154" s="166" t="s">
        <v>188</v>
      </c>
      <c r="D154" s="170">
        <f>1083000/2</f>
        <v>541500</v>
      </c>
      <c r="E154" s="170">
        <v>7500</v>
      </c>
      <c r="F154" s="167">
        <f t="shared" si="16"/>
        <v>534000</v>
      </c>
      <c r="K154" s="185"/>
      <c r="L154" s="170">
        <v>110000</v>
      </c>
    </row>
    <row r="155" spans="1:12" x14ac:dyDescent="0.3">
      <c r="A155" s="168" t="s">
        <v>2572</v>
      </c>
      <c r="B155" s="169">
        <v>14338908</v>
      </c>
      <c r="C155" s="166" t="s">
        <v>1617</v>
      </c>
      <c r="D155" s="170">
        <v>200000</v>
      </c>
      <c r="E155" s="170"/>
      <c r="F155" s="167">
        <f t="shared" si="16"/>
        <v>200000</v>
      </c>
      <c r="K155" s="185"/>
      <c r="L155" s="170">
        <v>50000</v>
      </c>
    </row>
    <row r="156" spans="1:12" x14ac:dyDescent="0.3">
      <c r="A156" s="168" t="s">
        <v>3508</v>
      </c>
      <c r="B156" s="169"/>
      <c r="C156" s="166" t="s">
        <v>3651</v>
      </c>
      <c r="D156" s="170">
        <v>107500</v>
      </c>
      <c r="E156" s="170"/>
      <c r="F156" s="167">
        <f t="shared" si="16"/>
        <v>107500</v>
      </c>
      <c r="J156" s="184">
        <v>44921</v>
      </c>
      <c r="K156" s="185" t="s">
        <v>3092</v>
      </c>
      <c r="L156" s="170">
        <v>12000</v>
      </c>
    </row>
    <row r="157" spans="1:12" x14ac:dyDescent="0.3">
      <c r="A157" s="168" t="s">
        <v>3878</v>
      </c>
      <c r="B157" s="169"/>
      <c r="C157" s="166" t="s">
        <v>3810</v>
      </c>
      <c r="D157" s="170">
        <f>150000+72000</f>
        <v>222000</v>
      </c>
      <c r="E157" s="170">
        <v>40000</v>
      </c>
      <c r="F157" s="167">
        <f t="shared" si="16"/>
        <v>182000</v>
      </c>
      <c r="K157" s="185"/>
      <c r="L157" s="186">
        <f>SUM(L149:L156)</f>
        <v>691000</v>
      </c>
    </row>
    <row r="158" spans="1:12" x14ac:dyDescent="0.3">
      <c r="A158" s="168" t="s">
        <v>3925</v>
      </c>
      <c r="B158" s="169"/>
      <c r="C158" s="166" t="s">
        <v>12</v>
      </c>
      <c r="D158" s="170">
        <v>502000</v>
      </c>
      <c r="E158" s="170"/>
      <c r="F158" s="167">
        <f t="shared" si="16"/>
        <v>502000</v>
      </c>
      <c r="K158" s="185" t="s">
        <v>4368</v>
      </c>
      <c r="L158" s="170">
        <v>500000</v>
      </c>
    </row>
    <row r="159" spans="1:12" x14ac:dyDescent="0.3">
      <c r="F159" s="171">
        <f>SUM(F152:F158)</f>
        <v>3067000</v>
      </c>
      <c r="K159" s="187" t="s">
        <v>1038</v>
      </c>
      <c r="L159" s="188">
        <f>L157-L158</f>
        <v>191000</v>
      </c>
    </row>
    <row r="160" spans="1:12" x14ac:dyDescent="0.3">
      <c r="A160" s="168" t="s">
        <v>4325</v>
      </c>
      <c r="F160" s="171">
        <v>1350000</v>
      </c>
    </row>
    <row r="161" spans="1:12" x14ac:dyDescent="0.3">
      <c r="F161" s="171">
        <f>SUM(F159:F160)</f>
        <v>4417000</v>
      </c>
    </row>
    <row r="162" spans="1:12" x14ac:dyDescent="0.3">
      <c r="C162" s="165" t="s">
        <v>3572</v>
      </c>
      <c r="F162" s="165">
        <v>250000</v>
      </c>
      <c r="L162" s="189">
        <v>419000</v>
      </c>
    </row>
    <row r="163" spans="1:12" x14ac:dyDescent="0.3">
      <c r="K163" s="165" t="s">
        <v>4414</v>
      </c>
      <c r="L163" s="189">
        <v>60000</v>
      </c>
    </row>
    <row r="164" spans="1:12" x14ac:dyDescent="0.3">
      <c r="A164" s="164" t="s">
        <v>4409</v>
      </c>
      <c r="K164" s="165" t="s">
        <v>4415</v>
      </c>
      <c r="L164" s="189">
        <v>35000</v>
      </c>
    </row>
    <row r="165" spans="1:12" x14ac:dyDescent="0.3">
      <c r="A165" s="166" t="s">
        <v>187</v>
      </c>
      <c r="B165" s="166" t="s">
        <v>179</v>
      </c>
      <c r="C165" s="166" t="s">
        <v>15</v>
      </c>
      <c r="D165" s="166" t="s">
        <v>182</v>
      </c>
      <c r="E165" s="166" t="s">
        <v>184</v>
      </c>
      <c r="F165" s="167" t="s">
        <v>192</v>
      </c>
      <c r="K165" s="165" t="s">
        <v>4416</v>
      </c>
      <c r="L165" s="189">
        <v>240000</v>
      </c>
    </row>
    <row r="166" spans="1:12" x14ac:dyDescent="0.3">
      <c r="A166" s="168" t="s">
        <v>33</v>
      </c>
      <c r="B166" s="169">
        <v>18929731</v>
      </c>
      <c r="C166" s="166" t="s">
        <v>18</v>
      </c>
      <c r="D166" s="170">
        <v>808400</v>
      </c>
      <c r="E166" s="170"/>
      <c r="F166" s="167">
        <v>168000</v>
      </c>
      <c r="K166" s="165" t="s">
        <v>4417</v>
      </c>
      <c r="L166" s="189">
        <v>24000</v>
      </c>
    </row>
    <row r="167" spans="1:12" x14ac:dyDescent="0.3">
      <c r="A167" s="168" t="s">
        <v>408</v>
      </c>
      <c r="B167" s="169">
        <v>29642952</v>
      </c>
      <c r="C167" s="166" t="s">
        <v>188</v>
      </c>
      <c r="D167" s="170">
        <f>1268000/2</f>
        <v>634000</v>
      </c>
      <c r="E167" s="170"/>
      <c r="F167" s="167">
        <f t="shared" ref="F167:F170" si="17">D167-E167</f>
        <v>634000</v>
      </c>
      <c r="K167" s="165" t="s">
        <v>4418</v>
      </c>
      <c r="L167" s="189">
        <v>12000</v>
      </c>
    </row>
    <row r="168" spans="1:12" x14ac:dyDescent="0.3">
      <c r="A168" s="168" t="s">
        <v>19</v>
      </c>
      <c r="B168" s="169">
        <v>26823112</v>
      </c>
      <c r="C168" s="166" t="s">
        <v>188</v>
      </c>
      <c r="D168" s="170">
        <f>1268000/2</f>
        <v>634000</v>
      </c>
      <c r="E168" s="170"/>
      <c r="F168" s="167">
        <f t="shared" si="17"/>
        <v>634000</v>
      </c>
      <c r="K168" s="165" t="s">
        <v>4419</v>
      </c>
      <c r="L168" s="189">
        <v>85000</v>
      </c>
    </row>
    <row r="169" spans="1:12" x14ac:dyDescent="0.3">
      <c r="A169" s="168" t="s">
        <v>2572</v>
      </c>
      <c r="B169" s="169">
        <v>14338908</v>
      </c>
      <c r="C169" s="166" t="s">
        <v>1617</v>
      </c>
      <c r="D169" s="170">
        <v>200000</v>
      </c>
      <c r="E169" s="170"/>
      <c r="F169" s="167">
        <f t="shared" si="17"/>
        <v>200000</v>
      </c>
      <c r="K169" s="165" t="s">
        <v>4415</v>
      </c>
      <c r="L169" s="189">
        <v>45000</v>
      </c>
    </row>
    <row r="170" spans="1:12" x14ac:dyDescent="0.3">
      <c r="A170" s="168" t="s">
        <v>3925</v>
      </c>
      <c r="B170" s="169"/>
      <c r="C170" s="166" t="s">
        <v>12</v>
      </c>
      <c r="D170" s="170"/>
      <c r="E170" s="170"/>
      <c r="F170" s="167">
        <f t="shared" si="17"/>
        <v>0</v>
      </c>
      <c r="K170" s="165" t="s">
        <v>4420</v>
      </c>
      <c r="L170" s="189">
        <v>12000</v>
      </c>
    </row>
    <row r="171" spans="1:12" x14ac:dyDescent="0.3">
      <c r="F171" s="171">
        <f>SUM(F166:F170)</f>
        <v>1636000</v>
      </c>
      <c r="L171" s="189">
        <f>SUM(L162:L170)</f>
        <v>932000</v>
      </c>
    </row>
    <row r="172" spans="1:12" x14ac:dyDescent="0.3">
      <c r="L172" s="189"/>
    </row>
    <row r="174" spans="1:12" x14ac:dyDescent="0.3">
      <c r="L174" s="190">
        <f>1300000-L171</f>
        <v>368000</v>
      </c>
    </row>
  </sheetData>
  <mergeCells count="2">
    <mergeCell ref="K148:L148"/>
    <mergeCell ref="K147:L147"/>
  </mergeCells>
  <pageMargins left="0.70866141732283472" right="0.70866141732283472" top="0.74803149606299213" bottom="0.74803149606299213" header="0.31496062992125984" footer="0.31496062992125984"/>
  <pageSetup paperSize="9" scale="90" orientation="landscape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780B-71AB-49A6-8A1F-69CE1B306256}">
  <dimension ref="A2:F30"/>
  <sheetViews>
    <sheetView workbookViewId="0">
      <selection activeCell="D46" sqref="D46"/>
    </sheetView>
  </sheetViews>
  <sheetFormatPr baseColWidth="10" defaultRowHeight="15" x14ac:dyDescent="0.25"/>
  <cols>
    <col min="1" max="1" width="22" customWidth="1"/>
    <col min="2" max="2" width="25" bestFit="1" customWidth="1"/>
    <col min="3" max="3" width="33.7109375" bestFit="1" customWidth="1"/>
    <col min="4" max="4" width="34.5703125" bestFit="1" customWidth="1"/>
    <col min="5" max="5" width="30.28515625" bestFit="1" customWidth="1"/>
    <col min="6" max="6" width="16.28515625" bestFit="1" customWidth="1"/>
  </cols>
  <sheetData>
    <row r="2" spans="1:6" x14ac:dyDescent="0.25">
      <c r="A2" s="5" t="s">
        <v>0</v>
      </c>
      <c r="B2" t="s">
        <v>367</v>
      </c>
    </row>
    <row r="4" spans="1:6" x14ac:dyDescent="0.25">
      <c r="A4" s="5" t="s">
        <v>13</v>
      </c>
      <c r="B4" s="19" t="s">
        <v>32</v>
      </c>
      <c r="C4" s="19" t="s">
        <v>27</v>
      </c>
      <c r="D4" s="19" t="s">
        <v>2809</v>
      </c>
      <c r="E4" s="19" t="s">
        <v>2810</v>
      </c>
      <c r="F4" t="s">
        <v>4079</v>
      </c>
    </row>
    <row r="5" spans="1:6" x14ac:dyDescent="0.25">
      <c r="A5" s="6" t="s">
        <v>3666</v>
      </c>
      <c r="B5" s="19">
        <v>1717500</v>
      </c>
      <c r="C5" s="19">
        <v>978750</v>
      </c>
      <c r="D5" s="19">
        <v>738750</v>
      </c>
      <c r="E5" s="19">
        <v>140193.27577815126</v>
      </c>
      <c r="F5" s="19">
        <v>23</v>
      </c>
    </row>
    <row r="6" spans="1:6" x14ac:dyDescent="0.25">
      <c r="A6" s="6" t="s">
        <v>14</v>
      </c>
      <c r="B6" s="19">
        <v>1717500</v>
      </c>
      <c r="C6" s="19">
        <v>978750</v>
      </c>
      <c r="D6" s="19">
        <v>738750</v>
      </c>
      <c r="E6" s="19">
        <v>140193.27577815126</v>
      </c>
      <c r="F6" s="19">
        <v>23</v>
      </c>
    </row>
    <row r="10" spans="1:6" x14ac:dyDescent="0.25">
      <c r="A10" t="s">
        <v>4081</v>
      </c>
    </row>
    <row r="16" spans="1:6" x14ac:dyDescent="0.25">
      <c r="B16" s="179" t="s">
        <v>5</v>
      </c>
      <c r="C16" s="179" t="s">
        <v>6</v>
      </c>
      <c r="D16" s="179" t="s">
        <v>130</v>
      </c>
      <c r="E16" s="179" t="s">
        <v>2435</v>
      </c>
    </row>
    <row r="17" spans="1:6" x14ac:dyDescent="0.25">
      <c r="A17" s="24" t="s">
        <v>4080</v>
      </c>
      <c r="B17" s="24">
        <v>9210000</v>
      </c>
      <c r="C17" s="24">
        <v>4330260</v>
      </c>
      <c r="D17" s="24">
        <v>2886840</v>
      </c>
      <c r="E17" s="24"/>
      <c r="F17" s="63"/>
    </row>
    <row r="18" spans="1:6" x14ac:dyDescent="0.25">
      <c r="A18" s="24" t="s">
        <v>188</v>
      </c>
      <c r="B18" s="24">
        <v>7069000</v>
      </c>
      <c r="C18" s="24">
        <v>4762900</v>
      </c>
      <c r="D18" s="24">
        <v>2306100</v>
      </c>
      <c r="E18" s="24">
        <v>2966767.47</v>
      </c>
      <c r="F18" s="63"/>
    </row>
    <row r="19" spans="1:6" x14ac:dyDescent="0.25">
      <c r="A19" s="24" t="s">
        <v>12</v>
      </c>
      <c r="B19" s="24">
        <v>3570000</v>
      </c>
      <c r="C19" s="24">
        <v>2025000</v>
      </c>
      <c r="D19" s="24">
        <v>1545000</v>
      </c>
      <c r="E19" s="24">
        <v>7147605</v>
      </c>
      <c r="F19" s="63"/>
    </row>
    <row r="20" spans="1:6" x14ac:dyDescent="0.25">
      <c r="A20" s="24" t="s">
        <v>3386</v>
      </c>
      <c r="B20" s="24">
        <v>1717500</v>
      </c>
      <c r="C20" s="24">
        <v>858750</v>
      </c>
      <c r="D20" s="24">
        <v>858750</v>
      </c>
      <c r="E20" s="24">
        <v>140193.28</v>
      </c>
      <c r="F20" s="63"/>
    </row>
    <row r="21" spans="1:6" x14ac:dyDescent="0.25">
      <c r="B21" s="63">
        <f>SUM(B17:B20)</f>
        <v>21566500</v>
      </c>
      <c r="C21" s="63">
        <f>SUM(C17:C20)</f>
        <v>11976910</v>
      </c>
      <c r="D21" s="63">
        <f>SUM(D17:D20)</f>
        <v>7596690</v>
      </c>
      <c r="E21" s="63">
        <f>SUM(E18:E20)</f>
        <v>10254565.75</v>
      </c>
      <c r="F21" s="63"/>
    </row>
    <row r="22" spans="1:6" x14ac:dyDescent="0.25">
      <c r="B22" s="63"/>
      <c r="C22" s="63"/>
      <c r="D22" s="63"/>
      <c r="E22" s="63"/>
      <c r="F22" s="63"/>
    </row>
    <row r="27" spans="1:6" x14ac:dyDescent="0.25">
      <c r="B27" s="179" t="s">
        <v>2435</v>
      </c>
    </row>
    <row r="28" spans="1:6" x14ac:dyDescent="0.25">
      <c r="A28" s="24" t="s">
        <v>12</v>
      </c>
      <c r="B28" s="24">
        <v>7147605</v>
      </c>
    </row>
    <row r="29" spans="1:6" x14ac:dyDescent="0.25">
      <c r="A29" s="24" t="s">
        <v>188</v>
      </c>
      <c r="B29" s="24">
        <v>2966767.47</v>
      </c>
    </row>
    <row r="30" spans="1:6" x14ac:dyDescent="0.25">
      <c r="A30" s="24" t="s">
        <v>3386</v>
      </c>
      <c r="B30" s="24">
        <v>140193.28</v>
      </c>
    </row>
  </sheetData>
  <sortState xmlns:xlrd2="http://schemas.microsoft.com/office/spreadsheetml/2017/richdata2" ref="A28:B30">
    <sortCondition descending="1" ref="B28:B30"/>
  </sortState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7059-B13E-4DFA-A4E1-14D0D931498B}">
  <dimension ref="A3:E36"/>
  <sheetViews>
    <sheetView workbookViewId="0">
      <selection activeCell="C37" sqref="C37"/>
    </sheetView>
  </sheetViews>
  <sheetFormatPr baseColWidth="10" defaultRowHeight="15" x14ac:dyDescent="0.25"/>
  <cols>
    <col min="1" max="1" width="21.42578125" bestFit="1" customWidth="1"/>
    <col min="2" max="2" width="26.5703125" customWidth="1"/>
    <col min="3" max="3" width="33.140625" bestFit="1" customWidth="1"/>
    <col min="4" max="4" width="28.85546875" bestFit="1" customWidth="1"/>
    <col min="5" max="5" width="16.140625" customWidth="1"/>
  </cols>
  <sheetData>
    <row r="3" spans="1:4" hidden="1" x14ac:dyDescent="0.25">
      <c r="A3" s="5" t="s">
        <v>15</v>
      </c>
      <c r="B3" t="s">
        <v>32</v>
      </c>
      <c r="C3" t="s">
        <v>2809</v>
      </c>
      <c r="D3" t="s">
        <v>2810</v>
      </c>
    </row>
    <row r="4" spans="1:4" hidden="1" x14ac:dyDescent="0.25">
      <c r="A4" s="6" t="s">
        <v>34</v>
      </c>
      <c r="B4" s="19">
        <v>199000</v>
      </c>
      <c r="C4" s="19">
        <v>157700</v>
      </c>
      <c r="D4" s="19">
        <v>0</v>
      </c>
    </row>
    <row r="5" spans="1:4" hidden="1" x14ac:dyDescent="0.25">
      <c r="A5" s="6" t="s">
        <v>17</v>
      </c>
      <c r="B5" s="19">
        <v>6520000</v>
      </c>
      <c r="C5" s="19">
        <v>1927500</v>
      </c>
      <c r="D5" s="19">
        <v>1735253.4613067228</v>
      </c>
    </row>
    <row r="6" spans="1:4" hidden="1" x14ac:dyDescent="0.25">
      <c r="A6" s="6" t="s">
        <v>3386</v>
      </c>
      <c r="B6" s="19">
        <v>1745000</v>
      </c>
      <c r="C6" s="19">
        <v>872500</v>
      </c>
      <c r="D6" s="19">
        <v>0</v>
      </c>
    </row>
    <row r="7" spans="1:4" hidden="1" x14ac:dyDescent="0.25">
      <c r="A7" s="6" t="s">
        <v>16</v>
      </c>
      <c r="B7" s="19">
        <v>350000</v>
      </c>
      <c r="C7" s="19">
        <v>20000</v>
      </c>
      <c r="D7" s="19">
        <v>26092.436974789911</v>
      </c>
    </row>
    <row r="8" spans="1:4" hidden="1" x14ac:dyDescent="0.25">
      <c r="A8" s="6" t="s">
        <v>12</v>
      </c>
      <c r="B8" s="19">
        <v>2400000</v>
      </c>
      <c r="C8" s="19">
        <v>690000</v>
      </c>
      <c r="D8" s="19">
        <v>510596.63865546213</v>
      </c>
    </row>
    <row r="9" spans="1:4" hidden="1" x14ac:dyDescent="0.25">
      <c r="A9" s="6" t="s">
        <v>14</v>
      </c>
      <c r="B9" s="19">
        <v>11214000</v>
      </c>
      <c r="C9" s="19">
        <v>3667700</v>
      </c>
      <c r="D9" s="19">
        <v>2271942.5369369751</v>
      </c>
    </row>
    <row r="16" spans="1:4" x14ac:dyDescent="0.25">
      <c r="A16" s="175"/>
      <c r="B16" s="175" t="s">
        <v>3676</v>
      </c>
      <c r="C16" s="175" t="s">
        <v>130</v>
      </c>
      <c r="D16" s="175" t="s">
        <v>131</v>
      </c>
    </row>
    <row r="17" spans="1:5" x14ac:dyDescent="0.25">
      <c r="A17" s="6" t="s">
        <v>17</v>
      </c>
      <c r="B17" s="19">
        <f>GETPIVOTDATA("Suma de TOTAL FACTURA",$A$3,"AREA","FRENOS Y SUSPENSION")+GETPIVOTDATA("Suma de TOTAL FACTURA",$A$3,"AREA","ALEJANDRO DIAZ")</f>
        <v>6719000</v>
      </c>
      <c r="C17" s="19">
        <f>GETPIVOTDATA("Suma de GANANCIA POR SERVICIOS",$A$3,"AREA","FRENOS Y SUSPENSION")+GETPIVOTDATA("Suma de GANANCIA POR SERVICIOS",$A$3,"AREA","ALEJANDRO DIAZ")</f>
        <v>2085200</v>
      </c>
      <c r="D17" s="19">
        <v>1735253.4613067228</v>
      </c>
    </row>
    <row r="18" spans="1:5" x14ac:dyDescent="0.25">
      <c r="A18" s="6" t="s">
        <v>3386</v>
      </c>
      <c r="B18" s="19">
        <v>1745000</v>
      </c>
      <c r="C18" s="19">
        <v>872500</v>
      </c>
      <c r="D18" s="19">
        <v>0</v>
      </c>
    </row>
    <row r="19" spans="1:5" x14ac:dyDescent="0.25">
      <c r="A19" s="6" t="s">
        <v>16</v>
      </c>
      <c r="B19" s="19">
        <v>350000</v>
      </c>
      <c r="C19" s="19">
        <v>20000</v>
      </c>
      <c r="D19" s="19">
        <v>26092.436974789911</v>
      </c>
    </row>
    <row r="20" spans="1:5" x14ac:dyDescent="0.25">
      <c r="A20" s="6" t="s">
        <v>12</v>
      </c>
      <c r="B20" s="19">
        <v>2400000</v>
      </c>
      <c r="C20" s="19">
        <v>690000</v>
      </c>
      <c r="D20" s="19">
        <v>510596.63865546213</v>
      </c>
    </row>
    <row r="21" spans="1:5" x14ac:dyDescent="0.25">
      <c r="A21" s="6" t="s">
        <v>18</v>
      </c>
      <c r="B21" s="19">
        <v>10240000</v>
      </c>
      <c r="C21" s="19">
        <v>5052840</v>
      </c>
      <c r="D21" s="19"/>
      <c r="E21" s="19">
        <v>1858600</v>
      </c>
    </row>
    <row r="22" spans="1:5" x14ac:dyDescent="0.25">
      <c r="A22" s="173" t="s">
        <v>14</v>
      </c>
      <c r="B22" s="174">
        <f>SUM(B17:B21)</f>
        <v>21454000</v>
      </c>
      <c r="C22" s="174">
        <f>SUM(C17:C21)</f>
        <v>8720540</v>
      </c>
      <c r="D22" s="174">
        <f>SUM(D17:D21)</f>
        <v>2271942.5369369751</v>
      </c>
    </row>
    <row r="30" spans="1:5" x14ac:dyDescent="0.25">
      <c r="A30" s="6"/>
      <c r="B30" s="19" t="s">
        <v>131</v>
      </c>
      <c r="C30" s="19"/>
    </row>
    <row r="31" spans="1:5" x14ac:dyDescent="0.25">
      <c r="A31" s="6" t="s">
        <v>16</v>
      </c>
      <c r="B31" s="19">
        <v>26092.436974789911</v>
      </c>
      <c r="C31" s="19"/>
      <c r="D31">
        <v>47782300.159999996</v>
      </c>
    </row>
    <row r="32" spans="1:5" x14ac:dyDescent="0.25">
      <c r="A32" s="6" t="s">
        <v>3386</v>
      </c>
      <c r="B32" s="19">
        <v>0</v>
      </c>
      <c r="C32" s="19"/>
      <c r="D32">
        <v>21454000</v>
      </c>
    </row>
    <row r="33" spans="1:4" x14ac:dyDescent="0.25">
      <c r="A33" s="6" t="s">
        <v>17</v>
      </c>
      <c r="B33" s="19">
        <v>1735253.4613067228</v>
      </c>
      <c r="C33" s="19"/>
      <c r="D33">
        <v>9277900</v>
      </c>
    </row>
    <row r="34" spans="1:4" x14ac:dyDescent="0.25">
      <c r="A34" s="6" t="s">
        <v>18</v>
      </c>
      <c r="B34" s="19"/>
      <c r="C34" s="19"/>
    </row>
    <row r="35" spans="1:4" x14ac:dyDescent="0.25">
      <c r="A35" s="6" t="s">
        <v>12</v>
      </c>
      <c r="B35" s="19">
        <v>510596.63865546213</v>
      </c>
      <c r="C35" s="19"/>
    </row>
    <row r="36" spans="1:4" x14ac:dyDescent="0.25">
      <c r="A36" s="173" t="s">
        <v>14</v>
      </c>
      <c r="B36" s="174">
        <f>SUM(B31:B35)</f>
        <v>2271942.5369369751</v>
      </c>
      <c r="C36" s="19"/>
    </row>
  </sheetData>
  <sortState xmlns:xlrd2="http://schemas.microsoft.com/office/spreadsheetml/2017/richdata2" ref="A31:B35">
    <sortCondition ref="A31:A35"/>
  </sortState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4D99-5388-445B-AB21-8774E0E7E64E}">
  <dimension ref="A1:Q138"/>
  <sheetViews>
    <sheetView topLeftCell="A109" workbookViewId="0">
      <selection activeCell="J128" sqref="J128"/>
    </sheetView>
  </sheetViews>
  <sheetFormatPr baseColWidth="10" defaultRowHeight="15" x14ac:dyDescent="0.25"/>
  <cols>
    <col min="1" max="1" width="13.28515625" customWidth="1"/>
    <col min="2" max="2" width="15.5703125" customWidth="1"/>
    <col min="3" max="3" width="2.140625" customWidth="1"/>
    <col min="4" max="4" width="13.7109375" customWidth="1"/>
    <col min="5" max="5" width="19.7109375" customWidth="1"/>
    <col min="6" max="6" width="17.7109375" customWidth="1"/>
    <col min="7" max="7" width="16.140625" customWidth="1"/>
    <col min="9" max="9" width="15.7109375" customWidth="1"/>
    <col min="10" max="10" width="16" customWidth="1"/>
    <col min="11" max="11" width="2.85546875" customWidth="1"/>
    <col min="12" max="12" width="17.140625" bestFit="1" customWidth="1"/>
    <col min="13" max="13" width="14.140625" bestFit="1" customWidth="1"/>
    <col min="15" max="15" width="15.140625" customWidth="1"/>
    <col min="17" max="17" width="13.28515625" customWidth="1"/>
  </cols>
  <sheetData>
    <row r="1" spans="1:17" x14ac:dyDescent="0.25">
      <c r="A1" s="73"/>
      <c r="B1" s="74"/>
      <c r="C1" s="74"/>
    </row>
    <row r="2" spans="1:17" ht="23.25" x14ac:dyDescent="0.35">
      <c r="A2" s="80" t="s">
        <v>10</v>
      </c>
      <c r="G2" s="78" t="s">
        <v>1038</v>
      </c>
      <c r="I2" s="80" t="s">
        <v>30</v>
      </c>
      <c r="O2" s="78" t="s">
        <v>1038</v>
      </c>
    </row>
    <row r="3" spans="1:17" x14ac:dyDescent="0.25">
      <c r="D3" s="77"/>
      <c r="E3" s="77"/>
      <c r="G3" s="64">
        <f>B31-E31</f>
        <v>0</v>
      </c>
      <c r="O3" s="64">
        <f>J39-M31</f>
        <v>466000</v>
      </c>
    </row>
    <row r="4" spans="1:17" x14ac:dyDescent="0.25">
      <c r="A4" s="78" t="s">
        <v>0</v>
      </c>
      <c r="B4" s="78" t="s">
        <v>1036</v>
      </c>
      <c r="C4" s="4"/>
      <c r="D4" s="78" t="s">
        <v>0</v>
      </c>
      <c r="E4" s="78" t="s">
        <v>1037</v>
      </c>
      <c r="I4" s="78" t="s">
        <v>0</v>
      </c>
      <c r="J4" s="78" t="s">
        <v>1036</v>
      </c>
      <c r="K4" s="4"/>
      <c r="L4" s="78" t="s">
        <v>0</v>
      </c>
      <c r="M4" s="78" t="s">
        <v>1037</v>
      </c>
    </row>
    <row r="5" spans="1:17" x14ac:dyDescent="0.25">
      <c r="A5" s="75">
        <v>44623</v>
      </c>
      <c r="B5" s="28">
        <v>700000</v>
      </c>
      <c r="C5" s="37"/>
      <c r="D5" s="76">
        <v>44625</v>
      </c>
      <c r="E5" s="28">
        <v>200000</v>
      </c>
      <c r="I5" s="75">
        <v>44623</v>
      </c>
      <c r="J5" s="28">
        <v>173000</v>
      </c>
      <c r="K5" s="37"/>
      <c r="L5" s="76">
        <v>44646</v>
      </c>
      <c r="M5" s="28">
        <v>40000</v>
      </c>
      <c r="P5" s="41"/>
      <c r="Q5" s="37"/>
    </row>
    <row r="6" spans="1:17" x14ac:dyDescent="0.25">
      <c r="A6" s="81">
        <v>44635</v>
      </c>
      <c r="B6" s="28">
        <v>30000</v>
      </c>
      <c r="D6" s="76">
        <v>44639</v>
      </c>
      <c r="E6" s="28">
        <v>30000</v>
      </c>
      <c r="F6" s="64"/>
      <c r="I6" s="75">
        <v>44629</v>
      </c>
      <c r="J6" s="28">
        <v>20000</v>
      </c>
      <c r="L6" s="77" t="s">
        <v>1608</v>
      </c>
      <c r="M6" s="28">
        <v>1151000</v>
      </c>
      <c r="N6" s="64"/>
      <c r="P6" s="41"/>
      <c r="Q6" s="37"/>
    </row>
    <row r="7" spans="1:17" x14ac:dyDescent="0.25">
      <c r="A7" s="81">
        <v>44646</v>
      </c>
      <c r="B7" s="28">
        <v>20000</v>
      </c>
      <c r="D7" s="76">
        <v>44660</v>
      </c>
      <c r="E7" s="28">
        <v>352000</v>
      </c>
      <c r="F7" s="64"/>
      <c r="I7" s="75">
        <v>44630</v>
      </c>
      <c r="J7" s="28">
        <v>50000</v>
      </c>
      <c r="L7" s="76">
        <v>44681</v>
      </c>
      <c r="M7" s="28">
        <v>100000</v>
      </c>
      <c r="N7" s="64"/>
      <c r="P7" s="41"/>
      <c r="Q7" s="37"/>
    </row>
    <row r="8" spans="1:17" x14ac:dyDescent="0.25">
      <c r="A8" s="81">
        <v>44652</v>
      </c>
      <c r="B8" s="28">
        <v>10000</v>
      </c>
      <c r="D8" s="76">
        <v>44681</v>
      </c>
      <c r="E8" s="28">
        <v>85000</v>
      </c>
      <c r="F8" s="64"/>
      <c r="I8" s="75">
        <v>44632</v>
      </c>
      <c r="J8" s="28">
        <v>70000</v>
      </c>
      <c r="L8" s="76">
        <v>44687</v>
      </c>
      <c r="M8" s="28">
        <v>310000</v>
      </c>
      <c r="N8" s="64"/>
      <c r="P8" s="105"/>
      <c r="Q8" s="47"/>
    </row>
    <row r="9" spans="1:17" x14ac:dyDescent="0.25">
      <c r="A9" s="81">
        <v>44653</v>
      </c>
      <c r="B9" s="28">
        <v>290000</v>
      </c>
      <c r="D9" s="76">
        <v>44695</v>
      </c>
      <c r="E9" s="28">
        <v>70000</v>
      </c>
      <c r="F9" s="64"/>
      <c r="I9" s="75">
        <v>44638</v>
      </c>
      <c r="J9" s="28">
        <v>20000</v>
      </c>
      <c r="L9" s="76">
        <v>44695</v>
      </c>
      <c r="M9" s="28">
        <v>150000</v>
      </c>
      <c r="N9" s="64"/>
    </row>
    <row r="10" spans="1:17" x14ac:dyDescent="0.25">
      <c r="A10" s="81">
        <v>44657</v>
      </c>
      <c r="B10" s="28">
        <v>32000</v>
      </c>
      <c r="D10" s="76">
        <v>44722</v>
      </c>
      <c r="E10" s="28">
        <v>200000</v>
      </c>
      <c r="F10" s="64"/>
      <c r="I10" s="75" t="s">
        <v>1162</v>
      </c>
      <c r="J10" s="28">
        <v>10000</v>
      </c>
      <c r="L10" s="76">
        <v>44701</v>
      </c>
      <c r="M10" s="28">
        <v>221000</v>
      </c>
      <c r="N10" s="64"/>
      <c r="Q10" s="47"/>
    </row>
    <row r="11" spans="1:17" x14ac:dyDescent="0.25">
      <c r="A11" s="81">
        <v>44677</v>
      </c>
      <c r="B11" s="28">
        <v>25000</v>
      </c>
      <c r="D11" s="76">
        <v>44751</v>
      </c>
      <c r="E11" s="28">
        <v>130000</v>
      </c>
      <c r="F11" s="64"/>
      <c r="I11" s="75">
        <v>44644</v>
      </c>
      <c r="J11" s="28">
        <v>20000</v>
      </c>
      <c r="L11" s="76">
        <v>44723</v>
      </c>
      <c r="M11" s="28">
        <v>80000</v>
      </c>
      <c r="N11" s="64"/>
    </row>
    <row r="12" spans="1:17" x14ac:dyDescent="0.25">
      <c r="A12" s="81">
        <v>44679</v>
      </c>
      <c r="B12" s="28">
        <v>60000</v>
      </c>
      <c r="D12" s="76">
        <v>44758</v>
      </c>
      <c r="E12" s="28">
        <v>50000</v>
      </c>
      <c r="F12" s="64"/>
      <c r="I12" s="75">
        <v>44644</v>
      </c>
      <c r="J12" s="28">
        <v>20000</v>
      </c>
      <c r="L12" s="76">
        <v>44744</v>
      </c>
      <c r="M12" s="28">
        <v>300000</v>
      </c>
      <c r="N12" s="64"/>
    </row>
    <row r="13" spans="1:17" x14ac:dyDescent="0.25">
      <c r="A13" s="81">
        <v>44691</v>
      </c>
      <c r="B13" s="28">
        <v>10000</v>
      </c>
      <c r="D13" s="81">
        <v>44765</v>
      </c>
      <c r="E13" s="28">
        <v>100000</v>
      </c>
      <c r="F13" s="64"/>
      <c r="I13" s="75">
        <v>44646</v>
      </c>
      <c r="J13" s="28">
        <v>20000</v>
      </c>
      <c r="L13" s="76">
        <v>44750</v>
      </c>
      <c r="M13" s="28">
        <v>24000</v>
      </c>
      <c r="N13" s="64"/>
    </row>
    <row r="14" spans="1:17" x14ac:dyDescent="0.25">
      <c r="A14" s="81">
        <v>44694</v>
      </c>
      <c r="B14" s="28">
        <v>60000</v>
      </c>
      <c r="D14" s="76">
        <v>44799</v>
      </c>
      <c r="E14" s="28">
        <v>20000</v>
      </c>
      <c r="F14" s="64"/>
      <c r="I14" s="75" t="s">
        <v>1246</v>
      </c>
      <c r="J14" s="28">
        <v>50000</v>
      </c>
      <c r="L14" s="77"/>
      <c r="M14" s="28"/>
      <c r="N14" s="64"/>
    </row>
    <row r="15" spans="1:17" x14ac:dyDescent="0.25">
      <c r="A15" s="81">
        <v>44717</v>
      </c>
      <c r="B15" s="28">
        <v>30000</v>
      </c>
      <c r="D15" s="76">
        <v>44799</v>
      </c>
      <c r="E15" s="28">
        <v>100000</v>
      </c>
      <c r="F15" s="64"/>
      <c r="I15" s="75">
        <v>44653</v>
      </c>
      <c r="J15" s="28">
        <v>72000</v>
      </c>
      <c r="L15" s="77"/>
      <c r="M15" s="28"/>
      <c r="N15" s="64"/>
    </row>
    <row r="16" spans="1:17" x14ac:dyDescent="0.25">
      <c r="A16" s="81">
        <v>44757</v>
      </c>
      <c r="B16" s="28">
        <v>50000</v>
      </c>
      <c r="D16" s="76">
        <v>44814</v>
      </c>
      <c r="E16" s="28">
        <v>50000</v>
      </c>
      <c r="F16" s="64"/>
      <c r="I16" s="75">
        <v>44656</v>
      </c>
      <c r="J16" s="28">
        <v>30000</v>
      </c>
      <c r="L16" s="77"/>
      <c r="M16" s="28"/>
      <c r="N16" s="64"/>
    </row>
    <row r="17" spans="1:14" x14ac:dyDescent="0.25">
      <c r="A17" s="87">
        <v>44796</v>
      </c>
      <c r="B17" s="101">
        <v>20000</v>
      </c>
      <c r="D17" s="77"/>
      <c r="E17" s="28"/>
      <c r="F17" s="64"/>
      <c r="I17" s="75">
        <v>44657</v>
      </c>
      <c r="J17" s="28">
        <v>50000</v>
      </c>
      <c r="L17" s="77"/>
      <c r="M17" s="28"/>
      <c r="N17" s="64"/>
    </row>
    <row r="18" spans="1:14" x14ac:dyDescent="0.25">
      <c r="A18" s="81">
        <v>44811</v>
      </c>
      <c r="B18" s="28">
        <v>50000</v>
      </c>
      <c r="D18" s="77"/>
      <c r="E18" s="28"/>
      <c r="F18" s="64"/>
      <c r="I18" s="75">
        <v>44659</v>
      </c>
      <c r="J18" s="28">
        <v>236000</v>
      </c>
      <c r="L18" s="77"/>
      <c r="M18" s="28"/>
      <c r="N18" s="64"/>
    </row>
    <row r="19" spans="1:14" x14ac:dyDescent="0.25">
      <c r="A19" s="86"/>
      <c r="B19" s="28"/>
      <c r="D19" s="77"/>
      <c r="E19" s="28"/>
      <c r="F19" s="64"/>
      <c r="I19" s="75">
        <v>44673</v>
      </c>
      <c r="J19" s="28">
        <v>350000</v>
      </c>
      <c r="L19" s="77"/>
      <c r="M19" s="28"/>
      <c r="N19" s="64"/>
    </row>
    <row r="20" spans="1:14" x14ac:dyDescent="0.25">
      <c r="A20" s="86"/>
      <c r="B20" s="28"/>
      <c r="D20" s="77"/>
      <c r="E20" s="28"/>
      <c r="F20" s="64"/>
      <c r="I20" s="75">
        <v>44680</v>
      </c>
      <c r="J20" s="28">
        <v>50000</v>
      </c>
      <c r="L20" s="77"/>
      <c r="M20" s="28"/>
      <c r="N20" s="64"/>
    </row>
    <row r="21" spans="1:14" x14ac:dyDescent="0.25">
      <c r="A21" s="86"/>
      <c r="B21" s="28"/>
      <c r="D21" s="77"/>
      <c r="E21" s="28"/>
      <c r="F21" s="64"/>
      <c r="I21" s="75">
        <v>44680</v>
      </c>
      <c r="J21" s="28">
        <v>50000</v>
      </c>
      <c r="L21" s="77"/>
      <c r="M21" s="28"/>
      <c r="N21" s="64"/>
    </row>
    <row r="22" spans="1:14" x14ac:dyDescent="0.25">
      <c r="A22" s="86"/>
      <c r="B22" s="28"/>
      <c r="D22" s="77"/>
      <c r="E22" s="28"/>
      <c r="F22" s="64"/>
      <c r="I22" s="75">
        <v>44685</v>
      </c>
      <c r="J22" s="28">
        <v>20000</v>
      </c>
      <c r="L22" s="77"/>
      <c r="M22" s="28"/>
      <c r="N22" s="64"/>
    </row>
    <row r="23" spans="1:14" x14ac:dyDescent="0.25">
      <c r="A23" s="86"/>
      <c r="B23" s="28"/>
      <c r="D23" s="77"/>
      <c r="E23" s="28"/>
      <c r="F23" s="64"/>
      <c r="I23" s="75">
        <v>44686</v>
      </c>
      <c r="J23" s="28">
        <v>20000</v>
      </c>
      <c r="L23" s="77"/>
      <c r="M23" s="28"/>
      <c r="N23" s="64"/>
    </row>
    <row r="24" spans="1:14" x14ac:dyDescent="0.25">
      <c r="A24" s="86"/>
      <c r="B24" s="28"/>
      <c r="D24" s="77"/>
      <c r="E24" s="28"/>
      <c r="F24" s="64"/>
      <c r="I24" s="75">
        <v>44687</v>
      </c>
      <c r="J24" s="28">
        <v>300000</v>
      </c>
      <c r="L24" s="77"/>
      <c r="M24" s="28"/>
      <c r="N24" s="64"/>
    </row>
    <row r="25" spans="1:14" x14ac:dyDescent="0.25">
      <c r="A25" s="86"/>
      <c r="B25" s="28"/>
      <c r="D25" s="77"/>
      <c r="E25" s="28"/>
      <c r="F25" s="64"/>
      <c r="I25" s="75">
        <v>44693</v>
      </c>
      <c r="J25" s="28">
        <v>120000</v>
      </c>
      <c r="L25" s="77"/>
      <c r="M25" s="28"/>
      <c r="N25" s="64"/>
    </row>
    <row r="26" spans="1:14" x14ac:dyDescent="0.25">
      <c r="A26" s="86"/>
      <c r="B26" s="28"/>
      <c r="D26" s="77"/>
      <c r="E26" s="28"/>
      <c r="F26" s="64"/>
      <c r="I26" s="75">
        <v>44694</v>
      </c>
      <c r="J26" s="28">
        <v>50000</v>
      </c>
      <c r="L26" s="77"/>
      <c r="M26" s="28"/>
      <c r="N26" s="64"/>
    </row>
    <row r="27" spans="1:14" x14ac:dyDescent="0.25">
      <c r="A27" s="86"/>
      <c r="B27" s="28"/>
      <c r="D27" s="77"/>
      <c r="E27" s="28"/>
      <c r="F27" s="64"/>
      <c r="I27" s="75">
        <v>44695</v>
      </c>
      <c r="J27" s="28">
        <v>10000</v>
      </c>
      <c r="L27" s="77"/>
      <c r="M27" s="28"/>
      <c r="N27" s="64"/>
    </row>
    <row r="28" spans="1:14" x14ac:dyDescent="0.25">
      <c r="A28" s="86"/>
      <c r="B28" s="28"/>
      <c r="D28" s="77"/>
      <c r="E28" s="28"/>
      <c r="F28" s="64"/>
      <c r="I28" s="75">
        <v>44700</v>
      </c>
      <c r="J28" s="28">
        <v>161000</v>
      </c>
      <c r="L28" s="77"/>
      <c r="M28" s="28"/>
      <c r="N28" s="64"/>
    </row>
    <row r="29" spans="1:14" x14ac:dyDescent="0.25">
      <c r="A29" s="86"/>
      <c r="B29" s="28"/>
      <c r="D29" s="77"/>
      <c r="E29" s="28"/>
      <c r="F29" s="64"/>
      <c r="I29" s="75">
        <v>44705</v>
      </c>
      <c r="J29" s="28">
        <v>40000</v>
      </c>
      <c r="L29" s="77"/>
      <c r="M29" s="28"/>
      <c r="N29" s="64"/>
    </row>
    <row r="30" spans="1:14" x14ac:dyDescent="0.25">
      <c r="A30" s="86"/>
      <c r="B30" s="28"/>
      <c r="D30" s="77"/>
      <c r="E30" s="28"/>
      <c r="F30" s="64"/>
      <c r="I30" s="75">
        <v>44715</v>
      </c>
      <c r="J30" s="28">
        <v>20000</v>
      </c>
      <c r="L30" s="77"/>
      <c r="M30" s="28"/>
      <c r="N30" s="64"/>
    </row>
    <row r="31" spans="1:14" x14ac:dyDescent="0.25">
      <c r="A31" s="79" t="s">
        <v>192</v>
      </c>
      <c r="B31" s="49">
        <f>SUM(B5:B18)</f>
        <v>1387000</v>
      </c>
      <c r="C31" s="47"/>
      <c r="D31" s="77"/>
      <c r="E31" s="49">
        <f>SUM(E5:E16)</f>
        <v>1387000</v>
      </c>
      <c r="I31" s="75">
        <v>44722</v>
      </c>
      <c r="J31" s="46">
        <v>20000</v>
      </c>
      <c r="K31" s="47"/>
      <c r="L31" s="77"/>
      <c r="M31" s="49">
        <f>SUM(M5:M30)</f>
        <v>2376000</v>
      </c>
    </row>
    <row r="32" spans="1:14" x14ac:dyDescent="0.25">
      <c r="I32" s="75">
        <v>44736</v>
      </c>
      <c r="J32" s="46">
        <v>370000</v>
      </c>
    </row>
    <row r="33" spans="1:15" x14ac:dyDescent="0.25">
      <c r="I33" s="75">
        <v>44742</v>
      </c>
      <c r="J33" s="46">
        <v>170000</v>
      </c>
    </row>
    <row r="34" spans="1:15" x14ac:dyDescent="0.25">
      <c r="I34" s="75">
        <v>44757</v>
      </c>
      <c r="J34" s="46">
        <v>20000</v>
      </c>
    </row>
    <row r="35" spans="1:15" x14ac:dyDescent="0.25">
      <c r="I35" s="75">
        <v>44743</v>
      </c>
      <c r="J35" s="46">
        <v>70000</v>
      </c>
    </row>
    <row r="36" spans="1:15" x14ac:dyDescent="0.25">
      <c r="I36" s="75">
        <v>44758</v>
      </c>
      <c r="J36" s="46">
        <v>10000</v>
      </c>
    </row>
    <row r="37" spans="1:15" x14ac:dyDescent="0.25">
      <c r="I37" s="75">
        <v>44758</v>
      </c>
      <c r="J37" s="46">
        <v>100000</v>
      </c>
    </row>
    <row r="38" spans="1:15" x14ac:dyDescent="0.25">
      <c r="I38" s="75">
        <v>44762</v>
      </c>
      <c r="J38" s="46">
        <v>50000</v>
      </c>
    </row>
    <row r="39" spans="1:15" x14ac:dyDescent="0.25">
      <c r="I39" s="79" t="s">
        <v>192</v>
      </c>
      <c r="J39" s="49">
        <f>SUM(J5:J38)</f>
        <v>2842000</v>
      </c>
    </row>
    <row r="41" spans="1:15" ht="23.25" x14ac:dyDescent="0.35">
      <c r="A41" s="80" t="s">
        <v>1039</v>
      </c>
      <c r="G41" s="78" t="s">
        <v>1038</v>
      </c>
      <c r="I41" s="80" t="s">
        <v>19</v>
      </c>
      <c r="O41" s="78" t="s">
        <v>1038</v>
      </c>
    </row>
    <row r="42" spans="1:15" x14ac:dyDescent="0.25">
      <c r="G42" s="64">
        <f>B52-E55</f>
        <v>30000</v>
      </c>
      <c r="O42" s="64">
        <f>J68-M68</f>
        <v>82500</v>
      </c>
    </row>
    <row r="43" spans="1:15" x14ac:dyDescent="0.25">
      <c r="A43" s="78" t="s">
        <v>0</v>
      </c>
      <c r="B43" s="78" t="s">
        <v>1036</v>
      </c>
      <c r="C43" s="4"/>
      <c r="D43" s="78" t="s">
        <v>0</v>
      </c>
      <c r="E43" s="78" t="s">
        <v>1037</v>
      </c>
      <c r="I43" s="78" t="s">
        <v>0</v>
      </c>
      <c r="J43" s="78" t="s">
        <v>1036</v>
      </c>
      <c r="K43" s="4"/>
      <c r="L43" s="78" t="s">
        <v>0</v>
      </c>
      <c r="M43" s="78" t="s">
        <v>1037</v>
      </c>
    </row>
    <row r="44" spans="1:15" x14ac:dyDescent="0.25">
      <c r="A44" s="75">
        <v>44623</v>
      </c>
      <c r="B44" s="28">
        <v>200000</v>
      </c>
      <c r="C44" s="37"/>
      <c r="D44" s="87">
        <v>44624</v>
      </c>
      <c r="E44" s="28">
        <v>30000</v>
      </c>
      <c r="I44" s="75">
        <v>44621</v>
      </c>
      <c r="J44" s="153">
        <v>71000</v>
      </c>
      <c r="K44" s="37"/>
      <c r="L44" s="76">
        <v>44625</v>
      </c>
      <c r="M44" s="28">
        <v>47000</v>
      </c>
    </row>
    <row r="45" spans="1:15" x14ac:dyDescent="0.25">
      <c r="A45" s="75">
        <v>44685</v>
      </c>
      <c r="B45" s="28">
        <v>20000</v>
      </c>
      <c r="D45" s="76">
        <v>44631</v>
      </c>
      <c r="E45" s="28">
        <v>30000</v>
      </c>
      <c r="F45" s="64"/>
      <c r="I45" s="81" t="s">
        <v>1049</v>
      </c>
      <c r="J45" s="153">
        <v>15000</v>
      </c>
      <c r="L45" s="76">
        <v>44639</v>
      </c>
      <c r="M45" s="28">
        <v>30000</v>
      </c>
      <c r="N45" s="64"/>
    </row>
    <row r="46" spans="1:15" x14ac:dyDescent="0.25">
      <c r="A46" s="76">
        <v>44706</v>
      </c>
      <c r="B46" s="28">
        <v>20000</v>
      </c>
      <c r="D46" s="76">
        <v>44639</v>
      </c>
      <c r="E46" s="28">
        <v>30000</v>
      </c>
      <c r="F46" s="64"/>
      <c r="I46" s="75">
        <v>44630</v>
      </c>
      <c r="J46" s="153">
        <v>22000</v>
      </c>
      <c r="L46" s="76">
        <v>44660</v>
      </c>
      <c r="M46" s="28">
        <v>123000</v>
      </c>
      <c r="N46" s="64"/>
    </row>
    <row r="47" spans="1:15" x14ac:dyDescent="0.25">
      <c r="A47" s="76">
        <v>44798</v>
      </c>
      <c r="B47" s="28">
        <v>30000</v>
      </c>
      <c r="D47" s="76">
        <v>44646</v>
      </c>
      <c r="E47" s="28">
        <v>30000</v>
      </c>
      <c r="F47" s="64"/>
      <c r="I47" s="81">
        <v>44642</v>
      </c>
      <c r="J47" s="153">
        <v>20000</v>
      </c>
      <c r="L47" s="76">
        <v>44681</v>
      </c>
      <c r="M47" s="28">
        <v>35000</v>
      </c>
      <c r="N47" s="64"/>
    </row>
    <row r="48" spans="1:15" x14ac:dyDescent="0.25">
      <c r="A48" s="77"/>
      <c r="B48" s="28"/>
      <c r="D48" s="76">
        <v>44653</v>
      </c>
      <c r="E48" s="28">
        <v>30000</v>
      </c>
      <c r="F48" s="64"/>
      <c r="I48" s="81">
        <v>44643</v>
      </c>
      <c r="J48" s="153">
        <v>50000</v>
      </c>
      <c r="L48" s="76">
        <v>44672</v>
      </c>
      <c r="M48" s="28">
        <v>120000</v>
      </c>
      <c r="N48" s="64"/>
    </row>
    <row r="49" spans="1:14" x14ac:dyDescent="0.25">
      <c r="A49" s="77"/>
      <c r="B49" s="28"/>
      <c r="D49" s="76">
        <v>44660</v>
      </c>
      <c r="E49" s="28">
        <v>30000</v>
      </c>
      <c r="F49" s="64"/>
      <c r="I49" s="81">
        <v>44659</v>
      </c>
      <c r="J49" s="153">
        <v>22000</v>
      </c>
      <c r="L49" s="76">
        <v>44709</v>
      </c>
      <c r="M49" s="28">
        <v>65000</v>
      </c>
      <c r="N49" s="64"/>
    </row>
    <row r="50" spans="1:14" x14ac:dyDescent="0.25">
      <c r="A50" s="77"/>
      <c r="B50" s="28"/>
      <c r="D50" s="76">
        <v>44667</v>
      </c>
      <c r="E50" s="28">
        <v>20000</v>
      </c>
      <c r="F50" s="64"/>
      <c r="I50" s="81">
        <v>44672</v>
      </c>
      <c r="J50" s="153">
        <v>25000</v>
      </c>
      <c r="L50" s="76">
        <v>44758</v>
      </c>
      <c r="M50" s="28">
        <v>11000</v>
      </c>
      <c r="N50" s="64"/>
    </row>
    <row r="51" spans="1:14" x14ac:dyDescent="0.25">
      <c r="A51" s="77"/>
      <c r="B51" s="28"/>
      <c r="D51" s="87">
        <v>44688</v>
      </c>
      <c r="E51" s="101">
        <v>20000</v>
      </c>
      <c r="F51" s="64"/>
      <c r="I51" s="81">
        <v>44680</v>
      </c>
      <c r="J51" s="123">
        <v>10000</v>
      </c>
      <c r="L51" s="76">
        <v>44793</v>
      </c>
      <c r="M51" s="28">
        <v>75000</v>
      </c>
      <c r="N51" s="64"/>
    </row>
    <row r="52" spans="1:14" x14ac:dyDescent="0.25">
      <c r="A52" s="79" t="s">
        <v>192</v>
      </c>
      <c r="B52" s="49">
        <f>SUM(B44:B50)</f>
        <v>270000</v>
      </c>
      <c r="C52" s="47"/>
      <c r="D52" s="87">
        <v>44709</v>
      </c>
      <c r="E52" s="101">
        <v>20000</v>
      </c>
      <c r="I52" s="81">
        <v>44686</v>
      </c>
      <c r="J52" s="123">
        <v>70000</v>
      </c>
      <c r="K52" s="47"/>
      <c r="L52" s="76">
        <v>44800</v>
      </c>
      <c r="M52" s="46">
        <v>75000</v>
      </c>
    </row>
    <row r="53" spans="1:14" x14ac:dyDescent="0.25">
      <c r="A53" s="105"/>
      <c r="B53" s="47"/>
      <c r="C53" s="47"/>
      <c r="D53" s="87"/>
      <c r="E53" s="37"/>
      <c r="I53" s="81"/>
      <c r="J53" s="123"/>
      <c r="K53" s="47"/>
      <c r="L53" s="76">
        <v>44814</v>
      </c>
      <c r="M53" s="46">
        <v>30000</v>
      </c>
    </row>
    <row r="54" spans="1:14" x14ac:dyDescent="0.25">
      <c r="A54" s="105"/>
      <c r="B54" s="47"/>
      <c r="C54" s="47"/>
      <c r="I54" s="81">
        <v>44691</v>
      </c>
      <c r="J54" s="123">
        <v>50000</v>
      </c>
      <c r="K54" s="47"/>
      <c r="L54" s="76">
        <v>44820</v>
      </c>
      <c r="M54" s="46">
        <v>75000</v>
      </c>
    </row>
    <row r="55" spans="1:14" x14ac:dyDescent="0.25">
      <c r="D55" s="77"/>
      <c r="E55" s="49">
        <f>SUM(E44:E52)</f>
        <v>240000</v>
      </c>
      <c r="I55" s="81">
        <v>44704</v>
      </c>
      <c r="J55" s="123">
        <v>65000</v>
      </c>
      <c r="L55" s="76">
        <v>44835</v>
      </c>
      <c r="M55" s="46">
        <v>75000</v>
      </c>
    </row>
    <row r="56" spans="1:14" x14ac:dyDescent="0.25">
      <c r="I56" s="81">
        <v>44758</v>
      </c>
      <c r="J56" s="123">
        <v>11000</v>
      </c>
      <c r="L56" s="76">
        <v>44856</v>
      </c>
      <c r="M56" s="77">
        <v>75000</v>
      </c>
    </row>
    <row r="57" spans="1:14" x14ac:dyDescent="0.25">
      <c r="I57" s="81" t="s">
        <v>2784</v>
      </c>
      <c r="J57" s="123">
        <v>150000</v>
      </c>
      <c r="L57" s="76">
        <v>44863</v>
      </c>
      <c r="M57" s="77">
        <v>75000</v>
      </c>
    </row>
    <row r="58" spans="1:14" x14ac:dyDescent="0.25">
      <c r="I58" s="81">
        <v>44796</v>
      </c>
      <c r="J58" s="123">
        <v>30000</v>
      </c>
      <c r="L58" s="76">
        <v>44869</v>
      </c>
      <c r="M58" s="77">
        <v>20000</v>
      </c>
    </row>
    <row r="59" spans="1:14" x14ac:dyDescent="0.25">
      <c r="I59" s="81" t="s">
        <v>3304</v>
      </c>
      <c r="J59" s="123">
        <v>150000</v>
      </c>
      <c r="L59" s="76">
        <v>44905</v>
      </c>
      <c r="M59" s="77">
        <v>75000</v>
      </c>
    </row>
    <row r="60" spans="1:14" x14ac:dyDescent="0.25">
      <c r="I60" s="86" t="s">
        <v>3628</v>
      </c>
      <c r="J60" s="123">
        <v>150000</v>
      </c>
      <c r="L60" s="77"/>
      <c r="M60" s="77"/>
    </row>
    <row r="61" spans="1:14" x14ac:dyDescent="0.25">
      <c r="I61" s="81">
        <v>44862</v>
      </c>
      <c r="J61" s="123">
        <v>20000</v>
      </c>
      <c r="L61" s="77"/>
      <c r="M61" s="77"/>
    </row>
    <row r="62" spans="1:14" x14ac:dyDescent="0.25">
      <c r="I62" s="81" t="s">
        <v>4178</v>
      </c>
      <c r="J62" s="123">
        <v>150000</v>
      </c>
      <c r="L62" s="77"/>
      <c r="M62" s="77"/>
    </row>
    <row r="63" spans="1:14" x14ac:dyDescent="0.25">
      <c r="I63" s="81">
        <v>44915</v>
      </c>
      <c r="J63" s="123">
        <v>7500</v>
      </c>
      <c r="L63" s="77"/>
      <c r="M63" s="77"/>
    </row>
    <row r="64" spans="1:14" x14ac:dyDescent="0.25">
      <c r="I64" s="81"/>
      <c r="J64" s="123"/>
      <c r="L64" s="77"/>
      <c r="M64" s="77"/>
    </row>
    <row r="65" spans="1:15" x14ac:dyDescent="0.25">
      <c r="I65" s="81"/>
      <c r="J65" s="123"/>
      <c r="L65" s="77"/>
      <c r="M65" s="77"/>
    </row>
    <row r="66" spans="1:15" x14ac:dyDescent="0.25">
      <c r="I66" s="81"/>
      <c r="J66" s="123"/>
      <c r="L66" s="77"/>
      <c r="M66" s="77"/>
    </row>
    <row r="67" spans="1:15" x14ac:dyDescent="0.25">
      <c r="I67" s="81"/>
      <c r="J67" s="123"/>
      <c r="L67" s="77"/>
      <c r="M67" s="77"/>
    </row>
    <row r="68" spans="1:15" x14ac:dyDescent="0.25">
      <c r="I68" s="26" t="s">
        <v>192</v>
      </c>
      <c r="J68" s="123">
        <f>SUM(J44:J63)</f>
        <v>1088500</v>
      </c>
      <c r="L68" s="77"/>
      <c r="M68" s="49">
        <f>SUM(M44:M59)</f>
        <v>1006000</v>
      </c>
    </row>
    <row r="69" spans="1:15" x14ac:dyDescent="0.25">
      <c r="J69" s="123"/>
    </row>
    <row r="70" spans="1:15" ht="23.25" x14ac:dyDescent="0.35">
      <c r="A70" s="80" t="s">
        <v>280</v>
      </c>
      <c r="G70" s="78" t="s">
        <v>1038</v>
      </c>
      <c r="I70" s="80" t="s">
        <v>282</v>
      </c>
      <c r="J70" s="123"/>
      <c r="O70" s="78" t="s">
        <v>1038</v>
      </c>
    </row>
    <row r="71" spans="1:15" x14ac:dyDescent="0.25">
      <c r="G71" s="64">
        <f>B88-E88</f>
        <v>120000</v>
      </c>
      <c r="J71" s="123"/>
      <c r="O71" s="64">
        <f>J88-M88</f>
        <v>13500</v>
      </c>
    </row>
    <row r="72" spans="1:15" x14ac:dyDescent="0.25">
      <c r="A72" s="78" t="s">
        <v>0</v>
      </c>
      <c r="B72" s="78" t="s">
        <v>1036</v>
      </c>
      <c r="C72" s="4"/>
      <c r="D72" s="78" t="s">
        <v>0</v>
      </c>
      <c r="E72" s="78" t="s">
        <v>1037</v>
      </c>
      <c r="I72" s="78" t="s">
        <v>0</v>
      </c>
      <c r="J72" s="123" t="s">
        <v>1036</v>
      </c>
      <c r="K72" s="4"/>
      <c r="L72" s="78" t="s">
        <v>0</v>
      </c>
      <c r="M72" s="78" t="s">
        <v>1037</v>
      </c>
    </row>
    <row r="73" spans="1:15" x14ac:dyDescent="0.25">
      <c r="A73" s="75">
        <v>44621</v>
      </c>
      <c r="B73" s="28">
        <v>320000</v>
      </c>
      <c r="C73" s="37"/>
      <c r="D73" s="76">
        <v>44614</v>
      </c>
      <c r="E73" s="28">
        <v>150000</v>
      </c>
      <c r="I73" s="75">
        <v>44627</v>
      </c>
      <c r="J73" s="123">
        <v>100000</v>
      </c>
      <c r="K73" s="37"/>
      <c r="L73" s="76">
        <v>44635</v>
      </c>
      <c r="M73" s="28">
        <v>100000</v>
      </c>
    </row>
    <row r="74" spans="1:15" x14ac:dyDescent="0.25">
      <c r="A74" s="81">
        <v>44646</v>
      </c>
      <c r="B74" s="28">
        <v>15000</v>
      </c>
      <c r="D74" s="76">
        <v>44635</v>
      </c>
      <c r="E74" s="28">
        <v>70000</v>
      </c>
      <c r="F74" s="64"/>
      <c r="I74" s="81">
        <v>44639</v>
      </c>
      <c r="J74" s="28">
        <v>10000</v>
      </c>
      <c r="L74" s="76">
        <v>44650</v>
      </c>
      <c r="M74" s="28">
        <v>75000</v>
      </c>
      <c r="N74" s="64"/>
    </row>
    <row r="75" spans="1:15" x14ac:dyDescent="0.25">
      <c r="A75" s="81">
        <v>44656</v>
      </c>
      <c r="B75" s="28">
        <v>11000</v>
      </c>
      <c r="D75" s="76">
        <v>44650</v>
      </c>
      <c r="E75" s="28">
        <v>50000</v>
      </c>
      <c r="F75" s="64"/>
      <c r="I75" s="81">
        <v>44646</v>
      </c>
      <c r="J75" s="28">
        <v>15000</v>
      </c>
      <c r="L75" s="76">
        <v>44666</v>
      </c>
      <c r="M75" s="28">
        <v>150000</v>
      </c>
      <c r="N75" s="64"/>
    </row>
    <row r="76" spans="1:15" x14ac:dyDescent="0.25">
      <c r="A76" s="81">
        <v>44657</v>
      </c>
      <c r="B76" s="28">
        <v>10000</v>
      </c>
      <c r="D76" s="76">
        <v>44666</v>
      </c>
      <c r="E76" s="28">
        <v>100000</v>
      </c>
      <c r="F76" s="64"/>
      <c r="I76" s="81">
        <v>44646</v>
      </c>
      <c r="J76" s="28">
        <v>50000</v>
      </c>
      <c r="L76" s="76">
        <v>44681</v>
      </c>
      <c r="M76" s="28">
        <v>100000</v>
      </c>
      <c r="N76" s="64"/>
    </row>
    <row r="77" spans="1:15" x14ac:dyDescent="0.25">
      <c r="A77" s="81">
        <v>44659</v>
      </c>
      <c r="B77" s="28">
        <v>25000</v>
      </c>
      <c r="D77" s="76">
        <v>44681</v>
      </c>
      <c r="E77" s="28">
        <v>50000</v>
      </c>
      <c r="F77" s="64"/>
      <c r="I77" s="81">
        <v>44629</v>
      </c>
      <c r="J77" s="28">
        <v>300000</v>
      </c>
      <c r="L77" s="76">
        <v>44696</v>
      </c>
      <c r="M77" s="28">
        <v>60000</v>
      </c>
      <c r="N77" s="64"/>
    </row>
    <row r="78" spans="1:15" x14ac:dyDescent="0.25">
      <c r="A78" s="81">
        <v>44663</v>
      </c>
      <c r="B78" s="28">
        <v>50000</v>
      </c>
      <c r="D78" s="76">
        <v>44696</v>
      </c>
      <c r="E78" s="28">
        <v>61000</v>
      </c>
      <c r="F78" s="64"/>
      <c r="I78" s="81">
        <v>44672</v>
      </c>
      <c r="J78" s="28">
        <v>10000</v>
      </c>
      <c r="L78" s="76">
        <v>44709</v>
      </c>
      <c r="M78" s="28">
        <v>100000</v>
      </c>
      <c r="N78" s="64"/>
    </row>
    <row r="79" spans="1:15" x14ac:dyDescent="0.25">
      <c r="A79" s="81">
        <v>44670</v>
      </c>
      <c r="B79" s="28">
        <v>50000</v>
      </c>
      <c r="D79" s="76">
        <v>44709</v>
      </c>
      <c r="E79" s="28">
        <v>100000</v>
      </c>
      <c r="F79" s="64"/>
      <c r="I79" s="81">
        <v>44747</v>
      </c>
      <c r="J79" s="28">
        <v>250000</v>
      </c>
      <c r="L79" s="76">
        <v>44757</v>
      </c>
      <c r="M79" s="28">
        <v>150000</v>
      </c>
      <c r="N79" s="64"/>
    </row>
    <row r="80" spans="1:15" x14ac:dyDescent="0.25">
      <c r="A80" s="81">
        <v>44687</v>
      </c>
      <c r="B80" s="28">
        <v>100000</v>
      </c>
      <c r="D80" s="76">
        <v>44727</v>
      </c>
      <c r="E80" s="49">
        <v>100000</v>
      </c>
      <c r="F80" s="64"/>
      <c r="I80" s="81">
        <v>44796</v>
      </c>
      <c r="J80" s="28">
        <v>20000</v>
      </c>
      <c r="L80" s="76">
        <v>44803</v>
      </c>
      <c r="M80" s="28">
        <v>20000</v>
      </c>
      <c r="N80" s="64"/>
    </row>
    <row r="81" spans="1:15" x14ac:dyDescent="0.25">
      <c r="A81" s="81">
        <v>44702</v>
      </c>
      <c r="B81" s="28">
        <v>100000</v>
      </c>
      <c r="D81" s="76">
        <v>44819</v>
      </c>
      <c r="E81" s="49">
        <v>100000</v>
      </c>
      <c r="F81" s="64"/>
      <c r="I81" s="76">
        <v>44814</v>
      </c>
      <c r="J81" s="77">
        <v>100000</v>
      </c>
      <c r="L81" s="76">
        <v>44819</v>
      </c>
      <c r="M81" s="28">
        <v>100000</v>
      </c>
      <c r="N81" s="64"/>
    </row>
    <row r="82" spans="1:15" x14ac:dyDescent="0.25">
      <c r="A82" s="81"/>
      <c r="B82" s="28">
        <v>10000</v>
      </c>
      <c r="D82" s="76">
        <v>44834</v>
      </c>
      <c r="E82" s="49">
        <v>100000</v>
      </c>
      <c r="F82" s="64"/>
      <c r="I82" s="86"/>
      <c r="J82" s="28">
        <v>30000</v>
      </c>
      <c r="L82" s="76">
        <v>44864</v>
      </c>
      <c r="M82" s="28">
        <v>30000</v>
      </c>
      <c r="N82" s="64"/>
    </row>
    <row r="83" spans="1:15" x14ac:dyDescent="0.25">
      <c r="A83" s="81">
        <v>44810</v>
      </c>
      <c r="B83" s="28">
        <v>50000</v>
      </c>
      <c r="D83" s="76">
        <v>44849</v>
      </c>
      <c r="E83" s="49">
        <v>100000</v>
      </c>
      <c r="F83" s="64"/>
      <c r="I83" s="81">
        <v>44915</v>
      </c>
      <c r="J83" s="28">
        <v>13500</v>
      </c>
      <c r="L83" s="77"/>
      <c r="M83" s="28"/>
      <c r="N83" s="64"/>
    </row>
    <row r="84" spans="1:15" x14ac:dyDescent="0.25">
      <c r="A84" s="81">
        <v>44814</v>
      </c>
      <c r="B84" s="28">
        <v>11000</v>
      </c>
      <c r="D84" s="76">
        <v>44864</v>
      </c>
      <c r="E84" s="49">
        <v>44000</v>
      </c>
      <c r="F84" s="64"/>
      <c r="I84" s="86"/>
      <c r="J84" s="28"/>
      <c r="L84" s="77"/>
      <c r="M84" s="28"/>
      <c r="N84" s="64"/>
    </row>
    <row r="85" spans="1:15" x14ac:dyDescent="0.25">
      <c r="A85" s="81">
        <v>44819</v>
      </c>
      <c r="B85" s="28">
        <v>273000</v>
      </c>
      <c r="D85" s="77"/>
      <c r="E85" s="49"/>
      <c r="F85" s="64"/>
      <c r="I85" s="86"/>
      <c r="J85" s="28"/>
      <c r="L85" s="77"/>
      <c r="M85" s="28"/>
      <c r="N85" s="64"/>
    </row>
    <row r="86" spans="1:15" x14ac:dyDescent="0.25">
      <c r="A86" s="81">
        <v>44895</v>
      </c>
      <c r="B86" s="28">
        <v>100000</v>
      </c>
      <c r="D86" s="77"/>
      <c r="E86" s="49"/>
      <c r="F86" s="64"/>
      <c r="I86" s="86"/>
      <c r="J86" s="28"/>
      <c r="L86" s="77"/>
      <c r="M86" s="28"/>
      <c r="N86" s="64"/>
    </row>
    <row r="87" spans="1:15" x14ac:dyDescent="0.25">
      <c r="A87" s="81">
        <v>44918</v>
      </c>
      <c r="B87" s="28">
        <v>20000</v>
      </c>
      <c r="D87" s="77"/>
      <c r="E87" s="49"/>
      <c r="F87" s="64"/>
      <c r="I87" s="86"/>
      <c r="J87" s="28"/>
      <c r="L87" s="77"/>
      <c r="M87" s="28"/>
      <c r="N87" s="64"/>
    </row>
    <row r="88" spans="1:15" x14ac:dyDescent="0.25">
      <c r="A88" s="79" t="s">
        <v>192</v>
      </c>
      <c r="B88" s="49">
        <f>SUM(B73:B87)</f>
        <v>1145000</v>
      </c>
      <c r="C88" s="47"/>
      <c r="D88" s="49" t="s">
        <v>192</v>
      </c>
      <c r="E88" s="49">
        <f>SUM(E73:E84)</f>
        <v>1025000</v>
      </c>
      <c r="I88" s="79" t="s">
        <v>192</v>
      </c>
      <c r="J88" s="49">
        <f>SUM(J73:J83)</f>
        <v>898500</v>
      </c>
      <c r="K88" s="47"/>
      <c r="L88" s="77"/>
      <c r="M88" s="49">
        <f>SUM(M73:M82)</f>
        <v>885000</v>
      </c>
    </row>
    <row r="93" spans="1:15" ht="23.25" x14ac:dyDescent="0.35">
      <c r="A93" s="80" t="s">
        <v>408</v>
      </c>
      <c r="G93" s="78" t="s">
        <v>1038</v>
      </c>
      <c r="I93" s="80" t="s">
        <v>1622</v>
      </c>
      <c r="O93" s="78" t="s">
        <v>1038</v>
      </c>
    </row>
    <row r="94" spans="1:15" x14ac:dyDescent="0.25">
      <c r="G94" s="64">
        <f>B108-E108</f>
        <v>40000</v>
      </c>
      <c r="O94" s="64">
        <f>J105-M105</f>
        <v>0</v>
      </c>
    </row>
    <row r="95" spans="1:15" x14ac:dyDescent="0.25">
      <c r="A95" s="78" t="s">
        <v>0</v>
      </c>
      <c r="B95" s="78" t="s">
        <v>1036</v>
      </c>
      <c r="C95" s="4"/>
      <c r="D95" s="78" t="s">
        <v>0</v>
      </c>
      <c r="E95" s="78" t="s">
        <v>1037</v>
      </c>
      <c r="I95" s="78" t="s">
        <v>0</v>
      </c>
      <c r="J95" s="78" t="s">
        <v>1036</v>
      </c>
      <c r="K95" s="4"/>
      <c r="L95" s="78" t="s">
        <v>0</v>
      </c>
      <c r="M95" s="78" t="s">
        <v>1037</v>
      </c>
    </row>
    <row r="96" spans="1:15" x14ac:dyDescent="0.25">
      <c r="A96" s="75">
        <v>44624</v>
      </c>
      <c r="B96" s="28">
        <v>135000</v>
      </c>
      <c r="C96" s="37"/>
      <c r="D96" s="75">
        <v>44639</v>
      </c>
      <c r="E96" s="28">
        <v>30000</v>
      </c>
      <c r="I96" s="75">
        <v>44684</v>
      </c>
      <c r="J96" s="28">
        <v>15000</v>
      </c>
      <c r="K96" s="37"/>
      <c r="L96" s="76">
        <v>44696</v>
      </c>
      <c r="M96" s="28">
        <v>65000</v>
      </c>
    </row>
    <row r="97" spans="1:13" x14ac:dyDescent="0.25">
      <c r="A97" s="75">
        <v>44635</v>
      </c>
      <c r="B97" s="28">
        <v>30000</v>
      </c>
      <c r="D97" s="76">
        <v>44660</v>
      </c>
      <c r="E97" s="28">
        <v>135000</v>
      </c>
      <c r="I97" s="75">
        <v>44691</v>
      </c>
      <c r="J97" s="28">
        <v>20000</v>
      </c>
      <c r="L97" s="76">
        <v>44709</v>
      </c>
      <c r="M97" s="28">
        <v>20000</v>
      </c>
    </row>
    <row r="98" spans="1:13" x14ac:dyDescent="0.25">
      <c r="A98" s="76">
        <v>44677</v>
      </c>
      <c r="B98" s="28">
        <v>20000</v>
      </c>
      <c r="D98" s="76">
        <v>44681</v>
      </c>
      <c r="E98" s="28">
        <v>30000</v>
      </c>
      <c r="I98" s="75">
        <v>44694</v>
      </c>
      <c r="J98" s="28">
        <v>30000</v>
      </c>
      <c r="L98" s="76">
        <v>44715</v>
      </c>
      <c r="M98" s="28">
        <v>50000</v>
      </c>
    </row>
    <row r="99" spans="1:13" x14ac:dyDescent="0.25">
      <c r="A99" s="76">
        <v>44680</v>
      </c>
      <c r="B99" s="28">
        <v>10000</v>
      </c>
      <c r="D99" s="76">
        <v>44687</v>
      </c>
      <c r="E99" s="28">
        <v>50000</v>
      </c>
      <c r="I99" s="76">
        <v>44705</v>
      </c>
      <c r="J99" s="28">
        <v>20000</v>
      </c>
      <c r="L99" s="76">
        <v>44727</v>
      </c>
      <c r="M99" s="28">
        <v>40000</v>
      </c>
    </row>
    <row r="100" spans="1:13" x14ac:dyDescent="0.25">
      <c r="A100" s="76">
        <v>44687</v>
      </c>
      <c r="B100" s="28">
        <v>50000</v>
      </c>
      <c r="D100" s="76">
        <v>44696</v>
      </c>
      <c r="E100" s="28">
        <v>60000</v>
      </c>
      <c r="I100" s="76">
        <v>44714</v>
      </c>
      <c r="J100" s="28">
        <v>90000</v>
      </c>
      <c r="L100" s="77"/>
      <c r="M100" s="28"/>
    </row>
    <row r="101" spans="1:13" x14ac:dyDescent="0.25">
      <c r="A101" s="81">
        <v>44691</v>
      </c>
      <c r="B101" s="46">
        <v>50000</v>
      </c>
      <c r="D101" s="76">
        <v>44709</v>
      </c>
      <c r="E101" s="28">
        <v>50000</v>
      </c>
      <c r="I101" s="77"/>
      <c r="J101" s="28"/>
      <c r="L101" s="77"/>
      <c r="M101" s="28"/>
    </row>
    <row r="102" spans="1:13" x14ac:dyDescent="0.25">
      <c r="A102" s="81">
        <v>44694</v>
      </c>
      <c r="B102" s="46">
        <v>10000</v>
      </c>
      <c r="D102" s="76">
        <v>44723</v>
      </c>
      <c r="E102" s="28">
        <v>50000</v>
      </c>
      <c r="I102" s="77"/>
      <c r="J102" s="28"/>
      <c r="L102" s="77"/>
      <c r="M102" s="28"/>
    </row>
    <row r="103" spans="1:13" x14ac:dyDescent="0.25">
      <c r="A103" s="81">
        <v>44705</v>
      </c>
      <c r="B103" s="46">
        <v>50000</v>
      </c>
      <c r="D103" s="76">
        <v>44754</v>
      </c>
      <c r="E103" s="28">
        <v>5000</v>
      </c>
      <c r="I103" s="77"/>
      <c r="J103" s="28"/>
      <c r="L103" s="77"/>
      <c r="M103" s="28"/>
    </row>
    <row r="104" spans="1:13" x14ac:dyDescent="0.25">
      <c r="A104" s="76">
        <v>44722</v>
      </c>
      <c r="B104" s="46">
        <v>50000</v>
      </c>
      <c r="D104" s="76">
        <v>44754</v>
      </c>
      <c r="E104" s="28">
        <v>50000</v>
      </c>
      <c r="I104" s="77"/>
      <c r="J104" s="28"/>
      <c r="L104" s="77"/>
      <c r="M104" s="28"/>
    </row>
    <row r="105" spans="1:13" x14ac:dyDescent="0.25">
      <c r="A105" s="76">
        <v>44754</v>
      </c>
      <c r="B105" s="46">
        <v>5000</v>
      </c>
      <c r="C105" s="47"/>
      <c r="D105" s="77"/>
      <c r="E105" s="49"/>
      <c r="I105" s="79" t="s">
        <v>192</v>
      </c>
      <c r="J105" s="49">
        <f>SUM(J96:J101)</f>
        <v>175000</v>
      </c>
      <c r="K105" s="47"/>
      <c r="L105" s="77"/>
      <c r="M105" s="49">
        <f>SUM(M96:M101)</f>
        <v>175000</v>
      </c>
    </row>
    <row r="106" spans="1:13" x14ac:dyDescent="0.25">
      <c r="A106" s="76">
        <v>44750</v>
      </c>
      <c r="B106" s="46">
        <v>50000</v>
      </c>
      <c r="D106" s="77"/>
      <c r="E106" s="77"/>
    </row>
    <row r="107" spans="1:13" x14ac:dyDescent="0.25">
      <c r="A107" s="76">
        <v>44889</v>
      </c>
      <c r="B107" s="46">
        <v>40000</v>
      </c>
      <c r="D107" s="77"/>
      <c r="E107" s="77"/>
    </row>
    <row r="108" spans="1:13" x14ac:dyDescent="0.25">
      <c r="A108" s="79" t="s">
        <v>192</v>
      </c>
      <c r="B108" s="49">
        <f>SUM(B96:B107)</f>
        <v>500000</v>
      </c>
      <c r="E108" s="47">
        <f>SUM(E96:E107)</f>
        <v>460000</v>
      </c>
    </row>
    <row r="113" spans="1:15" ht="23.25" x14ac:dyDescent="0.35">
      <c r="A113" s="80" t="s">
        <v>1381</v>
      </c>
      <c r="G113" s="78" t="s">
        <v>1038</v>
      </c>
      <c r="I113" s="80" t="s">
        <v>2488</v>
      </c>
      <c r="O113" s="78" t="s">
        <v>1038</v>
      </c>
    </row>
    <row r="114" spans="1:15" x14ac:dyDescent="0.25">
      <c r="G114" s="64">
        <f>B123-E123</f>
        <v>0</v>
      </c>
      <c r="O114" s="64">
        <f>J123-M123</f>
        <v>0</v>
      </c>
    </row>
    <row r="115" spans="1:15" x14ac:dyDescent="0.25">
      <c r="A115" s="78" t="s">
        <v>0</v>
      </c>
      <c r="B115" s="78" t="s">
        <v>1036</v>
      </c>
      <c r="C115" s="4"/>
      <c r="D115" s="78" t="s">
        <v>0</v>
      </c>
      <c r="E115" s="78" t="s">
        <v>1037</v>
      </c>
      <c r="I115" s="78" t="s">
        <v>0</v>
      </c>
      <c r="J115" s="78" t="s">
        <v>1036</v>
      </c>
      <c r="K115" s="4"/>
      <c r="L115" s="78" t="s">
        <v>0</v>
      </c>
      <c r="M115" s="78" t="s">
        <v>1037</v>
      </c>
    </row>
    <row r="116" spans="1:15" x14ac:dyDescent="0.25">
      <c r="A116" s="75">
        <v>44705</v>
      </c>
      <c r="B116" s="28">
        <v>50000</v>
      </c>
      <c r="C116" s="37"/>
      <c r="D116" s="76">
        <v>44709</v>
      </c>
      <c r="E116" s="28">
        <v>50000</v>
      </c>
      <c r="I116" s="75">
        <v>44764</v>
      </c>
      <c r="J116" s="28">
        <v>20000</v>
      </c>
      <c r="K116" s="37"/>
      <c r="L116" s="76">
        <v>44764</v>
      </c>
      <c r="M116" s="28">
        <v>20000</v>
      </c>
    </row>
    <row r="117" spans="1:15" x14ac:dyDescent="0.25">
      <c r="A117" s="75"/>
      <c r="B117" s="28"/>
      <c r="D117" s="76"/>
      <c r="E117" s="28"/>
      <c r="I117" s="75">
        <v>44783</v>
      </c>
      <c r="J117" s="28">
        <v>87500</v>
      </c>
      <c r="L117" s="76">
        <v>44785</v>
      </c>
      <c r="M117" s="28">
        <v>40000</v>
      </c>
    </row>
    <row r="118" spans="1:15" x14ac:dyDescent="0.25">
      <c r="A118" s="75"/>
      <c r="B118" s="28"/>
      <c r="D118" s="76"/>
      <c r="E118" s="28"/>
      <c r="I118" s="75">
        <v>44789</v>
      </c>
      <c r="J118" s="28">
        <v>76000</v>
      </c>
      <c r="L118" s="76">
        <v>44793</v>
      </c>
      <c r="M118" s="28">
        <v>43500</v>
      </c>
    </row>
    <row r="119" spans="1:15" x14ac:dyDescent="0.25">
      <c r="A119" s="77"/>
      <c r="B119" s="77"/>
      <c r="D119" s="77"/>
      <c r="E119" s="28"/>
      <c r="I119" s="77"/>
      <c r="J119" s="49"/>
      <c r="L119" s="76">
        <v>44799</v>
      </c>
      <c r="M119" s="28">
        <v>40000</v>
      </c>
    </row>
    <row r="120" spans="1:15" x14ac:dyDescent="0.25">
      <c r="A120" s="77"/>
      <c r="B120" s="28"/>
      <c r="D120" s="77"/>
      <c r="E120" s="28"/>
      <c r="I120" s="77"/>
      <c r="J120" s="28"/>
      <c r="L120" s="76">
        <v>44814</v>
      </c>
      <c r="M120" s="28">
        <v>40000</v>
      </c>
    </row>
    <row r="121" spans="1:15" x14ac:dyDescent="0.25">
      <c r="A121" s="77"/>
      <c r="B121" s="28"/>
      <c r="D121" s="77"/>
      <c r="E121" s="28"/>
      <c r="I121" s="77"/>
      <c r="J121" s="28"/>
      <c r="L121" s="77"/>
      <c r="M121" s="28"/>
    </row>
    <row r="122" spans="1:15" x14ac:dyDescent="0.25">
      <c r="A122" s="77"/>
      <c r="B122" s="28"/>
      <c r="D122" s="77"/>
      <c r="E122" s="28"/>
      <c r="I122" s="77"/>
      <c r="J122" s="28"/>
      <c r="L122" s="77"/>
      <c r="M122" s="28"/>
    </row>
    <row r="123" spans="1:15" x14ac:dyDescent="0.25">
      <c r="A123" s="79" t="s">
        <v>192</v>
      </c>
      <c r="B123" s="49">
        <f>SUM(B116:B121)</f>
        <v>50000</v>
      </c>
      <c r="C123" s="47"/>
      <c r="D123" s="77"/>
      <c r="E123" s="49">
        <f>SUM(E116:E121)</f>
        <v>50000</v>
      </c>
      <c r="I123" s="79" t="s">
        <v>192</v>
      </c>
      <c r="J123" s="49">
        <f>SUM(J116:J121)</f>
        <v>183500</v>
      </c>
      <c r="K123" s="47"/>
      <c r="L123" s="77"/>
      <c r="M123" s="49">
        <f>SUM(M116:M121)</f>
        <v>183500</v>
      </c>
    </row>
    <row r="128" spans="1:15" ht="23.25" x14ac:dyDescent="0.35">
      <c r="A128" s="80" t="s">
        <v>4065</v>
      </c>
      <c r="G128" s="78" t="s">
        <v>1038</v>
      </c>
    </row>
    <row r="129" spans="1:7" x14ac:dyDescent="0.25">
      <c r="G129" s="64">
        <f>B138-E138</f>
        <v>80000</v>
      </c>
    </row>
    <row r="130" spans="1:7" x14ac:dyDescent="0.25">
      <c r="A130" s="78" t="s">
        <v>0</v>
      </c>
      <c r="B130" s="78" t="s">
        <v>1036</v>
      </c>
      <c r="C130" s="4"/>
      <c r="D130" s="78" t="s">
        <v>0</v>
      </c>
      <c r="E130" s="78" t="s">
        <v>1037</v>
      </c>
    </row>
    <row r="131" spans="1:7" x14ac:dyDescent="0.25">
      <c r="A131" s="75">
        <v>44896</v>
      </c>
      <c r="B131" s="28">
        <v>20000</v>
      </c>
      <c r="C131" s="37"/>
      <c r="D131" s="76">
        <v>44912</v>
      </c>
      <c r="E131" s="28">
        <v>20000</v>
      </c>
    </row>
    <row r="132" spans="1:7" x14ac:dyDescent="0.25">
      <c r="A132" s="75">
        <v>44909</v>
      </c>
      <c r="B132" s="28">
        <v>20000</v>
      </c>
      <c r="D132" s="76"/>
      <c r="E132" s="28"/>
    </row>
    <row r="133" spans="1:7" x14ac:dyDescent="0.25">
      <c r="A133" s="75">
        <v>44916</v>
      </c>
      <c r="B133" s="28">
        <v>20000</v>
      </c>
      <c r="D133" s="76"/>
      <c r="E133" s="28"/>
    </row>
    <row r="134" spans="1:7" x14ac:dyDescent="0.25">
      <c r="A134" s="75">
        <v>44917</v>
      </c>
      <c r="B134" s="28">
        <v>20000</v>
      </c>
      <c r="D134" s="77"/>
      <c r="E134" s="28"/>
    </row>
    <row r="135" spans="1:7" x14ac:dyDescent="0.25">
      <c r="A135" s="76">
        <v>44918</v>
      </c>
      <c r="B135" s="28">
        <v>20000</v>
      </c>
      <c r="D135" s="77"/>
      <c r="E135" s="28"/>
    </row>
    <row r="136" spans="1:7" x14ac:dyDescent="0.25">
      <c r="A136" s="77"/>
      <c r="B136" s="28"/>
      <c r="D136" s="77"/>
      <c r="E136" s="28"/>
    </row>
    <row r="137" spans="1:7" x14ac:dyDescent="0.25">
      <c r="A137" s="77"/>
      <c r="B137" s="28"/>
      <c r="D137" s="77"/>
      <c r="E137" s="28"/>
    </row>
    <row r="138" spans="1:7" x14ac:dyDescent="0.25">
      <c r="A138" s="79" t="s">
        <v>192</v>
      </c>
      <c r="B138" s="49">
        <f>SUM(B131:B136)</f>
        <v>100000</v>
      </c>
      <c r="C138" s="47"/>
      <c r="D138" s="77"/>
      <c r="E138" s="49">
        <f>SUM(E131:E136)</f>
        <v>20000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2:J50"/>
  <sheetViews>
    <sheetView topLeftCell="A31" zoomScale="130" zoomScaleNormal="130" workbookViewId="0">
      <selection activeCell="E33" sqref="E33"/>
    </sheetView>
  </sheetViews>
  <sheetFormatPr baseColWidth="10" defaultRowHeight="15" x14ac:dyDescent="0.25"/>
  <cols>
    <col min="1" max="1" width="2.85546875" customWidth="1"/>
    <col min="2" max="2" width="20" customWidth="1"/>
    <col min="3" max="3" width="14" customWidth="1"/>
    <col min="4" max="4" width="20" customWidth="1"/>
    <col min="5" max="5" width="16" customWidth="1"/>
    <col min="6" max="6" width="14.42578125" customWidth="1"/>
    <col min="7" max="7" width="16.140625" customWidth="1"/>
    <col min="8" max="8" width="13.85546875" customWidth="1"/>
    <col min="9" max="9" width="13.28515625" customWidth="1"/>
    <col min="10" max="10" width="16" customWidth="1"/>
  </cols>
  <sheetData>
    <row r="2" spans="1:10" x14ac:dyDescent="0.25">
      <c r="A2" s="198" t="s">
        <v>190</v>
      </c>
      <c r="B2" s="198"/>
      <c r="C2" s="198"/>
      <c r="D2" s="198"/>
      <c r="E2" s="198"/>
      <c r="F2" s="198"/>
      <c r="G2" s="198"/>
    </row>
    <row r="3" spans="1:10" x14ac:dyDescent="0.25">
      <c r="G3" s="47"/>
    </row>
    <row r="4" spans="1:10" x14ac:dyDescent="0.25">
      <c r="B4" t="s">
        <v>482</v>
      </c>
    </row>
    <row r="5" spans="1:10" x14ac:dyDescent="0.25">
      <c r="B5" s="26" t="s">
        <v>187</v>
      </c>
      <c r="C5" s="26" t="s">
        <v>179</v>
      </c>
      <c r="D5" s="26" t="s">
        <v>15</v>
      </c>
      <c r="E5" s="26" t="s">
        <v>182</v>
      </c>
      <c r="F5" s="26" t="s">
        <v>184</v>
      </c>
      <c r="G5" s="27" t="s">
        <v>192</v>
      </c>
    </row>
    <row r="6" spans="1:10" x14ac:dyDescent="0.25">
      <c r="A6">
        <v>1</v>
      </c>
      <c r="B6" s="27" t="s">
        <v>10</v>
      </c>
      <c r="C6" s="48">
        <v>13029957</v>
      </c>
      <c r="D6" s="26" t="s">
        <v>12</v>
      </c>
      <c r="E6" s="28">
        <v>570000</v>
      </c>
      <c r="F6" s="28"/>
      <c r="G6" s="49">
        <f t="shared" ref="G6:G14" si="0">E6-F6</f>
        <v>570000</v>
      </c>
    </row>
    <row r="7" spans="1:10" x14ac:dyDescent="0.25">
      <c r="A7">
        <f t="shared" ref="A7:A14" si="1">A6+1</f>
        <v>2</v>
      </c>
      <c r="B7" s="27" t="s">
        <v>19</v>
      </c>
      <c r="C7" s="48">
        <v>26823112</v>
      </c>
      <c r="D7" s="26" t="s">
        <v>188</v>
      </c>
      <c r="E7" s="28">
        <v>457000</v>
      </c>
      <c r="F7" s="28">
        <v>100000</v>
      </c>
      <c r="G7" s="49">
        <f t="shared" si="0"/>
        <v>357000</v>
      </c>
    </row>
    <row r="8" spans="1:10" x14ac:dyDescent="0.25">
      <c r="A8">
        <f t="shared" si="1"/>
        <v>3</v>
      </c>
      <c r="B8" s="27" t="s">
        <v>186</v>
      </c>
      <c r="C8" s="48">
        <v>32132485</v>
      </c>
      <c r="D8" s="26" t="s">
        <v>31</v>
      </c>
      <c r="E8" s="28">
        <v>150000</v>
      </c>
      <c r="F8" s="28"/>
      <c r="G8" s="49">
        <f t="shared" si="0"/>
        <v>150000</v>
      </c>
    </row>
    <row r="9" spans="1:10" x14ac:dyDescent="0.25">
      <c r="A9">
        <f t="shared" si="1"/>
        <v>4</v>
      </c>
      <c r="B9" s="27" t="s">
        <v>30</v>
      </c>
      <c r="C9" s="48">
        <v>1077085321</v>
      </c>
      <c r="D9" s="26" t="s">
        <v>12</v>
      </c>
      <c r="E9" s="28">
        <v>522000</v>
      </c>
      <c r="F9" s="28">
        <v>350000</v>
      </c>
      <c r="G9" s="49">
        <f t="shared" si="0"/>
        <v>172000</v>
      </c>
    </row>
    <row r="10" spans="1:10" x14ac:dyDescent="0.25">
      <c r="A10">
        <f t="shared" si="1"/>
        <v>5</v>
      </c>
      <c r="B10" s="27" t="s">
        <v>185</v>
      </c>
      <c r="C10" s="48">
        <v>26035834</v>
      </c>
      <c r="D10" s="26" t="s">
        <v>16</v>
      </c>
      <c r="E10" s="28">
        <v>89000</v>
      </c>
      <c r="F10" s="28"/>
      <c r="G10" s="49">
        <f t="shared" si="0"/>
        <v>89000</v>
      </c>
    </row>
    <row r="11" spans="1:10" x14ac:dyDescent="0.25">
      <c r="A11">
        <f t="shared" si="1"/>
        <v>6</v>
      </c>
      <c r="B11" s="27" t="s">
        <v>408</v>
      </c>
      <c r="C11" s="48">
        <v>29642952</v>
      </c>
      <c r="D11" s="26" t="s">
        <v>188</v>
      </c>
      <c r="E11" s="28">
        <v>740000</v>
      </c>
      <c r="F11" s="28">
        <v>38000</v>
      </c>
      <c r="G11" s="49">
        <f t="shared" si="0"/>
        <v>702000</v>
      </c>
    </row>
    <row r="12" spans="1:10" x14ac:dyDescent="0.25">
      <c r="A12">
        <f t="shared" si="1"/>
        <v>7</v>
      </c>
      <c r="B12" s="27" t="s">
        <v>33</v>
      </c>
      <c r="C12" s="48">
        <v>18929731</v>
      </c>
      <c r="D12" s="26" t="s">
        <v>18</v>
      </c>
      <c r="E12" s="46">
        <v>1000000</v>
      </c>
      <c r="F12" s="46"/>
      <c r="G12" s="49">
        <f t="shared" si="0"/>
        <v>1000000</v>
      </c>
    </row>
    <row r="13" spans="1:10" x14ac:dyDescent="0.25">
      <c r="A13">
        <f t="shared" si="1"/>
        <v>8</v>
      </c>
      <c r="B13" s="27" t="s">
        <v>280</v>
      </c>
      <c r="C13" s="48">
        <v>30816852</v>
      </c>
      <c r="D13" s="26" t="s">
        <v>281</v>
      </c>
      <c r="E13" s="28">
        <v>250000</v>
      </c>
      <c r="F13" s="28">
        <v>50000</v>
      </c>
      <c r="G13" s="49">
        <f t="shared" si="0"/>
        <v>200000</v>
      </c>
    </row>
    <row r="14" spans="1:10" x14ac:dyDescent="0.25">
      <c r="A14">
        <f t="shared" si="1"/>
        <v>9</v>
      </c>
      <c r="B14" s="27" t="s">
        <v>282</v>
      </c>
      <c r="C14" s="48">
        <v>16293069</v>
      </c>
      <c r="D14" s="26" t="s">
        <v>281</v>
      </c>
      <c r="E14" s="28">
        <v>400000</v>
      </c>
      <c r="F14" s="28"/>
      <c r="G14" s="49">
        <f t="shared" si="0"/>
        <v>400000</v>
      </c>
    </row>
    <row r="15" spans="1:10" x14ac:dyDescent="0.25">
      <c r="B15" s="3"/>
      <c r="C15" s="50"/>
      <c r="D15" s="4"/>
      <c r="E15" s="44">
        <f>SUM(E6:E14)</f>
        <v>4178000</v>
      </c>
      <c r="F15" s="44"/>
      <c r="G15" s="47"/>
      <c r="H15" s="47"/>
      <c r="I15" s="47"/>
      <c r="J15" s="47"/>
    </row>
    <row r="16" spans="1:10" ht="14.25" customHeight="1" x14ac:dyDescent="0.25">
      <c r="G16" s="47"/>
    </row>
    <row r="17" spans="1:7" x14ac:dyDescent="0.25">
      <c r="B17" t="s">
        <v>481</v>
      </c>
    </row>
    <row r="18" spans="1:7" x14ac:dyDescent="0.25">
      <c r="B18" s="26" t="s">
        <v>187</v>
      </c>
      <c r="C18" s="26" t="s">
        <v>179</v>
      </c>
      <c r="D18" s="26" t="s">
        <v>15</v>
      </c>
      <c r="E18" s="26" t="s">
        <v>182</v>
      </c>
      <c r="F18" s="26" t="s">
        <v>184</v>
      </c>
      <c r="G18" s="27" t="s">
        <v>192</v>
      </c>
    </row>
    <row r="19" spans="1:7" x14ac:dyDescent="0.25">
      <c r="A19">
        <v>1</v>
      </c>
      <c r="B19" s="27" t="s">
        <v>10</v>
      </c>
      <c r="C19" s="48">
        <v>13029957</v>
      </c>
      <c r="D19" s="26" t="s">
        <v>12</v>
      </c>
      <c r="E19" s="28">
        <v>462000</v>
      </c>
      <c r="F19" s="28"/>
      <c r="G19" s="49">
        <f t="shared" ref="G19:G26" si="2">E19-F19</f>
        <v>462000</v>
      </c>
    </row>
    <row r="20" spans="1:7" x14ac:dyDescent="0.25">
      <c r="A20">
        <f t="shared" ref="A20:A26" si="3">A19+1</f>
        <v>2</v>
      </c>
      <c r="B20" s="27" t="s">
        <v>19</v>
      </c>
      <c r="C20" s="48">
        <v>26823112</v>
      </c>
      <c r="D20" s="26" t="s">
        <v>188</v>
      </c>
      <c r="E20" s="28">
        <v>366000</v>
      </c>
      <c r="F20" s="28">
        <v>12000</v>
      </c>
      <c r="G20" s="49">
        <f t="shared" si="2"/>
        <v>354000</v>
      </c>
    </row>
    <row r="21" spans="1:7" x14ac:dyDescent="0.25">
      <c r="A21">
        <f t="shared" si="3"/>
        <v>3</v>
      </c>
      <c r="B21" s="27" t="s">
        <v>186</v>
      </c>
      <c r="C21" s="48">
        <v>32132485</v>
      </c>
      <c r="D21" s="26" t="s">
        <v>31</v>
      </c>
      <c r="E21" s="28">
        <v>150000</v>
      </c>
      <c r="F21" s="28"/>
      <c r="G21" s="49">
        <f t="shared" si="2"/>
        <v>150000</v>
      </c>
    </row>
    <row r="22" spans="1:7" x14ac:dyDescent="0.25">
      <c r="A22">
        <f t="shared" si="3"/>
        <v>4</v>
      </c>
      <c r="B22" s="27" t="s">
        <v>30</v>
      </c>
      <c r="C22" s="48">
        <v>1077085321</v>
      </c>
      <c r="D22" s="26" t="s">
        <v>12</v>
      </c>
      <c r="E22" s="28">
        <v>268000</v>
      </c>
      <c r="F22" s="28">
        <v>22000</v>
      </c>
      <c r="G22" s="49">
        <f t="shared" si="2"/>
        <v>246000</v>
      </c>
    </row>
    <row r="23" spans="1:7" x14ac:dyDescent="0.25">
      <c r="A23">
        <f t="shared" si="3"/>
        <v>5</v>
      </c>
      <c r="B23" s="27" t="s">
        <v>185</v>
      </c>
      <c r="C23" s="48">
        <v>26035834</v>
      </c>
      <c r="D23" s="26" t="s">
        <v>16</v>
      </c>
      <c r="E23" s="28">
        <v>120000</v>
      </c>
      <c r="F23" s="28">
        <v>30000</v>
      </c>
      <c r="G23" s="49">
        <f t="shared" si="2"/>
        <v>90000</v>
      </c>
    </row>
    <row r="24" spans="1:7" x14ac:dyDescent="0.25">
      <c r="A24">
        <f t="shared" si="3"/>
        <v>6</v>
      </c>
      <c r="B24" s="27" t="s">
        <v>33</v>
      </c>
      <c r="C24" s="48">
        <v>18929731</v>
      </c>
      <c r="D24" s="26" t="s">
        <v>18</v>
      </c>
      <c r="E24" s="28">
        <v>1000000</v>
      </c>
      <c r="F24" s="28"/>
      <c r="G24" s="49">
        <f t="shared" si="2"/>
        <v>1000000</v>
      </c>
    </row>
    <row r="25" spans="1:7" x14ac:dyDescent="0.25">
      <c r="A25">
        <f t="shared" si="3"/>
        <v>7</v>
      </c>
      <c r="B25" s="27" t="s">
        <v>280</v>
      </c>
      <c r="C25" s="48">
        <v>30816852</v>
      </c>
      <c r="D25" s="26" t="s">
        <v>281</v>
      </c>
      <c r="E25" s="28"/>
      <c r="F25" s="28"/>
      <c r="G25" s="49">
        <f t="shared" si="2"/>
        <v>0</v>
      </c>
    </row>
    <row r="26" spans="1:7" x14ac:dyDescent="0.25">
      <c r="A26">
        <f t="shared" si="3"/>
        <v>8</v>
      </c>
      <c r="B26" s="27" t="s">
        <v>282</v>
      </c>
      <c r="C26" s="48">
        <v>16293069</v>
      </c>
      <c r="D26" s="26" t="s">
        <v>281</v>
      </c>
      <c r="E26" s="28"/>
      <c r="F26" s="28"/>
      <c r="G26" s="49">
        <f t="shared" si="2"/>
        <v>0</v>
      </c>
    </row>
    <row r="27" spans="1:7" x14ac:dyDescent="0.25">
      <c r="E27" s="47">
        <f>SUM(E19:E26)</f>
        <v>2366000</v>
      </c>
      <c r="G27" s="47"/>
    </row>
    <row r="30" spans="1:7" x14ac:dyDescent="0.25">
      <c r="B30" t="s">
        <v>279</v>
      </c>
    </row>
    <row r="31" spans="1:7" x14ac:dyDescent="0.25">
      <c r="B31" s="26" t="s">
        <v>187</v>
      </c>
      <c r="C31" s="26" t="s">
        <v>179</v>
      </c>
      <c r="D31" s="26" t="s">
        <v>15</v>
      </c>
      <c r="E31" s="26" t="s">
        <v>182</v>
      </c>
      <c r="F31" s="26" t="s">
        <v>184</v>
      </c>
      <c r="G31" s="27" t="s">
        <v>192</v>
      </c>
    </row>
    <row r="32" spans="1:7" x14ac:dyDescent="0.25">
      <c r="A32">
        <v>1</v>
      </c>
      <c r="B32" s="27" t="s">
        <v>10</v>
      </c>
      <c r="C32" s="48">
        <v>13029957</v>
      </c>
      <c r="D32" s="26" t="s">
        <v>12</v>
      </c>
      <c r="E32" s="28">
        <v>150000</v>
      </c>
      <c r="F32" s="28"/>
      <c r="G32" s="49">
        <f>E32-F32</f>
        <v>150000</v>
      </c>
    </row>
    <row r="33" spans="1:7" x14ac:dyDescent="0.25">
      <c r="A33">
        <f t="shared" ref="A33:A39" si="4">A32+1</f>
        <v>2</v>
      </c>
      <c r="B33" s="27" t="s">
        <v>19</v>
      </c>
      <c r="C33" s="48">
        <v>26823112</v>
      </c>
      <c r="D33" s="26" t="s">
        <v>188</v>
      </c>
      <c r="E33" s="28">
        <v>357000</v>
      </c>
      <c r="F33" s="28">
        <v>11000</v>
      </c>
      <c r="G33" s="49">
        <f>E33-F33</f>
        <v>346000</v>
      </c>
    </row>
    <row r="34" spans="1:7" x14ac:dyDescent="0.25">
      <c r="A34">
        <f t="shared" si="4"/>
        <v>3</v>
      </c>
      <c r="B34" s="27" t="s">
        <v>186</v>
      </c>
      <c r="C34" s="48">
        <v>32132485</v>
      </c>
      <c r="D34" s="26" t="s">
        <v>31</v>
      </c>
      <c r="E34" s="28">
        <v>150000</v>
      </c>
      <c r="F34" s="28"/>
      <c r="G34" s="49">
        <f>E34-F34</f>
        <v>150000</v>
      </c>
    </row>
    <row r="35" spans="1:7" x14ac:dyDescent="0.25">
      <c r="A35">
        <f t="shared" si="4"/>
        <v>4</v>
      </c>
      <c r="B35" s="27" t="s">
        <v>30</v>
      </c>
      <c r="C35" s="48">
        <v>1077085321</v>
      </c>
      <c r="D35" s="26" t="s">
        <v>12</v>
      </c>
      <c r="E35" s="28">
        <v>402000</v>
      </c>
      <c r="F35" s="28">
        <v>11000</v>
      </c>
      <c r="G35" s="49">
        <f>E35-F35</f>
        <v>391000</v>
      </c>
    </row>
    <row r="36" spans="1:7" x14ac:dyDescent="0.25">
      <c r="A36">
        <f t="shared" si="4"/>
        <v>5</v>
      </c>
      <c r="B36" s="27" t="s">
        <v>185</v>
      </c>
      <c r="C36" s="48">
        <v>26035834</v>
      </c>
      <c r="D36" s="26" t="s">
        <v>16</v>
      </c>
      <c r="E36" s="28">
        <v>434000</v>
      </c>
      <c r="F36" s="28"/>
      <c r="G36" s="49">
        <f>E36-F36</f>
        <v>434000</v>
      </c>
    </row>
    <row r="37" spans="1:7" x14ac:dyDescent="0.25">
      <c r="A37">
        <f t="shared" si="4"/>
        <v>6</v>
      </c>
      <c r="B37" s="27" t="s">
        <v>33</v>
      </c>
      <c r="C37" s="48">
        <v>18929731</v>
      </c>
      <c r="D37" s="26" t="s">
        <v>18</v>
      </c>
      <c r="E37" s="28">
        <v>500000</v>
      </c>
      <c r="F37" s="28"/>
      <c r="G37" s="49">
        <v>500000</v>
      </c>
    </row>
    <row r="38" spans="1:7" x14ac:dyDescent="0.25">
      <c r="A38">
        <f t="shared" si="4"/>
        <v>7</v>
      </c>
      <c r="B38" s="27" t="s">
        <v>280</v>
      </c>
      <c r="C38" s="48">
        <v>30816852</v>
      </c>
      <c r="D38" s="26" t="s">
        <v>281</v>
      </c>
      <c r="E38" s="28">
        <v>250000</v>
      </c>
      <c r="F38" s="28"/>
      <c r="G38" s="49">
        <f>E38-F38</f>
        <v>250000</v>
      </c>
    </row>
    <row r="39" spans="1:7" x14ac:dyDescent="0.25">
      <c r="A39">
        <f t="shared" si="4"/>
        <v>8</v>
      </c>
      <c r="B39" s="27" t="s">
        <v>282</v>
      </c>
      <c r="C39" s="48">
        <v>16293069</v>
      </c>
      <c r="D39" s="26" t="s">
        <v>281</v>
      </c>
      <c r="E39" s="28">
        <v>400000</v>
      </c>
      <c r="F39" s="28">
        <v>100000</v>
      </c>
      <c r="G39" s="49">
        <f>E39-F39</f>
        <v>300000</v>
      </c>
    </row>
    <row r="40" spans="1:7" x14ac:dyDescent="0.25">
      <c r="E40" s="47">
        <f>SUM(E32:E39)</f>
        <v>2643000</v>
      </c>
      <c r="G40" s="47">
        <f>SUM(G32:G39)</f>
        <v>2521000</v>
      </c>
    </row>
    <row r="41" spans="1:7" x14ac:dyDescent="0.25">
      <c r="B41" t="s">
        <v>191</v>
      </c>
    </row>
    <row r="42" spans="1:7" x14ac:dyDescent="0.25">
      <c r="B42" s="26" t="s">
        <v>187</v>
      </c>
      <c r="C42" s="26" t="s">
        <v>179</v>
      </c>
      <c r="D42" s="26" t="s">
        <v>15</v>
      </c>
      <c r="E42" s="26" t="s">
        <v>182</v>
      </c>
      <c r="F42" s="26" t="s">
        <v>184</v>
      </c>
      <c r="G42" s="27" t="s">
        <v>192</v>
      </c>
    </row>
    <row r="43" spans="1:7" x14ac:dyDescent="0.25">
      <c r="A43">
        <v>1</v>
      </c>
      <c r="B43" s="27" t="s">
        <v>10</v>
      </c>
      <c r="C43" s="48">
        <v>13029957</v>
      </c>
      <c r="D43" s="26" t="s">
        <v>12</v>
      </c>
      <c r="E43" s="28">
        <v>1356000</v>
      </c>
      <c r="F43" s="28">
        <v>300000</v>
      </c>
      <c r="G43" s="49">
        <f>E43-F43</f>
        <v>1056000</v>
      </c>
    </row>
    <row r="44" spans="1:7" x14ac:dyDescent="0.25">
      <c r="A44">
        <v>2</v>
      </c>
      <c r="B44" s="27" t="s">
        <v>19</v>
      </c>
      <c r="C44" s="48">
        <v>26823112</v>
      </c>
      <c r="D44" s="26" t="s">
        <v>188</v>
      </c>
      <c r="E44" s="28">
        <v>495000</v>
      </c>
      <c r="F44" s="28">
        <v>27000</v>
      </c>
      <c r="G44" s="49">
        <f t="shared" ref="G44:G47" si="5">E44-F44</f>
        <v>468000</v>
      </c>
    </row>
    <row r="45" spans="1:7" x14ac:dyDescent="0.25">
      <c r="A45">
        <v>3</v>
      </c>
      <c r="B45" s="27" t="s">
        <v>186</v>
      </c>
      <c r="C45" s="48">
        <v>32132485</v>
      </c>
      <c r="D45" s="26" t="s">
        <v>31</v>
      </c>
      <c r="E45" s="28">
        <v>150000</v>
      </c>
      <c r="F45" s="28"/>
      <c r="G45" s="49">
        <f t="shared" si="5"/>
        <v>150000</v>
      </c>
    </row>
    <row r="46" spans="1:7" x14ac:dyDescent="0.25">
      <c r="A46">
        <v>4</v>
      </c>
      <c r="B46" s="27" t="s">
        <v>30</v>
      </c>
      <c r="C46" s="48">
        <v>1077085321</v>
      </c>
      <c r="D46" s="26" t="s">
        <v>12</v>
      </c>
      <c r="E46" s="28">
        <v>534000</v>
      </c>
      <c r="F46" s="28">
        <v>120000</v>
      </c>
      <c r="G46" s="49">
        <f t="shared" si="5"/>
        <v>414000</v>
      </c>
    </row>
    <row r="47" spans="1:7" x14ac:dyDescent="0.25">
      <c r="A47">
        <v>5</v>
      </c>
      <c r="B47" s="27" t="s">
        <v>185</v>
      </c>
      <c r="C47" s="48">
        <v>26035834</v>
      </c>
      <c r="D47" s="26" t="s">
        <v>16</v>
      </c>
      <c r="E47" s="28">
        <v>315000</v>
      </c>
      <c r="F47" s="28">
        <v>10000</v>
      </c>
      <c r="G47" s="49">
        <f t="shared" si="5"/>
        <v>305000</v>
      </c>
    </row>
    <row r="48" spans="1:7" x14ac:dyDescent="0.25">
      <c r="A48">
        <v>6</v>
      </c>
      <c r="B48" s="27" t="s">
        <v>33</v>
      </c>
      <c r="C48" s="48">
        <v>18929731</v>
      </c>
      <c r="D48" s="26" t="s">
        <v>18</v>
      </c>
      <c r="E48" s="28">
        <v>1000000</v>
      </c>
      <c r="F48" s="28"/>
      <c r="G48" s="49">
        <f>E48-F48</f>
        <v>1000000</v>
      </c>
    </row>
    <row r="49" spans="5:7" x14ac:dyDescent="0.25">
      <c r="E49" s="37">
        <f>SUM(E43:E48)</f>
        <v>3850000</v>
      </c>
      <c r="G49" s="47"/>
    </row>
    <row r="50" spans="5:7" x14ac:dyDescent="0.25">
      <c r="E50" s="47"/>
      <c r="G50" s="51"/>
    </row>
  </sheetData>
  <sortState xmlns:xlrd2="http://schemas.microsoft.com/office/spreadsheetml/2017/richdata2" ref="B18:C23">
    <sortCondition descending="1" ref="B5"/>
  </sortState>
  <mergeCells count="1">
    <mergeCell ref="A2:G2"/>
  </mergeCells>
  <pageMargins left="0.70866141732283472" right="0.70866141732283472" top="0.74803149606299213" bottom="0.74803149606299213" header="0.31496062992125984" footer="0.31496062992125984"/>
  <pageSetup paperSize="9" scale="85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0657-36C1-4057-B9E8-885DE0C27CFF}">
  <dimension ref="A1:I110"/>
  <sheetViews>
    <sheetView topLeftCell="A88" zoomScale="130" zoomScaleNormal="130" workbookViewId="0">
      <selection activeCell="B101" sqref="B101"/>
    </sheetView>
  </sheetViews>
  <sheetFormatPr baseColWidth="10" defaultRowHeight="15" x14ac:dyDescent="0.25"/>
  <cols>
    <col min="1" max="1" width="3.42578125" customWidth="1"/>
    <col min="2" max="2" width="20" customWidth="1"/>
    <col min="3" max="3" width="14" customWidth="1"/>
    <col min="4" max="4" width="23.85546875" customWidth="1"/>
    <col min="5" max="5" width="14.7109375" customWidth="1"/>
    <col min="6" max="6" width="14.5703125" customWidth="1"/>
    <col min="7" max="7" width="17.7109375" customWidth="1"/>
    <col min="8" max="8" width="20" customWidth="1"/>
    <col min="9" max="9" width="19.5703125" customWidth="1"/>
    <col min="10" max="10" width="17.85546875" customWidth="1"/>
    <col min="11" max="11" width="14.85546875" customWidth="1"/>
    <col min="12" max="12" width="14.42578125" customWidth="1"/>
  </cols>
  <sheetData>
    <row r="1" spans="1:7" ht="15.75" customHeight="1" x14ac:dyDescent="0.25">
      <c r="B1" s="3" t="s">
        <v>2722</v>
      </c>
    </row>
    <row r="2" spans="1:7" x14ac:dyDescent="0.25">
      <c r="B2" s="26" t="s">
        <v>187</v>
      </c>
      <c r="C2" s="26" t="s">
        <v>179</v>
      </c>
      <c r="D2" s="26" t="s">
        <v>15</v>
      </c>
      <c r="E2" s="26" t="s">
        <v>182</v>
      </c>
      <c r="F2" s="26" t="s">
        <v>184</v>
      </c>
      <c r="G2" s="103" t="s">
        <v>192</v>
      </c>
    </row>
    <row r="3" spans="1:7" x14ac:dyDescent="0.25">
      <c r="A3">
        <v>1</v>
      </c>
      <c r="B3" s="27" t="s">
        <v>10</v>
      </c>
      <c r="C3" s="48">
        <v>13029957</v>
      </c>
      <c r="D3" s="26" t="s">
        <v>12</v>
      </c>
      <c r="E3" s="28">
        <v>1456000</v>
      </c>
      <c r="F3" s="28">
        <v>90000</v>
      </c>
      <c r="G3" s="103">
        <f t="shared" ref="G3:G5" si="0">E3-F3</f>
        <v>1366000</v>
      </c>
    </row>
    <row r="4" spans="1:7" x14ac:dyDescent="0.25">
      <c r="A4">
        <f>A3+1</f>
        <v>2</v>
      </c>
      <c r="B4" s="27" t="s">
        <v>784</v>
      </c>
      <c r="C4" s="48">
        <v>32132485</v>
      </c>
      <c r="D4" s="26" t="s">
        <v>31</v>
      </c>
      <c r="E4" s="28">
        <v>300000</v>
      </c>
      <c r="F4" s="28"/>
      <c r="G4" s="103">
        <f t="shared" si="0"/>
        <v>300000</v>
      </c>
    </row>
    <row r="5" spans="1:7" x14ac:dyDescent="0.25">
      <c r="A5">
        <f t="shared" ref="A5:A9" si="1">A4+1</f>
        <v>3</v>
      </c>
      <c r="B5" s="27" t="s">
        <v>33</v>
      </c>
      <c r="C5" s="48">
        <v>18929731</v>
      </c>
      <c r="D5" s="26" t="s">
        <v>18</v>
      </c>
      <c r="E5" s="28">
        <v>600000</v>
      </c>
      <c r="F5" s="28"/>
      <c r="G5" s="103">
        <f t="shared" si="0"/>
        <v>600000</v>
      </c>
    </row>
    <row r="6" spans="1:7" x14ac:dyDescent="0.25">
      <c r="A6">
        <f t="shared" si="1"/>
        <v>4</v>
      </c>
      <c r="B6" s="27" t="s">
        <v>408</v>
      </c>
      <c r="C6" s="48">
        <v>29642952</v>
      </c>
      <c r="D6" s="26" t="s">
        <v>188</v>
      </c>
      <c r="E6" s="199">
        <v>722000</v>
      </c>
      <c r="F6" s="200">
        <v>59000</v>
      </c>
      <c r="G6" s="202">
        <f>E6-F6</f>
        <v>663000</v>
      </c>
    </row>
    <row r="7" spans="1:7" x14ac:dyDescent="0.25">
      <c r="A7">
        <f t="shared" si="1"/>
        <v>5</v>
      </c>
      <c r="B7" s="27" t="s">
        <v>19</v>
      </c>
      <c r="C7" s="48">
        <v>26823112</v>
      </c>
      <c r="D7" s="26" t="s">
        <v>188</v>
      </c>
      <c r="E7" s="199"/>
      <c r="F7" s="201"/>
      <c r="G7" s="202"/>
    </row>
    <row r="8" spans="1:7" x14ac:dyDescent="0.25">
      <c r="A8">
        <f t="shared" si="1"/>
        <v>6</v>
      </c>
      <c r="B8" s="27" t="s">
        <v>185</v>
      </c>
      <c r="C8" s="48">
        <v>26035834</v>
      </c>
      <c r="D8" s="26" t="s">
        <v>16</v>
      </c>
      <c r="E8" s="28">
        <v>276000</v>
      </c>
      <c r="F8" s="28">
        <f>13000</f>
        <v>13000</v>
      </c>
      <c r="G8" s="132">
        <f>E8-F8</f>
        <v>263000</v>
      </c>
    </row>
    <row r="9" spans="1:7" x14ac:dyDescent="0.25">
      <c r="A9">
        <f t="shared" si="1"/>
        <v>7</v>
      </c>
      <c r="B9" s="27" t="s">
        <v>2572</v>
      </c>
      <c r="C9" s="48">
        <v>14338908</v>
      </c>
      <c r="D9" s="26" t="s">
        <v>1617</v>
      </c>
      <c r="E9" s="46">
        <v>200000</v>
      </c>
      <c r="F9" s="28">
        <v>10000</v>
      </c>
      <c r="G9" s="132">
        <f>E9-F9</f>
        <v>190000</v>
      </c>
    </row>
    <row r="10" spans="1:7" x14ac:dyDescent="0.25">
      <c r="B10" s="3" t="s">
        <v>2657</v>
      </c>
      <c r="G10" s="37">
        <v>150000</v>
      </c>
    </row>
    <row r="11" spans="1:7" x14ac:dyDescent="0.25">
      <c r="B11" s="3"/>
      <c r="G11" s="37"/>
    </row>
    <row r="13" spans="1:7" x14ac:dyDescent="0.25">
      <c r="E13" s="64"/>
      <c r="G13" s="47"/>
    </row>
    <row r="14" spans="1:7" x14ac:dyDescent="0.25">
      <c r="B14" s="3" t="s">
        <v>2896</v>
      </c>
    </row>
    <row r="15" spans="1:7" x14ac:dyDescent="0.25">
      <c r="B15" s="26" t="s">
        <v>187</v>
      </c>
      <c r="C15" s="26" t="s">
        <v>179</v>
      </c>
      <c r="D15" s="26" t="s">
        <v>15</v>
      </c>
      <c r="E15" s="26" t="s">
        <v>182</v>
      </c>
      <c r="F15" s="26" t="s">
        <v>184</v>
      </c>
      <c r="G15" s="103" t="s">
        <v>192</v>
      </c>
    </row>
    <row r="16" spans="1:7" x14ac:dyDescent="0.25">
      <c r="A16">
        <v>1</v>
      </c>
      <c r="B16" s="27" t="s">
        <v>10</v>
      </c>
      <c r="C16" s="48">
        <v>13029957</v>
      </c>
      <c r="D16" s="26" t="s">
        <v>12</v>
      </c>
      <c r="E16" s="28">
        <v>687000</v>
      </c>
      <c r="F16" s="28"/>
      <c r="G16" s="103">
        <f t="shared" ref="G16:G19" si="2">E16-F16</f>
        <v>687000</v>
      </c>
    </row>
    <row r="17" spans="1:9" x14ac:dyDescent="0.25">
      <c r="A17">
        <f>A16+1</f>
        <v>2</v>
      </c>
      <c r="B17" s="27" t="s">
        <v>784</v>
      </c>
      <c r="C17" s="48">
        <v>32132485</v>
      </c>
      <c r="D17" s="26" t="s">
        <v>31</v>
      </c>
      <c r="E17" s="28">
        <v>135000</v>
      </c>
      <c r="F17" s="28"/>
      <c r="G17" s="103">
        <f t="shared" si="2"/>
        <v>135000</v>
      </c>
    </row>
    <row r="18" spans="1:9" x14ac:dyDescent="0.25">
      <c r="A18">
        <f t="shared" ref="A18:A24" si="3">A17+1</f>
        <v>3</v>
      </c>
      <c r="B18" s="27" t="s">
        <v>33</v>
      </c>
      <c r="C18" s="48">
        <v>18929731</v>
      </c>
      <c r="D18" s="26" t="s">
        <v>18</v>
      </c>
      <c r="E18" s="28">
        <v>963300</v>
      </c>
      <c r="F18" s="28"/>
      <c r="G18" s="103">
        <v>963000</v>
      </c>
    </row>
    <row r="19" spans="1:9" x14ac:dyDescent="0.25">
      <c r="A19">
        <f t="shared" si="3"/>
        <v>4</v>
      </c>
      <c r="B19" s="27" t="s">
        <v>408</v>
      </c>
      <c r="C19" s="48">
        <v>29642952</v>
      </c>
      <c r="D19" s="26" t="s">
        <v>188</v>
      </c>
      <c r="E19" s="28">
        <v>483500</v>
      </c>
      <c r="F19" s="28">
        <f>50000+3500</f>
        <v>53500</v>
      </c>
      <c r="G19" s="103">
        <f t="shared" si="2"/>
        <v>430000</v>
      </c>
    </row>
    <row r="20" spans="1:9" x14ac:dyDescent="0.25">
      <c r="A20">
        <f t="shared" si="3"/>
        <v>5</v>
      </c>
      <c r="B20" s="27" t="s">
        <v>19</v>
      </c>
      <c r="C20" s="48">
        <v>26823112</v>
      </c>
      <c r="D20" s="26" t="s">
        <v>188</v>
      </c>
      <c r="E20" s="28">
        <v>504000</v>
      </c>
      <c r="F20" s="28">
        <v>20000</v>
      </c>
      <c r="G20" s="103"/>
    </row>
    <row r="21" spans="1:9" x14ac:dyDescent="0.25">
      <c r="A21">
        <f t="shared" si="3"/>
        <v>6</v>
      </c>
      <c r="B21" s="27" t="s">
        <v>185</v>
      </c>
      <c r="C21" s="48">
        <v>26035834</v>
      </c>
      <c r="D21" s="26" t="s">
        <v>16</v>
      </c>
      <c r="E21" s="28">
        <f>135000+165000</f>
        <v>300000</v>
      </c>
      <c r="F21" s="28">
        <v>40000</v>
      </c>
      <c r="G21" s="103">
        <f t="shared" ref="G21" si="4">E21-F21</f>
        <v>260000</v>
      </c>
    </row>
    <row r="22" spans="1:9" x14ac:dyDescent="0.25">
      <c r="A22">
        <f t="shared" si="3"/>
        <v>7</v>
      </c>
      <c r="B22" s="27" t="s">
        <v>280</v>
      </c>
      <c r="C22" s="77"/>
      <c r="D22" s="26" t="s">
        <v>1617</v>
      </c>
      <c r="E22" s="46">
        <v>300000</v>
      </c>
      <c r="F22" s="28">
        <v>80000</v>
      </c>
      <c r="G22" s="132"/>
    </row>
    <row r="23" spans="1:9" x14ac:dyDescent="0.25">
      <c r="A23">
        <f t="shared" si="3"/>
        <v>8</v>
      </c>
      <c r="B23" s="27" t="s">
        <v>282</v>
      </c>
      <c r="C23" s="48">
        <v>16293069</v>
      </c>
      <c r="D23" s="26" t="s">
        <v>1617</v>
      </c>
      <c r="E23" s="46">
        <v>500000</v>
      </c>
      <c r="F23" s="28">
        <v>100000</v>
      </c>
      <c r="G23" s="132">
        <f>E23-F23</f>
        <v>400000</v>
      </c>
    </row>
    <row r="24" spans="1:9" x14ac:dyDescent="0.25">
      <c r="A24">
        <f t="shared" si="3"/>
        <v>9</v>
      </c>
      <c r="B24" s="27" t="s">
        <v>2572</v>
      </c>
      <c r="C24" s="48">
        <v>14338908</v>
      </c>
      <c r="D24" s="26" t="s">
        <v>1617</v>
      </c>
      <c r="E24" s="46">
        <v>200000</v>
      </c>
      <c r="F24" s="28"/>
      <c r="G24" s="132">
        <f>E24-F24</f>
        <v>200000</v>
      </c>
    </row>
    <row r="25" spans="1:9" x14ac:dyDescent="0.25">
      <c r="G25" s="47">
        <f>SUM(G16:G24)</f>
        <v>3075000</v>
      </c>
      <c r="H25" s="64">
        <f>2940000+60000</f>
        <v>3000000</v>
      </c>
      <c r="I25" s="64">
        <f>G25-H25</f>
        <v>75000</v>
      </c>
    </row>
    <row r="28" spans="1:9" x14ac:dyDescent="0.25">
      <c r="B28" s="3" t="s">
        <v>2895</v>
      </c>
    </row>
    <row r="29" spans="1:9" x14ac:dyDescent="0.25">
      <c r="B29" s="26" t="s">
        <v>187</v>
      </c>
      <c r="C29" s="26" t="s">
        <v>179</v>
      </c>
      <c r="D29" s="26" t="s">
        <v>15</v>
      </c>
      <c r="E29" s="26" t="s">
        <v>182</v>
      </c>
      <c r="F29" s="26" t="s">
        <v>184</v>
      </c>
      <c r="G29" s="103" t="s">
        <v>192</v>
      </c>
    </row>
    <row r="30" spans="1:9" x14ac:dyDescent="0.25">
      <c r="A30">
        <v>1</v>
      </c>
      <c r="B30" s="27" t="s">
        <v>10</v>
      </c>
      <c r="C30" s="48">
        <v>13029957</v>
      </c>
      <c r="D30" s="26" t="s">
        <v>12</v>
      </c>
      <c r="E30" s="28">
        <v>560000</v>
      </c>
      <c r="F30" s="28"/>
      <c r="G30" s="103">
        <f t="shared" ref="G30:G32" si="5">E30-F30</f>
        <v>560000</v>
      </c>
    </row>
    <row r="31" spans="1:9" x14ac:dyDescent="0.25">
      <c r="A31">
        <f>A30+1</f>
        <v>2</v>
      </c>
      <c r="B31" s="27" t="s">
        <v>784</v>
      </c>
      <c r="C31" s="48">
        <v>32132485</v>
      </c>
      <c r="D31" s="26" t="s">
        <v>188</v>
      </c>
      <c r="E31" s="28">
        <v>243500</v>
      </c>
      <c r="F31" s="28"/>
      <c r="G31" s="103">
        <f t="shared" si="5"/>
        <v>243500</v>
      </c>
    </row>
    <row r="32" spans="1:9" x14ac:dyDescent="0.25">
      <c r="A32">
        <f t="shared" ref="A32:A36" si="6">A31+1</f>
        <v>3</v>
      </c>
      <c r="B32" s="27" t="s">
        <v>33</v>
      </c>
      <c r="C32" s="48">
        <v>18929731</v>
      </c>
      <c r="D32" s="26" t="s">
        <v>18</v>
      </c>
      <c r="E32" s="28">
        <v>600000</v>
      </c>
      <c r="F32" s="28"/>
      <c r="G32" s="103">
        <f t="shared" si="5"/>
        <v>600000</v>
      </c>
    </row>
    <row r="33" spans="1:8" x14ac:dyDescent="0.25">
      <c r="A33">
        <f t="shared" si="6"/>
        <v>4</v>
      </c>
      <c r="B33" s="27" t="s">
        <v>408</v>
      </c>
      <c r="C33" s="48">
        <v>29642952</v>
      </c>
      <c r="D33" s="26" t="s">
        <v>188</v>
      </c>
      <c r="E33" s="28">
        <v>403750</v>
      </c>
      <c r="F33" s="28">
        <v>55000</v>
      </c>
      <c r="G33" s="103">
        <f t="shared" ref="G33:G35" si="7">E33-F33</f>
        <v>348750</v>
      </c>
    </row>
    <row r="34" spans="1:8" x14ac:dyDescent="0.25">
      <c r="A34">
        <f t="shared" si="6"/>
        <v>5</v>
      </c>
      <c r="B34" s="27" t="s">
        <v>19</v>
      </c>
      <c r="C34" s="48">
        <v>26823112</v>
      </c>
      <c r="D34" s="26" t="s">
        <v>188</v>
      </c>
      <c r="E34" s="28">
        <v>403750</v>
      </c>
      <c r="F34" s="28">
        <f>85000+50000+50000</f>
        <v>185000</v>
      </c>
      <c r="G34" s="103">
        <f t="shared" si="7"/>
        <v>218750</v>
      </c>
    </row>
    <row r="35" spans="1:8" x14ac:dyDescent="0.25">
      <c r="A35">
        <f t="shared" si="6"/>
        <v>6</v>
      </c>
      <c r="B35" s="27" t="s">
        <v>185</v>
      </c>
      <c r="C35" s="48">
        <v>26035834</v>
      </c>
      <c r="D35" s="26" t="s">
        <v>188</v>
      </c>
      <c r="E35" s="28">
        <v>243500</v>
      </c>
      <c r="F35" s="28">
        <f>43500+40000</f>
        <v>83500</v>
      </c>
      <c r="G35" s="103">
        <f t="shared" si="7"/>
        <v>160000</v>
      </c>
    </row>
    <row r="36" spans="1:8" x14ac:dyDescent="0.25">
      <c r="A36">
        <f t="shared" si="6"/>
        <v>7</v>
      </c>
      <c r="B36" s="27" t="s">
        <v>2572</v>
      </c>
      <c r="C36" s="48">
        <v>14338908</v>
      </c>
      <c r="D36" s="26" t="s">
        <v>1617</v>
      </c>
      <c r="E36" s="46">
        <v>200000</v>
      </c>
      <c r="F36" s="28"/>
      <c r="G36" s="132">
        <f>E36-F36</f>
        <v>200000</v>
      </c>
    </row>
    <row r="37" spans="1:8" x14ac:dyDescent="0.25">
      <c r="G37" s="47">
        <f>SUM(G30:G36)</f>
        <v>2331000</v>
      </c>
    </row>
    <row r="40" spans="1:8" x14ac:dyDescent="0.25">
      <c r="H40" s="64">
        <f>G37-864000</f>
        <v>1467000</v>
      </c>
    </row>
    <row r="43" spans="1:8" x14ac:dyDescent="0.25">
      <c r="B43" s="3" t="s">
        <v>2897</v>
      </c>
    </row>
    <row r="44" spans="1:8" x14ac:dyDescent="0.25">
      <c r="B44" s="26" t="s">
        <v>187</v>
      </c>
      <c r="C44" s="26" t="s">
        <v>179</v>
      </c>
      <c r="D44" s="26" t="s">
        <v>15</v>
      </c>
      <c r="E44" s="26" t="s">
        <v>182</v>
      </c>
      <c r="F44" s="26" t="s">
        <v>184</v>
      </c>
      <c r="G44" s="103" t="s">
        <v>192</v>
      </c>
    </row>
    <row r="45" spans="1:8" x14ac:dyDescent="0.25">
      <c r="A45">
        <v>1</v>
      </c>
      <c r="B45" s="27" t="s">
        <v>10</v>
      </c>
      <c r="C45" s="48">
        <v>13029957</v>
      </c>
      <c r="D45" s="26" t="s">
        <v>12</v>
      </c>
      <c r="E45" s="28">
        <v>766000</v>
      </c>
      <c r="F45" s="28">
        <v>20000</v>
      </c>
      <c r="G45" s="103">
        <f t="shared" ref="G45:G50" si="8">E45-F45</f>
        <v>746000</v>
      </c>
    </row>
    <row r="46" spans="1:8" x14ac:dyDescent="0.25">
      <c r="A46">
        <f>A45+1</f>
        <v>2</v>
      </c>
      <c r="B46" s="27" t="s">
        <v>784</v>
      </c>
      <c r="C46" s="48">
        <v>32132485</v>
      </c>
      <c r="D46" s="26" t="s">
        <v>188</v>
      </c>
      <c r="E46" s="28">
        <f>192000+18000</f>
        <v>210000</v>
      </c>
      <c r="F46" s="28">
        <v>30000</v>
      </c>
      <c r="G46" s="103">
        <f t="shared" si="8"/>
        <v>180000</v>
      </c>
    </row>
    <row r="47" spans="1:8" x14ac:dyDescent="0.25">
      <c r="A47">
        <f t="shared" ref="A47:A51" si="9">A46+1</f>
        <v>3</v>
      </c>
      <c r="B47" s="27" t="s">
        <v>33</v>
      </c>
      <c r="C47" s="48">
        <v>18929731</v>
      </c>
      <c r="D47" s="26" t="s">
        <v>18</v>
      </c>
      <c r="E47" s="28">
        <v>764600</v>
      </c>
      <c r="F47" s="28"/>
      <c r="G47" s="103">
        <f t="shared" si="8"/>
        <v>764600</v>
      </c>
    </row>
    <row r="48" spans="1:8" x14ac:dyDescent="0.25">
      <c r="A48">
        <f t="shared" si="9"/>
        <v>4</v>
      </c>
      <c r="B48" s="27" t="s">
        <v>408</v>
      </c>
      <c r="C48" s="48">
        <v>29642952</v>
      </c>
      <c r="D48" s="26" t="s">
        <v>188</v>
      </c>
      <c r="E48" s="28">
        <v>714250</v>
      </c>
      <c r="F48" s="28"/>
      <c r="G48" s="103">
        <f t="shared" si="8"/>
        <v>714250</v>
      </c>
    </row>
    <row r="49" spans="1:7" x14ac:dyDescent="0.25">
      <c r="A49">
        <f t="shared" si="9"/>
        <v>5</v>
      </c>
      <c r="B49" s="27" t="s">
        <v>19</v>
      </c>
      <c r="C49" s="48">
        <v>26823112</v>
      </c>
      <c r="D49" s="26" t="s">
        <v>188</v>
      </c>
      <c r="E49" s="28">
        <v>714250</v>
      </c>
      <c r="F49" s="28">
        <v>75000</v>
      </c>
      <c r="G49" s="103">
        <f t="shared" si="8"/>
        <v>639250</v>
      </c>
    </row>
    <row r="50" spans="1:7" x14ac:dyDescent="0.25">
      <c r="A50">
        <f t="shared" si="9"/>
        <v>6</v>
      </c>
      <c r="B50" s="27" t="s">
        <v>185</v>
      </c>
      <c r="C50" s="48">
        <v>26035834</v>
      </c>
      <c r="D50" s="26" t="s">
        <v>188</v>
      </c>
      <c r="E50" s="28">
        <f>336000+192000</f>
        <v>528000</v>
      </c>
      <c r="F50" s="28">
        <v>40000</v>
      </c>
      <c r="G50" s="103">
        <f t="shared" si="8"/>
        <v>488000</v>
      </c>
    </row>
    <row r="51" spans="1:7" x14ac:dyDescent="0.25">
      <c r="A51">
        <f t="shared" si="9"/>
        <v>7</v>
      </c>
      <c r="B51" s="27" t="s">
        <v>2572</v>
      </c>
      <c r="C51" s="48">
        <v>14338908</v>
      </c>
      <c r="D51" s="26" t="s">
        <v>1617</v>
      </c>
      <c r="E51" s="28">
        <v>200000</v>
      </c>
      <c r="F51" s="28"/>
      <c r="G51" s="132">
        <f>E51-F51</f>
        <v>200000</v>
      </c>
    </row>
    <row r="52" spans="1:7" x14ac:dyDescent="0.25">
      <c r="E52" s="47">
        <f>SUM(E45:E51)</f>
        <v>3897100</v>
      </c>
      <c r="G52" s="47">
        <f>SUM(G45:G51)</f>
        <v>3732100</v>
      </c>
    </row>
    <row r="56" spans="1:7" x14ac:dyDescent="0.25">
      <c r="B56" s="3" t="s">
        <v>2985</v>
      </c>
    </row>
    <row r="57" spans="1:7" x14ac:dyDescent="0.25">
      <c r="B57" s="26" t="s">
        <v>187</v>
      </c>
      <c r="C57" s="26" t="s">
        <v>179</v>
      </c>
      <c r="D57" s="26" t="s">
        <v>15</v>
      </c>
      <c r="E57" s="26" t="s">
        <v>182</v>
      </c>
      <c r="F57" s="26" t="s">
        <v>184</v>
      </c>
      <c r="G57" s="103" t="s">
        <v>192</v>
      </c>
    </row>
    <row r="58" spans="1:7" x14ac:dyDescent="0.25">
      <c r="A58">
        <v>1</v>
      </c>
      <c r="B58" s="27" t="s">
        <v>10</v>
      </c>
      <c r="C58" s="48">
        <v>13029957</v>
      </c>
      <c r="D58" s="26" t="s">
        <v>12</v>
      </c>
      <c r="E58" s="28">
        <f>623000+200000</f>
        <v>823000</v>
      </c>
      <c r="F58" s="28">
        <v>30000</v>
      </c>
      <c r="G58" s="103">
        <f t="shared" ref="G58:G62" si="10">E58-F58</f>
        <v>793000</v>
      </c>
    </row>
    <row r="59" spans="1:7" x14ac:dyDescent="0.25">
      <c r="A59">
        <f>A58+1</f>
        <v>2</v>
      </c>
      <c r="B59" s="27" t="s">
        <v>33</v>
      </c>
      <c r="C59" s="48">
        <v>18929731</v>
      </c>
      <c r="D59" s="26" t="s">
        <v>18</v>
      </c>
      <c r="E59" s="28">
        <f>1080000+40000</f>
        <v>1120000</v>
      </c>
      <c r="F59" s="28"/>
      <c r="G59" s="103">
        <f t="shared" si="10"/>
        <v>1120000</v>
      </c>
    </row>
    <row r="60" spans="1:7" x14ac:dyDescent="0.25">
      <c r="A60">
        <f t="shared" ref="A60:A63" si="11">A59+1</f>
        <v>3</v>
      </c>
      <c r="B60" s="27" t="s">
        <v>408</v>
      </c>
      <c r="C60" s="48">
        <v>29642952</v>
      </c>
      <c r="D60" s="26" t="s">
        <v>188</v>
      </c>
      <c r="E60" s="28">
        <v>423500</v>
      </c>
      <c r="F60" s="28"/>
      <c r="G60" s="103">
        <f t="shared" si="10"/>
        <v>423500</v>
      </c>
    </row>
    <row r="61" spans="1:7" x14ac:dyDescent="0.25">
      <c r="A61">
        <f t="shared" si="11"/>
        <v>4</v>
      </c>
      <c r="B61" s="27" t="s">
        <v>19</v>
      </c>
      <c r="C61" s="48">
        <v>26823112</v>
      </c>
      <c r="D61" s="26" t="s">
        <v>188</v>
      </c>
      <c r="E61" s="28">
        <v>423500</v>
      </c>
      <c r="F61" s="28"/>
      <c r="G61" s="103">
        <f t="shared" si="10"/>
        <v>423500</v>
      </c>
    </row>
    <row r="62" spans="1:7" x14ac:dyDescent="0.25">
      <c r="A62">
        <f t="shared" si="11"/>
        <v>5</v>
      </c>
      <c r="B62" s="27" t="s">
        <v>185</v>
      </c>
      <c r="C62" s="48">
        <v>26035834</v>
      </c>
      <c r="D62" s="26" t="s">
        <v>188</v>
      </c>
      <c r="E62" s="28">
        <v>200000</v>
      </c>
      <c r="F62" s="28"/>
      <c r="G62" s="103">
        <f t="shared" si="10"/>
        <v>200000</v>
      </c>
    </row>
    <row r="63" spans="1:7" x14ac:dyDescent="0.25">
      <c r="A63">
        <f t="shared" si="11"/>
        <v>6</v>
      </c>
      <c r="B63" s="27" t="s">
        <v>2572</v>
      </c>
      <c r="C63" s="48">
        <v>14338908</v>
      </c>
      <c r="D63" s="26" t="s">
        <v>1617</v>
      </c>
      <c r="E63" s="28">
        <v>200000</v>
      </c>
      <c r="F63" s="28"/>
      <c r="G63" s="132">
        <f>E63-F63</f>
        <v>200000</v>
      </c>
    </row>
    <row r="64" spans="1:7" x14ac:dyDescent="0.25">
      <c r="E64" s="47">
        <f>SUM(E58:E63)</f>
        <v>3190000</v>
      </c>
      <c r="G64" s="47">
        <f>SUM(G58:G63)</f>
        <v>3160000</v>
      </c>
    </row>
    <row r="65" spans="1:8" x14ac:dyDescent="0.25">
      <c r="G65" s="47"/>
    </row>
    <row r="66" spans="1:8" x14ac:dyDescent="0.25">
      <c r="G66" s="47"/>
    </row>
    <row r="69" spans="1:8" x14ac:dyDescent="0.25">
      <c r="B69" s="3" t="s">
        <v>3069</v>
      </c>
    </row>
    <row r="70" spans="1:8" x14ac:dyDescent="0.25">
      <c r="B70" s="26" t="s">
        <v>187</v>
      </c>
      <c r="C70" s="26" t="s">
        <v>179</v>
      </c>
      <c r="D70" s="26" t="s">
        <v>15</v>
      </c>
      <c r="E70" s="26" t="s">
        <v>182</v>
      </c>
      <c r="F70" s="26" t="s">
        <v>184</v>
      </c>
      <c r="G70" s="103" t="s">
        <v>192</v>
      </c>
    </row>
    <row r="71" spans="1:8" x14ac:dyDescent="0.25">
      <c r="A71">
        <v>1</v>
      </c>
      <c r="B71" s="27" t="s">
        <v>10</v>
      </c>
      <c r="C71" s="48">
        <v>13029957</v>
      </c>
      <c r="D71" s="26" t="s">
        <v>12</v>
      </c>
      <c r="E71" s="28">
        <v>752000</v>
      </c>
      <c r="F71" s="28">
        <v>50000</v>
      </c>
      <c r="G71" s="103">
        <f t="shared" ref="G71:G75" si="12">E71-F71</f>
        <v>702000</v>
      </c>
    </row>
    <row r="72" spans="1:8" x14ac:dyDescent="0.25">
      <c r="A72">
        <f>A71+1</f>
        <v>2</v>
      </c>
      <c r="B72" s="27" t="s">
        <v>33</v>
      </c>
      <c r="C72" s="48">
        <v>18929731</v>
      </c>
      <c r="D72" s="26" t="s">
        <v>18</v>
      </c>
      <c r="E72" s="28">
        <v>600000</v>
      </c>
      <c r="F72" s="28"/>
      <c r="G72" s="103">
        <f t="shared" si="12"/>
        <v>600000</v>
      </c>
      <c r="H72">
        <v>413000</v>
      </c>
    </row>
    <row r="73" spans="1:8" x14ac:dyDescent="0.25">
      <c r="A73">
        <f t="shared" ref="A73:A76" si="13">A72+1</f>
        <v>3</v>
      </c>
      <c r="B73" s="27" t="s">
        <v>408</v>
      </c>
      <c r="C73" s="48">
        <v>29642952</v>
      </c>
      <c r="D73" s="26" t="s">
        <v>188</v>
      </c>
      <c r="E73" s="28">
        <v>478500</v>
      </c>
      <c r="F73" s="28"/>
      <c r="G73" s="103">
        <f t="shared" si="12"/>
        <v>478500</v>
      </c>
    </row>
    <row r="74" spans="1:8" x14ac:dyDescent="0.25">
      <c r="A74">
        <f t="shared" si="13"/>
        <v>4</v>
      </c>
      <c r="B74" s="27" t="s">
        <v>19</v>
      </c>
      <c r="C74" s="48">
        <v>26823112</v>
      </c>
      <c r="D74" s="26" t="s">
        <v>188</v>
      </c>
      <c r="E74" s="28">
        <v>478500</v>
      </c>
      <c r="F74" s="28">
        <v>30000</v>
      </c>
      <c r="G74" s="103">
        <f t="shared" si="12"/>
        <v>448500</v>
      </c>
    </row>
    <row r="75" spans="1:8" x14ac:dyDescent="0.25">
      <c r="A75">
        <f t="shared" si="13"/>
        <v>5</v>
      </c>
      <c r="B75" s="27" t="s">
        <v>185</v>
      </c>
      <c r="C75" s="48">
        <v>26035834</v>
      </c>
      <c r="D75" s="26" t="s">
        <v>188</v>
      </c>
      <c r="E75" s="28">
        <v>348000</v>
      </c>
      <c r="F75" s="28">
        <v>40000</v>
      </c>
      <c r="G75" s="103">
        <f t="shared" si="12"/>
        <v>308000</v>
      </c>
    </row>
    <row r="76" spans="1:8" x14ac:dyDescent="0.25">
      <c r="A76">
        <f t="shared" si="13"/>
        <v>6</v>
      </c>
      <c r="B76" s="27" t="s">
        <v>2572</v>
      </c>
      <c r="C76" s="48">
        <v>14338908</v>
      </c>
      <c r="D76" s="26" t="s">
        <v>1617</v>
      </c>
      <c r="E76" s="28">
        <v>200000</v>
      </c>
      <c r="F76" s="28"/>
      <c r="G76" s="132">
        <f>E76-F76</f>
        <v>200000</v>
      </c>
    </row>
    <row r="77" spans="1:8" x14ac:dyDescent="0.25">
      <c r="G77" s="47">
        <f>SUM(G71:G76)</f>
        <v>2737000</v>
      </c>
    </row>
    <row r="81" spans="1:7" x14ac:dyDescent="0.25">
      <c r="B81" s="3" t="s">
        <v>3164</v>
      </c>
    </row>
    <row r="82" spans="1:7" x14ac:dyDescent="0.25">
      <c r="B82" s="26" t="s">
        <v>187</v>
      </c>
      <c r="C82" s="26" t="s">
        <v>179</v>
      </c>
      <c r="D82" s="26" t="s">
        <v>15</v>
      </c>
      <c r="E82" s="26" t="s">
        <v>182</v>
      </c>
      <c r="F82" s="26" t="s">
        <v>184</v>
      </c>
      <c r="G82" s="103" t="s">
        <v>192</v>
      </c>
    </row>
    <row r="83" spans="1:7" x14ac:dyDescent="0.25">
      <c r="A83">
        <v>1</v>
      </c>
      <c r="B83" s="27" t="s">
        <v>10</v>
      </c>
      <c r="C83" s="48">
        <v>13029957</v>
      </c>
      <c r="D83" s="26" t="s">
        <v>12</v>
      </c>
      <c r="E83" s="28">
        <v>805000</v>
      </c>
      <c r="F83" s="28">
        <v>60000</v>
      </c>
      <c r="G83" s="103">
        <f t="shared" ref="G83:G86" si="14">E83-F83</f>
        <v>745000</v>
      </c>
    </row>
    <row r="84" spans="1:7" x14ac:dyDescent="0.25">
      <c r="A84">
        <f>A83+1</f>
        <v>2</v>
      </c>
      <c r="B84" s="27" t="s">
        <v>33</v>
      </c>
      <c r="C84" s="48">
        <v>18929731</v>
      </c>
      <c r="D84" s="26" t="s">
        <v>18</v>
      </c>
      <c r="E84" s="28">
        <v>600000</v>
      </c>
      <c r="F84" s="28"/>
      <c r="G84" s="103">
        <f t="shared" si="14"/>
        <v>600000</v>
      </c>
    </row>
    <row r="85" spans="1:7" x14ac:dyDescent="0.25">
      <c r="A85">
        <f t="shared" ref="A85:A87" si="15">A84+1</f>
        <v>3</v>
      </c>
      <c r="B85" s="27" t="s">
        <v>408</v>
      </c>
      <c r="C85" s="48">
        <v>29642952</v>
      </c>
      <c r="D85" s="26" t="s">
        <v>188</v>
      </c>
      <c r="E85" s="28">
        <v>736000</v>
      </c>
      <c r="F85" s="28">
        <v>30000</v>
      </c>
      <c r="G85" s="103">
        <f t="shared" si="14"/>
        <v>706000</v>
      </c>
    </row>
    <row r="86" spans="1:7" x14ac:dyDescent="0.25">
      <c r="A86">
        <f t="shared" si="15"/>
        <v>4</v>
      </c>
      <c r="B86" s="27" t="s">
        <v>19</v>
      </c>
      <c r="C86" s="48">
        <v>26823112</v>
      </c>
      <c r="D86" s="26" t="s">
        <v>188</v>
      </c>
      <c r="E86" s="28">
        <v>736000</v>
      </c>
      <c r="F86" s="28">
        <v>75000</v>
      </c>
      <c r="G86" s="103">
        <f t="shared" si="14"/>
        <v>661000</v>
      </c>
    </row>
    <row r="87" spans="1:7" x14ac:dyDescent="0.25">
      <c r="A87">
        <f t="shared" si="15"/>
        <v>5</v>
      </c>
      <c r="B87" s="27" t="s">
        <v>2572</v>
      </c>
      <c r="C87" s="48">
        <v>14338908</v>
      </c>
      <c r="D87" s="26" t="s">
        <v>1617</v>
      </c>
      <c r="E87" s="28">
        <v>200000</v>
      </c>
      <c r="F87" s="28"/>
      <c r="G87" s="132">
        <f>E87-F87</f>
        <v>200000</v>
      </c>
    </row>
    <row r="88" spans="1:7" x14ac:dyDescent="0.25">
      <c r="G88" s="47">
        <f>SUM(G83:G87)</f>
        <v>2912000</v>
      </c>
    </row>
    <row r="90" spans="1:7" x14ac:dyDescent="0.25">
      <c r="G90" s="64">
        <f>3608000-G88</f>
        <v>696000</v>
      </c>
    </row>
    <row r="91" spans="1:7" x14ac:dyDescent="0.25">
      <c r="B91" s="3" t="s">
        <v>3255</v>
      </c>
    </row>
    <row r="92" spans="1:7" x14ac:dyDescent="0.25">
      <c r="B92" s="26" t="s">
        <v>187</v>
      </c>
      <c r="C92" s="26" t="s">
        <v>179</v>
      </c>
      <c r="D92" s="26" t="s">
        <v>15</v>
      </c>
      <c r="E92" s="26" t="s">
        <v>182</v>
      </c>
      <c r="F92" s="26" t="s">
        <v>184</v>
      </c>
      <c r="G92" s="103" t="s">
        <v>192</v>
      </c>
    </row>
    <row r="93" spans="1:7" x14ac:dyDescent="0.25">
      <c r="A93">
        <v>1</v>
      </c>
      <c r="B93" s="27" t="s">
        <v>10</v>
      </c>
      <c r="C93" s="48">
        <v>13029957</v>
      </c>
      <c r="D93" s="26" t="s">
        <v>12</v>
      </c>
      <c r="E93" s="28">
        <v>882000</v>
      </c>
      <c r="F93" s="28"/>
      <c r="G93" s="103"/>
    </row>
    <row r="94" spans="1:7" x14ac:dyDescent="0.25">
      <c r="A94">
        <f>A93+1</f>
        <v>2</v>
      </c>
      <c r="B94" s="27" t="s">
        <v>33</v>
      </c>
      <c r="C94" s="48">
        <v>18929731</v>
      </c>
      <c r="D94" s="26" t="s">
        <v>18</v>
      </c>
      <c r="E94" s="28">
        <v>1087000</v>
      </c>
      <c r="F94" s="28"/>
      <c r="G94" s="103">
        <f t="shared" ref="G94:G96" si="16">E94-F94</f>
        <v>1087000</v>
      </c>
    </row>
    <row r="95" spans="1:7" x14ac:dyDescent="0.25">
      <c r="A95">
        <f t="shared" ref="A95:A97" si="17">A94+1</f>
        <v>3</v>
      </c>
      <c r="B95" s="27" t="s">
        <v>408</v>
      </c>
      <c r="C95" s="48">
        <v>29642952</v>
      </c>
      <c r="D95" s="26" t="s">
        <v>188</v>
      </c>
      <c r="E95" s="28">
        <f>1108000/2</f>
        <v>554000</v>
      </c>
      <c r="F95" s="28"/>
      <c r="G95" s="103">
        <f t="shared" si="16"/>
        <v>554000</v>
      </c>
    </row>
    <row r="96" spans="1:7" x14ac:dyDescent="0.25">
      <c r="A96">
        <f t="shared" si="17"/>
        <v>4</v>
      </c>
      <c r="B96" s="27" t="s">
        <v>19</v>
      </c>
      <c r="C96" s="48">
        <v>26823112</v>
      </c>
      <c r="D96" s="26" t="s">
        <v>188</v>
      </c>
      <c r="E96" s="28">
        <f>1108000/2</f>
        <v>554000</v>
      </c>
      <c r="F96" s="28"/>
      <c r="G96" s="103">
        <f t="shared" si="16"/>
        <v>554000</v>
      </c>
    </row>
    <row r="97" spans="1:7" x14ac:dyDescent="0.25">
      <c r="A97">
        <f t="shared" si="17"/>
        <v>5</v>
      </c>
      <c r="B97" s="27" t="s">
        <v>2572</v>
      </c>
      <c r="C97" s="48">
        <v>14338908</v>
      </c>
      <c r="D97" s="26" t="s">
        <v>1617</v>
      </c>
      <c r="E97" s="28">
        <v>200000</v>
      </c>
      <c r="F97" s="28"/>
      <c r="G97" s="132">
        <f>E97-F97</f>
        <v>200000</v>
      </c>
    </row>
    <row r="98" spans="1:7" x14ac:dyDescent="0.25">
      <c r="G98" s="47">
        <f>SUM(G93:G97)</f>
        <v>2395000</v>
      </c>
    </row>
    <row r="101" spans="1:7" x14ac:dyDescent="0.25">
      <c r="B101" s="3" t="s">
        <v>3303</v>
      </c>
    </row>
    <row r="102" spans="1:7" x14ac:dyDescent="0.25">
      <c r="B102" s="26" t="s">
        <v>187</v>
      </c>
      <c r="C102" s="26" t="s">
        <v>179</v>
      </c>
      <c r="D102" s="26" t="s">
        <v>15</v>
      </c>
      <c r="E102" s="26" t="s">
        <v>182</v>
      </c>
      <c r="F102" s="26" t="s">
        <v>184</v>
      </c>
      <c r="G102" s="103" t="s">
        <v>192</v>
      </c>
    </row>
    <row r="103" spans="1:7" x14ac:dyDescent="0.25">
      <c r="A103">
        <v>1</v>
      </c>
      <c r="B103" s="27" t="s">
        <v>10</v>
      </c>
      <c r="C103" s="48">
        <v>13029957</v>
      </c>
      <c r="D103" s="26" t="s">
        <v>12</v>
      </c>
      <c r="E103" s="28">
        <v>1344000</v>
      </c>
      <c r="F103" s="28"/>
      <c r="G103" s="103">
        <f t="shared" ref="G103:G109" si="18">E103-F103</f>
        <v>1344000</v>
      </c>
    </row>
    <row r="104" spans="1:7" x14ac:dyDescent="0.25">
      <c r="A104">
        <f>A103+1</f>
        <v>2</v>
      </c>
      <c r="B104" s="27" t="s">
        <v>33</v>
      </c>
      <c r="C104" s="48">
        <v>18929731</v>
      </c>
      <c r="D104" s="26" t="s">
        <v>18</v>
      </c>
      <c r="E104" s="28">
        <v>1000000</v>
      </c>
      <c r="F104" s="28"/>
      <c r="G104" s="103">
        <f t="shared" si="18"/>
        <v>1000000</v>
      </c>
    </row>
    <row r="105" spans="1:7" x14ac:dyDescent="0.25">
      <c r="A105">
        <f t="shared" ref="A105:A107" si="19">A104+1</f>
        <v>3</v>
      </c>
      <c r="B105" s="27" t="s">
        <v>408</v>
      </c>
      <c r="C105" s="48">
        <v>29642952</v>
      </c>
      <c r="D105" s="26" t="s">
        <v>188</v>
      </c>
      <c r="E105" s="28">
        <v>579250</v>
      </c>
      <c r="F105" s="28"/>
      <c r="G105" s="103">
        <f t="shared" si="18"/>
        <v>579250</v>
      </c>
    </row>
    <row r="106" spans="1:7" x14ac:dyDescent="0.25">
      <c r="A106">
        <f t="shared" si="19"/>
        <v>4</v>
      </c>
      <c r="B106" s="27" t="s">
        <v>19</v>
      </c>
      <c r="C106" s="48">
        <v>26823112</v>
      </c>
      <c r="D106" s="26" t="s">
        <v>188</v>
      </c>
      <c r="E106" s="28">
        <v>579250</v>
      </c>
      <c r="F106" s="28">
        <v>75000</v>
      </c>
      <c r="G106" s="103">
        <f t="shared" si="18"/>
        <v>504250</v>
      </c>
    </row>
    <row r="107" spans="1:7" x14ac:dyDescent="0.25">
      <c r="A107">
        <f t="shared" si="19"/>
        <v>5</v>
      </c>
      <c r="B107" s="27" t="s">
        <v>2572</v>
      </c>
      <c r="C107" s="48">
        <v>14338908</v>
      </c>
      <c r="D107" s="26" t="s">
        <v>1617</v>
      </c>
      <c r="E107" s="28">
        <v>200000</v>
      </c>
      <c r="F107" s="28"/>
      <c r="G107" s="103">
        <f t="shared" si="18"/>
        <v>200000</v>
      </c>
    </row>
    <row r="108" spans="1:7" x14ac:dyDescent="0.25">
      <c r="B108" s="27" t="s">
        <v>280</v>
      </c>
      <c r="C108" s="77"/>
      <c r="D108" s="26" t="s">
        <v>1617</v>
      </c>
      <c r="E108" s="28">
        <v>300000</v>
      </c>
      <c r="F108" s="28">
        <v>100000</v>
      </c>
      <c r="G108" s="103">
        <f t="shared" si="18"/>
        <v>200000</v>
      </c>
    </row>
    <row r="109" spans="1:7" x14ac:dyDescent="0.25">
      <c r="B109" s="27" t="s">
        <v>282</v>
      </c>
      <c r="C109" s="48">
        <v>16293069</v>
      </c>
      <c r="D109" s="26" t="s">
        <v>1617</v>
      </c>
      <c r="E109" s="28">
        <v>500000</v>
      </c>
      <c r="F109" s="28">
        <v>32000</v>
      </c>
      <c r="G109" s="103">
        <f t="shared" si="18"/>
        <v>468000</v>
      </c>
    </row>
    <row r="110" spans="1:7" x14ac:dyDescent="0.25">
      <c r="G110" s="47">
        <f>SUM(G103:G109)</f>
        <v>4295500</v>
      </c>
    </row>
  </sheetData>
  <mergeCells count="3">
    <mergeCell ref="E6:E7"/>
    <mergeCell ref="F6:F7"/>
    <mergeCell ref="G6:G7"/>
  </mergeCells>
  <pageMargins left="0.70866141732283472" right="0.70866141732283472" top="0.74803149606299213" bottom="0.74803149606299213" header="0.31496062992125984" footer="0.31496062992125984"/>
  <pageSetup paperSize="9" scale="85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3730-2E2D-42C4-A734-6711991CD5E8}">
  <dimension ref="A2:E6"/>
  <sheetViews>
    <sheetView workbookViewId="0">
      <selection activeCell="H13" sqref="H13"/>
    </sheetView>
  </sheetViews>
  <sheetFormatPr baseColWidth="10" defaultRowHeight="15" x14ac:dyDescent="0.25"/>
  <cols>
    <col min="1" max="1" width="21" customWidth="1"/>
    <col min="2" max="2" width="14.140625" bestFit="1" customWidth="1"/>
    <col min="3" max="3" width="15" customWidth="1"/>
    <col min="4" max="4" width="19.42578125" customWidth="1"/>
    <col min="5" max="5" width="21.7109375" customWidth="1"/>
  </cols>
  <sheetData>
    <row r="2" spans="1:5" ht="28.5" customHeight="1" x14ac:dyDescent="0.25">
      <c r="A2" s="78" t="s">
        <v>15</v>
      </c>
      <c r="B2" s="159" t="s">
        <v>3323</v>
      </c>
      <c r="C2" s="159" t="s">
        <v>3321</v>
      </c>
      <c r="D2" s="159" t="s">
        <v>3324</v>
      </c>
      <c r="E2" s="159" t="s">
        <v>3322</v>
      </c>
    </row>
    <row r="3" spans="1:5" x14ac:dyDescent="0.25">
      <c r="A3" s="160" t="s">
        <v>17</v>
      </c>
      <c r="B3" s="24">
        <v>2576500</v>
      </c>
      <c r="C3" s="24">
        <v>8090000</v>
      </c>
      <c r="D3" s="24">
        <v>4622981.0804865556</v>
      </c>
      <c r="E3" s="24">
        <v>17197300</v>
      </c>
    </row>
    <row r="4" spans="1:5" x14ac:dyDescent="0.25">
      <c r="A4" s="161" t="s">
        <v>12</v>
      </c>
      <c r="B4" s="24">
        <v>1800000</v>
      </c>
      <c r="C4" s="24">
        <v>6000000</v>
      </c>
      <c r="D4" s="24">
        <v>2653684.8734386559</v>
      </c>
      <c r="E4" s="24">
        <v>11069500</v>
      </c>
    </row>
    <row r="5" spans="1:5" ht="15.75" thickBot="1" x14ac:dyDescent="0.3">
      <c r="A5" s="162" t="s">
        <v>16</v>
      </c>
      <c r="B5" s="157">
        <v>10000</v>
      </c>
      <c r="C5" s="157">
        <v>180000</v>
      </c>
      <c r="D5" s="157">
        <v>96218.487394957978</v>
      </c>
      <c r="E5" s="157">
        <v>141000</v>
      </c>
    </row>
    <row r="6" spans="1:5" ht="15.75" thickBot="1" x14ac:dyDescent="0.3">
      <c r="A6" s="156"/>
      <c r="B6" s="158">
        <f>SUM(B3:B5)</f>
        <v>4386500</v>
      </c>
      <c r="C6" s="158">
        <f t="shared" ref="C6:E6" si="0">SUM(C3:C5)</f>
        <v>14270000</v>
      </c>
      <c r="D6" s="158">
        <f t="shared" si="0"/>
        <v>7372884.4413201688</v>
      </c>
      <c r="E6" s="158">
        <f t="shared" si="0"/>
        <v>28407800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BD52-032A-4BFA-8142-3851041DB3C1}">
  <dimension ref="A1:F22"/>
  <sheetViews>
    <sheetView topLeftCell="A10" workbookViewId="0">
      <selection activeCell="J24" sqref="J24"/>
    </sheetView>
  </sheetViews>
  <sheetFormatPr baseColWidth="10" defaultRowHeight="15" x14ac:dyDescent="0.25"/>
  <cols>
    <col min="1" max="1" width="25.28515625" bestFit="1" customWidth="1"/>
    <col min="2" max="2" width="32.28515625" bestFit="1" customWidth="1"/>
    <col min="3" max="3" width="33.140625" bestFit="1" customWidth="1"/>
    <col min="4" max="4" width="28.85546875" bestFit="1" customWidth="1"/>
    <col min="5" max="5" width="23.5703125" bestFit="1" customWidth="1"/>
    <col min="6" max="6" width="15.42578125" bestFit="1" customWidth="1"/>
  </cols>
  <sheetData>
    <row r="1" spans="1:6" x14ac:dyDescent="0.25">
      <c r="A1" s="5" t="s">
        <v>0</v>
      </c>
      <c r="B1" t="s">
        <v>367</v>
      </c>
    </row>
    <row r="3" spans="1:6" x14ac:dyDescent="0.25">
      <c r="A3" s="5" t="s">
        <v>13</v>
      </c>
      <c r="B3" t="s">
        <v>27</v>
      </c>
      <c r="C3" t="s">
        <v>2809</v>
      </c>
      <c r="D3" t="s">
        <v>2810</v>
      </c>
      <c r="E3" t="s">
        <v>32</v>
      </c>
      <c r="F3" t="s">
        <v>3320</v>
      </c>
    </row>
    <row r="4" spans="1:6" x14ac:dyDescent="0.25">
      <c r="A4" s="6" t="s">
        <v>34</v>
      </c>
      <c r="B4">
        <v>124000</v>
      </c>
      <c r="C4">
        <v>166000</v>
      </c>
      <c r="D4">
        <v>47857.142857142855</v>
      </c>
      <c r="E4">
        <v>290000</v>
      </c>
      <c r="F4">
        <v>136000</v>
      </c>
    </row>
    <row r="5" spans="1:6" x14ac:dyDescent="0.25">
      <c r="A5" s="6" t="s">
        <v>603</v>
      </c>
      <c r="B5">
        <v>392000</v>
      </c>
      <c r="C5">
        <v>228000</v>
      </c>
      <c r="D5">
        <v>138235.29411764705</v>
      </c>
      <c r="E5">
        <v>620000</v>
      </c>
      <c r="F5">
        <v>418500</v>
      </c>
    </row>
    <row r="6" spans="1:6" x14ac:dyDescent="0.25">
      <c r="A6" s="6" t="s">
        <v>16</v>
      </c>
      <c r="B6">
        <v>170000</v>
      </c>
      <c r="C6">
        <v>10000</v>
      </c>
      <c r="D6">
        <v>96218.487394957978</v>
      </c>
      <c r="E6">
        <v>180000</v>
      </c>
      <c r="F6">
        <v>141000</v>
      </c>
    </row>
    <row r="7" spans="1:6" x14ac:dyDescent="0.25">
      <c r="A7" s="6" t="s">
        <v>2446</v>
      </c>
      <c r="B7">
        <v>4967500</v>
      </c>
      <c r="C7">
        <v>2182500</v>
      </c>
      <c r="D7">
        <v>4436888.6435117656</v>
      </c>
      <c r="E7">
        <v>7180000</v>
      </c>
      <c r="F7">
        <v>16642800</v>
      </c>
    </row>
    <row r="8" spans="1:6" x14ac:dyDescent="0.25">
      <c r="A8" s="6" t="s">
        <v>10</v>
      </c>
      <c r="B8">
        <v>4000000</v>
      </c>
      <c r="C8">
        <v>1800000</v>
      </c>
      <c r="D8">
        <v>2653684.8734386559</v>
      </c>
      <c r="E8">
        <v>6000000</v>
      </c>
      <c r="F8">
        <v>11069500</v>
      </c>
    </row>
    <row r="9" spans="1:6" x14ac:dyDescent="0.25">
      <c r="A9" s="6" t="s">
        <v>14</v>
      </c>
      <c r="B9">
        <v>9653500</v>
      </c>
      <c r="C9">
        <v>4386500</v>
      </c>
      <c r="D9">
        <v>7372884.4413201697</v>
      </c>
      <c r="E9">
        <v>14270000</v>
      </c>
      <c r="F9">
        <v>28407800</v>
      </c>
    </row>
    <row r="18" spans="1:5" x14ac:dyDescent="0.25">
      <c r="A18" t="s">
        <v>15</v>
      </c>
      <c r="B18" t="s">
        <v>3323</v>
      </c>
      <c r="C18" t="s">
        <v>3321</v>
      </c>
      <c r="D18" t="s">
        <v>3324</v>
      </c>
      <c r="E18" t="s">
        <v>3322</v>
      </c>
    </row>
    <row r="19" spans="1:5" x14ac:dyDescent="0.25">
      <c r="A19" t="s">
        <v>17</v>
      </c>
      <c r="B19" s="155">
        <f>GETPIVOTDATA("Suma de GANANCIA POR SERVICIOS",$A$3,"AREA","ALEJANDRO DIAZ")+GETPIVOTDATA("Suma de GANANCIA POR SERVICIOS",$A$3,"AREA","ANGHELO CUICAS")+GETPIVOTDATA("Suma de GANANCIA POR SERVICIOS",$A$3,"AREA","LUIS BRITO / SAID VASQUEZ")</f>
        <v>2576500</v>
      </c>
      <c r="C19" s="155">
        <f>GETPIVOTDATA("Suma de TOTAL FACTURA",$A$3,"AREA","ALEJANDRO DIAZ")+GETPIVOTDATA("Suma de TOTAL FACTURA",$A$3,"AREA","ANGHELO CUICAS")+GETPIVOTDATA("Suma de TOTAL FACTURA",$A$3,"AREA","LUIS BRITO / SAID VASQUEZ")</f>
        <v>8090000</v>
      </c>
      <c r="D19" s="155">
        <f>GETPIVOTDATA("Suma de GANACIA  REPUESTOS",$A$3,"AREA","ALEJANDRO DIAZ")+GETPIVOTDATA("Suma de GANACIA  REPUESTOS",$A$3,"AREA","ANGHELO CUICAS")+GETPIVOTDATA("Suma de GANACIA  REPUESTOS",$A$3,"AREA","LUIS BRITO / SAID VASQUEZ")</f>
        <v>4622981.0804865556</v>
      </c>
      <c r="E19" s="155">
        <f>GETPIVOTDATA("Suma de VENTA ",$A$3,"AREA","ALEJANDRO DIAZ")+GETPIVOTDATA("Suma de VENTA ",$A$3,"AREA","ANGHELO CUICAS")+GETPIVOTDATA("Suma de VENTA ",$A$3,"AREA","LUIS BRITO / SAID VASQUEZ")</f>
        <v>17197300</v>
      </c>
    </row>
    <row r="20" spans="1:5" x14ac:dyDescent="0.25">
      <c r="A20" t="s">
        <v>12</v>
      </c>
      <c r="B20" s="155">
        <v>1800000</v>
      </c>
      <c r="C20" s="155">
        <f>GETPIVOTDATA("Suma de TOTAL FACTURA",$A$3,"AREA","SAMIR VASQUEZ")</f>
        <v>6000000</v>
      </c>
      <c r="D20" s="155">
        <f>GETPIVOTDATA("Suma de GANACIA  REPUESTOS",$A$3,"AREA","SAMIR VASQUEZ")</f>
        <v>2653684.8734386559</v>
      </c>
      <c r="E20" s="155">
        <f>GETPIVOTDATA("Suma de VENTA ",$A$3,"AREA","SAMIR VASQUEZ")</f>
        <v>11069500</v>
      </c>
    </row>
    <row r="21" spans="1:5" x14ac:dyDescent="0.25">
      <c r="A21" t="s">
        <v>16</v>
      </c>
      <c r="B21" s="155">
        <v>10000</v>
      </c>
      <c r="C21" s="155">
        <f>GETPIVOTDATA("Suma de TOTAL FACTURA",$A$3,"AREA","ELECTRICIDAD")</f>
        <v>180000</v>
      </c>
      <c r="D21" s="155">
        <f>GETPIVOTDATA("Suma de GANACIA  REPUESTOS",$A$3,"AREA","ELECTRICIDAD")</f>
        <v>96218.487394957978</v>
      </c>
      <c r="E21" s="155">
        <f>GETPIVOTDATA("Suma de VENTA ",$A$3,"AREA","ELECTRICIDAD")</f>
        <v>141000</v>
      </c>
    </row>
    <row r="22" spans="1:5" x14ac:dyDescent="0.25">
      <c r="B22" s="155">
        <f>SUM(B19:B21)</f>
        <v>4386500</v>
      </c>
      <c r="C22" s="155">
        <f>SUM(C19:C21)</f>
        <v>14270000</v>
      </c>
      <c r="D22" s="155">
        <f>SUM(D19:D21)</f>
        <v>7372884.4413201688</v>
      </c>
      <c r="E22" s="155">
        <f>SUM(E19:E21)</f>
        <v>28407800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E22A-2D29-4AA3-BACA-384EFCB57247}">
  <dimension ref="A1:B30"/>
  <sheetViews>
    <sheetView workbookViewId="0">
      <selection activeCell="I19" sqref="I19"/>
    </sheetView>
  </sheetViews>
  <sheetFormatPr baseColWidth="10" defaultRowHeight="15" x14ac:dyDescent="0.25"/>
  <cols>
    <col min="1" max="1" width="17.5703125" bestFit="1" customWidth="1"/>
    <col min="2" max="2" width="20.42578125" bestFit="1" customWidth="1"/>
    <col min="3" max="5" width="18.42578125" bestFit="1" customWidth="1"/>
    <col min="6" max="6" width="12" bestFit="1" customWidth="1"/>
    <col min="7" max="7" width="30.5703125" bestFit="1" customWidth="1"/>
    <col min="8" max="8" width="22.5703125" bestFit="1" customWidth="1"/>
    <col min="9" max="9" width="103" bestFit="1" customWidth="1"/>
    <col min="10" max="10" width="22.140625" bestFit="1" customWidth="1"/>
    <col min="11" max="11" width="71.28515625" bestFit="1" customWidth="1"/>
    <col min="12" max="12" width="15" bestFit="1" customWidth="1"/>
    <col min="13" max="13" width="8" bestFit="1" customWidth="1"/>
    <col min="14" max="14" width="23.28515625" bestFit="1" customWidth="1"/>
    <col min="15" max="15" width="18.5703125" bestFit="1" customWidth="1"/>
    <col min="16" max="16" width="22" bestFit="1" customWidth="1"/>
    <col min="17" max="17" width="101.42578125" bestFit="1" customWidth="1"/>
    <col min="18" max="19" width="12" bestFit="1" customWidth="1"/>
    <col min="20" max="20" width="33.85546875" bestFit="1" customWidth="1"/>
    <col min="21" max="22" width="12" bestFit="1" customWidth="1"/>
    <col min="23" max="23" width="29.42578125" bestFit="1" customWidth="1"/>
    <col min="24" max="24" width="13.5703125" bestFit="1" customWidth="1"/>
    <col min="25" max="25" width="22" bestFit="1" customWidth="1"/>
    <col min="26" max="26" width="33.140625" bestFit="1" customWidth="1"/>
    <col min="27" max="27" width="32.85546875" bestFit="1" customWidth="1"/>
    <col min="28" max="28" width="42.7109375" bestFit="1" customWidth="1"/>
    <col min="29" max="29" width="17.28515625" bestFit="1" customWidth="1"/>
    <col min="30" max="30" width="42" bestFit="1" customWidth="1"/>
    <col min="31" max="31" width="12" bestFit="1" customWidth="1"/>
    <col min="32" max="32" width="54.85546875" bestFit="1" customWidth="1"/>
    <col min="33" max="33" width="30.5703125" bestFit="1" customWidth="1"/>
    <col min="34" max="34" width="28" bestFit="1" customWidth="1"/>
    <col min="35" max="35" width="12" bestFit="1" customWidth="1"/>
    <col min="36" max="36" width="12.5703125" bestFit="1" customWidth="1"/>
  </cols>
  <sheetData>
    <row r="1" spans="1:2" x14ac:dyDescent="0.25">
      <c r="A1" s="5" t="s">
        <v>0</v>
      </c>
      <c r="B1" t="s">
        <v>367</v>
      </c>
    </row>
    <row r="3" spans="1:2" x14ac:dyDescent="0.25">
      <c r="A3" s="5" t="s">
        <v>13</v>
      </c>
      <c r="B3" t="s">
        <v>2852</v>
      </c>
    </row>
    <row r="4" spans="1:2" x14ac:dyDescent="0.25">
      <c r="A4" s="6" t="s">
        <v>2631</v>
      </c>
      <c r="B4">
        <v>1</v>
      </c>
    </row>
    <row r="5" spans="1:2" x14ac:dyDescent="0.25">
      <c r="A5" s="6" t="s">
        <v>54</v>
      </c>
      <c r="B5">
        <v>1</v>
      </c>
    </row>
    <row r="6" spans="1:2" x14ac:dyDescent="0.25">
      <c r="A6" s="6" t="s">
        <v>48</v>
      </c>
      <c r="B6">
        <v>2</v>
      </c>
    </row>
    <row r="7" spans="1:2" x14ac:dyDescent="0.25">
      <c r="A7" s="6" t="s">
        <v>1907</v>
      </c>
      <c r="B7">
        <v>1</v>
      </c>
    </row>
    <row r="8" spans="1:2" x14ac:dyDescent="0.25">
      <c r="A8" s="6" t="s">
        <v>240</v>
      </c>
      <c r="B8">
        <v>2</v>
      </c>
    </row>
    <row r="9" spans="1:2" x14ac:dyDescent="0.25">
      <c r="A9" s="6" t="s">
        <v>1434</v>
      </c>
      <c r="B9">
        <v>2</v>
      </c>
    </row>
    <row r="10" spans="1:2" x14ac:dyDescent="0.25">
      <c r="A10" s="6" t="s">
        <v>59</v>
      </c>
      <c r="B10">
        <v>3</v>
      </c>
    </row>
    <row r="11" spans="1:2" x14ac:dyDescent="0.25">
      <c r="A11" s="6" t="s">
        <v>574</v>
      </c>
      <c r="B11">
        <v>3</v>
      </c>
    </row>
    <row r="12" spans="1:2" x14ac:dyDescent="0.25">
      <c r="A12" s="6" t="s">
        <v>815</v>
      </c>
      <c r="B12">
        <v>5</v>
      </c>
    </row>
    <row r="13" spans="1:2" x14ac:dyDescent="0.25">
      <c r="A13" s="6" t="s">
        <v>1610</v>
      </c>
      <c r="B13">
        <v>1</v>
      </c>
    </row>
    <row r="14" spans="1:2" x14ac:dyDescent="0.25">
      <c r="A14" s="6" t="s">
        <v>76</v>
      </c>
      <c r="B14">
        <v>3</v>
      </c>
    </row>
    <row r="15" spans="1:2" x14ac:dyDescent="0.25">
      <c r="A15" s="6" t="s">
        <v>46</v>
      </c>
      <c r="B15">
        <v>3</v>
      </c>
    </row>
    <row r="16" spans="1:2" x14ac:dyDescent="0.25">
      <c r="A16" s="6" t="s">
        <v>84</v>
      </c>
      <c r="B16">
        <v>1</v>
      </c>
    </row>
    <row r="17" spans="1:2" x14ac:dyDescent="0.25">
      <c r="A17" s="6" t="s">
        <v>122</v>
      </c>
      <c r="B17">
        <v>5</v>
      </c>
    </row>
    <row r="18" spans="1:2" x14ac:dyDescent="0.25">
      <c r="A18" s="6" t="s">
        <v>2392</v>
      </c>
      <c r="B18">
        <v>2</v>
      </c>
    </row>
    <row r="19" spans="1:2" x14ac:dyDescent="0.25">
      <c r="A19" s="6" t="s">
        <v>1947</v>
      </c>
      <c r="B19">
        <v>2</v>
      </c>
    </row>
    <row r="20" spans="1:2" x14ac:dyDescent="0.25">
      <c r="A20" s="6" t="s">
        <v>385</v>
      </c>
      <c r="B20">
        <v>2</v>
      </c>
    </row>
    <row r="21" spans="1:2" x14ac:dyDescent="0.25">
      <c r="A21" s="6" t="s">
        <v>168</v>
      </c>
      <c r="B21">
        <v>3</v>
      </c>
    </row>
    <row r="22" spans="1:2" x14ac:dyDescent="0.25">
      <c r="A22" s="6" t="s">
        <v>218</v>
      </c>
      <c r="B22">
        <v>4</v>
      </c>
    </row>
    <row r="23" spans="1:2" x14ac:dyDescent="0.25">
      <c r="A23" s="6" t="s">
        <v>540</v>
      </c>
      <c r="B23">
        <v>2</v>
      </c>
    </row>
    <row r="24" spans="1:2" x14ac:dyDescent="0.25">
      <c r="A24" s="6" t="s">
        <v>975</v>
      </c>
      <c r="B24">
        <v>1</v>
      </c>
    </row>
    <row r="25" spans="1:2" x14ac:dyDescent="0.25">
      <c r="A25" s="6" t="s">
        <v>52</v>
      </c>
      <c r="B25">
        <v>2</v>
      </c>
    </row>
    <row r="26" spans="1:2" x14ac:dyDescent="0.25">
      <c r="A26" s="6" t="s">
        <v>28</v>
      </c>
      <c r="B26">
        <v>1</v>
      </c>
    </row>
    <row r="27" spans="1:2" x14ac:dyDescent="0.25">
      <c r="A27" s="6" t="s">
        <v>704</v>
      </c>
      <c r="B27">
        <v>4</v>
      </c>
    </row>
    <row r="28" spans="1:2" x14ac:dyDescent="0.25">
      <c r="A28" s="6" t="s">
        <v>2856</v>
      </c>
      <c r="B28">
        <v>3</v>
      </c>
    </row>
    <row r="29" spans="1:2" x14ac:dyDescent="0.25">
      <c r="A29" s="6" t="s">
        <v>200</v>
      </c>
      <c r="B29">
        <v>1</v>
      </c>
    </row>
    <row r="30" spans="1:2" x14ac:dyDescent="0.25">
      <c r="A30" s="6" t="s">
        <v>14</v>
      </c>
      <c r="B30">
        <v>60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00B2-7553-4B70-BED7-4D323F454DE4}">
  <dimension ref="A1:J29"/>
  <sheetViews>
    <sheetView topLeftCell="A52" workbookViewId="0">
      <selection activeCell="N34" sqref="N34"/>
    </sheetView>
  </sheetViews>
  <sheetFormatPr baseColWidth="10" defaultRowHeight="15" x14ac:dyDescent="0.25"/>
  <cols>
    <col min="1" max="1" width="24.28515625" customWidth="1"/>
    <col min="2" max="2" width="17.28515625" customWidth="1"/>
  </cols>
  <sheetData>
    <row r="1" spans="1:10" x14ac:dyDescent="0.25">
      <c r="J1" s="3" t="s">
        <v>2959</v>
      </c>
    </row>
    <row r="2" spans="1:10" x14ac:dyDescent="0.25">
      <c r="A2" s="198" t="s">
        <v>131</v>
      </c>
      <c r="B2" s="198"/>
    </row>
    <row r="4" spans="1:10" x14ac:dyDescent="0.25">
      <c r="A4" s="77" t="s">
        <v>2958</v>
      </c>
      <c r="B4" s="24">
        <f>5462806.72-B6</f>
        <v>5244696.72</v>
      </c>
    </row>
    <row r="5" spans="1:10" x14ac:dyDescent="0.25">
      <c r="A5" s="77" t="s">
        <v>12</v>
      </c>
      <c r="B5" s="24">
        <v>1427285.71</v>
      </c>
    </row>
    <row r="6" spans="1:10" x14ac:dyDescent="0.25">
      <c r="A6" s="77" t="s">
        <v>16</v>
      </c>
      <c r="B6" s="24">
        <f>157310+60800</f>
        <v>218110</v>
      </c>
    </row>
    <row r="7" spans="1:10" x14ac:dyDescent="0.25">
      <c r="B7" s="143">
        <f>SUM(B4:B6)</f>
        <v>6890092.4299999997</v>
      </c>
    </row>
    <row r="24" spans="1:2" x14ac:dyDescent="0.25">
      <c r="A24" s="198" t="s">
        <v>2957</v>
      </c>
      <c r="B24" s="198"/>
    </row>
    <row r="25" spans="1:2" x14ac:dyDescent="0.25">
      <c r="A25" s="77" t="s">
        <v>17</v>
      </c>
      <c r="B25" s="24">
        <f>3090700-B28</f>
        <v>2805500</v>
      </c>
    </row>
    <row r="26" spans="1:2" x14ac:dyDescent="0.25">
      <c r="A26" s="77" t="s">
        <v>12</v>
      </c>
      <c r="B26" s="24">
        <f>1474000</f>
        <v>1474000</v>
      </c>
    </row>
    <row r="27" spans="1:2" x14ac:dyDescent="0.25">
      <c r="A27" s="77" t="s">
        <v>18</v>
      </c>
      <c r="B27" s="142">
        <v>1318600</v>
      </c>
    </row>
    <row r="28" spans="1:2" x14ac:dyDescent="0.25">
      <c r="A28" s="77" t="s">
        <v>16</v>
      </c>
      <c r="B28" s="24">
        <f>224400+60800</f>
        <v>285200</v>
      </c>
    </row>
    <row r="29" spans="1:2" x14ac:dyDescent="0.25">
      <c r="B29" s="143">
        <f>SUM(B25:B28)</f>
        <v>5883300</v>
      </c>
    </row>
  </sheetData>
  <mergeCells count="2">
    <mergeCell ref="A24:B24"/>
    <mergeCell ref="A2:B2"/>
  </mergeCells>
  <pageMargins left="0.70866141732283472" right="0.70866141732283472" top="0.74803149606299213" bottom="0.74803149606299213" header="0.31496062992125984" footer="0.31496062992125984"/>
  <pageSetup paperSize="9" scale="80" orientation="landscape" horizontalDpi="360" verticalDpi="36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1283-5230-44DC-BCB6-058030C6DF2F}">
  <dimension ref="A2:C10"/>
  <sheetViews>
    <sheetView workbookViewId="0">
      <selection activeCell="E31" sqref="E31"/>
    </sheetView>
  </sheetViews>
  <sheetFormatPr baseColWidth="10" defaultRowHeight="15" x14ac:dyDescent="0.25"/>
  <cols>
    <col min="1" max="1" width="25.28515625" bestFit="1" customWidth="1"/>
    <col min="2" max="2" width="20.42578125" bestFit="1" customWidth="1"/>
    <col min="3" max="3" width="33.140625" bestFit="1" customWidth="1"/>
    <col min="4" max="4" width="32.28515625" bestFit="1" customWidth="1"/>
    <col min="5" max="5" width="32.28515625" customWidth="1"/>
    <col min="6" max="6" width="28.28515625" customWidth="1"/>
    <col min="7" max="7" width="35.28515625" customWidth="1"/>
    <col min="8" max="8" width="30.5703125" bestFit="1" customWidth="1"/>
    <col min="9" max="9" width="22.5703125" bestFit="1" customWidth="1"/>
    <col min="10" max="10" width="103" bestFit="1" customWidth="1"/>
    <col min="11" max="11" width="22.140625" bestFit="1" customWidth="1"/>
    <col min="12" max="12" width="71.28515625" bestFit="1" customWidth="1"/>
    <col min="13" max="13" width="15" bestFit="1" customWidth="1"/>
    <col min="14" max="14" width="8" bestFit="1" customWidth="1"/>
    <col min="15" max="15" width="23.28515625" bestFit="1" customWidth="1"/>
    <col min="16" max="16" width="18.5703125" bestFit="1" customWidth="1"/>
    <col min="17" max="17" width="22" bestFit="1" customWidth="1"/>
    <col min="18" max="18" width="101.42578125" bestFit="1" customWidth="1"/>
    <col min="19" max="20" width="12" bestFit="1" customWidth="1"/>
    <col min="21" max="21" width="33.85546875" bestFit="1" customWidth="1"/>
    <col min="22" max="23" width="12" bestFit="1" customWidth="1"/>
    <col min="24" max="24" width="29.42578125" bestFit="1" customWidth="1"/>
    <col min="25" max="25" width="13.5703125" bestFit="1" customWidth="1"/>
    <col min="26" max="26" width="22" bestFit="1" customWidth="1"/>
    <col min="27" max="27" width="33.140625" bestFit="1" customWidth="1"/>
    <col min="28" max="28" width="32.85546875" bestFit="1" customWidth="1"/>
    <col min="29" max="29" width="42.7109375" bestFit="1" customWidth="1"/>
    <col min="30" max="30" width="17.28515625" bestFit="1" customWidth="1"/>
    <col min="31" max="31" width="42" bestFit="1" customWidth="1"/>
    <col min="32" max="32" width="12" bestFit="1" customWidth="1"/>
    <col min="33" max="33" width="54.85546875" bestFit="1" customWidth="1"/>
    <col min="34" max="34" width="30.5703125" bestFit="1" customWidth="1"/>
    <col min="35" max="35" width="28" bestFit="1" customWidth="1"/>
    <col min="36" max="36" width="12" bestFit="1" customWidth="1"/>
    <col min="37" max="37" width="12.5703125" bestFit="1" customWidth="1"/>
  </cols>
  <sheetData>
    <row r="2" spans="1:3" x14ac:dyDescent="0.25">
      <c r="A2" s="5" t="s">
        <v>0</v>
      </c>
      <c r="B2" t="s">
        <v>367</v>
      </c>
    </row>
    <row r="4" spans="1:3" x14ac:dyDescent="0.25">
      <c r="A4" s="5" t="s">
        <v>13</v>
      </c>
      <c r="B4" t="s">
        <v>2956</v>
      </c>
      <c r="C4" t="s">
        <v>2809</v>
      </c>
    </row>
    <row r="5" spans="1:3" x14ac:dyDescent="0.25">
      <c r="A5" s="6" t="s">
        <v>34</v>
      </c>
      <c r="B5">
        <v>8</v>
      </c>
      <c r="C5">
        <v>166000</v>
      </c>
    </row>
    <row r="6" spans="1:3" x14ac:dyDescent="0.25">
      <c r="A6" s="6" t="s">
        <v>603</v>
      </c>
      <c r="B6">
        <v>11</v>
      </c>
      <c r="C6">
        <v>228000</v>
      </c>
    </row>
    <row r="7" spans="1:3" x14ac:dyDescent="0.25">
      <c r="A7" s="6" t="s">
        <v>2446</v>
      </c>
      <c r="B7">
        <v>69</v>
      </c>
      <c r="C7">
        <v>2182500</v>
      </c>
    </row>
    <row r="8" spans="1:3" x14ac:dyDescent="0.25">
      <c r="A8" s="6" t="s">
        <v>10</v>
      </c>
      <c r="B8">
        <v>24</v>
      </c>
      <c r="C8">
        <v>1800000</v>
      </c>
    </row>
    <row r="9" spans="1:3" x14ac:dyDescent="0.25">
      <c r="A9" s="6" t="s">
        <v>16</v>
      </c>
      <c r="B9">
        <v>2</v>
      </c>
      <c r="C9">
        <v>10000</v>
      </c>
    </row>
    <row r="10" spans="1:3" x14ac:dyDescent="0.25">
      <c r="A10" s="6" t="s">
        <v>14</v>
      </c>
      <c r="B10">
        <v>114</v>
      </c>
      <c r="C10">
        <v>4386500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7C3B-0CF9-4E10-830F-153A8C1C9A50}">
  <dimension ref="A2:H11"/>
  <sheetViews>
    <sheetView workbookViewId="0">
      <selection activeCell="B25" sqref="B25"/>
    </sheetView>
  </sheetViews>
  <sheetFormatPr baseColWidth="10" defaultRowHeight="15" x14ac:dyDescent="0.25"/>
  <cols>
    <col min="1" max="1" width="25.28515625" bestFit="1" customWidth="1"/>
    <col min="2" max="2" width="28.85546875" bestFit="1" customWidth="1"/>
    <col min="3" max="3" width="33.140625" bestFit="1" customWidth="1"/>
    <col min="4" max="4" width="18.42578125" bestFit="1" customWidth="1"/>
    <col min="5" max="5" width="23.140625" customWidth="1"/>
    <col min="6" max="6" width="14.140625" bestFit="1" customWidth="1"/>
    <col min="7" max="7" width="30.5703125" bestFit="1" customWidth="1"/>
    <col min="8" max="8" width="22.5703125" bestFit="1" customWidth="1"/>
    <col min="9" max="9" width="103" bestFit="1" customWidth="1"/>
    <col min="10" max="10" width="22.140625" bestFit="1" customWidth="1"/>
    <col min="11" max="11" width="71.28515625" bestFit="1" customWidth="1"/>
    <col min="12" max="12" width="15" bestFit="1" customWidth="1"/>
    <col min="13" max="13" width="8" bestFit="1" customWidth="1"/>
    <col min="14" max="14" width="23.28515625" bestFit="1" customWidth="1"/>
    <col min="15" max="15" width="18.5703125" bestFit="1" customWidth="1"/>
    <col min="16" max="16" width="22" bestFit="1" customWidth="1"/>
    <col min="17" max="17" width="101.42578125" bestFit="1" customWidth="1"/>
    <col min="18" max="19" width="12" bestFit="1" customWidth="1"/>
    <col min="20" max="20" width="33.85546875" bestFit="1" customWidth="1"/>
    <col min="21" max="22" width="12" bestFit="1" customWidth="1"/>
    <col min="23" max="23" width="29.42578125" bestFit="1" customWidth="1"/>
    <col min="24" max="24" width="13.5703125" bestFit="1" customWidth="1"/>
    <col min="25" max="25" width="22" bestFit="1" customWidth="1"/>
    <col min="26" max="26" width="33.140625" bestFit="1" customWidth="1"/>
    <col min="27" max="27" width="32.85546875" bestFit="1" customWidth="1"/>
    <col min="28" max="28" width="42.7109375" bestFit="1" customWidth="1"/>
    <col min="29" max="29" width="17.28515625" bestFit="1" customWidth="1"/>
    <col min="30" max="30" width="42" bestFit="1" customWidth="1"/>
    <col min="31" max="31" width="12" bestFit="1" customWidth="1"/>
    <col min="32" max="32" width="54.85546875" bestFit="1" customWidth="1"/>
    <col min="33" max="33" width="30.5703125" bestFit="1" customWidth="1"/>
    <col min="34" max="34" width="28" bestFit="1" customWidth="1"/>
    <col min="35" max="35" width="12" bestFit="1" customWidth="1"/>
    <col min="36" max="36" width="12.5703125" bestFit="1" customWidth="1"/>
  </cols>
  <sheetData>
    <row r="2" spans="1:8" x14ac:dyDescent="0.25">
      <c r="A2" s="5" t="s">
        <v>0</v>
      </c>
      <c r="B2" t="s">
        <v>367</v>
      </c>
      <c r="E2" t="s">
        <v>131</v>
      </c>
    </row>
    <row r="4" spans="1:8" x14ac:dyDescent="0.25">
      <c r="A4" s="5" t="s">
        <v>13</v>
      </c>
      <c r="B4" t="s">
        <v>2810</v>
      </c>
      <c r="E4" t="s">
        <v>2958</v>
      </c>
      <c r="F4" s="63">
        <f>GETPIVOTDATA("GANACIA  REPUESTOS",$A$4,"AREA","ANGHELO CUICAS")+GETPIVOTDATA("GANACIA  REPUESTOS",$A$4,"AREA","LUIS BRITO / SAID VASQUEZ")</f>
        <v>4575123.9376294129</v>
      </c>
      <c r="H4" s="141"/>
    </row>
    <row r="5" spans="1:8" x14ac:dyDescent="0.25">
      <c r="A5" s="6" t="s">
        <v>34</v>
      </c>
      <c r="B5">
        <v>47857.142857142855</v>
      </c>
      <c r="E5" t="s">
        <v>12</v>
      </c>
      <c r="F5" s="63">
        <f>GETPIVOTDATA("GANACIA  REPUESTOS",$A$4,"AREA","SAMIR VASQUEZ")</f>
        <v>2653684.8734386559</v>
      </c>
    </row>
    <row r="6" spans="1:8" x14ac:dyDescent="0.25">
      <c r="A6" s="6" t="s">
        <v>603</v>
      </c>
      <c r="B6">
        <v>138235.29411764705</v>
      </c>
      <c r="E6" t="s">
        <v>16</v>
      </c>
      <c r="F6" s="63">
        <f>GETPIVOTDATA("GANACIA  REPUESTOS",$A$4,"AREA","ELECTRICIDAD")</f>
        <v>96218.487394957978</v>
      </c>
    </row>
    <row r="7" spans="1:8" x14ac:dyDescent="0.25">
      <c r="A7" s="6" t="s">
        <v>16</v>
      </c>
      <c r="B7">
        <v>96218.487394957978</v>
      </c>
      <c r="F7" s="19"/>
    </row>
    <row r="8" spans="1:8" x14ac:dyDescent="0.25">
      <c r="A8" s="6" t="s">
        <v>2446</v>
      </c>
      <c r="B8">
        <v>4436888.6435117656</v>
      </c>
    </row>
    <row r="9" spans="1:8" x14ac:dyDescent="0.25">
      <c r="A9" s="6" t="s">
        <v>10</v>
      </c>
      <c r="B9">
        <v>2653684.8734386559</v>
      </c>
    </row>
    <row r="10" spans="1:8" x14ac:dyDescent="0.25">
      <c r="A10" s="6" t="s">
        <v>862</v>
      </c>
      <c r="B10">
        <v>0</v>
      </c>
    </row>
    <row r="11" spans="1:8" x14ac:dyDescent="0.25">
      <c r="A11" s="6" t="s">
        <v>14</v>
      </c>
      <c r="B11">
        <v>7372884.4413201697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8962-1839-47B6-9CA9-75291C0B4E3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8224-BD2A-4F6D-ADA7-AE350AF2B92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2ABA-998D-4061-9305-0E13F07B86A5}">
  <dimension ref="A1:J227"/>
  <sheetViews>
    <sheetView topLeftCell="A205" zoomScale="130" zoomScaleNormal="130" workbookViewId="0">
      <selection activeCell="D215" sqref="D215"/>
    </sheetView>
  </sheetViews>
  <sheetFormatPr baseColWidth="10" defaultRowHeight="15" x14ac:dyDescent="0.25"/>
  <cols>
    <col min="1" max="1" width="3.42578125" customWidth="1"/>
    <col min="2" max="2" width="20" customWidth="1"/>
    <col min="3" max="3" width="14" customWidth="1"/>
    <col min="4" max="4" width="23.85546875" customWidth="1"/>
    <col min="5" max="5" width="14.7109375" customWidth="1"/>
    <col min="6" max="6" width="14.5703125" customWidth="1"/>
    <col min="7" max="7" width="17.7109375" customWidth="1"/>
    <col min="8" max="8" width="20" customWidth="1"/>
    <col min="9" max="9" width="19.5703125" customWidth="1"/>
    <col min="10" max="10" width="17.85546875" customWidth="1"/>
    <col min="11" max="11" width="14.85546875" customWidth="1"/>
    <col min="12" max="12" width="14.42578125" customWidth="1"/>
  </cols>
  <sheetData>
    <row r="1" spans="1:8" x14ac:dyDescent="0.25">
      <c r="B1" s="3" t="s">
        <v>1754</v>
      </c>
    </row>
    <row r="2" spans="1:8" x14ac:dyDescent="0.25">
      <c r="B2" s="26" t="s">
        <v>187</v>
      </c>
      <c r="C2" s="26" t="s">
        <v>179</v>
      </c>
      <c r="D2" s="26" t="s">
        <v>15</v>
      </c>
      <c r="E2" s="26" t="s">
        <v>182</v>
      </c>
      <c r="F2" s="26" t="s">
        <v>184</v>
      </c>
      <c r="G2" s="65" t="s">
        <v>192</v>
      </c>
    </row>
    <row r="3" spans="1:8" x14ac:dyDescent="0.25">
      <c r="A3">
        <v>1</v>
      </c>
      <c r="B3" s="27" t="s">
        <v>10</v>
      </c>
      <c r="C3" s="48">
        <v>13029957</v>
      </c>
      <c r="D3" s="26" t="s">
        <v>12</v>
      </c>
      <c r="E3" s="28">
        <v>318000</v>
      </c>
      <c r="F3" s="28"/>
      <c r="G3" s="49">
        <f t="shared" ref="G3:G7" si="0">E3-F3</f>
        <v>318000</v>
      </c>
    </row>
    <row r="4" spans="1:8" x14ac:dyDescent="0.25">
      <c r="A4">
        <f t="shared" ref="A4:A9" si="1">A3+1</f>
        <v>2</v>
      </c>
      <c r="B4" s="27" t="s">
        <v>19</v>
      </c>
      <c r="C4" s="48">
        <v>26823112</v>
      </c>
      <c r="D4" s="26" t="s">
        <v>188</v>
      </c>
      <c r="E4" s="28">
        <v>726200</v>
      </c>
      <c r="F4" s="28">
        <v>150000</v>
      </c>
      <c r="G4" s="49">
        <f t="shared" si="0"/>
        <v>576200</v>
      </c>
    </row>
    <row r="5" spans="1:8" x14ac:dyDescent="0.25">
      <c r="A5">
        <f t="shared" si="1"/>
        <v>3</v>
      </c>
      <c r="B5" s="27" t="s">
        <v>784</v>
      </c>
      <c r="C5" s="48">
        <v>32132485</v>
      </c>
      <c r="D5" s="26" t="s">
        <v>31</v>
      </c>
      <c r="E5" s="28">
        <v>192000</v>
      </c>
      <c r="F5" s="28">
        <v>20000</v>
      </c>
      <c r="G5" s="49">
        <f t="shared" si="0"/>
        <v>172000</v>
      </c>
    </row>
    <row r="6" spans="1:8" x14ac:dyDescent="0.25">
      <c r="A6">
        <f t="shared" si="1"/>
        <v>4</v>
      </c>
      <c r="B6" s="27" t="s">
        <v>30</v>
      </c>
      <c r="C6" s="48">
        <v>1077085321</v>
      </c>
      <c r="D6" s="26" t="s">
        <v>12</v>
      </c>
      <c r="E6" s="28">
        <v>310000</v>
      </c>
      <c r="F6" s="28">
        <v>310000</v>
      </c>
      <c r="G6" s="49">
        <f t="shared" si="0"/>
        <v>0</v>
      </c>
    </row>
    <row r="7" spans="1:8" x14ac:dyDescent="0.25">
      <c r="A7">
        <f t="shared" si="1"/>
        <v>5</v>
      </c>
      <c r="B7" s="27" t="s">
        <v>33</v>
      </c>
      <c r="C7" s="48">
        <v>18929731</v>
      </c>
      <c r="D7" s="26" t="s">
        <v>18</v>
      </c>
      <c r="E7" s="28">
        <v>800000</v>
      </c>
      <c r="F7" s="28"/>
      <c r="G7" s="49">
        <f t="shared" si="0"/>
        <v>800000</v>
      </c>
      <c r="H7" s="47"/>
    </row>
    <row r="8" spans="1:8" x14ac:dyDescent="0.25">
      <c r="A8">
        <f t="shared" si="1"/>
        <v>6</v>
      </c>
      <c r="B8" s="27" t="s">
        <v>1715</v>
      </c>
      <c r="C8" s="48">
        <v>28099094</v>
      </c>
      <c r="D8" s="26" t="s">
        <v>31</v>
      </c>
      <c r="E8" s="28">
        <v>200000</v>
      </c>
      <c r="F8" s="28"/>
      <c r="G8" s="49">
        <f>E8-F8</f>
        <v>200000</v>
      </c>
    </row>
    <row r="9" spans="1:8" ht="15.75" thickBot="1" x14ac:dyDescent="0.3">
      <c r="A9">
        <f t="shared" si="1"/>
        <v>7</v>
      </c>
      <c r="B9" s="27" t="s">
        <v>408</v>
      </c>
      <c r="C9" s="48">
        <v>29642952</v>
      </c>
      <c r="D9" s="26" t="s">
        <v>188</v>
      </c>
      <c r="E9" s="28"/>
      <c r="F9" s="28"/>
      <c r="G9" s="49"/>
    </row>
    <row r="10" spans="1:8" ht="19.5" thickBot="1" x14ac:dyDescent="0.35">
      <c r="E10" s="47">
        <f>SUM(E3:E9)</f>
        <v>2546200</v>
      </c>
      <c r="G10" s="61">
        <f>SUM(G3:G9)</f>
        <v>2066200</v>
      </c>
      <c r="H10" s="47"/>
    </row>
    <row r="11" spans="1:8" x14ac:dyDescent="0.25">
      <c r="G11" s="49">
        <v>200000</v>
      </c>
    </row>
    <row r="12" spans="1:8" x14ac:dyDescent="0.25">
      <c r="G12" s="51">
        <f>SUM(G10:G11)</f>
        <v>2266200</v>
      </c>
    </row>
    <row r="14" spans="1:8" x14ac:dyDescent="0.25">
      <c r="G14" s="64">
        <f>G12+60000+20000</f>
        <v>2346200</v>
      </c>
    </row>
    <row r="17" spans="1:8" x14ac:dyDescent="0.25">
      <c r="B17" s="3" t="s">
        <v>1755</v>
      </c>
    </row>
    <row r="18" spans="1:8" x14ac:dyDescent="0.25">
      <c r="B18" s="26" t="s">
        <v>187</v>
      </c>
      <c r="C18" s="26" t="s">
        <v>179</v>
      </c>
      <c r="D18" s="26" t="s">
        <v>15</v>
      </c>
      <c r="E18" s="26" t="s">
        <v>182</v>
      </c>
      <c r="F18" s="26" t="s">
        <v>184</v>
      </c>
      <c r="G18" s="65" t="s">
        <v>192</v>
      </c>
    </row>
    <row r="19" spans="1:8" x14ac:dyDescent="0.25">
      <c r="A19">
        <v>1</v>
      </c>
      <c r="B19" s="27" t="s">
        <v>10</v>
      </c>
      <c r="C19" s="48">
        <v>13029957</v>
      </c>
      <c r="D19" s="26" t="s">
        <v>12</v>
      </c>
      <c r="E19" s="28">
        <v>546000</v>
      </c>
      <c r="F19" s="28">
        <v>70000</v>
      </c>
      <c r="G19" s="49">
        <f t="shared" ref="G19:G23" si="2">E19-F19</f>
        <v>476000</v>
      </c>
    </row>
    <row r="20" spans="1:8" x14ac:dyDescent="0.25">
      <c r="A20">
        <f t="shared" ref="A20:A27" si="3">A19+1</f>
        <v>2</v>
      </c>
      <c r="B20" s="27" t="s">
        <v>19</v>
      </c>
      <c r="C20" s="48">
        <v>26823112</v>
      </c>
      <c r="D20" s="26" t="s">
        <v>188</v>
      </c>
      <c r="E20" s="28"/>
      <c r="F20" s="28"/>
      <c r="G20" s="49">
        <f t="shared" si="2"/>
        <v>0</v>
      </c>
    </row>
    <row r="21" spans="1:8" x14ac:dyDescent="0.25">
      <c r="A21">
        <f t="shared" si="3"/>
        <v>3</v>
      </c>
      <c r="B21" s="27" t="s">
        <v>784</v>
      </c>
      <c r="C21" s="48">
        <v>32132485</v>
      </c>
      <c r="D21" s="26" t="s">
        <v>31</v>
      </c>
      <c r="E21" s="28">
        <v>150000</v>
      </c>
      <c r="F21" s="28"/>
      <c r="G21" s="49">
        <f t="shared" si="2"/>
        <v>150000</v>
      </c>
      <c r="H21">
        <v>80000</v>
      </c>
    </row>
    <row r="22" spans="1:8" x14ac:dyDescent="0.25">
      <c r="A22">
        <f t="shared" si="3"/>
        <v>4</v>
      </c>
      <c r="B22" s="27" t="s">
        <v>30</v>
      </c>
      <c r="C22" s="48">
        <v>1077085321</v>
      </c>
      <c r="D22" s="26" t="s">
        <v>12</v>
      </c>
      <c r="E22" s="28">
        <v>150000</v>
      </c>
      <c r="F22" s="28">
        <v>150000</v>
      </c>
      <c r="G22" s="49">
        <f t="shared" si="2"/>
        <v>0</v>
      </c>
    </row>
    <row r="23" spans="1:8" x14ac:dyDescent="0.25">
      <c r="A23">
        <f t="shared" si="3"/>
        <v>5</v>
      </c>
      <c r="B23" s="27" t="s">
        <v>33</v>
      </c>
      <c r="C23" s="48">
        <v>18929731</v>
      </c>
      <c r="D23" s="26" t="s">
        <v>18</v>
      </c>
      <c r="E23" s="28">
        <v>1000000</v>
      </c>
      <c r="F23" s="28"/>
      <c r="G23" s="49">
        <f t="shared" si="2"/>
        <v>1000000</v>
      </c>
    </row>
    <row r="24" spans="1:8" x14ac:dyDescent="0.25">
      <c r="A24">
        <f t="shared" si="3"/>
        <v>6</v>
      </c>
      <c r="B24" s="27" t="s">
        <v>1715</v>
      </c>
      <c r="C24" s="48">
        <v>28099094</v>
      </c>
      <c r="D24" s="26" t="s">
        <v>31</v>
      </c>
      <c r="E24" s="28">
        <v>200000</v>
      </c>
      <c r="F24" s="28">
        <v>50000</v>
      </c>
      <c r="G24" s="49">
        <f>E24-F24</f>
        <v>150000</v>
      </c>
    </row>
    <row r="25" spans="1:8" x14ac:dyDescent="0.25">
      <c r="A25">
        <f t="shared" si="3"/>
        <v>7</v>
      </c>
      <c r="B25" s="27" t="s">
        <v>408</v>
      </c>
      <c r="C25" s="48">
        <v>29642952</v>
      </c>
      <c r="D25" s="26" t="s">
        <v>188</v>
      </c>
      <c r="E25" s="28">
        <v>505000</v>
      </c>
      <c r="F25" s="28"/>
      <c r="G25" s="49">
        <f t="shared" ref="G25:G27" si="4">E25-F25</f>
        <v>505000</v>
      </c>
    </row>
    <row r="26" spans="1:8" x14ac:dyDescent="0.25">
      <c r="A26">
        <f t="shared" si="3"/>
        <v>8</v>
      </c>
      <c r="B26" s="27" t="s">
        <v>280</v>
      </c>
      <c r="C26" s="48">
        <v>30816852</v>
      </c>
      <c r="D26" s="26" t="s">
        <v>1617</v>
      </c>
      <c r="E26" s="28">
        <v>250000</v>
      </c>
      <c r="F26" s="28">
        <v>61000</v>
      </c>
      <c r="G26" s="49">
        <f t="shared" si="4"/>
        <v>189000</v>
      </c>
    </row>
    <row r="27" spans="1:8" x14ac:dyDescent="0.25">
      <c r="A27">
        <f t="shared" si="3"/>
        <v>9</v>
      </c>
      <c r="B27" s="27" t="s">
        <v>282</v>
      </c>
      <c r="C27" s="48">
        <v>16293069</v>
      </c>
      <c r="D27" s="26" t="s">
        <v>1617</v>
      </c>
      <c r="E27" s="28">
        <v>500000</v>
      </c>
      <c r="F27" s="28">
        <v>60000</v>
      </c>
      <c r="G27" s="49">
        <f t="shared" si="4"/>
        <v>440000</v>
      </c>
    </row>
    <row r="28" spans="1:8" x14ac:dyDescent="0.25">
      <c r="E28" s="47">
        <f>SUM(E19:E27)</f>
        <v>3301000</v>
      </c>
      <c r="G28" s="47">
        <f>SUM(G19:G27)</f>
        <v>2910000</v>
      </c>
    </row>
    <row r="31" spans="1:8" x14ac:dyDescent="0.25">
      <c r="F31" t="s">
        <v>1759</v>
      </c>
      <c r="G31" s="47">
        <v>275000</v>
      </c>
    </row>
    <row r="33" spans="1:9" x14ac:dyDescent="0.25">
      <c r="G33" s="51">
        <f>SUM(G28:G31)</f>
        <v>3185000</v>
      </c>
      <c r="I33">
        <f>859000+25000+60000</f>
        <v>944000</v>
      </c>
    </row>
    <row r="34" spans="1:9" x14ac:dyDescent="0.25">
      <c r="I34" s="64">
        <f>G33-I33</f>
        <v>2241000</v>
      </c>
    </row>
    <row r="35" spans="1:9" x14ac:dyDescent="0.25">
      <c r="B35" s="3" t="s">
        <v>1843</v>
      </c>
    </row>
    <row r="36" spans="1:9" x14ac:dyDescent="0.25">
      <c r="B36" s="26" t="s">
        <v>187</v>
      </c>
      <c r="C36" s="26" t="s">
        <v>179</v>
      </c>
      <c r="D36" s="26" t="s">
        <v>15</v>
      </c>
      <c r="E36" s="26" t="s">
        <v>182</v>
      </c>
      <c r="F36" s="26" t="s">
        <v>184</v>
      </c>
      <c r="G36" s="65" t="s">
        <v>192</v>
      </c>
    </row>
    <row r="37" spans="1:9" x14ac:dyDescent="0.25">
      <c r="A37">
        <v>1</v>
      </c>
      <c r="B37" s="27" t="s">
        <v>10</v>
      </c>
      <c r="C37" s="48">
        <v>13029957</v>
      </c>
      <c r="D37" s="26" t="s">
        <v>12</v>
      </c>
      <c r="E37" s="28">
        <v>177000</v>
      </c>
      <c r="F37" s="28"/>
      <c r="G37" s="103">
        <f t="shared" ref="G37:G41" si="5">E37-F37</f>
        <v>177000</v>
      </c>
    </row>
    <row r="38" spans="1:9" x14ac:dyDescent="0.25">
      <c r="A38">
        <f t="shared" ref="A38:A45" si="6">A37+1</f>
        <v>2</v>
      </c>
      <c r="B38" s="27" t="s">
        <v>19</v>
      </c>
      <c r="C38" s="48">
        <v>26823112</v>
      </c>
      <c r="D38" s="26" t="s">
        <v>188</v>
      </c>
      <c r="E38" s="28">
        <v>606000</v>
      </c>
      <c r="F38" s="28">
        <f>120000+60000</f>
        <v>180000</v>
      </c>
      <c r="G38" s="103">
        <f t="shared" si="5"/>
        <v>426000</v>
      </c>
    </row>
    <row r="39" spans="1:9" x14ac:dyDescent="0.25">
      <c r="A39">
        <f t="shared" si="6"/>
        <v>3</v>
      </c>
      <c r="B39" s="27" t="s">
        <v>784</v>
      </c>
      <c r="C39" s="48">
        <v>32132485</v>
      </c>
      <c r="D39" s="26" t="s">
        <v>31</v>
      </c>
      <c r="E39" s="28">
        <v>274000</v>
      </c>
      <c r="F39" s="28"/>
      <c r="G39" s="103">
        <f t="shared" si="5"/>
        <v>274000</v>
      </c>
    </row>
    <row r="40" spans="1:9" x14ac:dyDescent="0.25">
      <c r="A40">
        <f t="shared" si="6"/>
        <v>4</v>
      </c>
      <c r="B40" s="27" t="s">
        <v>30</v>
      </c>
      <c r="C40" s="48">
        <v>1077085321</v>
      </c>
      <c r="D40" s="26" t="s">
        <v>12</v>
      </c>
      <c r="E40" s="28">
        <v>513000</v>
      </c>
      <c r="F40" s="28">
        <v>221000</v>
      </c>
      <c r="G40" s="103">
        <f t="shared" si="5"/>
        <v>292000</v>
      </c>
    </row>
    <row r="41" spans="1:9" x14ac:dyDescent="0.25">
      <c r="A41">
        <f t="shared" si="6"/>
        <v>5</v>
      </c>
      <c r="B41" s="27" t="s">
        <v>33</v>
      </c>
      <c r="C41" s="48">
        <v>18929731</v>
      </c>
      <c r="D41" s="26" t="s">
        <v>18</v>
      </c>
      <c r="E41" s="28">
        <v>1111000</v>
      </c>
      <c r="F41" s="28"/>
      <c r="G41" s="103">
        <f t="shared" si="5"/>
        <v>1111000</v>
      </c>
      <c r="I41" s="64"/>
    </row>
    <row r="42" spans="1:9" x14ac:dyDescent="0.25">
      <c r="A42">
        <f t="shared" si="6"/>
        <v>6</v>
      </c>
      <c r="B42" s="27" t="s">
        <v>1715</v>
      </c>
      <c r="C42" s="48">
        <v>28099094</v>
      </c>
      <c r="D42" s="26" t="s">
        <v>31</v>
      </c>
      <c r="E42" s="28">
        <v>150000</v>
      </c>
      <c r="F42" s="28"/>
      <c r="G42" s="103">
        <f>E42-F42</f>
        <v>150000</v>
      </c>
    </row>
    <row r="43" spans="1:9" x14ac:dyDescent="0.25">
      <c r="A43">
        <f t="shared" si="6"/>
        <v>7</v>
      </c>
      <c r="B43" s="27" t="s">
        <v>408</v>
      </c>
      <c r="C43" s="48">
        <v>29642952</v>
      </c>
      <c r="D43" s="26" t="s">
        <v>188</v>
      </c>
      <c r="E43" s="28"/>
      <c r="F43" s="28"/>
      <c r="G43" s="103">
        <f t="shared" ref="G43:G45" si="7">E43-F43</f>
        <v>0</v>
      </c>
    </row>
    <row r="44" spans="1:9" x14ac:dyDescent="0.25">
      <c r="A44">
        <f t="shared" si="6"/>
        <v>8</v>
      </c>
      <c r="B44" s="27" t="s">
        <v>280</v>
      </c>
      <c r="C44" s="48">
        <v>30816852</v>
      </c>
      <c r="D44" s="26" t="s">
        <v>1617</v>
      </c>
      <c r="E44" s="28"/>
      <c r="F44" s="28"/>
      <c r="G44" s="103">
        <f t="shared" si="7"/>
        <v>0</v>
      </c>
    </row>
    <row r="45" spans="1:9" x14ac:dyDescent="0.25">
      <c r="A45">
        <f t="shared" si="6"/>
        <v>9</v>
      </c>
      <c r="B45" s="27" t="s">
        <v>282</v>
      </c>
      <c r="C45" s="48">
        <v>16293069</v>
      </c>
      <c r="D45" s="26" t="s">
        <v>1617</v>
      </c>
      <c r="E45" s="28"/>
      <c r="F45" s="28"/>
      <c r="G45" s="103">
        <f t="shared" si="7"/>
        <v>0</v>
      </c>
    </row>
    <row r="46" spans="1:9" x14ac:dyDescent="0.25">
      <c r="E46" s="51">
        <f>SUM(E37:E45)</f>
        <v>2831000</v>
      </c>
      <c r="F46" s="3"/>
      <c r="G46" s="51">
        <f>SUM(G37:G45)</f>
        <v>2430000</v>
      </c>
    </row>
    <row r="49" spans="1:9" x14ac:dyDescent="0.25">
      <c r="F49" t="s">
        <v>1844</v>
      </c>
      <c r="G49" s="51">
        <v>230000</v>
      </c>
    </row>
    <row r="51" spans="1:9" x14ac:dyDescent="0.25">
      <c r="G51" s="51">
        <f>SUM(G46:G49)</f>
        <v>2660000</v>
      </c>
    </row>
    <row r="54" spans="1:9" x14ac:dyDescent="0.25">
      <c r="B54" s="3" t="s">
        <v>1906</v>
      </c>
    </row>
    <row r="55" spans="1:9" x14ac:dyDescent="0.25">
      <c r="B55" s="26" t="s">
        <v>187</v>
      </c>
      <c r="C55" s="26" t="s">
        <v>179</v>
      </c>
      <c r="D55" s="26" t="s">
        <v>15</v>
      </c>
      <c r="E55" s="26" t="s">
        <v>182</v>
      </c>
      <c r="F55" s="26" t="s">
        <v>184</v>
      </c>
      <c r="G55" s="65" t="s">
        <v>192</v>
      </c>
    </row>
    <row r="56" spans="1:9" x14ac:dyDescent="0.25">
      <c r="A56">
        <v>1</v>
      </c>
      <c r="B56" s="27" t="s">
        <v>10</v>
      </c>
      <c r="C56" s="48">
        <v>13029957</v>
      </c>
      <c r="D56" s="26" t="s">
        <v>12</v>
      </c>
      <c r="E56" s="28">
        <v>606000</v>
      </c>
      <c r="F56" s="28"/>
      <c r="G56" s="103">
        <f t="shared" ref="G56:G60" si="8">E56-F56</f>
        <v>606000</v>
      </c>
    </row>
    <row r="57" spans="1:9" x14ac:dyDescent="0.25">
      <c r="A57">
        <f t="shared" ref="A57:A64" si="9">A56+1</f>
        <v>2</v>
      </c>
      <c r="B57" s="27" t="s">
        <v>19</v>
      </c>
      <c r="C57" s="48">
        <v>26823112</v>
      </c>
      <c r="D57" s="26" t="s">
        <v>188</v>
      </c>
      <c r="E57" s="28">
        <v>1347000</v>
      </c>
      <c r="F57" s="28">
        <f>50000+65000+11000</f>
        <v>126000</v>
      </c>
      <c r="G57" s="103">
        <f t="shared" si="8"/>
        <v>1221000</v>
      </c>
    </row>
    <row r="58" spans="1:9" x14ac:dyDescent="0.25">
      <c r="A58">
        <f t="shared" si="9"/>
        <v>3</v>
      </c>
      <c r="B58" s="27" t="s">
        <v>784</v>
      </c>
      <c r="C58" s="48">
        <v>32132485</v>
      </c>
      <c r="D58" s="26" t="s">
        <v>31</v>
      </c>
      <c r="E58" s="28">
        <v>225000</v>
      </c>
      <c r="F58" s="28">
        <v>20000</v>
      </c>
      <c r="G58" s="103">
        <f t="shared" si="8"/>
        <v>205000</v>
      </c>
    </row>
    <row r="59" spans="1:9" x14ac:dyDescent="0.25">
      <c r="A59">
        <f t="shared" si="9"/>
        <v>4</v>
      </c>
      <c r="B59" s="27" t="s">
        <v>30</v>
      </c>
      <c r="C59" s="48">
        <v>1077085321</v>
      </c>
      <c r="D59" s="26" t="s">
        <v>12</v>
      </c>
      <c r="E59" s="28">
        <v>48000</v>
      </c>
      <c r="F59" s="28"/>
      <c r="G59" s="103">
        <f t="shared" si="8"/>
        <v>48000</v>
      </c>
    </row>
    <row r="60" spans="1:9" x14ac:dyDescent="0.25">
      <c r="A60">
        <f t="shared" si="9"/>
        <v>5</v>
      </c>
      <c r="B60" s="27" t="s">
        <v>33</v>
      </c>
      <c r="C60" s="48">
        <v>18929731</v>
      </c>
      <c r="D60" s="26" t="s">
        <v>18</v>
      </c>
      <c r="E60" s="28">
        <v>800000</v>
      </c>
      <c r="F60" s="28">
        <v>50000</v>
      </c>
      <c r="G60" s="103">
        <f t="shared" si="8"/>
        <v>750000</v>
      </c>
      <c r="H60" s="28">
        <v>218000</v>
      </c>
      <c r="I60" s="64">
        <f>E60-H60</f>
        <v>582000</v>
      </c>
    </row>
    <row r="61" spans="1:9" x14ac:dyDescent="0.25">
      <c r="A61">
        <f t="shared" si="9"/>
        <v>6</v>
      </c>
      <c r="B61" s="27" t="s">
        <v>1715</v>
      </c>
      <c r="C61" s="48">
        <v>28099094</v>
      </c>
      <c r="D61" s="26" t="s">
        <v>31</v>
      </c>
      <c r="E61" s="28">
        <v>200000</v>
      </c>
      <c r="F61" s="28">
        <v>20000</v>
      </c>
      <c r="G61" s="103">
        <f>E61-F61</f>
        <v>180000</v>
      </c>
    </row>
    <row r="62" spans="1:9" x14ac:dyDescent="0.25">
      <c r="A62">
        <f t="shared" si="9"/>
        <v>7</v>
      </c>
      <c r="B62" s="27" t="s">
        <v>408</v>
      </c>
      <c r="C62" s="48">
        <v>29642952</v>
      </c>
      <c r="D62" s="26" t="s">
        <v>188</v>
      </c>
      <c r="E62" s="28"/>
      <c r="F62" s="28"/>
      <c r="G62" s="103">
        <f t="shared" ref="G62:G64" si="10">E62-F62</f>
        <v>0</v>
      </c>
    </row>
    <row r="63" spans="1:9" x14ac:dyDescent="0.25">
      <c r="A63">
        <f t="shared" si="9"/>
        <v>8</v>
      </c>
      <c r="B63" s="27" t="s">
        <v>280</v>
      </c>
      <c r="C63" s="48">
        <v>30816852</v>
      </c>
      <c r="D63" s="26" t="s">
        <v>1617</v>
      </c>
      <c r="E63" s="28">
        <v>250000</v>
      </c>
      <c r="F63" s="28">
        <v>100000</v>
      </c>
      <c r="G63" s="103">
        <f t="shared" si="10"/>
        <v>150000</v>
      </c>
    </row>
    <row r="64" spans="1:9" x14ac:dyDescent="0.25">
      <c r="A64">
        <f t="shared" si="9"/>
        <v>9</v>
      </c>
      <c r="B64" s="27" t="s">
        <v>282</v>
      </c>
      <c r="C64" s="48">
        <v>16293069</v>
      </c>
      <c r="D64" s="26" t="s">
        <v>1617</v>
      </c>
      <c r="E64" s="28">
        <v>500000</v>
      </c>
      <c r="F64" s="28">
        <v>100000</v>
      </c>
      <c r="G64" s="103">
        <f t="shared" si="10"/>
        <v>400000</v>
      </c>
    </row>
    <row r="65" spans="1:9" x14ac:dyDescent="0.25">
      <c r="E65" s="106">
        <f>SUM(E56:E64)</f>
        <v>3976000</v>
      </c>
      <c r="F65" s="1"/>
      <c r="G65" s="106">
        <f>SUM(G56:G64)</f>
        <v>3560000</v>
      </c>
      <c r="I65" s="109">
        <v>1650000</v>
      </c>
    </row>
    <row r="66" spans="1:9" x14ac:dyDescent="0.25">
      <c r="I66" s="64">
        <f>G65-I65</f>
        <v>1910000</v>
      </c>
    </row>
    <row r="68" spans="1:9" ht="18.75" x14ac:dyDescent="0.3">
      <c r="G68" s="108"/>
    </row>
    <row r="69" spans="1:9" x14ac:dyDescent="0.25">
      <c r="F69" t="s">
        <v>1910</v>
      </c>
      <c r="G69" s="107">
        <v>250000</v>
      </c>
    </row>
    <row r="70" spans="1:9" x14ac:dyDescent="0.25">
      <c r="G70" s="64"/>
    </row>
    <row r="72" spans="1:9" x14ac:dyDescent="0.25">
      <c r="B72" s="3" t="s">
        <v>1957</v>
      </c>
    </row>
    <row r="73" spans="1:9" x14ac:dyDescent="0.25">
      <c r="B73" s="26" t="s">
        <v>187</v>
      </c>
      <c r="C73" s="26" t="s">
        <v>179</v>
      </c>
      <c r="D73" s="26" t="s">
        <v>15</v>
      </c>
      <c r="E73" s="26" t="s">
        <v>182</v>
      </c>
      <c r="F73" s="26" t="s">
        <v>184</v>
      </c>
      <c r="G73" s="65" t="s">
        <v>192</v>
      </c>
    </row>
    <row r="74" spans="1:9" x14ac:dyDescent="0.25">
      <c r="A74">
        <v>1</v>
      </c>
      <c r="B74" s="27" t="s">
        <v>10</v>
      </c>
      <c r="C74" s="48">
        <v>13029957</v>
      </c>
      <c r="D74" s="26" t="s">
        <v>12</v>
      </c>
      <c r="E74" s="28">
        <f>400000+100000+200000+105000</f>
        <v>805000</v>
      </c>
      <c r="F74" s="28"/>
      <c r="G74" s="103">
        <f t="shared" ref="G74:G78" si="11">E74-F74</f>
        <v>805000</v>
      </c>
    </row>
    <row r="75" spans="1:9" x14ac:dyDescent="0.25">
      <c r="A75">
        <f t="shared" ref="A75:A82" si="12">A74+1</f>
        <v>2</v>
      </c>
      <c r="B75" s="27" t="s">
        <v>19</v>
      </c>
      <c r="C75" s="48">
        <v>26823112</v>
      </c>
      <c r="D75" s="26" t="s">
        <v>188</v>
      </c>
      <c r="E75" s="28">
        <v>444500</v>
      </c>
      <c r="F75" s="28"/>
      <c r="G75" s="103">
        <f t="shared" si="11"/>
        <v>444500</v>
      </c>
    </row>
    <row r="76" spans="1:9" x14ac:dyDescent="0.25">
      <c r="A76">
        <f t="shared" si="12"/>
        <v>3</v>
      </c>
      <c r="B76" s="27" t="s">
        <v>784</v>
      </c>
      <c r="C76" s="48">
        <v>32132485</v>
      </c>
      <c r="D76" s="26" t="s">
        <v>31</v>
      </c>
      <c r="E76" s="28">
        <v>220000</v>
      </c>
      <c r="F76" s="28"/>
      <c r="G76" s="103">
        <f t="shared" si="11"/>
        <v>220000</v>
      </c>
    </row>
    <row r="77" spans="1:9" x14ac:dyDescent="0.25">
      <c r="A77">
        <f t="shared" si="12"/>
        <v>4</v>
      </c>
      <c r="B77" s="27" t="s">
        <v>30</v>
      </c>
      <c r="C77" s="48">
        <v>1077085321</v>
      </c>
      <c r="D77" s="26" t="s">
        <v>12</v>
      </c>
      <c r="E77" s="28">
        <v>60000</v>
      </c>
      <c r="F77" s="28"/>
      <c r="G77" s="103">
        <f t="shared" si="11"/>
        <v>60000</v>
      </c>
    </row>
    <row r="78" spans="1:9" x14ac:dyDescent="0.25">
      <c r="A78">
        <f t="shared" si="12"/>
        <v>5</v>
      </c>
      <c r="B78" s="27" t="s">
        <v>33</v>
      </c>
      <c r="C78" s="48">
        <v>18929731</v>
      </c>
      <c r="D78" s="26" t="s">
        <v>18</v>
      </c>
      <c r="E78" s="28">
        <v>1000000</v>
      </c>
      <c r="F78" s="28"/>
      <c r="G78" s="103">
        <f t="shared" si="11"/>
        <v>1000000</v>
      </c>
      <c r="H78" s="103">
        <v>372600</v>
      </c>
      <c r="I78" s="64">
        <f>H78-1000000</f>
        <v>-627400</v>
      </c>
    </row>
    <row r="79" spans="1:9" x14ac:dyDescent="0.25">
      <c r="A79">
        <f t="shared" si="12"/>
        <v>6</v>
      </c>
      <c r="B79" s="27" t="s">
        <v>1715</v>
      </c>
      <c r="C79" s="48">
        <v>28099094</v>
      </c>
      <c r="D79" s="26" t="s">
        <v>31</v>
      </c>
      <c r="E79" s="28">
        <v>200000</v>
      </c>
      <c r="F79" s="28">
        <v>50000</v>
      </c>
      <c r="G79" s="103">
        <f>E79-F79</f>
        <v>150000</v>
      </c>
    </row>
    <row r="80" spans="1:9" x14ac:dyDescent="0.25">
      <c r="A80">
        <f t="shared" si="12"/>
        <v>7</v>
      </c>
      <c r="B80" s="27" t="s">
        <v>408</v>
      </c>
      <c r="C80" s="48">
        <v>29642952</v>
      </c>
      <c r="D80" s="26" t="s">
        <v>188</v>
      </c>
      <c r="E80" s="28"/>
      <c r="F80" s="28"/>
      <c r="G80" s="103">
        <f t="shared" ref="G80" si="13">E80-F80</f>
        <v>0</v>
      </c>
    </row>
    <row r="81" spans="1:9" x14ac:dyDescent="0.25">
      <c r="A81">
        <f t="shared" si="12"/>
        <v>8</v>
      </c>
      <c r="B81" s="27"/>
      <c r="C81" s="48"/>
      <c r="D81" s="26"/>
      <c r="E81" s="28"/>
      <c r="F81" s="28"/>
      <c r="G81" s="103"/>
    </row>
    <row r="82" spans="1:9" x14ac:dyDescent="0.25">
      <c r="A82">
        <f t="shared" si="12"/>
        <v>9</v>
      </c>
      <c r="B82" s="27"/>
      <c r="C82" s="48"/>
      <c r="D82" s="26"/>
      <c r="E82" s="28"/>
      <c r="F82" s="28"/>
      <c r="G82" s="103"/>
    </row>
    <row r="83" spans="1:9" x14ac:dyDescent="0.25">
      <c r="G83" s="47">
        <f>SUM(G74:G82)</f>
        <v>2679500</v>
      </c>
    </row>
    <row r="86" spans="1:9" x14ac:dyDescent="0.25">
      <c r="B86" s="3" t="s">
        <v>2053</v>
      </c>
    </row>
    <row r="87" spans="1:9" x14ac:dyDescent="0.25">
      <c r="B87" s="26" t="s">
        <v>187</v>
      </c>
      <c r="C87" s="26" t="s">
        <v>179</v>
      </c>
      <c r="D87" s="26" t="s">
        <v>15</v>
      </c>
      <c r="E87" s="26" t="s">
        <v>182</v>
      </c>
      <c r="F87" s="26" t="s">
        <v>184</v>
      </c>
      <c r="G87" s="65" t="s">
        <v>192</v>
      </c>
    </row>
    <row r="88" spans="1:9" x14ac:dyDescent="0.25">
      <c r="A88">
        <v>1</v>
      </c>
      <c r="B88" s="27" t="s">
        <v>10</v>
      </c>
      <c r="C88" s="48">
        <v>13029957</v>
      </c>
      <c r="D88" s="26" t="s">
        <v>12</v>
      </c>
      <c r="E88" s="28">
        <v>532000</v>
      </c>
      <c r="F88" s="28">
        <v>10000</v>
      </c>
      <c r="G88" s="103">
        <f t="shared" ref="G88:G91" si="14">E88-F88</f>
        <v>522000</v>
      </c>
    </row>
    <row r="89" spans="1:9" x14ac:dyDescent="0.25">
      <c r="A89">
        <f>A88+1</f>
        <v>2</v>
      </c>
      <c r="B89" s="27" t="s">
        <v>784</v>
      </c>
      <c r="C89" s="48">
        <v>32132485</v>
      </c>
      <c r="D89" s="26" t="s">
        <v>31</v>
      </c>
      <c r="E89" s="28">
        <v>230000</v>
      </c>
      <c r="F89" s="28"/>
      <c r="G89" s="103">
        <f t="shared" si="14"/>
        <v>230000</v>
      </c>
    </row>
    <row r="90" spans="1:9" x14ac:dyDescent="0.25">
      <c r="A90">
        <f t="shared" ref="A90:A95" si="15">A89+1</f>
        <v>3</v>
      </c>
      <c r="B90" s="27" t="s">
        <v>30</v>
      </c>
      <c r="C90" s="48">
        <v>1077085321</v>
      </c>
      <c r="D90" s="26" t="s">
        <v>12</v>
      </c>
      <c r="E90" s="28">
        <v>222000</v>
      </c>
      <c r="F90" s="28">
        <v>120000</v>
      </c>
      <c r="G90" s="103">
        <f t="shared" si="14"/>
        <v>102000</v>
      </c>
    </row>
    <row r="91" spans="1:9" x14ac:dyDescent="0.25">
      <c r="A91">
        <f t="shared" si="15"/>
        <v>4</v>
      </c>
      <c r="B91" s="27" t="s">
        <v>33</v>
      </c>
      <c r="C91" s="48">
        <v>18929731</v>
      </c>
      <c r="D91" s="26" t="s">
        <v>18</v>
      </c>
      <c r="E91" s="28">
        <v>1000000</v>
      </c>
      <c r="F91" s="28"/>
      <c r="G91" s="103">
        <f t="shared" si="14"/>
        <v>1000000</v>
      </c>
      <c r="H91">
        <f>156000+150000</f>
        <v>306000</v>
      </c>
      <c r="I91">
        <f>H91-1000000</f>
        <v>-694000</v>
      </c>
    </row>
    <row r="92" spans="1:9" x14ac:dyDescent="0.25">
      <c r="A92">
        <f t="shared" si="15"/>
        <v>5</v>
      </c>
      <c r="B92" s="27" t="s">
        <v>1715</v>
      </c>
      <c r="C92" s="48">
        <v>28099094</v>
      </c>
      <c r="D92" s="26" t="s">
        <v>31</v>
      </c>
      <c r="E92" s="28">
        <v>200000</v>
      </c>
      <c r="F92" s="28">
        <v>40000</v>
      </c>
      <c r="G92" s="103">
        <f>E92-F92</f>
        <v>160000</v>
      </c>
    </row>
    <row r="93" spans="1:9" x14ac:dyDescent="0.25">
      <c r="A93">
        <f t="shared" si="15"/>
        <v>6</v>
      </c>
      <c r="B93" s="27" t="s">
        <v>408</v>
      </c>
      <c r="C93" s="48">
        <v>29642952</v>
      </c>
      <c r="D93" s="26" t="s">
        <v>188</v>
      </c>
      <c r="E93" s="200">
        <v>1407000</v>
      </c>
      <c r="F93" s="28">
        <f>60000+100000</f>
        <v>160000</v>
      </c>
      <c r="G93" s="103">
        <f t="shared" ref="G93" si="16">E93-F93</f>
        <v>1247000</v>
      </c>
    </row>
    <row r="94" spans="1:9" x14ac:dyDescent="0.25">
      <c r="A94">
        <f t="shared" si="15"/>
        <v>7</v>
      </c>
      <c r="B94" s="27" t="s">
        <v>19</v>
      </c>
      <c r="C94" s="48">
        <v>26823112</v>
      </c>
      <c r="D94" s="26" t="s">
        <v>188</v>
      </c>
      <c r="E94" s="201"/>
      <c r="F94" s="28"/>
      <c r="G94" s="103"/>
    </row>
    <row r="95" spans="1:9" x14ac:dyDescent="0.25">
      <c r="A95">
        <f t="shared" si="15"/>
        <v>8</v>
      </c>
      <c r="B95" s="27" t="s">
        <v>2057</v>
      </c>
      <c r="C95" s="48">
        <v>1000471513</v>
      </c>
      <c r="D95" s="26" t="s">
        <v>16</v>
      </c>
      <c r="E95" s="28">
        <v>165000</v>
      </c>
      <c r="F95" s="28"/>
      <c r="G95" s="103">
        <v>165000</v>
      </c>
    </row>
    <row r="96" spans="1:9" x14ac:dyDescent="0.25">
      <c r="G96" s="47">
        <f>SUM(G88:G95)</f>
        <v>3426000</v>
      </c>
    </row>
    <row r="98" spans="1:9" x14ac:dyDescent="0.25">
      <c r="E98" t="s">
        <v>2058</v>
      </c>
      <c r="G98" s="28">
        <v>100000</v>
      </c>
    </row>
    <row r="100" spans="1:9" x14ac:dyDescent="0.25">
      <c r="G100" s="47">
        <f>SUM(G96:G98)</f>
        <v>3526000</v>
      </c>
      <c r="I100" s="47">
        <v>2525000</v>
      </c>
    </row>
    <row r="103" spans="1:9" x14ac:dyDescent="0.25">
      <c r="G103" s="64">
        <f>G100-I100</f>
        <v>1001000</v>
      </c>
    </row>
    <row r="107" spans="1:9" x14ac:dyDescent="0.25">
      <c r="B107" s="3" t="s">
        <v>2053</v>
      </c>
    </row>
    <row r="108" spans="1:9" x14ac:dyDescent="0.25">
      <c r="B108" s="26" t="s">
        <v>187</v>
      </c>
      <c r="C108" s="26" t="s">
        <v>179</v>
      </c>
      <c r="D108" s="26" t="s">
        <v>15</v>
      </c>
      <c r="E108" s="26" t="s">
        <v>182</v>
      </c>
      <c r="F108" s="26" t="s">
        <v>184</v>
      </c>
      <c r="G108" s="103" t="s">
        <v>192</v>
      </c>
    </row>
    <row r="109" spans="1:9" x14ac:dyDescent="0.25">
      <c r="A109">
        <v>1</v>
      </c>
      <c r="B109" s="27" t="s">
        <v>10</v>
      </c>
      <c r="C109" s="48">
        <v>13029957</v>
      </c>
      <c r="D109" s="26" t="s">
        <v>12</v>
      </c>
      <c r="E109" s="28">
        <v>1018500</v>
      </c>
      <c r="F109" s="28">
        <v>200000</v>
      </c>
      <c r="G109" s="103">
        <f t="shared" ref="G109:G116" si="17">E109-F109</f>
        <v>818500</v>
      </c>
    </row>
    <row r="110" spans="1:9" x14ac:dyDescent="0.25">
      <c r="A110">
        <f>A109+1</f>
        <v>2</v>
      </c>
      <c r="B110" s="27" t="s">
        <v>784</v>
      </c>
      <c r="C110" s="48">
        <v>32132485</v>
      </c>
      <c r="D110" s="26" t="s">
        <v>31</v>
      </c>
      <c r="E110" s="28">
        <v>150000</v>
      </c>
      <c r="F110" s="28"/>
      <c r="G110" s="103">
        <f t="shared" si="17"/>
        <v>150000</v>
      </c>
    </row>
    <row r="111" spans="1:9" x14ac:dyDescent="0.25">
      <c r="A111">
        <f t="shared" ref="A111:A116" si="18">A110+1</f>
        <v>3</v>
      </c>
      <c r="B111" s="27" t="s">
        <v>30</v>
      </c>
      <c r="C111" s="48">
        <v>1077085321</v>
      </c>
      <c r="D111" s="26" t="s">
        <v>12</v>
      </c>
      <c r="E111" s="28">
        <v>480000</v>
      </c>
      <c r="F111" s="28">
        <v>50000</v>
      </c>
      <c r="G111" s="103"/>
    </row>
    <row r="112" spans="1:9" x14ac:dyDescent="0.25">
      <c r="A112">
        <f t="shared" si="18"/>
        <v>4</v>
      </c>
      <c r="B112" s="27" t="s">
        <v>33</v>
      </c>
      <c r="C112" s="48">
        <v>18929731</v>
      </c>
      <c r="D112" s="26" t="s">
        <v>18</v>
      </c>
      <c r="E112" s="28">
        <v>1000000</v>
      </c>
      <c r="F112" s="28">
        <v>50000</v>
      </c>
      <c r="G112" s="103">
        <f t="shared" si="17"/>
        <v>950000</v>
      </c>
    </row>
    <row r="113" spans="1:9" x14ac:dyDescent="0.25">
      <c r="A113">
        <f t="shared" si="18"/>
        <v>5</v>
      </c>
      <c r="B113" s="27" t="s">
        <v>1715</v>
      </c>
      <c r="C113" s="48">
        <v>28099094</v>
      </c>
      <c r="D113" s="26" t="s">
        <v>31</v>
      </c>
      <c r="E113" s="28">
        <v>200000</v>
      </c>
      <c r="F113" s="28"/>
      <c r="G113" s="103">
        <f t="shared" si="17"/>
        <v>200000</v>
      </c>
    </row>
    <row r="114" spans="1:9" x14ac:dyDescent="0.25">
      <c r="A114">
        <f t="shared" si="18"/>
        <v>6</v>
      </c>
      <c r="B114" s="27" t="s">
        <v>408</v>
      </c>
      <c r="C114" s="48">
        <v>29642952</v>
      </c>
      <c r="D114" s="26" t="s">
        <v>188</v>
      </c>
      <c r="E114" s="200">
        <v>1088500</v>
      </c>
      <c r="F114" s="28"/>
      <c r="G114" s="103">
        <f>E114-F115</f>
        <v>988500</v>
      </c>
    </row>
    <row r="115" spans="1:9" x14ac:dyDescent="0.25">
      <c r="A115">
        <f t="shared" si="18"/>
        <v>7</v>
      </c>
      <c r="B115" s="27" t="s">
        <v>19</v>
      </c>
      <c r="C115" s="48">
        <v>26823112</v>
      </c>
      <c r="D115" s="26" t="s">
        <v>188</v>
      </c>
      <c r="E115" s="201"/>
      <c r="F115" s="28">
        <v>100000</v>
      </c>
      <c r="G115" s="103"/>
    </row>
    <row r="116" spans="1:9" x14ac:dyDescent="0.25">
      <c r="A116">
        <f t="shared" si="18"/>
        <v>8</v>
      </c>
      <c r="B116" s="27" t="s">
        <v>2057</v>
      </c>
      <c r="C116" s="48">
        <v>1000471513</v>
      </c>
      <c r="D116" s="26" t="s">
        <v>16</v>
      </c>
      <c r="E116" s="28">
        <v>18000</v>
      </c>
      <c r="F116" s="28"/>
      <c r="G116" s="103">
        <f t="shared" si="17"/>
        <v>18000</v>
      </c>
    </row>
    <row r="117" spans="1:9" x14ac:dyDescent="0.25">
      <c r="E117" s="47">
        <f>SUM(E109:E116)</f>
        <v>3955000</v>
      </c>
      <c r="G117" s="51">
        <f>SUM(G109:G116)</f>
        <v>3125000</v>
      </c>
    </row>
    <row r="118" spans="1:9" x14ac:dyDescent="0.25">
      <c r="G118" s="3"/>
    </row>
    <row r="119" spans="1:9" x14ac:dyDescent="0.25">
      <c r="G119" s="3"/>
    </row>
    <row r="120" spans="1:9" x14ac:dyDescent="0.25">
      <c r="E120" t="s">
        <v>2107</v>
      </c>
      <c r="G120" s="51">
        <v>60000</v>
      </c>
    </row>
    <row r="121" spans="1:9" x14ac:dyDescent="0.25">
      <c r="G121" s="3"/>
    </row>
    <row r="122" spans="1:9" x14ac:dyDescent="0.25">
      <c r="E122" t="s">
        <v>192</v>
      </c>
      <c r="G122" s="51">
        <f>SUM(G117:G121)</f>
        <v>3185000</v>
      </c>
      <c r="I122" s="64"/>
    </row>
    <row r="125" spans="1:9" x14ac:dyDescent="0.25">
      <c r="B125" s="3" t="s">
        <v>2200</v>
      </c>
    </row>
    <row r="126" spans="1:9" x14ac:dyDescent="0.25">
      <c r="B126" s="26" t="s">
        <v>187</v>
      </c>
      <c r="C126" s="26" t="s">
        <v>179</v>
      </c>
      <c r="D126" s="26" t="s">
        <v>15</v>
      </c>
      <c r="E126" s="26" t="s">
        <v>182</v>
      </c>
      <c r="F126" s="26" t="s">
        <v>184</v>
      </c>
      <c r="G126" s="103" t="s">
        <v>192</v>
      </c>
    </row>
    <row r="127" spans="1:9" x14ac:dyDescent="0.25">
      <c r="A127">
        <v>1</v>
      </c>
      <c r="B127" s="27" t="s">
        <v>10</v>
      </c>
      <c r="C127" s="48">
        <v>13029957</v>
      </c>
      <c r="D127" s="26" t="s">
        <v>12</v>
      </c>
      <c r="E127" s="28">
        <v>784000</v>
      </c>
      <c r="F127" s="28"/>
      <c r="G127" s="103">
        <f t="shared" ref="G127:G129" si="19">E127-F127</f>
        <v>784000</v>
      </c>
    </row>
    <row r="128" spans="1:9" x14ac:dyDescent="0.25">
      <c r="A128">
        <f>A127+1</f>
        <v>2</v>
      </c>
      <c r="B128" s="27" t="s">
        <v>784</v>
      </c>
      <c r="C128" s="48">
        <v>32132485</v>
      </c>
      <c r="D128" s="26" t="s">
        <v>31</v>
      </c>
      <c r="E128" s="28">
        <v>321000</v>
      </c>
      <c r="F128" s="28"/>
      <c r="G128" s="103">
        <f t="shared" si="19"/>
        <v>321000</v>
      </c>
    </row>
    <row r="129" spans="1:9" x14ac:dyDescent="0.25">
      <c r="A129">
        <f t="shared" ref="A129:A133" si="20">A128+1</f>
        <v>3</v>
      </c>
      <c r="B129" s="27" t="s">
        <v>30</v>
      </c>
      <c r="C129" s="48">
        <v>1077085321</v>
      </c>
      <c r="D129" s="26" t="s">
        <v>12</v>
      </c>
      <c r="E129" s="28">
        <v>114000</v>
      </c>
      <c r="F129" s="28"/>
      <c r="G129" s="103">
        <f t="shared" si="19"/>
        <v>114000</v>
      </c>
    </row>
    <row r="130" spans="1:9" x14ac:dyDescent="0.25">
      <c r="A130">
        <f t="shared" si="20"/>
        <v>4</v>
      </c>
      <c r="B130" s="27" t="s">
        <v>33</v>
      </c>
      <c r="C130" s="48">
        <v>18929731</v>
      </c>
      <c r="D130" s="26" t="s">
        <v>18</v>
      </c>
      <c r="E130" s="28">
        <v>1200000</v>
      </c>
      <c r="F130" s="28"/>
      <c r="G130" s="103">
        <f t="shared" ref="G130" si="21">E130-F130</f>
        <v>1200000</v>
      </c>
    </row>
    <row r="131" spans="1:9" x14ac:dyDescent="0.25">
      <c r="A131">
        <f t="shared" si="20"/>
        <v>5</v>
      </c>
      <c r="B131" s="27" t="s">
        <v>408</v>
      </c>
      <c r="C131" s="48">
        <v>29642952</v>
      </c>
      <c r="D131" s="26" t="s">
        <v>188</v>
      </c>
      <c r="E131" s="200">
        <v>1046500</v>
      </c>
      <c r="F131" s="200">
        <v>100000</v>
      </c>
      <c r="G131" s="203">
        <f>E131-F131</f>
        <v>946500</v>
      </c>
    </row>
    <row r="132" spans="1:9" x14ac:dyDescent="0.25">
      <c r="A132">
        <f t="shared" si="20"/>
        <v>6</v>
      </c>
      <c r="B132" s="27" t="s">
        <v>19</v>
      </c>
      <c r="C132" s="48">
        <v>26823112</v>
      </c>
      <c r="D132" s="26" t="s">
        <v>188</v>
      </c>
      <c r="E132" s="201"/>
      <c r="F132" s="201"/>
      <c r="G132" s="204"/>
    </row>
    <row r="133" spans="1:9" x14ac:dyDescent="0.25">
      <c r="A133">
        <f t="shared" si="20"/>
        <v>7</v>
      </c>
      <c r="B133" s="27" t="s">
        <v>2057</v>
      </c>
      <c r="C133" s="48">
        <v>1000471513</v>
      </c>
      <c r="D133" s="26" t="s">
        <v>16</v>
      </c>
      <c r="E133" s="28">
        <v>18000</v>
      </c>
      <c r="F133" s="28"/>
      <c r="G133" s="107">
        <f>E133-F133</f>
        <v>18000</v>
      </c>
    </row>
    <row r="134" spans="1:9" ht="18.75" x14ac:dyDescent="0.3">
      <c r="G134" s="108">
        <f>SUM(G127:G133)</f>
        <v>3383500</v>
      </c>
    </row>
    <row r="138" spans="1:9" x14ac:dyDescent="0.25">
      <c r="G138" s="64">
        <f>G134-1556000</f>
        <v>1827500</v>
      </c>
      <c r="H138" s="64">
        <f>G134-G139</f>
        <v>3156000</v>
      </c>
      <c r="I138" s="64"/>
    </row>
    <row r="139" spans="1:9" x14ac:dyDescent="0.25">
      <c r="G139" s="64">
        <f>G138-1600000</f>
        <v>227500</v>
      </c>
    </row>
    <row r="140" spans="1:9" x14ac:dyDescent="0.25">
      <c r="B140" s="3" t="s">
        <v>2290</v>
      </c>
    </row>
    <row r="141" spans="1:9" x14ac:dyDescent="0.25">
      <c r="B141" s="26" t="s">
        <v>187</v>
      </c>
      <c r="C141" s="26" t="s">
        <v>179</v>
      </c>
      <c r="D141" s="26" t="s">
        <v>15</v>
      </c>
      <c r="E141" s="26" t="s">
        <v>182</v>
      </c>
      <c r="F141" s="26" t="s">
        <v>184</v>
      </c>
      <c r="G141" s="103" t="s">
        <v>192</v>
      </c>
    </row>
    <row r="142" spans="1:9" x14ac:dyDescent="0.25">
      <c r="A142">
        <v>1</v>
      </c>
      <c r="B142" s="27" t="s">
        <v>10</v>
      </c>
      <c r="C142" s="48">
        <v>13029957</v>
      </c>
      <c r="D142" s="26" t="s">
        <v>12</v>
      </c>
      <c r="E142" s="28">
        <v>892000</v>
      </c>
      <c r="F142" s="28"/>
      <c r="G142" s="103">
        <f t="shared" ref="G142:G145" si="22">E142-F142</f>
        <v>892000</v>
      </c>
    </row>
    <row r="143" spans="1:9" x14ac:dyDescent="0.25">
      <c r="A143">
        <f>A142+1</f>
        <v>2</v>
      </c>
      <c r="B143" s="27" t="s">
        <v>784</v>
      </c>
      <c r="C143" s="48">
        <v>32132485</v>
      </c>
      <c r="D143" s="26" t="s">
        <v>31</v>
      </c>
      <c r="E143" s="28">
        <v>244000</v>
      </c>
      <c r="F143" s="28"/>
      <c r="G143" s="103">
        <f t="shared" si="22"/>
        <v>244000</v>
      </c>
    </row>
    <row r="144" spans="1:9" x14ac:dyDescent="0.25">
      <c r="A144">
        <f t="shared" ref="A144:A148" si="23">A143+1</f>
        <v>3</v>
      </c>
      <c r="B144" s="27" t="s">
        <v>30</v>
      </c>
      <c r="C144" s="48">
        <v>1077085321</v>
      </c>
      <c r="D144" s="26" t="s">
        <v>12</v>
      </c>
      <c r="E144" s="28">
        <v>858000</v>
      </c>
      <c r="F144" s="28">
        <v>300000</v>
      </c>
      <c r="G144" s="103">
        <f t="shared" si="22"/>
        <v>558000</v>
      </c>
    </row>
    <row r="145" spans="1:9" x14ac:dyDescent="0.25">
      <c r="A145">
        <f t="shared" si="23"/>
        <v>4</v>
      </c>
      <c r="B145" s="27" t="s">
        <v>33</v>
      </c>
      <c r="C145" s="48">
        <v>18929731</v>
      </c>
      <c r="D145" s="26" t="s">
        <v>18</v>
      </c>
      <c r="E145" s="28">
        <v>1000000</v>
      </c>
      <c r="F145" s="28"/>
      <c r="G145" s="103">
        <f t="shared" si="22"/>
        <v>1000000</v>
      </c>
      <c r="H145">
        <v>481000</v>
      </c>
      <c r="I145">
        <f>1000000-481000</f>
        <v>519000</v>
      </c>
    </row>
    <row r="146" spans="1:9" x14ac:dyDescent="0.25">
      <c r="A146">
        <f t="shared" si="23"/>
        <v>5</v>
      </c>
      <c r="B146" s="27" t="s">
        <v>408</v>
      </c>
      <c r="C146" s="48">
        <v>29642952</v>
      </c>
      <c r="D146" s="26" t="s">
        <v>188</v>
      </c>
      <c r="E146" s="200">
        <v>677600</v>
      </c>
      <c r="F146" s="200"/>
      <c r="G146" s="203">
        <f>E146-F146</f>
        <v>677600</v>
      </c>
    </row>
    <row r="147" spans="1:9" x14ac:dyDescent="0.25">
      <c r="A147">
        <f t="shared" si="23"/>
        <v>6</v>
      </c>
      <c r="B147" s="27" t="s">
        <v>19</v>
      </c>
      <c r="C147" s="48">
        <v>26823112</v>
      </c>
      <c r="D147" s="26" t="s">
        <v>188</v>
      </c>
      <c r="E147" s="201"/>
      <c r="F147" s="201"/>
      <c r="G147" s="204"/>
    </row>
    <row r="148" spans="1:9" x14ac:dyDescent="0.25">
      <c r="A148">
        <f t="shared" si="23"/>
        <v>7</v>
      </c>
      <c r="B148" s="27" t="s">
        <v>2057</v>
      </c>
      <c r="C148" s="48">
        <v>1000471513</v>
      </c>
      <c r="D148" s="26" t="s">
        <v>16</v>
      </c>
      <c r="E148" s="28"/>
      <c r="F148" s="28"/>
      <c r="G148" s="107">
        <f>E148-F148</f>
        <v>0</v>
      </c>
    </row>
    <row r="149" spans="1:9" x14ac:dyDescent="0.25">
      <c r="E149" s="47">
        <f>SUM(E142:E148)</f>
        <v>3671600</v>
      </c>
      <c r="G149" s="47">
        <f>SUM(G142:G148)</f>
        <v>3371600</v>
      </c>
    </row>
    <row r="154" spans="1:9" x14ac:dyDescent="0.25">
      <c r="B154" s="3" t="s">
        <v>2346</v>
      </c>
    </row>
    <row r="155" spans="1:9" x14ac:dyDescent="0.25">
      <c r="B155" s="26" t="s">
        <v>187</v>
      </c>
      <c r="C155" s="26" t="s">
        <v>179</v>
      </c>
      <c r="D155" s="26" t="s">
        <v>15</v>
      </c>
      <c r="E155" s="26" t="s">
        <v>182</v>
      </c>
      <c r="F155" s="26" t="s">
        <v>184</v>
      </c>
      <c r="G155" s="103" t="s">
        <v>192</v>
      </c>
      <c r="H155" s="64"/>
    </row>
    <row r="156" spans="1:9" x14ac:dyDescent="0.25">
      <c r="A156">
        <v>1</v>
      </c>
      <c r="B156" s="27" t="s">
        <v>10</v>
      </c>
      <c r="C156" s="48">
        <v>13029957</v>
      </c>
      <c r="D156" s="26" t="s">
        <v>12</v>
      </c>
      <c r="E156" s="28">
        <v>938500</v>
      </c>
      <c r="F156" s="28">
        <v>130000</v>
      </c>
      <c r="G156" s="103">
        <f t="shared" ref="G156:G159" si="24">E156-F156</f>
        <v>808500</v>
      </c>
    </row>
    <row r="157" spans="1:9" x14ac:dyDescent="0.25">
      <c r="A157">
        <f>A156+1</f>
        <v>2</v>
      </c>
      <c r="B157" s="27" t="s">
        <v>784</v>
      </c>
      <c r="C157" s="48">
        <v>32132485</v>
      </c>
      <c r="D157" s="26" t="s">
        <v>31</v>
      </c>
      <c r="E157" s="28">
        <v>183000</v>
      </c>
      <c r="F157" s="28"/>
      <c r="G157" s="103">
        <f t="shared" si="24"/>
        <v>183000</v>
      </c>
    </row>
    <row r="158" spans="1:9" x14ac:dyDescent="0.25">
      <c r="A158">
        <f t="shared" ref="A158:A161" si="25">A157+1</f>
        <v>3</v>
      </c>
      <c r="B158" s="27" t="s">
        <v>30</v>
      </c>
      <c r="C158" s="48">
        <v>1077085321</v>
      </c>
      <c r="D158" s="26" t="s">
        <v>12</v>
      </c>
      <c r="E158" s="28">
        <v>24000</v>
      </c>
      <c r="F158" s="28"/>
      <c r="G158" s="103">
        <f t="shared" si="24"/>
        <v>24000</v>
      </c>
    </row>
    <row r="159" spans="1:9" x14ac:dyDescent="0.25">
      <c r="A159">
        <f t="shared" si="25"/>
        <v>4</v>
      </c>
      <c r="B159" s="27" t="s">
        <v>33</v>
      </c>
      <c r="C159" s="48">
        <v>18929731</v>
      </c>
      <c r="D159" s="26" t="s">
        <v>18</v>
      </c>
      <c r="E159" s="28">
        <v>1090000</v>
      </c>
      <c r="F159" s="28">
        <v>90000</v>
      </c>
      <c r="G159" s="103">
        <f t="shared" si="24"/>
        <v>1000000</v>
      </c>
    </row>
    <row r="160" spans="1:9" x14ac:dyDescent="0.25">
      <c r="A160">
        <f t="shared" si="25"/>
        <v>5</v>
      </c>
      <c r="B160" s="27" t="s">
        <v>408</v>
      </c>
      <c r="C160" s="48">
        <v>29642952</v>
      </c>
      <c r="D160" s="26" t="s">
        <v>188</v>
      </c>
      <c r="E160" s="200">
        <v>828800</v>
      </c>
      <c r="F160" s="200">
        <v>30000</v>
      </c>
      <c r="G160" s="203">
        <f>E160-F160</f>
        <v>798800</v>
      </c>
    </row>
    <row r="161" spans="1:8" x14ac:dyDescent="0.25">
      <c r="A161">
        <f t="shared" si="25"/>
        <v>6</v>
      </c>
      <c r="B161" s="27" t="s">
        <v>19</v>
      </c>
      <c r="C161" s="48">
        <v>26823112</v>
      </c>
      <c r="D161" s="26" t="s">
        <v>188</v>
      </c>
      <c r="E161" s="201"/>
      <c r="F161" s="201"/>
      <c r="G161" s="204"/>
    </row>
    <row r="162" spans="1:8" x14ac:dyDescent="0.25">
      <c r="E162" s="47">
        <f>SUM(E156:E161)</f>
        <v>3064300</v>
      </c>
      <c r="G162" s="47">
        <f>SUM(G156:G161)</f>
        <v>2814300</v>
      </c>
    </row>
    <row r="164" spans="1:8" x14ac:dyDescent="0.25">
      <c r="H164" s="64">
        <f>3085000-G162</f>
        <v>270700</v>
      </c>
    </row>
    <row r="167" spans="1:8" x14ac:dyDescent="0.25">
      <c r="B167" s="3" t="s">
        <v>2426</v>
      </c>
    </row>
    <row r="168" spans="1:8" x14ac:dyDescent="0.25">
      <c r="B168" s="26" t="s">
        <v>187</v>
      </c>
      <c r="C168" s="26" t="s">
        <v>179</v>
      </c>
      <c r="D168" s="26" t="s">
        <v>15</v>
      </c>
      <c r="E168" s="26" t="s">
        <v>182</v>
      </c>
      <c r="F168" s="26" t="s">
        <v>184</v>
      </c>
      <c r="G168" s="103" t="s">
        <v>192</v>
      </c>
    </row>
    <row r="169" spans="1:8" x14ac:dyDescent="0.25">
      <c r="A169">
        <v>1</v>
      </c>
      <c r="B169" s="27" t="s">
        <v>10</v>
      </c>
      <c r="C169" s="48">
        <v>13029957</v>
      </c>
      <c r="D169" s="26" t="s">
        <v>12</v>
      </c>
      <c r="E169" s="28">
        <v>623000</v>
      </c>
      <c r="F169" s="28">
        <v>50000</v>
      </c>
      <c r="G169" s="103">
        <f t="shared" ref="G169:G172" si="26">E169-F169</f>
        <v>573000</v>
      </c>
    </row>
    <row r="170" spans="1:8" x14ac:dyDescent="0.25">
      <c r="A170">
        <f>A169+1</f>
        <v>2</v>
      </c>
      <c r="B170" s="27" t="s">
        <v>784</v>
      </c>
      <c r="C170" s="48">
        <v>32132485</v>
      </c>
      <c r="D170" s="26" t="s">
        <v>31</v>
      </c>
      <c r="E170" s="28">
        <v>374000</v>
      </c>
      <c r="F170" s="28"/>
      <c r="G170" s="103">
        <f t="shared" si="26"/>
        <v>374000</v>
      </c>
    </row>
    <row r="171" spans="1:8" x14ac:dyDescent="0.25">
      <c r="A171">
        <f t="shared" ref="A171:A177" si="27">A170+1</f>
        <v>3</v>
      </c>
      <c r="B171" s="27" t="s">
        <v>30</v>
      </c>
      <c r="C171" s="48">
        <v>1077085321</v>
      </c>
      <c r="D171" s="26" t="s">
        <v>12</v>
      </c>
      <c r="E171" s="28">
        <v>114000</v>
      </c>
      <c r="F171" s="28"/>
      <c r="G171" s="103">
        <f t="shared" si="26"/>
        <v>114000</v>
      </c>
    </row>
    <row r="172" spans="1:8" x14ac:dyDescent="0.25">
      <c r="A172">
        <f t="shared" si="27"/>
        <v>4</v>
      </c>
      <c r="B172" s="27" t="s">
        <v>33</v>
      </c>
      <c r="C172" s="48">
        <v>18929731</v>
      </c>
      <c r="D172" s="26" t="s">
        <v>18</v>
      </c>
      <c r="E172" s="28">
        <v>1000000</v>
      </c>
      <c r="F172" s="28"/>
      <c r="G172" s="103">
        <f t="shared" si="26"/>
        <v>1000000</v>
      </c>
    </row>
    <row r="173" spans="1:8" x14ac:dyDescent="0.25">
      <c r="A173">
        <f t="shared" si="27"/>
        <v>5</v>
      </c>
      <c r="B173" s="27" t="s">
        <v>408</v>
      </c>
      <c r="C173" s="48">
        <v>29642952</v>
      </c>
      <c r="D173" s="26" t="s">
        <v>188</v>
      </c>
      <c r="E173" s="199">
        <v>1201900</v>
      </c>
      <c r="F173" s="199">
        <f>15000+20000+30000</f>
        <v>65000</v>
      </c>
      <c r="G173" s="202">
        <f>E173-F173</f>
        <v>1136900</v>
      </c>
    </row>
    <row r="174" spans="1:8" x14ac:dyDescent="0.25">
      <c r="A174">
        <f t="shared" si="27"/>
        <v>6</v>
      </c>
      <c r="B174" s="27" t="s">
        <v>19</v>
      </c>
      <c r="C174" s="48">
        <v>26823112</v>
      </c>
      <c r="D174" s="26" t="s">
        <v>188</v>
      </c>
      <c r="E174" s="199"/>
      <c r="F174" s="199"/>
      <c r="G174" s="202"/>
    </row>
    <row r="175" spans="1:8" x14ac:dyDescent="0.25">
      <c r="A175">
        <f t="shared" si="27"/>
        <v>7</v>
      </c>
      <c r="B175" s="27" t="s">
        <v>185</v>
      </c>
      <c r="C175" s="48">
        <v>26035834</v>
      </c>
      <c r="D175" s="26" t="s">
        <v>16</v>
      </c>
      <c r="E175" s="28">
        <v>60000</v>
      </c>
      <c r="F175" s="77"/>
      <c r="G175" s="132">
        <f>E175-F175</f>
        <v>60000</v>
      </c>
    </row>
    <row r="176" spans="1:8" x14ac:dyDescent="0.25">
      <c r="A176">
        <f t="shared" si="27"/>
        <v>8</v>
      </c>
      <c r="B176" s="27" t="s">
        <v>280</v>
      </c>
      <c r="C176" s="77"/>
      <c r="D176" s="77"/>
      <c r="E176" s="46">
        <v>300000</v>
      </c>
      <c r="F176" s="77"/>
      <c r="G176" s="132">
        <f>E176-F176</f>
        <v>300000</v>
      </c>
    </row>
    <row r="177" spans="1:10" x14ac:dyDescent="0.25">
      <c r="A177">
        <f t="shared" si="27"/>
        <v>9</v>
      </c>
      <c r="B177" s="27" t="s">
        <v>282</v>
      </c>
      <c r="C177" s="77"/>
      <c r="D177" s="77"/>
      <c r="E177" s="46">
        <v>500000</v>
      </c>
      <c r="F177" s="46">
        <v>300000</v>
      </c>
      <c r="G177" s="132">
        <f>E177-F177</f>
        <v>200000</v>
      </c>
    </row>
    <row r="178" spans="1:10" ht="18.75" x14ac:dyDescent="0.3">
      <c r="E178" s="47">
        <f>SUM(E169:E177)</f>
        <v>4172900</v>
      </c>
      <c r="G178" s="133">
        <f>SUM(G169:G177)</f>
        <v>3757900</v>
      </c>
      <c r="J178">
        <f>32*20000</f>
        <v>640000</v>
      </c>
    </row>
    <row r="179" spans="1:10" x14ac:dyDescent="0.25">
      <c r="J179">
        <v>2</v>
      </c>
    </row>
    <row r="180" spans="1:10" x14ac:dyDescent="0.25">
      <c r="H180" s="64">
        <f>4300000-G178</f>
        <v>542100</v>
      </c>
    </row>
    <row r="182" spans="1:10" x14ac:dyDescent="0.25">
      <c r="B182" s="3" t="s">
        <v>2507</v>
      </c>
    </row>
    <row r="183" spans="1:10" x14ac:dyDescent="0.25">
      <c r="B183" s="26" t="s">
        <v>187</v>
      </c>
      <c r="C183" s="26" t="s">
        <v>179</v>
      </c>
      <c r="D183" s="26" t="s">
        <v>15</v>
      </c>
      <c r="E183" s="26" t="s">
        <v>182</v>
      </c>
      <c r="F183" s="26" t="s">
        <v>184</v>
      </c>
      <c r="G183" s="103" t="s">
        <v>192</v>
      </c>
    </row>
    <row r="184" spans="1:10" x14ac:dyDescent="0.25">
      <c r="A184">
        <v>1</v>
      </c>
      <c r="B184" s="27" t="s">
        <v>10</v>
      </c>
      <c r="C184" s="48">
        <v>13029957</v>
      </c>
      <c r="D184" s="26" t="s">
        <v>12</v>
      </c>
      <c r="E184" s="28">
        <v>854000</v>
      </c>
      <c r="F184" s="28">
        <v>100000</v>
      </c>
      <c r="G184" s="103">
        <f t="shared" ref="G184:G187" si="28">E184-F184</f>
        <v>754000</v>
      </c>
    </row>
    <row r="185" spans="1:10" x14ac:dyDescent="0.25">
      <c r="A185">
        <f>A184+1</f>
        <v>2</v>
      </c>
      <c r="B185" s="27" t="s">
        <v>784</v>
      </c>
      <c r="C185" s="48">
        <v>32132485</v>
      </c>
      <c r="D185" s="26" t="s">
        <v>31</v>
      </c>
      <c r="E185" s="28">
        <v>390000</v>
      </c>
      <c r="F185" s="28"/>
      <c r="G185" s="103">
        <f t="shared" si="28"/>
        <v>390000</v>
      </c>
    </row>
    <row r="186" spans="1:10" x14ac:dyDescent="0.25">
      <c r="A186">
        <f t="shared" ref="A186:A190" si="29">A185+1</f>
        <v>3</v>
      </c>
      <c r="B186" s="27" t="s">
        <v>30</v>
      </c>
      <c r="C186" s="48">
        <v>1077085321</v>
      </c>
      <c r="D186" s="26" t="s">
        <v>12</v>
      </c>
      <c r="E186" s="28"/>
      <c r="F186" s="28"/>
      <c r="G186" s="103">
        <f t="shared" si="28"/>
        <v>0</v>
      </c>
    </row>
    <row r="187" spans="1:10" x14ac:dyDescent="0.25">
      <c r="A187">
        <f t="shared" si="29"/>
        <v>4</v>
      </c>
      <c r="B187" s="27" t="s">
        <v>33</v>
      </c>
      <c r="C187" s="48">
        <v>18929731</v>
      </c>
      <c r="D187" s="26" t="s">
        <v>18</v>
      </c>
      <c r="E187" s="28">
        <v>800000</v>
      </c>
      <c r="F187" s="28"/>
      <c r="G187" s="103">
        <f t="shared" si="28"/>
        <v>800000</v>
      </c>
    </row>
    <row r="188" spans="1:10" x14ac:dyDescent="0.25">
      <c r="A188">
        <f t="shared" si="29"/>
        <v>5</v>
      </c>
      <c r="B188" s="27" t="s">
        <v>408</v>
      </c>
      <c r="C188" s="48">
        <v>29642952</v>
      </c>
      <c r="D188" s="26" t="s">
        <v>188</v>
      </c>
      <c r="E188" s="199">
        <v>827000</v>
      </c>
      <c r="F188" s="200">
        <f>22000+30000+27000</f>
        <v>79000</v>
      </c>
      <c r="G188" s="202">
        <f>E188-F188</f>
        <v>748000</v>
      </c>
    </row>
    <row r="189" spans="1:10" x14ac:dyDescent="0.25">
      <c r="A189">
        <f t="shared" si="29"/>
        <v>6</v>
      </c>
      <c r="B189" s="27" t="s">
        <v>19</v>
      </c>
      <c r="C189" s="48">
        <v>26823112</v>
      </c>
      <c r="D189" s="26" t="s">
        <v>188</v>
      </c>
      <c r="E189" s="199"/>
      <c r="F189" s="201"/>
      <c r="G189" s="202"/>
    </row>
    <row r="190" spans="1:10" x14ac:dyDescent="0.25">
      <c r="A190">
        <f t="shared" si="29"/>
        <v>7</v>
      </c>
      <c r="B190" s="27" t="s">
        <v>185</v>
      </c>
      <c r="C190" s="48">
        <v>26035834</v>
      </c>
      <c r="D190" s="26" t="s">
        <v>16</v>
      </c>
      <c r="E190" s="28">
        <v>108000</v>
      </c>
      <c r="F190" s="28">
        <v>20000</v>
      </c>
      <c r="G190" s="132">
        <f>E190-F190</f>
        <v>88000</v>
      </c>
    </row>
    <row r="191" spans="1:10" ht="18.75" x14ac:dyDescent="0.3">
      <c r="E191" s="47">
        <f>SUM(E184:E190)</f>
        <v>2979000</v>
      </c>
      <c r="G191" s="133">
        <f>SUM(G184:G190)</f>
        <v>2780000</v>
      </c>
    </row>
    <row r="193" spans="1:8" x14ac:dyDescent="0.25">
      <c r="H193" s="64"/>
    </row>
    <row r="194" spans="1:8" x14ac:dyDescent="0.25">
      <c r="H194" s="64">
        <f>G191-2150000</f>
        <v>630000</v>
      </c>
    </row>
    <row r="197" spans="1:8" x14ac:dyDescent="0.25">
      <c r="B197" s="3" t="s">
        <v>2573</v>
      </c>
    </row>
    <row r="198" spans="1:8" x14ac:dyDescent="0.25">
      <c r="B198" s="26" t="s">
        <v>187</v>
      </c>
      <c r="C198" s="26" t="s">
        <v>179</v>
      </c>
      <c r="D198" s="26" t="s">
        <v>15</v>
      </c>
      <c r="E198" s="26" t="s">
        <v>182</v>
      </c>
      <c r="F198" s="26" t="s">
        <v>184</v>
      </c>
      <c r="G198" s="103" t="s">
        <v>192</v>
      </c>
    </row>
    <row r="199" spans="1:8" x14ac:dyDescent="0.25">
      <c r="A199">
        <v>1</v>
      </c>
      <c r="B199" s="27" t="s">
        <v>10</v>
      </c>
      <c r="C199" s="48">
        <v>13029957</v>
      </c>
      <c r="D199" s="26" t="s">
        <v>12</v>
      </c>
      <c r="E199" s="28">
        <f>80000+160000</f>
        <v>240000</v>
      </c>
      <c r="F199" s="28"/>
      <c r="G199" s="103">
        <f t="shared" ref="G199:G202" si="30">E199-F199</f>
        <v>240000</v>
      </c>
    </row>
    <row r="200" spans="1:8" x14ac:dyDescent="0.25">
      <c r="A200">
        <f>A199+1</f>
        <v>2</v>
      </c>
      <c r="B200" s="27" t="s">
        <v>784</v>
      </c>
      <c r="C200" s="48">
        <v>32132485</v>
      </c>
      <c r="D200" s="26" t="s">
        <v>31</v>
      </c>
      <c r="E200" s="28"/>
      <c r="F200" s="28"/>
      <c r="G200" s="103">
        <f t="shared" si="30"/>
        <v>0</v>
      </c>
    </row>
    <row r="201" spans="1:8" x14ac:dyDescent="0.25">
      <c r="A201">
        <f t="shared" ref="A201:A208" si="31">A200+1</f>
        <v>3</v>
      </c>
      <c r="B201" s="27" t="s">
        <v>30</v>
      </c>
      <c r="C201" s="48">
        <v>1077085321</v>
      </c>
      <c r="D201" s="26" t="s">
        <v>12</v>
      </c>
      <c r="E201" s="28"/>
      <c r="F201" s="28"/>
      <c r="G201" s="103">
        <f t="shared" si="30"/>
        <v>0</v>
      </c>
    </row>
    <row r="202" spans="1:8" x14ac:dyDescent="0.25">
      <c r="A202">
        <f t="shared" si="31"/>
        <v>4</v>
      </c>
      <c r="B202" s="27" t="s">
        <v>33</v>
      </c>
      <c r="C202" s="48">
        <v>18929731</v>
      </c>
      <c r="D202" s="26" t="s">
        <v>18</v>
      </c>
      <c r="E202" s="28">
        <v>646000</v>
      </c>
      <c r="F202" s="28"/>
      <c r="G202" s="103">
        <f t="shared" si="30"/>
        <v>646000</v>
      </c>
    </row>
    <row r="203" spans="1:8" x14ac:dyDescent="0.25">
      <c r="A203">
        <f t="shared" si="31"/>
        <v>5</v>
      </c>
      <c r="B203" s="27" t="s">
        <v>408</v>
      </c>
      <c r="C203" s="48">
        <v>29642952</v>
      </c>
      <c r="D203" s="26" t="s">
        <v>188</v>
      </c>
      <c r="E203" s="199">
        <v>653800</v>
      </c>
      <c r="F203" s="200">
        <v>22500</v>
      </c>
      <c r="G203" s="202">
        <f>E203-F203</f>
        <v>631300</v>
      </c>
    </row>
    <row r="204" spans="1:8" x14ac:dyDescent="0.25">
      <c r="A204">
        <f t="shared" si="31"/>
        <v>6</v>
      </c>
      <c r="B204" s="27" t="s">
        <v>19</v>
      </c>
      <c r="C204" s="48">
        <v>26823112</v>
      </c>
      <c r="D204" s="26" t="s">
        <v>188</v>
      </c>
      <c r="E204" s="199"/>
      <c r="F204" s="201"/>
      <c r="G204" s="202"/>
    </row>
    <row r="205" spans="1:8" x14ac:dyDescent="0.25">
      <c r="A205">
        <f t="shared" si="31"/>
        <v>7</v>
      </c>
      <c r="B205" s="27" t="s">
        <v>185</v>
      </c>
      <c r="C205" s="48">
        <v>26035834</v>
      </c>
      <c r="D205" s="26" t="s">
        <v>16</v>
      </c>
      <c r="E205" s="28">
        <v>460000</v>
      </c>
      <c r="F205" s="28"/>
      <c r="G205" s="132">
        <f>E205-F205</f>
        <v>460000</v>
      </c>
    </row>
    <row r="206" spans="1:8" x14ac:dyDescent="0.25">
      <c r="A206">
        <f>A205+1</f>
        <v>8</v>
      </c>
      <c r="B206" s="27" t="s">
        <v>280</v>
      </c>
      <c r="C206" s="77"/>
      <c r="D206" s="26" t="s">
        <v>1617</v>
      </c>
      <c r="E206" s="46">
        <v>300000</v>
      </c>
      <c r="F206" s="77"/>
      <c r="G206" s="132">
        <f>E206-F206</f>
        <v>300000</v>
      </c>
    </row>
    <row r="207" spans="1:8" x14ac:dyDescent="0.25">
      <c r="A207">
        <f t="shared" si="31"/>
        <v>9</v>
      </c>
      <c r="B207" s="27" t="s">
        <v>282</v>
      </c>
      <c r="C207" s="48">
        <v>16293069</v>
      </c>
      <c r="D207" s="26" t="s">
        <v>1617</v>
      </c>
      <c r="E207" s="46">
        <v>500000</v>
      </c>
      <c r="F207" s="46"/>
      <c r="G207" s="132">
        <f>E207-F207</f>
        <v>500000</v>
      </c>
    </row>
    <row r="208" spans="1:8" x14ac:dyDescent="0.25">
      <c r="A208">
        <f t="shared" si="31"/>
        <v>10</v>
      </c>
      <c r="B208" s="27" t="s">
        <v>2572</v>
      </c>
      <c r="C208" s="48">
        <v>14338908</v>
      </c>
      <c r="D208" s="26" t="s">
        <v>1617</v>
      </c>
      <c r="E208" s="46">
        <v>150000</v>
      </c>
      <c r="F208" s="77"/>
      <c r="G208" s="132">
        <f>E208-F208</f>
        <v>150000</v>
      </c>
    </row>
    <row r="209" spans="1:9" x14ac:dyDescent="0.25">
      <c r="G209" s="47">
        <f>SUM(G199:G208)</f>
        <v>2927300</v>
      </c>
      <c r="H209" s="47"/>
    </row>
    <row r="212" spans="1:9" ht="15.75" customHeight="1" x14ac:dyDescent="0.25">
      <c r="B212" s="3" t="s">
        <v>2653</v>
      </c>
    </row>
    <row r="213" spans="1:9" x14ac:dyDescent="0.25">
      <c r="B213" s="26" t="s">
        <v>187</v>
      </c>
      <c r="C213" s="26" t="s">
        <v>179</v>
      </c>
      <c r="D213" s="26" t="s">
        <v>15</v>
      </c>
      <c r="E213" s="26" t="s">
        <v>182</v>
      </c>
      <c r="F213" s="26" t="s">
        <v>184</v>
      </c>
      <c r="G213" s="103" t="s">
        <v>192</v>
      </c>
    </row>
    <row r="214" spans="1:9" x14ac:dyDescent="0.25">
      <c r="A214">
        <v>1</v>
      </c>
      <c r="B214" s="27" t="s">
        <v>10</v>
      </c>
      <c r="C214" s="48">
        <v>13029957</v>
      </c>
      <c r="D214" s="26" t="s">
        <v>12</v>
      </c>
      <c r="E214" s="28">
        <v>1456000</v>
      </c>
      <c r="F214" s="28">
        <v>90000</v>
      </c>
      <c r="G214" s="103">
        <f t="shared" ref="G214:G216" si="32">E214-F214</f>
        <v>1366000</v>
      </c>
    </row>
    <row r="215" spans="1:9" x14ac:dyDescent="0.25">
      <c r="A215">
        <f>A214+1</f>
        <v>2</v>
      </c>
      <c r="B215" s="27" t="s">
        <v>784</v>
      </c>
      <c r="C215" s="48">
        <v>32132485</v>
      </c>
      <c r="D215" s="26" t="s">
        <v>31</v>
      </c>
      <c r="E215" s="28">
        <v>300000</v>
      </c>
      <c r="F215" s="28"/>
      <c r="G215" s="103">
        <f t="shared" si="32"/>
        <v>300000</v>
      </c>
    </row>
    <row r="216" spans="1:9" x14ac:dyDescent="0.25">
      <c r="A216">
        <f t="shared" ref="A216:A220" si="33">A215+1</f>
        <v>3</v>
      </c>
      <c r="B216" s="27" t="s">
        <v>33</v>
      </c>
      <c r="C216" s="48">
        <v>18929731</v>
      </c>
      <c r="D216" s="26" t="s">
        <v>18</v>
      </c>
      <c r="E216" s="28">
        <v>600000</v>
      </c>
      <c r="F216" s="28"/>
      <c r="G216" s="103">
        <f t="shared" si="32"/>
        <v>600000</v>
      </c>
    </row>
    <row r="217" spans="1:9" x14ac:dyDescent="0.25">
      <c r="A217">
        <f t="shared" si="33"/>
        <v>4</v>
      </c>
      <c r="B217" s="27" t="s">
        <v>408</v>
      </c>
      <c r="C217" s="48">
        <v>29642952</v>
      </c>
      <c r="D217" s="26" t="s">
        <v>188</v>
      </c>
      <c r="E217" s="199">
        <v>722000</v>
      </c>
      <c r="F217" s="200">
        <v>59000</v>
      </c>
      <c r="G217" s="202">
        <f>E217-F217</f>
        <v>663000</v>
      </c>
    </row>
    <row r="218" spans="1:9" x14ac:dyDescent="0.25">
      <c r="A218">
        <f t="shared" si="33"/>
        <v>5</v>
      </c>
      <c r="B218" s="27" t="s">
        <v>19</v>
      </c>
      <c r="C218" s="48">
        <v>26823112</v>
      </c>
      <c r="D218" s="26" t="s">
        <v>188</v>
      </c>
      <c r="E218" s="199"/>
      <c r="F218" s="201"/>
      <c r="G218" s="202"/>
    </row>
    <row r="219" spans="1:9" x14ac:dyDescent="0.25">
      <c r="A219">
        <f t="shared" si="33"/>
        <v>6</v>
      </c>
      <c r="B219" s="27" t="s">
        <v>185</v>
      </c>
      <c r="C219" s="48">
        <v>26035834</v>
      </c>
      <c r="D219" s="26" t="s">
        <v>16</v>
      </c>
      <c r="E219" s="28">
        <v>276000</v>
      </c>
      <c r="F219" s="28">
        <f>13000</f>
        <v>13000</v>
      </c>
      <c r="G219" s="132">
        <f>E219-F219</f>
        <v>263000</v>
      </c>
    </row>
    <row r="220" spans="1:9" x14ac:dyDescent="0.25">
      <c r="A220">
        <f t="shared" si="33"/>
        <v>7</v>
      </c>
      <c r="B220" s="27" t="s">
        <v>2572</v>
      </c>
      <c r="C220" s="48">
        <v>14338908</v>
      </c>
      <c r="D220" s="26" t="s">
        <v>1617</v>
      </c>
      <c r="E220" s="46">
        <v>200000</v>
      </c>
      <c r="F220" s="28">
        <v>10000</v>
      </c>
      <c r="G220" s="132">
        <f>E220-F220</f>
        <v>190000</v>
      </c>
    </row>
    <row r="221" spans="1:9" x14ac:dyDescent="0.25">
      <c r="B221" s="3" t="s">
        <v>2657</v>
      </c>
      <c r="G221" s="37">
        <v>150000</v>
      </c>
    </row>
    <row r="222" spans="1:9" x14ac:dyDescent="0.25">
      <c r="B222" s="3"/>
      <c r="G222" s="37"/>
    </row>
    <row r="224" spans="1:9" x14ac:dyDescent="0.25">
      <c r="E224" s="64"/>
      <c r="G224" s="47">
        <f>SUM(G214:G222)</f>
        <v>3532000</v>
      </c>
      <c r="I224">
        <v>1980000</v>
      </c>
    </row>
    <row r="225" spans="5:7" x14ac:dyDescent="0.25">
      <c r="E225" s="64"/>
    </row>
    <row r="227" spans="5:7" x14ac:dyDescent="0.25">
      <c r="G227" s="64">
        <f>G224-I224</f>
        <v>1552000</v>
      </c>
    </row>
  </sheetData>
  <mergeCells count="23">
    <mergeCell ref="E146:E147"/>
    <mergeCell ref="F146:F147"/>
    <mergeCell ref="G146:G147"/>
    <mergeCell ref="E93:E94"/>
    <mergeCell ref="E114:E115"/>
    <mergeCell ref="E131:E132"/>
    <mergeCell ref="F131:F132"/>
    <mergeCell ref="G131:G132"/>
    <mergeCell ref="E160:E161"/>
    <mergeCell ref="F160:F161"/>
    <mergeCell ref="G160:G161"/>
    <mergeCell ref="E188:E189"/>
    <mergeCell ref="F188:F189"/>
    <mergeCell ref="G188:G189"/>
    <mergeCell ref="E173:E174"/>
    <mergeCell ref="F173:F174"/>
    <mergeCell ref="G173:G174"/>
    <mergeCell ref="E217:E218"/>
    <mergeCell ref="F217:F218"/>
    <mergeCell ref="G217:G218"/>
    <mergeCell ref="E203:E204"/>
    <mergeCell ref="F203:F204"/>
    <mergeCell ref="G203:G204"/>
  </mergeCells>
  <pageMargins left="0.70866141732283472" right="0.70866141732283472" top="0.74803149606299213" bottom="0.74803149606299213" header="0.31496062992125984" footer="0.31496062992125984"/>
  <pageSetup paperSize="9" scale="85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7"/>
  <sheetViews>
    <sheetView topLeftCell="A112" zoomScale="130" zoomScaleNormal="130" workbookViewId="0">
      <selection activeCell="E187" sqref="E187"/>
    </sheetView>
  </sheetViews>
  <sheetFormatPr baseColWidth="10" defaultRowHeight="15" x14ac:dyDescent="0.25"/>
  <cols>
    <col min="1" max="1" width="2.85546875" customWidth="1"/>
    <col min="2" max="2" width="20" customWidth="1"/>
    <col min="3" max="3" width="14" customWidth="1"/>
    <col min="4" max="4" width="20.7109375" customWidth="1"/>
    <col min="5" max="5" width="14.7109375" customWidth="1"/>
    <col min="6" max="6" width="14.5703125" customWidth="1"/>
    <col min="7" max="7" width="17.7109375" customWidth="1"/>
    <col min="8" max="8" width="20" customWidth="1"/>
    <col min="9" max="9" width="19.5703125" customWidth="1"/>
    <col min="10" max="10" width="24.28515625" customWidth="1"/>
    <col min="11" max="11" width="14.85546875" customWidth="1"/>
    <col min="12" max="12" width="14.42578125" customWidth="1"/>
  </cols>
  <sheetData>
    <row r="1" spans="1:8" x14ac:dyDescent="0.25">
      <c r="B1" s="3" t="s">
        <v>783</v>
      </c>
    </row>
    <row r="2" spans="1:8" x14ac:dyDescent="0.25">
      <c r="B2" s="26" t="s">
        <v>187</v>
      </c>
      <c r="C2" s="26" t="s">
        <v>179</v>
      </c>
      <c r="D2" s="26" t="s">
        <v>15</v>
      </c>
      <c r="E2" s="26" t="s">
        <v>182</v>
      </c>
      <c r="F2" s="26" t="s">
        <v>184</v>
      </c>
      <c r="G2" s="65" t="s">
        <v>192</v>
      </c>
    </row>
    <row r="3" spans="1:8" x14ac:dyDescent="0.25">
      <c r="A3">
        <v>1</v>
      </c>
      <c r="B3" s="27" t="s">
        <v>10</v>
      </c>
      <c r="C3" s="48">
        <v>13029957</v>
      </c>
      <c r="D3" s="26" t="s">
        <v>12</v>
      </c>
      <c r="E3" s="28">
        <v>660000</v>
      </c>
      <c r="F3" s="28">
        <v>30000</v>
      </c>
      <c r="G3" s="49">
        <f t="shared" ref="G3:G9" si="0">E3-F3</f>
        <v>630000</v>
      </c>
    </row>
    <row r="4" spans="1:8" x14ac:dyDescent="0.25">
      <c r="A4">
        <f t="shared" ref="A4:A11" si="1">A3+1</f>
        <v>2</v>
      </c>
      <c r="B4" s="27" t="s">
        <v>19</v>
      </c>
      <c r="C4" s="48">
        <v>26823112</v>
      </c>
      <c r="D4" s="26" t="s">
        <v>188</v>
      </c>
      <c r="E4" s="28">
        <v>241000</v>
      </c>
      <c r="F4" s="28"/>
      <c r="G4" s="49">
        <f t="shared" si="0"/>
        <v>241000</v>
      </c>
    </row>
    <row r="5" spans="1:8" x14ac:dyDescent="0.25">
      <c r="A5">
        <f t="shared" si="1"/>
        <v>3</v>
      </c>
      <c r="B5" s="27" t="s">
        <v>784</v>
      </c>
      <c r="C5" s="48">
        <v>32132485</v>
      </c>
      <c r="D5" s="26" t="s">
        <v>31</v>
      </c>
      <c r="E5" s="28">
        <v>150000</v>
      </c>
      <c r="F5" s="28"/>
      <c r="G5" s="49">
        <f t="shared" si="0"/>
        <v>150000</v>
      </c>
    </row>
    <row r="6" spans="1:8" x14ac:dyDescent="0.25">
      <c r="A6">
        <f t="shared" si="1"/>
        <v>4</v>
      </c>
      <c r="B6" s="27" t="s">
        <v>30</v>
      </c>
      <c r="C6" s="48">
        <v>1077085321</v>
      </c>
      <c r="D6" s="26" t="s">
        <v>12</v>
      </c>
      <c r="E6" s="28">
        <v>114000</v>
      </c>
      <c r="F6" s="28">
        <v>61000</v>
      </c>
      <c r="G6" s="49">
        <f t="shared" si="0"/>
        <v>53000</v>
      </c>
    </row>
    <row r="7" spans="1:8" x14ac:dyDescent="0.25">
      <c r="A7">
        <f t="shared" si="1"/>
        <v>5</v>
      </c>
      <c r="B7" s="27" t="s">
        <v>185</v>
      </c>
      <c r="C7" s="48">
        <v>26035834</v>
      </c>
      <c r="D7" s="26" t="s">
        <v>16</v>
      </c>
      <c r="E7" s="28">
        <v>221000</v>
      </c>
      <c r="F7" s="28"/>
      <c r="G7" s="49">
        <f t="shared" si="0"/>
        <v>221000</v>
      </c>
    </row>
    <row r="8" spans="1:8" x14ac:dyDescent="0.25">
      <c r="A8">
        <f t="shared" si="1"/>
        <v>6</v>
      </c>
      <c r="B8" s="27" t="s">
        <v>33</v>
      </c>
      <c r="C8" s="48">
        <v>18929731</v>
      </c>
      <c r="D8" s="26" t="s">
        <v>18</v>
      </c>
      <c r="E8" s="28">
        <v>158000</v>
      </c>
      <c r="F8" s="28"/>
      <c r="G8" s="49">
        <v>1000000</v>
      </c>
      <c r="H8" s="47"/>
    </row>
    <row r="9" spans="1:8" x14ac:dyDescent="0.25">
      <c r="A9">
        <f t="shared" si="1"/>
        <v>7</v>
      </c>
      <c r="B9" s="27" t="s">
        <v>408</v>
      </c>
      <c r="C9" s="48">
        <v>29642952</v>
      </c>
      <c r="D9" s="26" t="s">
        <v>188</v>
      </c>
      <c r="E9" s="28">
        <v>354000</v>
      </c>
      <c r="F9" s="28"/>
      <c r="G9" s="49">
        <f t="shared" si="0"/>
        <v>354000</v>
      </c>
    </row>
    <row r="10" spans="1:8" x14ac:dyDescent="0.25">
      <c r="A10">
        <f t="shared" si="1"/>
        <v>8</v>
      </c>
      <c r="B10" s="27" t="s">
        <v>280</v>
      </c>
      <c r="C10" s="48">
        <v>30816852</v>
      </c>
      <c r="D10" s="26" t="s">
        <v>281</v>
      </c>
      <c r="E10" s="28"/>
      <c r="F10" s="28"/>
      <c r="G10" s="49">
        <f>E10-F10</f>
        <v>0</v>
      </c>
    </row>
    <row r="11" spans="1:8" ht="15.75" thickBot="1" x14ac:dyDescent="0.3">
      <c r="A11">
        <f t="shared" si="1"/>
        <v>9</v>
      </c>
      <c r="B11" s="27" t="s">
        <v>282</v>
      </c>
      <c r="C11" s="48">
        <v>16293069</v>
      </c>
      <c r="D11" s="26" t="s">
        <v>281</v>
      </c>
      <c r="E11" s="28"/>
      <c r="F11" s="28"/>
      <c r="G11" s="60">
        <f>E11-F11</f>
        <v>0</v>
      </c>
    </row>
    <row r="12" spans="1:8" ht="19.5" thickBot="1" x14ac:dyDescent="0.35">
      <c r="G12" s="61">
        <f>SUM(G3:G11)</f>
        <v>2649000</v>
      </c>
      <c r="H12" s="47"/>
    </row>
    <row r="15" spans="1:8" x14ac:dyDescent="0.25">
      <c r="B15" s="3" t="s">
        <v>672</v>
      </c>
    </row>
    <row r="16" spans="1:8" x14ac:dyDescent="0.25">
      <c r="B16" s="26" t="s">
        <v>187</v>
      </c>
      <c r="C16" s="26" t="s">
        <v>179</v>
      </c>
      <c r="D16" s="26" t="s">
        <v>15</v>
      </c>
      <c r="E16" s="26" t="s">
        <v>182</v>
      </c>
      <c r="F16" s="26" t="s">
        <v>184</v>
      </c>
      <c r="G16" s="27" t="s">
        <v>192</v>
      </c>
    </row>
    <row r="17" spans="1:8" x14ac:dyDescent="0.25">
      <c r="A17">
        <v>1</v>
      </c>
      <c r="B17" s="27" t="s">
        <v>10</v>
      </c>
      <c r="C17" s="48">
        <v>13029957</v>
      </c>
      <c r="D17" s="26" t="s">
        <v>12</v>
      </c>
      <c r="E17" s="28">
        <v>132000</v>
      </c>
      <c r="F17" s="28"/>
      <c r="G17" s="49">
        <f t="shared" ref="G17:G22" si="2">E17-F17</f>
        <v>132000</v>
      </c>
    </row>
    <row r="18" spans="1:8" x14ac:dyDescent="0.25">
      <c r="A18">
        <f t="shared" ref="A18:A25" si="3">A17+1</f>
        <v>2</v>
      </c>
      <c r="B18" s="27" t="s">
        <v>19</v>
      </c>
      <c r="C18" s="48">
        <v>26823112</v>
      </c>
      <c r="D18" s="26" t="s">
        <v>188</v>
      </c>
      <c r="E18" s="28">
        <v>216000</v>
      </c>
      <c r="F18" s="28"/>
      <c r="G18" s="49">
        <f t="shared" si="2"/>
        <v>216000</v>
      </c>
    </row>
    <row r="19" spans="1:8" x14ac:dyDescent="0.25">
      <c r="A19">
        <f t="shared" si="3"/>
        <v>3</v>
      </c>
      <c r="B19" s="27" t="s">
        <v>186</v>
      </c>
      <c r="C19" s="48">
        <v>32132485</v>
      </c>
      <c r="D19" s="26" t="s">
        <v>31</v>
      </c>
      <c r="E19" s="28">
        <v>150000</v>
      </c>
      <c r="F19" s="28"/>
      <c r="G19" s="49">
        <f t="shared" si="2"/>
        <v>150000</v>
      </c>
    </row>
    <row r="20" spans="1:8" x14ac:dyDescent="0.25">
      <c r="A20">
        <f t="shared" si="3"/>
        <v>4</v>
      </c>
      <c r="B20" s="27" t="s">
        <v>30</v>
      </c>
      <c r="C20" s="48">
        <v>1077085321</v>
      </c>
      <c r="D20" s="26" t="s">
        <v>12</v>
      </c>
      <c r="E20" s="28">
        <v>486000</v>
      </c>
      <c r="F20" s="28">
        <v>50000</v>
      </c>
      <c r="G20" s="49">
        <f t="shared" si="2"/>
        <v>436000</v>
      </c>
    </row>
    <row r="21" spans="1:8" x14ac:dyDescent="0.25">
      <c r="A21">
        <f t="shared" si="3"/>
        <v>5</v>
      </c>
      <c r="B21" s="27" t="s">
        <v>185</v>
      </c>
      <c r="C21" s="48">
        <v>26035834</v>
      </c>
      <c r="D21" s="26" t="s">
        <v>16</v>
      </c>
      <c r="E21" s="28">
        <v>102000</v>
      </c>
      <c r="F21" s="28"/>
      <c r="G21" s="49">
        <f t="shared" si="2"/>
        <v>102000</v>
      </c>
    </row>
    <row r="22" spans="1:8" x14ac:dyDescent="0.25">
      <c r="A22">
        <f t="shared" si="3"/>
        <v>6</v>
      </c>
      <c r="B22" s="27" t="s">
        <v>33</v>
      </c>
      <c r="C22" s="48">
        <v>18929731</v>
      </c>
      <c r="D22" s="26" t="s">
        <v>18</v>
      </c>
      <c r="E22" s="28">
        <v>183600</v>
      </c>
      <c r="F22" s="28"/>
      <c r="G22" s="49">
        <f t="shared" si="2"/>
        <v>183600</v>
      </c>
    </row>
    <row r="23" spans="1:8" x14ac:dyDescent="0.25">
      <c r="A23">
        <f t="shared" si="3"/>
        <v>7</v>
      </c>
      <c r="B23" s="27" t="s">
        <v>408</v>
      </c>
      <c r="C23" s="48">
        <v>29642952</v>
      </c>
      <c r="D23" s="26" t="s">
        <v>188</v>
      </c>
      <c r="E23" s="28">
        <v>730000</v>
      </c>
      <c r="F23" s="28"/>
      <c r="G23" s="49">
        <f t="shared" ref="G23" si="4">E23-F23</f>
        <v>730000</v>
      </c>
    </row>
    <row r="24" spans="1:8" x14ac:dyDescent="0.25">
      <c r="A24">
        <f t="shared" si="3"/>
        <v>8</v>
      </c>
      <c r="B24" s="27" t="s">
        <v>280</v>
      </c>
      <c r="C24" s="48">
        <v>30816852</v>
      </c>
      <c r="D24" s="26" t="s">
        <v>281</v>
      </c>
      <c r="E24" s="28"/>
      <c r="F24" s="28"/>
      <c r="G24" s="49">
        <f>E24-F24</f>
        <v>0</v>
      </c>
    </row>
    <row r="25" spans="1:8" x14ac:dyDescent="0.25">
      <c r="A25">
        <f t="shared" si="3"/>
        <v>9</v>
      </c>
      <c r="B25" s="27" t="s">
        <v>282</v>
      </c>
      <c r="C25" s="48">
        <v>16293069</v>
      </c>
      <c r="D25" s="26" t="s">
        <v>281</v>
      </c>
      <c r="E25" s="28"/>
      <c r="F25" s="28"/>
      <c r="G25" s="49">
        <f>E25-F25</f>
        <v>0</v>
      </c>
    </row>
    <row r="26" spans="1:8" x14ac:dyDescent="0.25">
      <c r="E26" s="47"/>
      <c r="G26" s="47">
        <f>SUM(G17:G25)</f>
        <v>1949600</v>
      </c>
      <c r="H26" s="47"/>
    </row>
    <row r="28" spans="1:8" x14ac:dyDescent="0.25">
      <c r="B28" s="3" t="s">
        <v>861</v>
      </c>
    </row>
    <row r="29" spans="1:8" x14ac:dyDescent="0.25">
      <c r="B29" s="26" t="s">
        <v>187</v>
      </c>
      <c r="C29" s="26" t="s">
        <v>179</v>
      </c>
      <c r="D29" s="26" t="s">
        <v>15</v>
      </c>
      <c r="E29" s="26" t="s">
        <v>182</v>
      </c>
      <c r="F29" s="26" t="s">
        <v>184</v>
      </c>
      <c r="G29" s="27" t="s">
        <v>192</v>
      </c>
    </row>
    <row r="30" spans="1:8" x14ac:dyDescent="0.25">
      <c r="A30">
        <v>1</v>
      </c>
      <c r="B30" s="27" t="s">
        <v>10</v>
      </c>
      <c r="C30" s="48">
        <v>13029957</v>
      </c>
      <c r="D30" s="26" t="s">
        <v>12</v>
      </c>
      <c r="E30" s="46">
        <v>210000</v>
      </c>
      <c r="F30" s="46"/>
      <c r="G30" s="49">
        <f t="shared" ref="G30:G36" si="5">E30-F30</f>
        <v>210000</v>
      </c>
    </row>
    <row r="31" spans="1:8" x14ac:dyDescent="0.25">
      <c r="A31">
        <f t="shared" ref="A31:A38" si="6">A30+1</f>
        <v>2</v>
      </c>
      <c r="B31" s="27" t="s">
        <v>19</v>
      </c>
      <c r="C31" s="48">
        <v>26823112</v>
      </c>
      <c r="D31" s="26" t="s">
        <v>188</v>
      </c>
      <c r="E31" s="28">
        <v>246200</v>
      </c>
      <c r="F31" s="28">
        <v>50000</v>
      </c>
      <c r="G31" s="49">
        <f t="shared" si="5"/>
        <v>196200</v>
      </c>
    </row>
    <row r="32" spans="1:8" x14ac:dyDescent="0.25">
      <c r="A32">
        <f t="shared" si="6"/>
        <v>3</v>
      </c>
      <c r="B32" s="27" t="s">
        <v>186</v>
      </c>
      <c r="C32" s="48">
        <v>32132485</v>
      </c>
      <c r="D32" s="26" t="s">
        <v>31</v>
      </c>
      <c r="E32" s="28">
        <v>150000</v>
      </c>
      <c r="F32" s="28"/>
      <c r="G32" s="49">
        <f t="shared" si="5"/>
        <v>150000</v>
      </c>
    </row>
    <row r="33" spans="1:8" x14ac:dyDescent="0.25">
      <c r="A33">
        <f t="shared" si="6"/>
        <v>4</v>
      </c>
      <c r="B33" s="27" t="s">
        <v>30</v>
      </c>
      <c r="C33" s="48">
        <v>1077085321</v>
      </c>
      <c r="D33" s="26" t="s">
        <v>12</v>
      </c>
      <c r="E33" s="28">
        <v>228000</v>
      </c>
      <c r="F33" s="28">
        <v>51000</v>
      </c>
      <c r="G33" s="49">
        <f t="shared" si="5"/>
        <v>177000</v>
      </c>
    </row>
    <row r="34" spans="1:8" x14ac:dyDescent="0.25">
      <c r="A34">
        <f t="shared" si="6"/>
        <v>5</v>
      </c>
      <c r="B34" s="27" t="s">
        <v>185</v>
      </c>
      <c r="C34" s="48">
        <v>26035834</v>
      </c>
      <c r="D34" s="26" t="s">
        <v>16</v>
      </c>
      <c r="E34" s="28">
        <v>116000</v>
      </c>
      <c r="F34" s="28"/>
      <c r="G34" s="49">
        <f t="shared" si="5"/>
        <v>116000</v>
      </c>
    </row>
    <row r="35" spans="1:8" x14ac:dyDescent="0.25">
      <c r="A35">
        <f t="shared" si="6"/>
        <v>6</v>
      </c>
      <c r="B35" s="27" t="s">
        <v>33</v>
      </c>
      <c r="C35" s="48">
        <v>18929731</v>
      </c>
      <c r="D35" s="26" t="s">
        <v>18</v>
      </c>
      <c r="E35" s="28">
        <v>1000000</v>
      </c>
      <c r="F35" s="28"/>
      <c r="G35" s="49">
        <f t="shared" si="5"/>
        <v>1000000</v>
      </c>
      <c r="H35" s="63"/>
    </row>
    <row r="36" spans="1:8" x14ac:dyDescent="0.25">
      <c r="A36">
        <f t="shared" si="6"/>
        <v>7</v>
      </c>
      <c r="B36" s="27" t="s">
        <v>408</v>
      </c>
      <c r="C36" s="48">
        <v>29642952</v>
      </c>
      <c r="D36" s="26" t="s">
        <v>188</v>
      </c>
      <c r="E36" s="28">
        <v>561000</v>
      </c>
      <c r="F36" s="28"/>
      <c r="G36" s="49">
        <f t="shared" si="5"/>
        <v>561000</v>
      </c>
    </row>
    <row r="37" spans="1:8" x14ac:dyDescent="0.25">
      <c r="A37">
        <f t="shared" si="6"/>
        <v>8</v>
      </c>
      <c r="B37" s="27" t="s">
        <v>280</v>
      </c>
      <c r="C37" s="48">
        <v>30816852</v>
      </c>
      <c r="D37" s="26" t="s">
        <v>281</v>
      </c>
      <c r="E37" s="28"/>
      <c r="F37" s="28"/>
      <c r="G37" s="49">
        <f>E37-F37</f>
        <v>0</v>
      </c>
    </row>
    <row r="38" spans="1:8" x14ac:dyDescent="0.25">
      <c r="A38">
        <f t="shared" si="6"/>
        <v>9</v>
      </c>
      <c r="B38" s="27" t="s">
        <v>282</v>
      </c>
      <c r="C38" s="48">
        <v>16293069</v>
      </c>
      <c r="D38" s="26" t="s">
        <v>281</v>
      </c>
      <c r="E38" s="28"/>
      <c r="F38" s="28"/>
      <c r="G38" s="49">
        <f>E38-F38</f>
        <v>0</v>
      </c>
    </row>
    <row r="39" spans="1:8" x14ac:dyDescent="0.25">
      <c r="E39" s="47">
        <f>SUM(E30:E38)</f>
        <v>2511200</v>
      </c>
      <c r="G39" s="47">
        <f>SUM(G30:G38)</f>
        <v>2410200</v>
      </c>
    </row>
    <row r="41" spans="1:8" x14ac:dyDescent="0.25">
      <c r="G41" s="64"/>
    </row>
    <row r="42" spans="1:8" x14ac:dyDescent="0.25">
      <c r="B42" s="3" t="s">
        <v>951</v>
      </c>
    </row>
    <row r="43" spans="1:8" x14ac:dyDescent="0.25">
      <c r="B43" s="69" t="s">
        <v>187</v>
      </c>
      <c r="C43" s="69" t="s">
        <v>179</v>
      </c>
      <c r="D43" s="69" t="s">
        <v>15</v>
      </c>
      <c r="E43" s="69" t="s">
        <v>182</v>
      </c>
      <c r="F43" s="69" t="s">
        <v>184</v>
      </c>
      <c r="G43" s="69" t="s">
        <v>192</v>
      </c>
    </row>
    <row r="44" spans="1:8" x14ac:dyDescent="0.25">
      <c r="A44">
        <v>1</v>
      </c>
      <c r="B44" s="27" t="s">
        <v>10</v>
      </c>
      <c r="C44" s="48">
        <v>13029957</v>
      </c>
      <c r="D44" s="26" t="s">
        <v>12</v>
      </c>
      <c r="E44" s="46">
        <v>1164000</v>
      </c>
      <c r="F44" s="46">
        <v>200000</v>
      </c>
      <c r="G44" s="49">
        <f t="shared" ref="G44:G49" si="7">E44-F44</f>
        <v>964000</v>
      </c>
    </row>
    <row r="45" spans="1:8" x14ac:dyDescent="0.25">
      <c r="A45">
        <f t="shared" ref="A45:A49" si="8">A44+1</f>
        <v>2</v>
      </c>
      <c r="B45" s="27" t="s">
        <v>19</v>
      </c>
      <c r="C45" s="48">
        <v>26823112</v>
      </c>
      <c r="D45" s="26" t="s">
        <v>188</v>
      </c>
      <c r="E45" s="28">
        <v>447000</v>
      </c>
      <c r="F45" s="28">
        <v>47000</v>
      </c>
      <c r="G45" s="49">
        <f t="shared" si="7"/>
        <v>400000</v>
      </c>
    </row>
    <row r="46" spans="1:8" x14ac:dyDescent="0.25">
      <c r="A46">
        <f t="shared" si="8"/>
        <v>3</v>
      </c>
      <c r="B46" s="27" t="s">
        <v>186</v>
      </c>
      <c r="C46" s="48">
        <v>32132485</v>
      </c>
      <c r="D46" s="26" t="s">
        <v>31</v>
      </c>
      <c r="E46" s="28">
        <v>150000</v>
      </c>
      <c r="F46" s="28">
        <v>30000</v>
      </c>
      <c r="G46" s="49">
        <f t="shared" si="7"/>
        <v>120000</v>
      </c>
    </row>
    <row r="47" spans="1:8" x14ac:dyDescent="0.25">
      <c r="A47">
        <f t="shared" si="8"/>
        <v>4</v>
      </c>
      <c r="B47" s="27" t="s">
        <v>30</v>
      </c>
      <c r="C47" s="48">
        <v>1077085321</v>
      </c>
      <c r="D47" s="26" t="s">
        <v>12</v>
      </c>
      <c r="E47" s="28">
        <v>168000</v>
      </c>
      <c r="F47" s="28"/>
      <c r="G47" s="49">
        <f t="shared" si="7"/>
        <v>168000</v>
      </c>
    </row>
    <row r="48" spans="1:8" x14ac:dyDescent="0.25">
      <c r="A48">
        <f t="shared" si="8"/>
        <v>5</v>
      </c>
      <c r="B48" s="27" t="s">
        <v>33</v>
      </c>
      <c r="C48" s="48">
        <v>18929731</v>
      </c>
      <c r="D48" s="26" t="s">
        <v>18</v>
      </c>
      <c r="E48" s="28">
        <v>1196040</v>
      </c>
      <c r="F48" s="28"/>
      <c r="G48" s="49">
        <f t="shared" si="7"/>
        <v>1196040</v>
      </c>
      <c r="H48" s="63"/>
    </row>
    <row r="49" spans="1:8" x14ac:dyDescent="0.25">
      <c r="A49">
        <f t="shared" si="8"/>
        <v>6</v>
      </c>
      <c r="B49" s="27" t="s">
        <v>408</v>
      </c>
      <c r="C49" s="48">
        <v>29642952</v>
      </c>
      <c r="D49" s="26" t="s">
        <v>188</v>
      </c>
      <c r="E49" s="28">
        <v>346200</v>
      </c>
      <c r="F49" s="28"/>
      <c r="G49" s="49">
        <f t="shared" si="7"/>
        <v>346200</v>
      </c>
    </row>
    <row r="50" spans="1:8" x14ac:dyDescent="0.25">
      <c r="E50" s="47">
        <f>SUM(E44:E49)</f>
        <v>3471240</v>
      </c>
      <c r="G50" s="47">
        <f>SUM(G44:G49)</f>
        <v>3194240</v>
      </c>
    </row>
    <row r="52" spans="1:8" x14ac:dyDescent="0.25">
      <c r="B52" s="3" t="s">
        <v>1040</v>
      </c>
    </row>
    <row r="53" spans="1:8" x14ac:dyDescent="0.25">
      <c r="B53" s="69" t="s">
        <v>187</v>
      </c>
      <c r="C53" s="69" t="s">
        <v>179</v>
      </c>
      <c r="D53" s="69" t="s">
        <v>15</v>
      </c>
      <c r="E53" s="69" t="s">
        <v>182</v>
      </c>
      <c r="F53" s="69" t="s">
        <v>184</v>
      </c>
      <c r="G53" s="69" t="s">
        <v>192</v>
      </c>
    </row>
    <row r="54" spans="1:8" x14ac:dyDescent="0.25">
      <c r="A54">
        <v>1</v>
      </c>
      <c r="B54" s="27" t="s">
        <v>10</v>
      </c>
      <c r="C54" s="48">
        <v>13029957</v>
      </c>
      <c r="D54" s="26" t="s">
        <v>12</v>
      </c>
      <c r="E54" s="46">
        <v>252000</v>
      </c>
      <c r="F54" s="46"/>
      <c r="G54" s="49">
        <f>E54-F54</f>
        <v>252000</v>
      </c>
    </row>
    <row r="55" spans="1:8" x14ac:dyDescent="0.25">
      <c r="A55">
        <f t="shared" ref="A55:A59" si="9">A54+1</f>
        <v>2</v>
      </c>
      <c r="B55" s="27" t="s">
        <v>19</v>
      </c>
      <c r="C55" s="48">
        <v>26823112</v>
      </c>
      <c r="D55" s="26" t="s">
        <v>188</v>
      </c>
      <c r="E55" s="28"/>
      <c r="F55" s="28"/>
      <c r="G55" s="49">
        <f t="shared" ref="G55:G59" si="10">E55-F55</f>
        <v>0</v>
      </c>
    </row>
    <row r="56" spans="1:8" x14ac:dyDescent="0.25">
      <c r="A56">
        <f t="shared" si="9"/>
        <v>3</v>
      </c>
      <c r="B56" s="27" t="s">
        <v>186</v>
      </c>
      <c r="C56" s="48">
        <v>32132485</v>
      </c>
      <c r="D56" s="26" t="s">
        <v>31</v>
      </c>
      <c r="E56" s="28">
        <v>150000</v>
      </c>
      <c r="F56" s="28">
        <v>30000</v>
      </c>
      <c r="G56" s="49">
        <f t="shared" si="10"/>
        <v>120000</v>
      </c>
    </row>
    <row r="57" spans="1:8" x14ac:dyDescent="0.25">
      <c r="A57">
        <f t="shared" si="9"/>
        <v>4</v>
      </c>
      <c r="B57" s="27" t="s">
        <v>30</v>
      </c>
      <c r="C57" s="48">
        <v>1077085321</v>
      </c>
      <c r="D57" s="26" t="s">
        <v>12</v>
      </c>
      <c r="E57" s="28">
        <v>330000</v>
      </c>
      <c r="F57" s="28" t="s">
        <v>1021</v>
      </c>
      <c r="G57" s="49">
        <v>330000</v>
      </c>
    </row>
    <row r="58" spans="1:8" x14ac:dyDescent="0.25">
      <c r="A58">
        <f t="shared" si="9"/>
        <v>5</v>
      </c>
      <c r="B58" s="27" t="s">
        <v>33</v>
      </c>
      <c r="C58" s="48">
        <v>18929731</v>
      </c>
      <c r="D58" s="26" t="s">
        <v>18</v>
      </c>
      <c r="E58" s="28">
        <v>1000000</v>
      </c>
      <c r="F58" s="28"/>
      <c r="G58" s="49">
        <f t="shared" si="10"/>
        <v>1000000</v>
      </c>
      <c r="H58" s="63"/>
    </row>
    <row r="59" spans="1:8" x14ac:dyDescent="0.25">
      <c r="A59">
        <f t="shared" si="9"/>
        <v>6</v>
      </c>
      <c r="B59" s="27" t="s">
        <v>408</v>
      </c>
      <c r="C59" s="48">
        <v>29642952</v>
      </c>
      <c r="D59" s="26" t="s">
        <v>188</v>
      </c>
      <c r="E59" s="28">
        <v>471000</v>
      </c>
      <c r="F59" s="28"/>
      <c r="G59" s="49">
        <f t="shared" si="10"/>
        <v>471000</v>
      </c>
    </row>
    <row r="60" spans="1:8" x14ac:dyDescent="0.25">
      <c r="E60" s="47"/>
      <c r="G60" s="47">
        <f>SUM(G54:G59)</f>
        <v>2173000</v>
      </c>
    </row>
    <row r="61" spans="1:8" x14ac:dyDescent="0.25">
      <c r="E61" s="47"/>
    </row>
    <row r="63" spans="1:8" x14ac:dyDescent="0.25">
      <c r="B63" s="3" t="s">
        <v>1160</v>
      </c>
    </row>
    <row r="64" spans="1:8" x14ac:dyDescent="0.25">
      <c r="B64" s="69" t="s">
        <v>187</v>
      </c>
      <c r="C64" s="69" t="s">
        <v>179</v>
      </c>
      <c r="D64" s="69" t="s">
        <v>15</v>
      </c>
      <c r="E64" s="69" t="s">
        <v>182</v>
      </c>
      <c r="F64" s="69" t="s">
        <v>184</v>
      </c>
      <c r="G64" s="69" t="s">
        <v>192</v>
      </c>
    </row>
    <row r="65" spans="1:12" x14ac:dyDescent="0.25">
      <c r="A65">
        <v>1</v>
      </c>
      <c r="B65" s="27" t="s">
        <v>10</v>
      </c>
      <c r="C65" s="48">
        <v>13029957</v>
      </c>
      <c r="D65" s="26" t="s">
        <v>12</v>
      </c>
      <c r="E65" s="46">
        <v>1020000</v>
      </c>
      <c r="F65" s="46">
        <v>40000</v>
      </c>
      <c r="G65" s="49">
        <f>E65-F65</f>
        <v>980000</v>
      </c>
    </row>
    <row r="66" spans="1:12" x14ac:dyDescent="0.25">
      <c r="A66">
        <f t="shared" ref="A66:A70" si="11">A65+1</f>
        <v>2</v>
      </c>
      <c r="B66" s="27" t="s">
        <v>19</v>
      </c>
      <c r="C66" s="48">
        <v>26823112</v>
      </c>
      <c r="D66" s="26" t="s">
        <v>188</v>
      </c>
      <c r="E66" s="28">
        <v>681700</v>
      </c>
      <c r="F66" s="28">
        <v>70000</v>
      </c>
      <c r="G66" s="49">
        <f t="shared" ref="G66:G67" si="12">E66-F66</f>
        <v>611700</v>
      </c>
    </row>
    <row r="67" spans="1:12" x14ac:dyDescent="0.25">
      <c r="A67">
        <f t="shared" si="11"/>
        <v>3</v>
      </c>
      <c r="B67" s="27" t="s">
        <v>186</v>
      </c>
      <c r="C67" s="48">
        <v>32132485</v>
      </c>
      <c r="D67" s="26" t="s">
        <v>31</v>
      </c>
      <c r="E67" s="28">
        <v>150000</v>
      </c>
      <c r="F67" s="28">
        <v>30000</v>
      </c>
      <c r="G67" s="49">
        <f t="shared" si="12"/>
        <v>120000</v>
      </c>
    </row>
    <row r="68" spans="1:12" x14ac:dyDescent="0.25">
      <c r="A68">
        <f t="shared" si="11"/>
        <v>4</v>
      </c>
      <c r="B68" s="27" t="s">
        <v>30</v>
      </c>
      <c r="C68" s="48">
        <v>1077085321</v>
      </c>
      <c r="D68" s="26" t="s">
        <v>12</v>
      </c>
      <c r="E68" s="28">
        <v>234000</v>
      </c>
      <c r="F68" s="28"/>
      <c r="G68" s="49"/>
      <c r="J68" t="s">
        <v>168</v>
      </c>
    </row>
    <row r="69" spans="1:12" x14ac:dyDescent="0.25">
      <c r="A69">
        <f t="shared" si="11"/>
        <v>5</v>
      </c>
      <c r="B69" s="27" t="s">
        <v>33</v>
      </c>
      <c r="C69" s="48">
        <v>18929731</v>
      </c>
      <c r="D69" s="26" t="s">
        <v>18</v>
      </c>
      <c r="E69" s="28">
        <v>1000000</v>
      </c>
      <c r="F69" s="28">
        <v>40000</v>
      </c>
      <c r="G69" s="49">
        <f t="shared" ref="G69:G70" si="13">E69-F69</f>
        <v>960000</v>
      </c>
      <c r="H69" s="49">
        <v>40000</v>
      </c>
      <c r="I69" t="s">
        <v>1161</v>
      </c>
      <c r="J69" s="49">
        <v>350000</v>
      </c>
      <c r="K69" s="49">
        <v>183000</v>
      </c>
      <c r="L69" s="84">
        <f>H69+J69+K69</f>
        <v>573000</v>
      </c>
    </row>
    <row r="70" spans="1:12" x14ac:dyDescent="0.25">
      <c r="A70">
        <f t="shared" si="11"/>
        <v>6</v>
      </c>
      <c r="B70" s="27" t="s">
        <v>408</v>
      </c>
      <c r="C70" s="48">
        <v>29642952</v>
      </c>
      <c r="D70" s="26" t="s">
        <v>188</v>
      </c>
      <c r="E70" s="28"/>
      <c r="F70" s="28"/>
      <c r="G70" s="49">
        <f t="shared" si="13"/>
        <v>0</v>
      </c>
    </row>
    <row r="71" spans="1:12" x14ac:dyDescent="0.25">
      <c r="G71" s="47">
        <f>SUM(G65:G70)</f>
        <v>2671700</v>
      </c>
      <c r="L71" s="64">
        <f>1000000-L69</f>
        <v>427000</v>
      </c>
    </row>
    <row r="75" spans="1:12" x14ac:dyDescent="0.25">
      <c r="B75" s="3" t="s">
        <v>1193</v>
      </c>
    </row>
    <row r="76" spans="1:12" x14ac:dyDescent="0.25">
      <c r="B76" s="69" t="s">
        <v>187</v>
      </c>
      <c r="C76" s="69" t="s">
        <v>179</v>
      </c>
      <c r="D76" s="69" t="s">
        <v>15</v>
      </c>
      <c r="E76" s="69" t="s">
        <v>182</v>
      </c>
      <c r="F76" s="69" t="s">
        <v>184</v>
      </c>
      <c r="G76" s="69" t="s">
        <v>192</v>
      </c>
    </row>
    <row r="77" spans="1:12" x14ac:dyDescent="0.25">
      <c r="A77">
        <v>1</v>
      </c>
      <c r="B77" s="27" t="s">
        <v>10</v>
      </c>
      <c r="C77" s="48">
        <v>13029957</v>
      </c>
      <c r="D77" s="26" t="s">
        <v>12</v>
      </c>
      <c r="E77" s="46">
        <v>900000</v>
      </c>
      <c r="F77" s="46"/>
      <c r="G77" s="49">
        <f>E77-F77</f>
        <v>900000</v>
      </c>
    </row>
    <row r="78" spans="1:12" x14ac:dyDescent="0.25">
      <c r="A78">
        <f t="shared" ref="A78:A82" si="14">A77+1</f>
        <v>2</v>
      </c>
      <c r="B78" s="27" t="s">
        <v>19</v>
      </c>
      <c r="C78" s="48">
        <v>26823112</v>
      </c>
      <c r="D78" s="26" t="s">
        <v>188</v>
      </c>
      <c r="E78" s="28"/>
      <c r="F78" s="28"/>
      <c r="G78" s="49">
        <f t="shared" ref="G78:G79" si="15">E78-F78</f>
        <v>0</v>
      </c>
    </row>
    <row r="79" spans="1:12" x14ac:dyDescent="0.25">
      <c r="A79">
        <f t="shared" si="14"/>
        <v>3</v>
      </c>
      <c r="B79" s="27" t="s">
        <v>186</v>
      </c>
      <c r="C79" s="48">
        <v>32132485</v>
      </c>
      <c r="D79" s="26" t="s">
        <v>31</v>
      </c>
      <c r="E79" s="28">
        <v>150000</v>
      </c>
      <c r="F79" s="28">
        <v>30000</v>
      </c>
      <c r="G79" s="49">
        <f t="shared" si="15"/>
        <v>120000</v>
      </c>
    </row>
    <row r="80" spans="1:12" x14ac:dyDescent="0.25">
      <c r="A80">
        <f t="shared" si="14"/>
        <v>4</v>
      </c>
      <c r="B80" s="27" t="s">
        <v>30</v>
      </c>
      <c r="C80" s="48">
        <v>1077085321</v>
      </c>
      <c r="D80" s="26" t="s">
        <v>12</v>
      </c>
      <c r="E80" s="28">
        <v>120000</v>
      </c>
      <c r="F80" s="28"/>
      <c r="G80" s="49"/>
    </row>
    <row r="81" spans="1:8" x14ac:dyDescent="0.25">
      <c r="A81">
        <f t="shared" si="14"/>
        <v>5</v>
      </c>
      <c r="B81" s="27" t="s">
        <v>33</v>
      </c>
      <c r="C81" s="48">
        <v>18929731</v>
      </c>
      <c r="D81" s="26" t="s">
        <v>18</v>
      </c>
      <c r="E81" s="28">
        <v>1298000</v>
      </c>
      <c r="F81" s="28"/>
      <c r="G81" s="49">
        <f t="shared" ref="G81:G82" si="16">E81-F81</f>
        <v>1298000</v>
      </c>
    </row>
    <row r="82" spans="1:8" x14ac:dyDescent="0.25">
      <c r="A82">
        <f t="shared" si="14"/>
        <v>6</v>
      </c>
      <c r="B82" s="27" t="s">
        <v>408</v>
      </c>
      <c r="C82" s="48">
        <v>29642952</v>
      </c>
      <c r="D82" s="26" t="s">
        <v>188</v>
      </c>
      <c r="E82" s="28">
        <v>337200</v>
      </c>
      <c r="F82" s="28"/>
      <c r="G82" s="49">
        <f t="shared" si="16"/>
        <v>337200</v>
      </c>
    </row>
    <row r="83" spans="1:8" x14ac:dyDescent="0.25">
      <c r="G83" s="47">
        <f>SUM(G77:G82)</f>
        <v>2655200</v>
      </c>
    </row>
    <row r="85" spans="1:8" x14ac:dyDescent="0.25">
      <c r="F85" t="s">
        <v>1200</v>
      </c>
      <c r="G85" s="47">
        <v>50000</v>
      </c>
    </row>
    <row r="86" spans="1:8" x14ac:dyDescent="0.25">
      <c r="G86" s="47">
        <f>SUM(G83:G85)</f>
        <v>2705200</v>
      </c>
    </row>
    <row r="89" spans="1:8" x14ac:dyDescent="0.25">
      <c r="G89" s="64">
        <f>G86-2550000</f>
        <v>155200</v>
      </c>
    </row>
    <row r="91" spans="1:8" x14ac:dyDescent="0.25">
      <c r="B91" s="3" t="s">
        <v>1253</v>
      </c>
    </row>
    <row r="92" spans="1:8" x14ac:dyDescent="0.25">
      <c r="B92" s="69" t="s">
        <v>187</v>
      </c>
      <c r="C92" s="69" t="s">
        <v>179</v>
      </c>
      <c r="D92" s="69" t="s">
        <v>15</v>
      </c>
      <c r="E92" s="69" t="s">
        <v>182</v>
      </c>
      <c r="F92" s="69" t="s">
        <v>184</v>
      </c>
      <c r="G92" s="69" t="s">
        <v>192</v>
      </c>
    </row>
    <row r="93" spans="1:8" x14ac:dyDescent="0.25">
      <c r="A93">
        <v>1</v>
      </c>
      <c r="B93" s="27" t="s">
        <v>10</v>
      </c>
      <c r="C93" s="48">
        <v>13029957</v>
      </c>
      <c r="D93" s="26" t="s">
        <v>12</v>
      </c>
      <c r="E93" s="46">
        <v>210000</v>
      </c>
      <c r="F93" s="46"/>
      <c r="G93" s="49">
        <v>500000</v>
      </c>
      <c r="H93" s="64">
        <f>G93-E93</f>
        <v>290000</v>
      </c>
    </row>
    <row r="94" spans="1:8" x14ac:dyDescent="0.25">
      <c r="A94">
        <f t="shared" ref="A94:A98" si="17">A93+1</f>
        <v>2</v>
      </c>
      <c r="B94" s="27" t="s">
        <v>19</v>
      </c>
      <c r="C94" s="48">
        <v>26823112</v>
      </c>
      <c r="D94" s="26" t="s">
        <v>188</v>
      </c>
      <c r="E94" s="28"/>
      <c r="F94" s="28"/>
      <c r="G94" s="49">
        <f t="shared" ref="G94:G98" si="18">E94-F94</f>
        <v>0</v>
      </c>
    </row>
    <row r="95" spans="1:8" x14ac:dyDescent="0.25">
      <c r="A95">
        <f t="shared" si="17"/>
        <v>3</v>
      </c>
      <c r="B95" s="27" t="s">
        <v>186</v>
      </c>
      <c r="C95" s="48">
        <v>32132485</v>
      </c>
      <c r="D95" s="26" t="s">
        <v>31</v>
      </c>
      <c r="E95" s="28">
        <v>150000</v>
      </c>
      <c r="F95" s="28">
        <v>30000</v>
      </c>
      <c r="G95" s="49">
        <f t="shared" si="18"/>
        <v>120000</v>
      </c>
    </row>
    <row r="96" spans="1:8" x14ac:dyDescent="0.25">
      <c r="A96">
        <f t="shared" si="17"/>
        <v>4</v>
      </c>
      <c r="B96" s="27" t="s">
        <v>30</v>
      </c>
      <c r="C96" s="48">
        <v>1077085321</v>
      </c>
      <c r="D96" s="26" t="s">
        <v>12</v>
      </c>
      <c r="E96" s="28">
        <v>528000</v>
      </c>
      <c r="F96" s="28"/>
      <c r="G96" s="49"/>
    </row>
    <row r="97" spans="1:9" x14ac:dyDescent="0.25">
      <c r="A97">
        <f t="shared" si="17"/>
        <v>5</v>
      </c>
      <c r="B97" s="27" t="s">
        <v>33</v>
      </c>
      <c r="C97" s="48">
        <v>18929731</v>
      </c>
      <c r="D97" s="26" t="s">
        <v>18</v>
      </c>
      <c r="E97" s="28">
        <v>1000000</v>
      </c>
      <c r="F97" s="28"/>
      <c r="G97" s="49">
        <f t="shared" si="18"/>
        <v>1000000</v>
      </c>
      <c r="H97" s="49">
        <v>403800</v>
      </c>
      <c r="I97" s="64">
        <f>E97-H97</f>
        <v>596200</v>
      </c>
    </row>
    <row r="98" spans="1:9" x14ac:dyDescent="0.25">
      <c r="A98">
        <f t="shared" si="17"/>
        <v>6</v>
      </c>
      <c r="B98" s="27" t="s">
        <v>408</v>
      </c>
      <c r="C98" s="48">
        <v>29642952</v>
      </c>
      <c r="D98" s="26" t="s">
        <v>188</v>
      </c>
      <c r="E98" s="28">
        <v>495000</v>
      </c>
      <c r="F98" s="28"/>
      <c r="G98" s="49">
        <f t="shared" si="18"/>
        <v>495000</v>
      </c>
    </row>
    <row r="99" spans="1:9" x14ac:dyDescent="0.25">
      <c r="E99" s="47">
        <f>SUM(E93:E98)</f>
        <v>2383000</v>
      </c>
      <c r="G99" s="47">
        <f>SUM(G93:G98)</f>
        <v>2115000</v>
      </c>
    </row>
    <row r="101" spans="1:9" x14ac:dyDescent="0.25">
      <c r="G101" s="47">
        <v>50000</v>
      </c>
    </row>
    <row r="102" spans="1:9" x14ac:dyDescent="0.25">
      <c r="G102" s="47">
        <v>37000</v>
      </c>
    </row>
    <row r="103" spans="1:9" x14ac:dyDescent="0.25">
      <c r="G103" s="47">
        <f>SUM(G99:G102)</f>
        <v>2202000</v>
      </c>
    </row>
    <row r="106" spans="1:9" x14ac:dyDescent="0.25">
      <c r="G106" s="64">
        <f>G103-840000</f>
        <v>1362000</v>
      </c>
    </row>
    <row r="107" spans="1:9" x14ac:dyDescent="0.25">
      <c r="G107" s="64">
        <f>G106-260000</f>
        <v>1102000</v>
      </c>
    </row>
    <row r="109" spans="1:9" x14ac:dyDescent="0.25">
      <c r="B109" s="3" t="s">
        <v>1378</v>
      </c>
    </row>
    <row r="110" spans="1:9" x14ac:dyDescent="0.25">
      <c r="B110" s="69" t="s">
        <v>187</v>
      </c>
      <c r="C110" s="69" t="s">
        <v>179</v>
      </c>
      <c r="D110" s="69" t="s">
        <v>15</v>
      </c>
      <c r="E110" s="69" t="s">
        <v>182</v>
      </c>
      <c r="F110" s="69" t="s">
        <v>184</v>
      </c>
      <c r="G110" s="69" t="s">
        <v>192</v>
      </c>
    </row>
    <row r="111" spans="1:9" x14ac:dyDescent="0.25">
      <c r="A111">
        <v>1</v>
      </c>
      <c r="B111" s="27" t="s">
        <v>10</v>
      </c>
      <c r="C111" s="48">
        <v>13029957</v>
      </c>
      <c r="D111" s="26" t="s">
        <v>12</v>
      </c>
      <c r="E111" s="46">
        <v>1388000</v>
      </c>
      <c r="F111" s="46">
        <v>352000</v>
      </c>
      <c r="G111" s="49">
        <f t="shared" ref="G111:G115" si="19">E111-F111</f>
        <v>1036000</v>
      </c>
    </row>
    <row r="112" spans="1:9" x14ac:dyDescent="0.25">
      <c r="A112">
        <f t="shared" ref="A112:A116" si="20">A111+1</f>
        <v>2</v>
      </c>
      <c r="B112" s="27" t="s">
        <v>19</v>
      </c>
      <c r="C112" s="48">
        <v>26823112</v>
      </c>
      <c r="D112" s="26" t="s">
        <v>188</v>
      </c>
      <c r="E112" s="28">
        <v>1036400</v>
      </c>
      <c r="F112" s="28">
        <v>258000</v>
      </c>
      <c r="G112" s="49">
        <f t="shared" si="19"/>
        <v>778400</v>
      </c>
    </row>
    <row r="113" spans="1:7" x14ac:dyDescent="0.25">
      <c r="A113">
        <f t="shared" si="20"/>
        <v>3</v>
      </c>
      <c r="B113" s="27" t="s">
        <v>186</v>
      </c>
      <c r="C113" s="48">
        <v>32132485</v>
      </c>
      <c r="D113" s="26" t="s">
        <v>31</v>
      </c>
      <c r="E113" s="28">
        <v>150000</v>
      </c>
      <c r="F113" s="28">
        <v>30000</v>
      </c>
      <c r="G113" s="49">
        <f t="shared" si="19"/>
        <v>120000</v>
      </c>
    </row>
    <row r="114" spans="1:7" x14ac:dyDescent="0.25">
      <c r="A114">
        <f t="shared" si="20"/>
        <v>4</v>
      </c>
      <c r="B114" s="27" t="s">
        <v>30</v>
      </c>
      <c r="C114" s="48">
        <v>1077085321</v>
      </c>
      <c r="D114" s="26" t="s">
        <v>12</v>
      </c>
      <c r="E114" s="28">
        <v>264000</v>
      </c>
      <c r="F114" s="28"/>
      <c r="G114" s="49"/>
    </row>
    <row r="115" spans="1:7" x14ac:dyDescent="0.25">
      <c r="A115">
        <f t="shared" si="20"/>
        <v>5</v>
      </c>
      <c r="B115" s="27" t="s">
        <v>33</v>
      </c>
      <c r="C115" s="48">
        <v>18929731</v>
      </c>
      <c r="D115" s="26" t="s">
        <v>18</v>
      </c>
      <c r="E115" s="28">
        <v>783300</v>
      </c>
      <c r="F115" s="28"/>
      <c r="G115" s="49">
        <f t="shared" si="19"/>
        <v>783300</v>
      </c>
    </row>
    <row r="116" spans="1:7" x14ac:dyDescent="0.25">
      <c r="A116">
        <f t="shared" si="20"/>
        <v>6</v>
      </c>
      <c r="B116" s="27" t="s">
        <v>408</v>
      </c>
      <c r="C116" s="48">
        <v>29642952</v>
      </c>
      <c r="D116" s="26" t="s">
        <v>188</v>
      </c>
      <c r="E116" s="28"/>
      <c r="F116" s="28"/>
      <c r="G116" s="49">
        <f t="shared" ref="G116" si="21">E116-F116</f>
        <v>0</v>
      </c>
    </row>
    <row r="117" spans="1:7" x14ac:dyDescent="0.25">
      <c r="E117" s="47">
        <f>SUM(E111:E116)</f>
        <v>3621700</v>
      </c>
      <c r="G117" s="47">
        <f>SUM(G111:G116)</f>
        <v>2717700</v>
      </c>
    </row>
    <row r="120" spans="1:7" x14ac:dyDescent="0.25">
      <c r="F120" t="s">
        <v>1381</v>
      </c>
      <c r="G120" s="47">
        <v>88000</v>
      </c>
    </row>
    <row r="121" spans="1:7" x14ac:dyDescent="0.25">
      <c r="F121" t="s">
        <v>1382</v>
      </c>
      <c r="G121" s="47">
        <v>300000</v>
      </c>
    </row>
    <row r="124" spans="1:7" x14ac:dyDescent="0.25">
      <c r="G124" s="47">
        <f>SUM(G117:G121)</f>
        <v>3105700</v>
      </c>
    </row>
    <row r="125" spans="1:7" x14ac:dyDescent="0.25">
      <c r="G125" s="47">
        <f>85000+50000</f>
        <v>135000</v>
      </c>
    </row>
    <row r="126" spans="1:7" x14ac:dyDescent="0.25">
      <c r="G126" s="64">
        <f>G124-G125</f>
        <v>2970700</v>
      </c>
    </row>
    <row r="128" spans="1:7" x14ac:dyDescent="0.25">
      <c r="B128" s="3" t="s">
        <v>1472</v>
      </c>
    </row>
    <row r="129" spans="1:10" x14ac:dyDescent="0.25">
      <c r="B129" s="69" t="s">
        <v>187</v>
      </c>
      <c r="C129" s="69" t="s">
        <v>179</v>
      </c>
      <c r="D129" s="69" t="s">
        <v>15</v>
      </c>
      <c r="E129" s="69" t="s">
        <v>182</v>
      </c>
      <c r="F129" s="69" t="s">
        <v>184</v>
      </c>
      <c r="G129" s="69" t="s">
        <v>192</v>
      </c>
    </row>
    <row r="130" spans="1:10" x14ac:dyDescent="0.25">
      <c r="A130">
        <f>A131+1</f>
        <v>2</v>
      </c>
      <c r="B130" s="27" t="s">
        <v>19</v>
      </c>
      <c r="C130" s="48">
        <v>26823112</v>
      </c>
      <c r="D130" s="26" t="s">
        <v>188</v>
      </c>
      <c r="E130" s="28"/>
      <c r="F130" s="28"/>
      <c r="G130" s="49">
        <f>E130-F130</f>
        <v>0</v>
      </c>
    </row>
    <row r="131" spans="1:10" x14ac:dyDescent="0.25">
      <c r="A131">
        <v>1</v>
      </c>
      <c r="B131" s="27" t="s">
        <v>10</v>
      </c>
      <c r="C131" s="48">
        <v>13029957</v>
      </c>
      <c r="D131" s="26" t="s">
        <v>12</v>
      </c>
      <c r="E131" s="46">
        <v>489000</v>
      </c>
      <c r="F131" s="46">
        <v>60000</v>
      </c>
      <c r="G131" s="49">
        <f t="shared" ref="G131:G132" si="22">E131-F131</f>
        <v>429000</v>
      </c>
    </row>
    <row r="132" spans="1:10" x14ac:dyDescent="0.25">
      <c r="A132">
        <f>A130+1</f>
        <v>3</v>
      </c>
      <c r="B132" s="27" t="s">
        <v>186</v>
      </c>
      <c r="C132" s="48">
        <v>32132485</v>
      </c>
      <c r="D132" s="26" t="s">
        <v>31</v>
      </c>
      <c r="E132" s="28">
        <v>150000</v>
      </c>
      <c r="F132" s="28">
        <v>20000</v>
      </c>
      <c r="G132" s="49">
        <f t="shared" si="22"/>
        <v>130000</v>
      </c>
    </row>
    <row r="133" spans="1:10" x14ac:dyDescent="0.25">
      <c r="A133">
        <f t="shared" ref="A133:A134" si="23">A132+1</f>
        <v>4</v>
      </c>
      <c r="B133" s="27" t="s">
        <v>33</v>
      </c>
      <c r="C133" s="48">
        <v>18929731</v>
      </c>
      <c r="D133" s="26" t="s">
        <v>18</v>
      </c>
      <c r="E133" s="28">
        <v>1000000</v>
      </c>
      <c r="F133" s="28"/>
      <c r="G133" s="49">
        <f t="shared" ref="G133:G134" si="24">E133-F133</f>
        <v>1000000</v>
      </c>
      <c r="H133" s="49">
        <v>462000</v>
      </c>
      <c r="I133" s="64">
        <f>G133-H133</f>
        <v>538000</v>
      </c>
    </row>
    <row r="134" spans="1:10" x14ac:dyDescent="0.25">
      <c r="A134">
        <f t="shared" si="23"/>
        <v>5</v>
      </c>
      <c r="B134" s="27" t="s">
        <v>408</v>
      </c>
      <c r="C134" s="48">
        <v>29642952</v>
      </c>
      <c r="D134" s="26" t="s">
        <v>188</v>
      </c>
      <c r="E134" s="28">
        <v>870000</v>
      </c>
      <c r="F134" s="28"/>
      <c r="G134" s="49">
        <f t="shared" si="24"/>
        <v>870000</v>
      </c>
    </row>
    <row r="135" spans="1:10" x14ac:dyDescent="0.25">
      <c r="E135" s="47">
        <f>SUM(E131:E134)</f>
        <v>2509000</v>
      </c>
      <c r="G135" s="47">
        <f>SUM(G130:G134)</f>
        <v>2429000</v>
      </c>
    </row>
    <row r="138" spans="1:10" x14ac:dyDescent="0.25">
      <c r="B138" s="3" t="s">
        <v>1556</v>
      </c>
      <c r="H138" s="64"/>
      <c r="I138" s="64"/>
    </row>
    <row r="139" spans="1:10" x14ac:dyDescent="0.25">
      <c r="B139" s="69" t="s">
        <v>187</v>
      </c>
      <c r="C139" s="69" t="s">
        <v>179</v>
      </c>
      <c r="D139" s="69" t="s">
        <v>15</v>
      </c>
      <c r="E139" s="69" t="s">
        <v>182</v>
      </c>
      <c r="F139" s="69" t="s">
        <v>184</v>
      </c>
      <c r="G139" s="69" t="s">
        <v>192</v>
      </c>
    </row>
    <row r="140" spans="1:10" x14ac:dyDescent="0.25">
      <c r="A140">
        <v>1</v>
      </c>
      <c r="B140" s="27" t="s">
        <v>10</v>
      </c>
      <c r="C140" s="48">
        <v>13029957</v>
      </c>
      <c r="D140" s="26" t="s">
        <v>12</v>
      </c>
      <c r="E140" s="46">
        <v>804000</v>
      </c>
      <c r="F140" s="46"/>
      <c r="G140" s="49">
        <f t="shared" ref="G140:G145" si="25">E140-F140</f>
        <v>804000</v>
      </c>
      <c r="I140" s="64"/>
    </row>
    <row r="141" spans="1:10" x14ac:dyDescent="0.25">
      <c r="A141">
        <f t="shared" ref="A141:A146" si="26">A140+1</f>
        <v>2</v>
      </c>
      <c r="B141" s="27" t="s">
        <v>19</v>
      </c>
      <c r="C141" s="48">
        <v>26823112</v>
      </c>
      <c r="D141" s="26" t="s">
        <v>188</v>
      </c>
      <c r="E141" s="28">
        <v>690000</v>
      </c>
      <c r="F141" s="28"/>
      <c r="G141" s="49">
        <f t="shared" si="25"/>
        <v>690000</v>
      </c>
    </row>
    <row r="142" spans="1:10" x14ac:dyDescent="0.25">
      <c r="A142">
        <f t="shared" si="26"/>
        <v>3</v>
      </c>
      <c r="B142" s="27" t="s">
        <v>784</v>
      </c>
      <c r="C142" s="48">
        <v>32132485</v>
      </c>
      <c r="D142" s="26" t="s">
        <v>31</v>
      </c>
      <c r="E142" s="28">
        <v>200000</v>
      </c>
      <c r="F142" s="28"/>
      <c r="G142" s="49">
        <f t="shared" si="25"/>
        <v>200000</v>
      </c>
    </row>
    <row r="143" spans="1:10" x14ac:dyDescent="0.25">
      <c r="A143">
        <f t="shared" si="26"/>
        <v>4</v>
      </c>
      <c r="B143" s="27" t="s">
        <v>30</v>
      </c>
      <c r="C143" s="48">
        <v>1077085321</v>
      </c>
      <c r="D143" s="26" t="s">
        <v>12</v>
      </c>
      <c r="E143" s="28">
        <v>528000</v>
      </c>
      <c r="F143" s="28"/>
      <c r="G143" s="49">
        <f t="shared" si="25"/>
        <v>528000</v>
      </c>
      <c r="I143" s="64"/>
      <c r="J143" s="64"/>
    </row>
    <row r="144" spans="1:10" x14ac:dyDescent="0.25">
      <c r="A144">
        <f t="shared" si="26"/>
        <v>5</v>
      </c>
      <c r="B144" s="27" t="s">
        <v>33</v>
      </c>
      <c r="C144" s="48">
        <v>18929731</v>
      </c>
      <c r="D144" s="26" t="s">
        <v>18</v>
      </c>
      <c r="E144" s="28">
        <v>1000000</v>
      </c>
      <c r="F144" s="28"/>
      <c r="G144" s="49">
        <f t="shared" si="25"/>
        <v>1000000</v>
      </c>
      <c r="J144" s="64"/>
    </row>
    <row r="145" spans="1:9" x14ac:dyDescent="0.25">
      <c r="A145">
        <f t="shared" si="26"/>
        <v>6</v>
      </c>
      <c r="B145" s="27" t="s">
        <v>408</v>
      </c>
      <c r="C145" s="48">
        <v>29642952</v>
      </c>
      <c r="D145" s="26" t="s">
        <v>188</v>
      </c>
      <c r="E145" s="28"/>
      <c r="F145" s="28"/>
      <c r="G145" s="49">
        <f t="shared" si="25"/>
        <v>0</v>
      </c>
    </row>
    <row r="146" spans="1:9" x14ac:dyDescent="0.25">
      <c r="A146">
        <f t="shared" si="26"/>
        <v>7</v>
      </c>
      <c r="B146" s="27" t="s">
        <v>34</v>
      </c>
      <c r="C146" s="48">
        <v>573844</v>
      </c>
      <c r="D146" s="26" t="s">
        <v>12</v>
      </c>
      <c r="E146" s="46">
        <v>364000</v>
      </c>
      <c r="F146" s="46"/>
      <c r="G146" s="49"/>
      <c r="I146" s="64"/>
    </row>
    <row r="147" spans="1:9" x14ac:dyDescent="0.25">
      <c r="G147" s="47">
        <f>SUM(G140:G146)</f>
        <v>3222000</v>
      </c>
    </row>
    <row r="149" spans="1:9" x14ac:dyDescent="0.25">
      <c r="I149" s="64"/>
    </row>
    <row r="150" spans="1:9" x14ac:dyDescent="0.25">
      <c r="I150" s="64"/>
    </row>
    <row r="153" spans="1:9" x14ac:dyDescent="0.25">
      <c r="B153" s="3" t="s">
        <v>1615</v>
      </c>
    </row>
    <row r="154" spans="1:9" x14ac:dyDescent="0.25">
      <c r="B154" s="69" t="s">
        <v>187</v>
      </c>
      <c r="C154" s="69" t="s">
        <v>179</v>
      </c>
      <c r="D154" s="69" t="s">
        <v>15</v>
      </c>
      <c r="E154" s="69" t="s">
        <v>182</v>
      </c>
      <c r="F154" s="69" t="s">
        <v>184</v>
      </c>
      <c r="G154" s="69" t="s">
        <v>192</v>
      </c>
    </row>
    <row r="155" spans="1:9" x14ac:dyDescent="0.25">
      <c r="A155">
        <v>1</v>
      </c>
      <c r="B155" s="27" t="s">
        <v>10</v>
      </c>
      <c r="C155" s="48">
        <v>13029957</v>
      </c>
      <c r="D155" s="26" t="s">
        <v>12</v>
      </c>
      <c r="E155" s="46">
        <v>822000</v>
      </c>
      <c r="F155" s="28">
        <v>95000</v>
      </c>
      <c r="G155" s="49">
        <f t="shared" ref="G155:G162" si="27">E155-F155</f>
        <v>727000</v>
      </c>
    </row>
    <row r="156" spans="1:9" x14ac:dyDescent="0.25">
      <c r="A156">
        <f t="shared" ref="A156:A162" si="28">A155+1</f>
        <v>2</v>
      </c>
      <c r="B156" s="27" t="s">
        <v>19</v>
      </c>
      <c r="C156" s="48">
        <v>26823112</v>
      </c>
      <c r="D156" s="26" t="s">
        <v>188</v>
      </c>
      <c r="E156" s="28">
        <v>570000</v>
      </c>
      <c r="F156" s="28">
        <v>85000</v>
      </c>
      <c r="G156" s="49">
        <f t="shared" si="27"/>
        <v>485000</v>
      </c>
    </row>
    <row r="157" spans="1:9" x14ac:dyDescent="0.25">
      <c r="A157">
        <f t="shared" si="28"/>
        <v>3</v>
      </c>
      <c r="B157" s="27" t="s">
        <v>784</v>
      </c>
      <c r="C157" s="48">
        <v>32132485</v>
      </c>
      <c r="D157" s="26" t="s">
        <v>31</v>
      </c>
      <c r="E157" s="28">
        <v>200000</v>
      </c>
      <c r="F157" s="28">
        <v>10000</v>
      </c>
      <c r="G157" s="49">
        <v>27</v>
      </c>
    </row>
    <row r="158" spans="1:9" x14ac:dyDescent="0.25">
      <c r="A158">
        <f t="shared" si="28"/>
        <v>4</v>
      </c>
      <c r="B158" s="27" t="s">
        <v>30</v>
      </c>
      <c r="C158" s="48">
        <v>1077085321</v>
      </c>
      <c r="D158" s="26" t="s">
        <v>12</v>
      </c>
      <c r="E158" s="28">
        <v>720000</v>
      </c>
      <c r="F158" s="28">
        <v>110000</v>
      </c>
      <c r="G158" s="49">
        <f t="shared" si="27"/>
        <v>610000</v>
      </c>
    </row>
    <row r="159" spans="1:9" x14ac:dyDescent="0.25">
      <c r="A159">
        <f t="shared" si="28"/>
        <v>5</v>
      </c>
      <c r="B159" s="27" t="s">
        <v>33</v>
      </c>
      <c r="C159" s="48">
        <v>18929731</v>
      </c>
      <c r="D159" s="26" t="s">
        <v>18</v>
      </c>
      <c r="E159" s="28">
        <v>1000000</v>
      </c>
      <c r="F159" s="28">
        <v>40000</v>
      </c>
      <c r="G159" s="49">
        <f t="shared" si="27"/>
        <v>960000</v>
      </c>
      <c r="H159" s="49">
        <v>326440</v>
      </c>
      <c r="I159" s="64">
        <f>H159-273000</f>
        <v>53440</v>
      </c>
    </row>
    <row r="160" spans="1:9" x14ac:dyDescent="0.25">
      <c r="A160">
        <f t="shared" si="28"/>
        <v>6</v>
      </c>
      <c r="B160" s="27" t="s">
        <v>408</v>
      </c>
      <c r="C160" s="48">
        <v>29642952</v>
      </c>
      <c r="D160" s="26" t="s">
        <v>188</v>
      </c>
      <c r="E160" s="28"/>
      <c r="F160" s="28"/>
      <c r="G160" s="49">
        <f t="shared" si="27"/>
        <v>0</v>
      </c>
    </row>
    <row r="161" spans="1:7" x14ac:dyDescent="0.25">
      <c r="A161">
        <f t="shared" si="28"/>
        <v>7</v>
      </c>
      <c r="B161" s="27" t="s">
        <v>1616</v>
      </c>
      <c r="C161" s="77"/>
      <c r="D161" s="26" t="s">
        <v>1617</v>
      </c>
      <c r="E161" s="28">
        <v>250000</v>
      </c>
      <c r="F161" s="28">
        <v>50000</v>
      </c>
      <c r="G161" s="49">
        <f t="shared" si="27"/>
        <v>200000</v>
      </c>
    </row>
    <row r="162" spans="1:7" x14ac:dyDescent="0.25">
      <c r="A162">
        <f t="shared" si="28"/>
        <v>8</v>
      </c>
      <c r="B162" s="27" t="s">
        <v>282</v>
      </c>
      <c r="C162" s="48">
        <v>16293069</v>
      </c>
      <c r="D162" s="26" t="s">
        <v>1617</v>
      </c>
      <c r="E162" s="28">
        <v>500000</v>
      </c>
      <c r="F162" s="28">
        <v>100000</v>
      </c>
      <c r="G162" s="49">
        <f t="shared" si="27"/>
        <v>400000</v>
      </c>
    </row>
    <row r="163" spans="1:7" x14ac:dyDescent="0.25">
      <c r="E163" s="47">
        <f>SUM(E155:E162)</f>
        <v>4062000</v>
      </c>
      <c r="G163" s="47">
        <f>SUM(G155:G162)</f>
        <v>3382027</v>
      </c>
    </row>
    <row r="166" spans="1:7" x14ac:dyDescent="0.25">
      <c r="F166" t="s">
        <v>1621</v>
      </c>
      <c r="G166" s="49">
        <v>239000</v>
      </c>
    </row>
    <row r="167" spans="1:7" x14ac:dyDescent="0.25">
      <c r="F167" t="s">
        <v>1622</v>
      </c>
      <c r="G167" s="49">
        <v>153000</v>
      </c>
    </row>
    <row r="168" spans="1:7" x14ac:dyDescent="0.25">
      <c r="F168" t="s">
        <v>1623</v>
      </c>
      <c r="G168" s="49">
        <v>16000</v>
      </c>
    </row>
    <row r="170" spans="1:7" x14ac:dyDescent="0.25">
      <c r="G170" s="47">
        <f>SUM(G163:G168)</f>
        <v>3790027</v>
      </c>
    </row>
    <row r="173" spans="1:7" x14ac:dyDescent="0.25">
      <c r="G173" s="47">
        <v>1450000</v>
      </c>
    </row>
    <row r="174" spans="1:7" x14ac:dyDescent="0.25">
      <c r="G174" s="47">
        <v>72000</v>
      </c>
    </row>
    <row r="175" spans="1:7" x14ac:dyDescent="0.25">
      <c r="G175" s="47">
        <f>SUM(G173:G174)</f>
        <v>1522000</v>
      </c>
    </row>
    <row r="177" spans="7:7" x14ac:dyDescent="0.25">
      <c r="G177" s="64" t="s">
        <v>1021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AE53-EEBC-4AB4-A77F-9ED06EF52735}">
  <dimension ref="A1:B12"/>
  <sheetViews>
    <sheetView workbookViewId="0">
      <selection activeCell="B21" sqref="B21"/>
    </sheetView>
  </sheetViews>
  <sheetFormatPr baseColWidth="10" defaultRowHeight="15" x14ac:dyDescent="0.25"/>
  <cols>
    <col min="1" max="1" width="59.85546875" bestFit="1" customWidth="1"/>
    <col min="2" max="2" width="32.28515625" bestFit="1" customWidth="1"/>
  </cols>
  <sheetData>
    <row r="1" spans="1:2" x14ac:dyDescent="0.25">
      <c r="A1" s="5" t="s">
        <v>0</v>
      </c>
      <c r="B1" t="s">
        <v>367</v>
      </c>
    </row>
    <row r="2" spans="1:2" x14ac:dyDescent="0.25">
      <c r="A2" s="5" t="s">
        <v>15</v>
      </c>
      <c r="B2" t="s">
        <v>1039</v>
      </c>
    </row>
    <row r="4" spans="1:2" x14ac:dyDescent="0.25">
      <c r="A4" s="5" t="s">
        <v>13</v>
      </c>
      <c r="B4" t="s">
        <v>27</v>
      </c>
    </row>
    <row r="5" spans="1:2" x14ac:dyDescent="0.25">
      <c r="A5" s="6" t="s">
        <v>20</v>
      </c>
      <c r="B5">
        <v>36000</v>
      </c>
    </row>
    <row r="6" spans="1:2" x14ac:dyDescent="0.25">
      <c r="A6" s="6" t="s">
        <v>1768</v>
      </c>
      <c r="B6">
        <v>36000</v>
      </c>
    </row>
    <row r="7" spans="1:2" x14ac:dyDescent="0.25">
      <c r="A7" s="6" t="s">
        <v>1782</v>
      </c>
      <c r="B7">
        <v>10000</v>
      </c>
    </row>
    <row r="8" spans="1:2" x14ac:dyDescent="0.25">
      <c r="A8" s="6" t="s">
        <v>1792</v>
      </c>
      <c r="B8">
        <v>40000</v>
      </c>
    </row>
    <row r="9" spans="1:2" x14ac:dyDescent="0.25">
      <c r="A9" s="6" t="s">
        <v>1809</v>
      </c>
      <c r="B9">
        <v>60000</v>
      </c>
    </row>
    <row r="10" spans="1:2" x14ac:dyDescent="0.25">
      <c r="A10" s="6" t="s">
        <v>1821</v>
      </c>
      <c r="B10">
        <v>72000</v>
      </c>
    </row>
    <row r="11" spans="1:2" x14ac:dyDescent="0.25">
      <c r="A11" s="6" t="s">
        <v>1840</v>
      </c>
      <c r="B11">
        <v>20000</v>
      </c>
    </row>
    <row r="12" spans="1:2" x14ac:dyDescent="0.25">
      <c r="A12" s="6" t="s">
        <v>14</v>
      </c>
      <c r="B12">
        <v>274000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1664-B3E0-481C-B60D-73A9DABE9547}">
  <dimension ref="A1:C18"/>
  <sheetViews>
    <sheetView workbookViewId="0">
      <selection activeCell="D24" sqref="D24"/>
    </sheetView>
  </sheetViews>
  <sheetFormatPr baseColWidth="10" defaultRowHeight="15" x14ac:dyDescent="0.25"/>
  <cols>
    <col min="1" max="1" width="91.85546875" bestFit="1" customWidth="1"/>
    <col min="2" max="2" width="27.7109375" bestFit="1" customWidth="1"/>
    <col min="3" max="3" width="28.28515625" bestFit="1" customWidth="1"/>
    <col min="4" max="92" width="129.7109375" bestFit="1" customWidth="1"/>
    <col min="93" max="93" width="32.7109375" bestFit="1" customWidth="1"/>
    <col min="94" max="94" width="33.28515625" bestFit="1" customWidth="1"/>
  </cols>
  <sheetData>
    <row r="1" spans="1:3" x14ac:dyDescent="0.25">
      <c r="A1" s="5" t="s">
        <v>0</v>
      </c>
      <c r="B1" t="s">
        <v>367</v>
      </c>
    </row>
    <row r="2" spans="1:3" x14ac:dyDescent="0.25">
      <c r="A2" s="5" t="s">
        <v>15</v>
      </c>
      <c r="B2" t="s">
        <v>808</v>
      </c>
    </row>
    <row r="4" spans="1:3" x14ac:dyDescent="0.25">
      <c r="A4" s="5" t="s">
        <v>13</v>
      </c>
      <c r="B4" t="s">
        <v>132</v>
      </c>
      <c r="C4" t="s">
        <v>133</v>
      </c>
    </row>
    <row r="5" spans="1:3" x14ac:dyDescent="0.25">
      <c r="A5" s="6" t="s">
        <v>516</v>
      </c>
      <c r="B5">
        <v>210000</v>
      </c>
      <c r="C5">
        <v>272000</v>
      </c>
    </row>
    <row r="6" spans="1:3" x14ac:dyDescent="0.25">
      <c r="A6" s="6" t="s">
        <v>798</v>
      </c>
      <c r="B6">
        <v>60000</v>
      </c>
      <c r="C6">
        <v>84000</v>
      </c>
    </row>
    <row r="7" spans="1:3" x14ac:dyDescent="0.25">
      <c r="A7" s="6" t="s">
        <v>217</v>
      </c>
      <c r="B7">
        <v>50000</v>
      </c>
      <c r="C7">
        <v>90000</v>
      </c>
    </row>
    <row r="8" spans="1:3" x14ac:dyDescent="0.25">
      <c r="A8" s="6" t="s">
        <v>807</v>
      </c>
      <c r="B8">
        <v>261000</v>
      </c>
      <c r="C8">
        <v>200700</v>
      </c>
    </row>
    <row r="9" spans="1:3" x14ac:dyDescent="0.25">
      <c r="A9" s="6" t="s">
        <v>791</v>
      </c>
      <c r="B9">
        <v>31000</v>
      </c>
      <c r="C9">
        <v>145000</v>
      </c>
    </row>
    <row r="10" spans="1:3" x14ac:dyDescent="0.25">
      <c r="A10" s="6" t="s">
        <v>799</v>
      </c>
      <c r="B10">
        <v>207000</v>
      </c>
      <c r="C10">
        <v>287000</v>
      </c>
    </row>
    <row r="11" spans="1:3" x14ac:dyDescent="0.25">
      <c r="A11" s="6" t="s">
        <v>802</v>
      </c>
      <c r="B11">
        <v>240000</v>
      </c>
      <c r="C11">
        <v>332000</v>
      </c>
    </row>
    <row r="12" spans="1:3" x14ac:dyDescent="0.25">
      <c r="A12" s="6" t="s">
        <v>862</v>
      </c>
    </row>
    <row r="13" spans="1:3" x14ac:dyDescent="0.25">
      <c r="A13" s="6" t="s">
        <v>812</v>
      </c>
      <c r="B13">
        <v>90000</v>
      </c>
      <c r="C13">
        <v>110000</v>
      </c>
    </row>
    <row r="14" spans="1:3" x14ac:dyDescent="0.25">
      <c r="A14" s="6" t="s">
        <v>818</v>
      </c>
      <c r="B14">
        <v>302000</v>
      </c>
      <c r="C14">
        <v>568000</v>
      </c>
    </row>
    <row r="15" spans="1:3" x14ac:dyDescent="0.25">
      <c r="A15" s="6" t="s">
        <v>831</v>
      </c>
      <c r="B15">
        <v>23025</v>
      </c>
      <c r="C15">
        <v>37000</v>
      </c>
    </row>
    <row r="16" spans="1:3" x14ac:dyDescent="0.25">
      <c r="A16" s="6" t="s">
        <v>845</v>
      </c>
      <c r="B16">
        <v>235000</v>
      </c>
      <c r="C16">
        <v>312000</v>
      </c>
    </row>
    <row r="17" spans="1:3" x14ac:dyDescent="0.25">
      <c r="A17" s="6" t="s">
        <v>849</v>
      </c>
      <c r="B17">
        <v>126100</v>
      </c>
      <c r="C17">
        <v>186300</v>
      </c>
    </row>
    <row r="18" spans="1:3" x14ac:dyDescent="0.25">
      <c r="A18" s="6" t="s">
        <v>14</v>
      </c>
      <c r="B18">
        <v>1835125</v>
      </c>
      <c r="C18">
        <v>2624000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9B0B-EF98-450E-9AA6-A99D0B770FAE}">
  <dimension ref="A1:E18"/>
  <sheetViews>
    <sheetView workbookViewId="0">
      <selection activeCell="B16" sqref="B16"/>
    </sheetView>
  </sheetViews>
  <sheetFormatPr baseColWidth="10" defaultRowHeight="15" x14ac:dyDescent="0.25"/>
  <cols>
    <col min="1" max="1" width="14.85546875" customWidth="1"/>
    <col min="2" max="2" width="15.7109375" customWidth="1"/>
    <col min="3" max="3" width="63.140625" customWidth="1"/>
    <col min="4" max="4" width="19.7109375" customWidth="1"/>
    <col min="5" max="5" width="16.7109375" customWidth="1"/>
    <col min="6" max="6" width="17.28515625" customWidth="1"/>
    <col min="7" max="7" width="14.5703125" customWidth="1"/>
  </cols>
  <sheetData>
    <row r="1" spans="1:5" x14ac:dyDescent="0.25">
      <c r="A1" s="86" t="s">
        <v>64</v>
      </c>
      <c r="B1" s="86"/>
      <c r="C1" s="125" t="s">
        <v>2291</v>
      </c>
      <c r="D1" s="126">
        <v>50000</v>
      </c>
      <c r="E1" s="126">
        <v>30000</v>
      </c>
    </row>
    <row r="2" spans="1:5" x14ac:dyDescent="0.25">
      <c r="A2" s="86" t="s">
        <v>54</v>
      </c>
      <c r="B2" s="86" t="s">
        <v>30</v>
      </c>
      <c r="C2" s="125" t="s">
        <v>101</v>
      </c>
      <c r="D2" s="126">
        <v>180000</v>
      </c>
      <c r="E2" s="126">
        <v>108000</v>
      </c>
    </row>
    <row r="3" spans="1:5" x14ac:dyDescent="0.25">
      <c r="A3" s="86" t="s">
        <v>2261</v>
      </c>
      <c r="B3" s="86" t="s">
        <v>30</v>
      </c>
      <c r="C3" s="125" t="s">
        <v>2262</v>
      </c>
      <c r="D3" s="126">
        <v>400000</v>
      </c>
      <c r="E3" s="126">
        <v>240000</v>
      </c>
    </row>
    <row r="4" spans="1:5" x14ac:dyDescent="0.25">
      <c r="A4" s="86" t="s">
        <v>2168</v>
      </c>
      <c r="B4" s="86" t="s">
        <v>30</v>
      </c>
      <c r="C4" s="125" t="s">
        <v>2264</v>
      </c>
      <c r="D4" s="126">
        <v>800000</v>
      </c>
      <c r="E4" s="126">
        <v>480000</v>
      </c>
    </row>
    <row r="5" spans="1:5" ht="25.5" customHeight="1" x14ac:dyDescent="0.25">
      <c r="D5" s="127">
        <f>SUM(D1:D4)</f>
        <v>1430000</v>
      </c>
      <c r="E5" s="127">
        <f>SUM(E1:E4)</f>
        <v>858000</v>
      </c>
    </row>
    <row r="9" spans="1:5" x14ac:dyDescent="0.25">
      <c r="A9" t="s">
        <v>1036</v>
      </c>
    </row>
    <row r="11" spans="1:5" x14ac:dyDescent="0.25">
      <c r="A11" s="81">
        <v>44736</v>
      </c>
      <c r="B11" s="123">
        <v>370000</v>
      </c>
    </row>
    <row r="12" spans="1:5" x14ac:dyDescent="0.25">
      <c r="A12" s="81">
        <v>44742</v>
      </c>
      <c r="B12" s="123">
        <v>170000</v>
      </c>
    </row>
    <row r="13" spans="1:5" x14ac:dyDescent="0.25">
      <c r="A13" s="86" t="s">
        <v>192</v>
      </c>
      <c r="B13" s="124">
        <f>SUM(B11:B12)</f>
        <v>540000</v>
      </c>
    </row>
    <row r="16" spans="1:5" x14ac:dyDescent="0.25">
      <c r="A16" t="s">
        <v>2292</v>
      </c>
      <c r="B16" s="128">
        <v>300000</v>
      </c>
    </row>
    <row r="18" spans="1:2" x14ac:dyDescent="0.25">
      <c r="A18" t="s">
        <v>1038</v>
      </c>
      <c r="B18" s="129">
        <f>B13-B16</f>
        <v>240000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F42"/>
  <sheetViews>
    <sheetView workbookViewId="0">
      <selection activeCell="B15" sqref="B15"/>
    </sheetView>
  </sheetViews>
  <sheetFormatPr baseColWidth="10" defaultRowHeight="15" x14ac:dyDescent="0.25"/>
  <cols>
    <col min="1" max="1" width="60.5703125" customWidth="1"/>
    <col min="2" max="2" width="32.28515625" customWidth="1"/>
    <col min="3" max="4" width="23.5703125" customWidth="1"/>
    <col min="5" max="5" width="6" customWidth="1"/>
    <col min="6" max="6" width="37.28515625" customWidth="1"/>
    <col min="7" max="7" width="28.5703125" bestFit="1" customWidth="1"/>
    <col min="8" max="8" width="6" bestFit="1" customWidth="1"/>
    <col min="9" max="9" width="12.5703125" bestFit="1" customWidth="1"/>
    <col min="10" max="20" width="6" bestFit="1" customWidth="1"/>
    <col min="21" max="22" width="7" bestFit="1" customWidth="1"/>
    <col min="23" max="23" width="11" bestFit="1" customWidth="1"/>
    <col min="24" max="24" width="12.5703125" bestFit="1" customWidth="1"/>
  </cols>
  <sheetData>
    <row r="1" spans="1:3" x14ac:dyDescent="0.25">
      <c r="A1" s="5" t="s">
        <v>15</v>
      </c>
      <c r="B1" t="s">
        <v>30</v>
      </c>
    </row>
    <row r="2" spans="1:3" x14ac:dyDescent="0.25">
      <c r="A2" s="5" t="s">
        <v>0</v>
      </c>
      <c r="B2" t="s">
        <v>367</v>
      </c>
    </row>
    <row r="4" spans="1:3" x14ac:dyDescent="0.25">
      <c r="A4" s="5" t="s">
        <v>13</v>
      </c>
      <c r="B4" t="s">
        <v>27</v>
      </c>
      <c r="C4" t="s">
        <v>32</v>
      </c>
    </row>
    <row r="5" spans="1:3" x14ac:dyDescent="0.25">
      <c r="A5" s="6" t="s">
        <v>553</v>
      </c>
      <c r="B5">
        <v>9000</v>
      </c>
      <c r="C5">
        <v>15000</v>
      </c>
    </row>
    <row r="6" spans="1:3" x14ac:dyDescent="0.25">
      <c r="A6" s="6" t="s">
        <v>555</v>
      </c>
      <c r="B6">
        <v>450000</v>
      </c>
      <c r="C6">
        <v>750000</v>
      </c>
    </row>
    <row r="7" spans="1:3" x14ac:dyDescent="0.25">
      <c r="A7" s="6" t="s">
        <v>556</v>
      </c>
      <c r="B7">
        <v>54000</v>
      </c>
      <c r="C7">
        <v>90000</v>
      </c>
    </row>
    <row r="8" spans="1:3" x14ac:dyDescent="0.25">
      <c r="A8" s="6" t="s">
        <v>562</v>
      </c>
      <c r="B8">
        <v>12000</v>
      </c>
      <c r="C8">
        <v>20000</v>
      </c>
    </row>
    <row r="9" spans="1:3" x14ac:dyDescent="0.25">
      <c r="A9" s="6" t="s">
        <v>565</v>
      </c>
      <c r="B9">
        <v>18000</v>
      </c>
      <c r="C9">
        <v>30000</v>
      </c>
    </row>
    <row r="10" spans="1:3" x14ac:dyDescent="0.25">
      <c r="A10" s="6" t="s">
        <v>14</v>
      </c>
      <c r="B10">
        <v>543000</v>
      </c>
      <c r="C10">
        <v>905000</v>
      </c>
    </row>
    <row r="35" spans="2:6" x14ac:dyDescent="0.25">
      <c r="F35">
        <f>2040000+2182000</f>
        <v>4222000</v>
      </c>
    </row>
    <row r="42" spans="2:6" x14ac:dyDescent="0.25">
      <c r="B42">
        <f>GETPIVOTDATA("Suma de TOTAL FACTURA",$A$4)-GETPIVOTDATA("Suma de PORCENTAJE A CANCELAR",$A$4)</f>
        <v>362000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9"/>
  <sheetViews>
    <sheetView workbookViewId="0">
      <selection activeCell="K8" sqref="K8"/>
    </sheetView>
  </sheetViews>
  <sheetFormatPr baseColWidth="10" defaultRowHeight="15" x14ac:dyDescent="0.25"/>
  <cols>
    <col min="1" max="1" width="15.85546875" customWidth="1"/>
    <col min="2" max="2" width="17.85546875" customWidth="1"/>
    <col min="3" max="3" width="18.85546875" customWidth="1"/>
    <col min="4" max="4" width="8.140625" customWidth="1"/>
    <col min="5" max="5" width="7" hidden="1" customWidth="1"/>
    <col min="6" max="6" width="1.85546875" customWidth="1"/>
    <col min="7" max="7" width="15.5703125" customWidth="1"/>
    <col min="8" max="8" width="8.28515625" customWidth="1"/>
    <col min="9" max="9" width="12.5703125" bestFit="1" customWidth="1"/>
    <col min="10" max="10" width="31.42578125" customWidth="1"/>
  </cols>
  <sheetData>
    <row r="1" spans="1:11" x14ac:dyDescent="0.25">
      <c r="B1" s="209" t="s">
        <v>11</v>
      </c>
      <c r="C1" s="209"/>
      <c r="D1" s="209"/>
      <c r="E1" s="209"/>
      <c r="F1" s="209"/>
      <c r="G1" s="209"/>
      <c r="H1" s="209"/>
    </row>
    <row r="2" spans="1:11" ht="18" customHeight="1" x14ac:dyDescent="0.35">
      <c r="B2" s="209"/>
      <c r="C2" s="209"/>
      <c r="D2" s="209"/>
      <c r="E2" s="209"/>
      <c r="F2" s="209"/>
      <c r="G2" s="209"/>
      <c r="H2" s="209"/>
      <c r="J2" s="31" t="s">
        <v>189</v>
      </c>
      <c r="K2" s="30">
        <v>6</v>
      </c>
    </row>
    <row r="4" spans="1:11" ht="18.75" x14ac:dyDescent="0.3">
      <c r="B4" s="205" t="s">
        <v>9</v>
      </c>
      <c r="C4" s="205"/>
      <c r="D4" s="205"/>
      <c r="E4" s="205"/>
      <c r="F4" s="205"/>
      <c r="G4" s="205"/>
      <c r="H4" s="205"/>
    </row>
    <row r="5" spans="1:11" ht="18.75" x14ac:dyDescent="0.3">
      <c r="B5" s="23"/>
      <c r="C5" s="23"/>
      <c r="D5" s="23"/>
      <c r="E5" s="23"/>
      <c r="F5" s="23"/>
      <c r="G5" s="23"/>
      <c r="H5" s="23"/>
    </row>
    <row r="6" spans="1:11" ht="15.75" thickBot="1" x14ac:dyDescent="0.3">
      <c r="A6" s="3" t="s">
        <v>181</v>
      </c>
      <c r="C6" s="198" t="str">
        <f>'NOMINA ENERO'!B17</f>
        <v xml:space="preserve"> DEL 15/01/2022 AL 21/01/2022</v>
      </c>
      <c r="D6" s="198"/>
      <c r="E6" s="198"/>
      <c r="F6" s="198"/>
      <c r="G6" s="198"/>
      <c r="H6" s="198"/>
    </row>
    <row r="7" spans="1:11" x14ac:dyDescent="0.25">
      <c r="A7" s="210" t="s">
        <v>180</v>
      </c>
      <c r="B7" s="211"/>
      <c r="C7" s="33" t="s">
        <v>179</v>
      </c>
      <c r="D7" s="211" t="s">
        <v>15</v>
      </c>
      <c r="E7" s="211"/>
      <c r="F7" s="211"/>
      <c r="G7" s="211"/>
      <c r="H7" s="214"/>
    </row>
    <row r="8" spans="1:11" s="29" customFormat="1" ht="30" customHeight="1" x14ac:dyDescent="0.25">
      <c r="A8" s="206" t="str">
        <f>VLOOKUP(K2,'NOMINA ENERO'!A19:G26,2,1)</f>
        <v>FRANCISCO PEREZ</v>
      </c>
      <c r="B8" s="206"/>
      <c r="C8" s="32">
        <f>VLOOKUP(K2,'NOMINA ENERO'!A19:G26,3,1)</f>
        <v>18929731</v>
      </c>
      <c r="D8" s="206" t="str">
        <f>VLOOKUP(K2,'NOMINA ENERO'!A19:G26,4,1)</f>
        <v>LATONERIA Y PINTURA</v>
      </c>
      <c r="E8" s="206"/>
      <c r="F8" s="206"/>
      <c r="G8" s="206"/>
      <c r="H8" s="206"/>
    </row>
    <row r="10" spans="1:11" ht="8.25" customHeight="1" x14ac:dyDescent="0.25"/>
    <row r="11" spans="1:11" x14ac:dyDescent="0.25">
      <c r="B11" s="36" t="s">
        <v>182</v>
      </c>
      <c r="C11" s="36" t="s">
        <v>184</v>
      </c>
      <c r="J11" s="19"/>
    </row>
    <row r="12" spans="1:11" x14ac:dyDescent="0.25">
      <c r="A12" t="s">
        <v>373</v>
      </c>
      <c r="B12" s="24">
        <v>784200</v>
      </c>
      <c r="C12" s="24">
        <f>VLOOKUP(K2,'NOMINA ENERO'!A19:G26,6,1)</f>
        <v>0</v>
      </c>
      <c r="D12" s="207"/>
      <c r="E12" s="196"/>
      <c r="F12" s="196"/>
      <c r="G12" s="196"/>
      <c r="H12" s="196"/>
    </row>
    <row r="13" spans="1:11" x14ac:dyDescent="0.25">
      <c r="A13" t="s">
        <v>384</v>
      </c>
      <c r="B13" s="24">
        <v>161280</v>
      </c>
      <c r="C13" s="24"/>
      <c r="G13" s="19">
        <f>B12+B13</f>
        <v>945480</v>
      </c>
    </row>
    <row r="14" spans="1:11" x14ac:dyDescent="0.25">
      <c r="A14" t="s">
        <v>374</v>
      </c>
      <c r="B14" s="24">
        <f>1000000-G13</f>
        <v>54520</v>
      </c>
      <c r="C14" s="24"/>
      <c r="I14" s="19"/>
    </row>
    <row r="15" spans="1:11" x14ac:dyDescent="0.25">
      <c r="B15" s="25"/>
      <c r="C15" s="25"/>
      <c r="I15" s="19"/>
    </row>
    <row r="16" spans="1:11" x14ac:dyDescent="0.25">
      <c r="A16" s="3" t="s">
        <v>183</v>
      </c>
      <c r="B16" s="42">
        <f>SUM(B12:B14)</f>
        <v>1000000</v>
      </c>
      <c r="C16" s="25"/>
      <c r="I16" s="19"/>
    </row>
    <row r="17" spans="1:11" ht="21" x14ac:dyDescent="0.35">
      <c r="B17" s="212"/>
      <c r="C17" s="212"/>
    </row>
    <row r="18" spans="1:11" ht="45.75" customHeight="1" x14ac:dyDescent="0.25">
      <c r="C18" s="40"/>
      <c r="D18" s="40"/>
    </row>
    <row r="19" spans="1:11" ht="30.75" customHeight="1" x14ac:dyDescent="0.25">
      <c r="A19" s="40"/>
      <c r="B19" s="40"/>
      <c r="C19" s="213" t="s">
        <v>372</v>
      </c>
      <c r="D19" s="213"/>
      <c r="E19" s="40"/>
      <c r="F19" s="40"/>
      <c r="G19" s="40"/>
      <c r="H19" s="40"/>
    </row>
    <row r="20" spans="1:11" ht="23.25" customHeight="1" x14ac:dyDescent="0.25"/>
    <row r="21" spans="1:11" ht="15" customHeight="1" x14ac:dyDescent="0.25">
      <c r="B21" s="209" t="s">
        <v>11</v>
      </c>
      <c r="C21" s="209"/>
      <c r="D21" s="209"/>
      <c r="E21" s="209"/>
      <c r="F21" s="209"/>
      <c r="G21" s="209"/>
      <c r="H21" s="209"/>
    </row>
    <row r="22" spans="1:11" ht="20.25" customHeight="1" x14ac:dyDescent="0.35">
      <c r="B22" s="209"/>
      <c r="C22" s="209"/>
      <c r="D22" s="209"/>
      <c r="E22" s="209"/>
      <c r="F22" s="209"/>
      <c r="G22" s="209"/>
      <c r="H22" s="209"/>
      <c r="J22" s="31" t="s">
        <v>189</v>
      </c>
      <c r="K22" s="30">
        <v>4</v>
      </c>
    </row>
    <row r="24" spans="1:11" ht="18.75" x14ac:dyDescent="0.3">
      <c r="B24" s="205"/>
      <c r="C24" s="205"/>
      <c r="D24" s="205"/>
      <c r="E24" s="205"/>
      <c r="F24" s="205"/>
      <c r="G24" s="205"/>
      <c r="H24" s="205"/>
    </row>
    <row r="25" spans="1:11" ht="18.75" x14ac:dyDescent="0.3">
      <c r="B25" s="205" t="s">
        <v>9</v>
      </c>
      <c r="C25" s="205"/>
      <c r="D25" s="205"/>
      <c r="E25" s="205"/>
      <c r="F25" s="205"/>
      <c r="G25" s="205"/>
      <c r="H25" s="205"/>
    </row>
    <row r="26" spans="1:11" ht="18.75" x14ac:dyDescent="0.3">
      <c r="B26" s="23"/>
      <c r="C26" s="23"/>
      <c r="D26" s="23"/>
      <c r="E26" s="23"/>
      <c r="F26" s="23"/>
      <c r="G26" s="23"/>
      <c r="H26" s="23"/>
    </row>
    <row r="27" spans="1:11" ht="15.75" thickBot="1" x14ac:dyDescent="0.3">
      <c r="A27" s="3" t="s">
        <v>181</v>
      </c>
      <c r="C27" s="198" t="str">
        <f>'NOMINA ENERO'!B17</f>
        <v xml:space="preserve"> DEL 15/01/2022 AL 21/01/2022</v>
      </c>
      <c r="D27" s="198"/>
      <c r="E27" s="198"/>
      <c r="F27" s="198"/>
      <c r="G27" s="198"/>
      <c r="H27" s="198"/>
    </row>
    <row r="28" spans="1:11" x14ac:dyDescent="0.25">
      <c r="A28" s="210" t="s">
        <v>180</v>
      </c>
      <c r="B28" s="211"/>
      <c r="C28" s="33" t="s">
        <v>179</v>
      </c>
      <c r="D28" s="211" t="s">
        <v>15</v>
      </c>
      <c r="E28" s="211"/>
      <c r="F28" s="211"/>
      <c r="G28" s="211"/>
      <c r="H28" s="214"/>
    </row>
    <row r="29" spans="1:11" s="29" customFormat="1" ht="30" customHeight="1" x14ac:dyDescent="0.25">
      <c r="A29" s="206" t="str">
        <f>VLOOKUP(K22,'NOMINA ENERO'!A19:G26,2,1)</f>
        <v>DIEGO TORRES</v>
      </c>
      <c r="B29" s="206"/>
      <c r="C29" s="32">
        <f>VLOOKUP(K22,'NOMINA ENERO'!A19:G26,3,1)</f>
        <v>1077085321</v>
      </c>
      <c r="D29" s="206" t="str">
        <f>VLOOKUP(K22,'NOMINA ENERO'!A19:G26,4,1)</f>
        <v>MECANICA</v>
      </c>
      <c r="E29" s="206"/>
      <c r="F29" s="206"/>
      <c r="G29" s="206"/>
      <c r="H29" s="206"/>
    </row>
    <row r="31" spans="1:11" ht="8.25" customHeight="1" x14ac:dyDescent="0.25"/>
    <row r="32" spans="1:11" x14ac:dyDescent="0.25">
      <c r="B32" s="36" t="s">
        <v>182</v>
      </c>
      <c r="C32" s="36" t="s">
        <v>184</v>
      </c>
    </row>
    <row r="33" spans="1:8" x14ac:dyDescent="0.25">
      <c r="B33" s="24">
        <f>VLOOKUP(K22,'NOMINA ENERO'!A19:G26,5,1)</f>
        <v>268000</v>
      </c>
      <c r="C33" s="24">
        <f>VLOOKUP(K22,'NOMINA ENERO'!A19:G26,6,1)</f>
        <v>22000</v>
      </c>
      <c r="D33" s="207"/>
      <c r="E33" s="196"/>
      <c r="F33" s="196"/>
      <c r="G33" s="196"/>
      <c r="H33" s="196"/>
    </row>
    <row r="34" spans="1:8" x14ac:dyDescent="0.25">
      <c r="B34" s="24"/>
      <c r="C34" s="24"/>
    </row>
    <row r="35" spans="1:8" x14ac:dyDescent="0.25">
      <c r="B35" s="24"/>
      <c r="C35" s="24"/>
    </row>
    <row r="36" spans="1:8" x14ac:dyDescent="0.25">
      <c r="B36" s="25"/>
      <c r="C36" s="25"/>
    </row>
    <row r="37" spans="1:8" ht="21" x14ac:dyDescent="0.35">
      <c r="A37" s="3" t="s">
        <v>183</v>
      </c>
      <c r="B37" s="212">
        <f>B33-C33</f>
        <v>246000</v>
      </c>
      <c r="C37" s="212"/>
    </row>
    <row r="38" spans="1:8" ht="45.75" customHeight="1" x14ac:dyDescent="0.25">
      <c r="C38" s="40"/>
      <c r="D38" s="40"/>
    </row>
    <row r="39" spans="1:8" x14ac:dyDescent="0.25">
      <c r="C39" s="208" t="s">
        <v>372</v>
      </c>
      <c r="D39" s="208"/>
    </row>
  </sheetData>
  <mergeCells count="21">
    <mergeCell ref="C39:D39"/>
    <mergeCell ref="B1:H2"/>
    <mergeCell ref="A7:B7"/>
    <mergeCell ref="A8:B8"/>
    <mergeCell ref="D12:H12"/>
    <mergeCell ref="B21:H22"/>
    <mergeCell ref="B17:C17"/>
    <mergeCell ref="C19:D19"/>
    <mergeCell ref="B37:C37"/>
    <mergeCell ref="B4:H4"/>
    <mergeCell ref="D7:H7"/>
    <mergeCell ref="D8:H8"/>
    <mergeCell ref="C6:H6"/>
    <mergeCell ref="B24:H24"/>
    <mergeCell ref="A28:B28"/>
    <mergeCell ref="D28:H28"/>
    <mergeCell ref="B25:H25"/>
    <mergeCell ref="C27:H27"/>
    <mergeCell ref="A29:B29"/>
    <mergeCell ref="D29:H29"/>
    <mergeCell ref="D33:H3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31"/>
  <dimension ref="A1:A17"/>
  <sheetViews>
    <sheetView workbookViewId="0">
      <selection activeCell="G10" sqref="G10"/>
    </sheetView>
  </sheetViews>
  <sheetFormatPr baseColWidth="10" defaultRowHeight="15" x14ac:dyDescent="0.25"/>
  <cols>
    <col min="1" max="1" width="38.42578125" style="8" customWidth="1"/>
    <col min="2" max="16384" width="11.42578125" style="8"/>
  </cols>
  <sheetData>
    <row r="1" spans="1:1" x14ac:dyDescent="0.25">
      <c r="A1" s="7" t="s">
        <v>15</v>
      </c>
    </row>
    <row r="2" spans="1:1" x14ac:dyDescent="0.25">
      <c r="A2" s="7" t="s">
        <v>34</v>
      </c>
    </row>
    <row r="3" spans="1:1" x14ac:dyDescent="0.25">
      <c r="A3" s="7" t="s">
        <v>3666</v>
      </c>
    </row>
    <row r="4" spans="1:1" x14ac:dyDescent="0.25">
      <c r="A4" s="7" t="s">
        <v>16</v>
      </c>
    </row>
    <row r="5" spans="1:1" x14ac:dyDescent="0.25">
      <c r="A5" s="7" t="s">
        <v>18</v>
      </c>
    </row>
    <row r="6" spans="1:1" x14ac:dyDescent="0.25">
      <c r="A6" s="7" t="s">
        <v>19</v>
      </c>
    </row>
    <row r="7" spans="1:1" x14ac:dyDescent="0.25">
      <c r="A7" s="7" t="s">
        <v>2446</v>
      </c>
    </row>
    <row r="8" spans="1:1" x14ac:dyDescent="0.25">
      <c r="A8" s="7" t="s">
        <v>408</v>
      </c>
    </row>
    <row r="9" spans="1:1" x14ac:dyDescent="0.25">
      <c r="A9" s="7" t="s">
        <v>3768</v>
      </c>
    </row>
    <row r="10" spans="1:1" x14ac:dyDescent="0.25">
      <c r="A10" s="7" t="s">
        <v>3925</v>
      </c>
    </row>
    <row r="11" spans="1:1" x14ac:dyDescent="0.25">
      <c r="A11" s="7"/>
    </row>
    <row r="12" spans="1:1" x14ac:dyDescent="0.25">
      <c r="A12" s="7"/>
    </row>
    <row r="17" spans="1:1" x14ac:dyDescent="0.25">
      <c r="A17" s="99"/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6"/>
  <dimension ref="A1:A2"/>
  <sheetViews>
    <sheetView workbookViewId="0">
      <selection activeCell="B4" sqref="B4:B5"/>
    </sheetView>
  </sheetViews>
  <sheetFormatPr baseColWidth="10" defaultRowHeight="15" x14ac:dyDescent="0.25"/>
  <cols>
    <col min="1" max="1" width="17.7109375" customWidth="1"/>
  </cols>
  <sheetData>
    <row r="1" spans="1:1" x14ac:dyDescent="0.25">
      <c r="A1" s="12" t="s">
        <v>25</v>
      </c>
    </row>
    <row r="2" spans="1:1" x14ac:dyDescent="0.25">
      <c r="A2" s="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Hoja16</vt:lpstr>
      <vt:lpstr>Hoja15</vt:lpstr>
      <vt:lpstr>JULIO (2)</vt:lpstr>
      <vt:lpstr>Hoja14</vt:lpstr>
      <vt:lpstr>ENERO-JULIO</vt:lpstr>
      <vt:lpstr>ENERO</vt:lpstr>
      <vt:lpstr>FEBRERO-MARZO</vt:lpstr>
      <vt:lpstr>ABRIL</vt:lpstr>
      <vt:lpstr>MAYO-JUNIO</vt:lpstr>
      <vt:lpstr>JULIO</vt:lpstr>
      <vt:lpstr>AGOSTO-SEPT</vt:lpstr>
      <vt:lpstr>OCTUBRE-NOVIEMBRE-DICIEMBRE</vt:lpstr>
      <vt:lpstr>NOMINA MAYO (2)</vt:lpstr>
      <vt:lpstr>NOMINA OCTUBRE</vt:lpstr>
      <vt:lpstr>Hoja4</vt:lpstr>
      <vt:lpstr>Hoja6</vt:lpstr>
      <vt:lpstr>ADELANTOS</vt:lpstr>
      <vt:lpstr>NOMINA ENERO</vt:lpstr>
      <vt:lpstr>NOMINA AGOSTO</vt:lpstr>
      <vt:lpstr>Hoja8</vt:lpstr>
      <vt:lpstr>Hoja5</vt:lpstr>
      <vt:lpstr>POR MODELOS</vt:lpstr>
      <vt:lpstr>Hoja9</vt:lpstr>
      <vt:lpstr>POR AREA</vt:lpstr>
      <vt:lpstr>GANANCIA REPUESTO</vt:lpstr>
      <vt:lpstr>Hoja3</vt:lpstr>
      <vt:lpstr>Hoja2</vt:lpstr>
      <vt:lpstr>NOMINA MAYO</vt:lpstr>
      <vt:lpstr>NOMINA </vt:lpstr>
      <vt:lpstr>RESUMEN MAYO</vt:lpstr>
      <vt:lpstr>REPUESTOS</vt:lpstr>
      <vt:lpstr>Hoja1</vt:lpstr>
      <vt:lpstr>RESUMEN TRABAJO</vt:lpstr>
      <vt:lpstr>RECIBO</vt:lpstr>
      <vt:lpstr>AREA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MultiFrenos de la Sabana</cp:lastModifiedBy>
  <cp:lastPrinted>2023-01-18T20:15:57Z</cp:lastPrinted>
  <dcterms:created xsi:type="dcterms:W3CDTF">2021-11-19T14:56:59Z</dcterms:created>
  <dcterms:modified xsi:type="dcterms:W3CDTF">2023-02-10T21:13:34Z</dcterms:modified>
</cp:coreProperties>
</file>