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esktop\MULTISERVICIO\"/>
    </mc:Choice>
  </mc:AlternateContent>
  <xr:revisionPtr revIDLastSave="0" documentId="13_ncr:1_{DE7B5066-542B-4D1C-BECF-DFED6CDD62D5}" xr6:coauthVersionLast="47" xr6:coauthVersionMax="47" xr10:uidLastSave="{00000000-0000-0000-0000-000000000000}"/>
  <bookViews>
    <workbookView xWindow="0" yWindow="720" windowWidth="28800" windowHeight="15480" tabRatio="561" activeTab="3" xr2:uid="{5B2C0F34-EB98-4084-A4AB-D05B5FC0CCC5}"/>
  </bookViews>
  <sheets>
    <sheet name="ENERO" sheetId="1" r:id="rId1"/>
    <sheet name="FEBRERO" sheetId="5" r:id="rId2"/>
    <sheet name="NOMINA ENERO" sheetId="3" r:id="rId3"/>
    <sheet name="MARZO" sheetId="6" r:id="rId4"/>
    <sheet name="AREA" sheetId="2" state="hidden" r:id="rId5"/>
    <sheet name="ADELANTOS" sheetId="4" r:id="rId6"/>
  </sheets>
  <externalReferences>
    <externalReference r:id="rId7"/>
    <externalReference r:id="rId8"/>
  </externalReferences>
  <definedNames>
    <definedName name="Nombre_empresa">[1]Factura!$B$1</definedName>
    <definedName name="NumeroColumna">7</definedName>
    <definedName name="NumeroFila">3</definedName>
    <definedName name="TítuloColumna1">[2]!Factura[[#Headers],[CANT]]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6" l="1"/>
  <c r="F43" i="6"/>
  <c r="F44" i="6"/>
  <c r="F45" i="6"/>
  <c r="F46" i="6"/>
  <c r="F41" i="6"/>
  <c r="F47" i="6" l="1"/>
  <c r="F48" i="6"/>
  <c r="J201" i="5"/>
  <c r="J206" i="5"/>
  <c r="F35" i="6"/>
  <c r="F34" i="6"/>
  <c r="F33" i="6"/>
  <c r="F32" i="6"/>
  <c r="F31" i="6"/>
  <c r="F30" i="6"/>
  <c r="F29" i="6"/>
  <c r="F36" i="6" s="1"/>
  <c r="J167" i="5"/>
  <c r="K167" i="5"/>
  <c r="N167" i="5"/>
  <c r="O167" i="5"/>
  <c r="Q167" i="5"/>
  <c r="R167" i="5"/>
  <c r="S167" i="5"/>
  <c r="T167" i="5"/>
  <c r="F23" i="6"/>
  <c r="F22" i="6"/>
  <c r="F21" i="6"/>
  <c r="F20" i="6"/>
  <c r="F19" i="6"/>
  <c r="F18" i="6"/>
  <c r="F17" i="6"/>
  <c r="F24" i="6" s="1"/>
  <c r="F12" i="6"/>
  <c r="F11" i="6"/>
  <c r="F10" i="6"/>
  <c r="F9" i="6"/>
  <c r="F8" i="6"/>
  <c r="F7" i="6"/>
  <c r="F6" i="6"/>
  <c r="F13" i="6" s="1"/>
  <c r="J148" i="5"/>
  <c r="K148" i="5"/>
  <c r="N148" i="5"/>
  <c r="O148" i="5"/>
  <c r="Q148" i="5"/>
  <c r="R148" i="5"/>
  <c r="S148" i="5"/>
  <c r="T148" i="5"/>
  <c r="J150" i="5"/>
  <c r="K150" i="5"/>
  <c r="N150" i="5"/>
  <c r="O150" i="5"/>
  <c r="Q150" i="5"/>
  <c r="R150" i="5"/>
  <c r="S150" i="5"/>
  <c r="T150" i="5"/>
  <c r="J142" i="5"/>
  <c r="K142" i="5"/>
  <c r="N142" i="5"/>
  <c r="O142" i="5"/>
  <c r="Q142" i="5"/>
  <c r="R142" i="5"/>
  <c r="S142" i="5"/>
  <c r="T142" i="5"/>
  <c r="J146" i="5"/>
  <c r="J147" i="5" l="1"/>
  <c r="K147" i="5"/>
  <c r="N147" i="5"/>
  <c r="O147" i="5"/>
  <c r="Q147" i="5"/>
  <c r="R147" i="5"/>
  <c r="S147" i="5"/>
  <c r="T147" i="5"/>
  <c r="N151" i="5" l="1"/>
  <c r="J133" i="5"/>
  <c r="J139" i="5"/>
  <c r="K139" i="5"/>
  <c r="N139" i="5"/>
  <c r="O139" i="5"/>
  <c r="Q139" i="5"/>
  <c r="R139" i="5"/>
  <c r="S139" i="5"/>
  <c r="T139" i="5"/>
  <c r="J137" i="5"/>
  <c r="K137" i="5"/>
  <c r="N137" i="5"/>
  <c r="O137" i="5"/>
  <c r="Q137" i="5"/>
  <c r="R137" i="5"/>
  <c r="S137" i="5"/>
  <c r="T137" i="5"/>
  <c r="K133" i="5"/>
  <c r="N133" i="5"/>
  <c r="O133" i="5"/>
  <c r="Q133" i="5"/>
  <c r="R133" i="5"/>
  <c r="S133" i="5"/>
  <c r="T133" i="5"/>
  <c r="J116" i="5" l="1"/>
  <c r="K116" i="5"/>
  <c r="N116" i="5"/>
  <c r="O116" i="5"/>
  <c r="Q116" i="5"/>
  <c r="R116" i="5"/>
  <c r="S116" i="5"/>
  <c r="T116" i="5"/>
  <c r="J117" i="5"/>
  <c r="K117" i="5"/>
  <c r="N117" i="5"/>
  <c r="O117" i="5"/>
  <c r="Q117" i="5"/>
  <c r="R117" i="5"/>
  <c r="S117" i="5"/>
  <c r="T117" i="5"/>
  <c r="N118" i="5"/>
  <c r="J118" i="5"/>
  <c r="K118" i="5"/>
  <c r="O118" i="5"/>
  <c r="Q118" i="5"/>
  <c r="R118" i="5"/>
  <c r="S118" i="5"/>
  <c r="T118" i="5"/>
  <c r="K111" i="5"/>
  <c r="N111" i="5"/>
  <c r="O111" i="5"/>
  <c r="Q111" i="5"/>
  <c r="R111" i="5"/>
  <c r="S111" i="5"/>
  <c r="T111" i="5"/>
  <c r="Q109" i="5" l="1"/>
  <c r="J108" i="5"/>
  <c r="F87" i="3"/>
  <c r="J178" i="1" l="1"/>
  <c r="J179" i="1"/>
  <c r="J180" i="1"/>
  <c r="J181" i="1"/>
  <c r="J182" i="1"/>
  <c r="J183" i="1"/>
  <c r="J185" i="1"/>
  <c r="J187" i="1"/>
  <c r="J188" i="1"/>
  <c r="J189" i="1"/>
  <c r="F92" i="3"/>
  <c r="F91" i="3"/>
  <c r="F90" i="3"/>
  <c r="F89" i="3"/>
  <c r="F88" i="3"/>
  <c r="F86" i="3"/>
  <c r="F93" i="3" s="1"/>
  <c r="F73" i="3"/>
  <c r="F79" i="3"/>
  <c r="F78" i="3"/>
  <c r="F77" i="3"/>
  <c r="F76" i="3"/>
  <c r="F75" i="3"/>
  <c r="F80" i="3"/>
  <c r="K172" i="1"/>
  <c r="N172" i="1"/>
  <c r="O172" i="1"/>
  <c r="Q172" i="1"/>
  <c r="R172" i="1"/>
  <c r="S172" i="1"/>
  <c r="T172" i="1"/>
  <c r="J167" i="1"/>
  <c r="K167" i="1"/>
  <c r="N167" i="1"/>
  <c r="O167" i="1"/>
  <c r="Q167" i="1"/>
  <c r="R167" i="1"/>
  <c r="S167" i="1"/>
  <c r="T167" i="1"/>
  <c r="J159" i="1"/>
  <c r="K159" i="1"/>
  <c r="N159" i="1"/>
  <c r="O159" i="1"/>
  <c r="Q159" i="1"/>
  <c r="R159" i="1"/>
  <c r="S159" i="1"/>
  <c r="T159" i="1"/>
  <c r="I446" i="1" l="1"/>
  <c r="J164" i="1"/>
  <c r="J171" i="1"/>
  <c r="J166" i="1"/>
  <c r="K166" i="1"/>
  <c r="N166" i="1"/>
  <c r="O166" i="1"/>
  <c r="Q166" i="1"/>
  <c r="R166" i="1"/>
  <c r="S166" i="1"/>
  <c r="T166" i="1"/>
  <c r="J176" i="1"/>
  <c r="J175" i="1"/>
  <c r="J173" i="1"/>
  <c r="J170" i="1"/>
  <c r="J168" i="1"/>
  <c r="J165" i="1"/>
  <c r="J163" i="1"/>
  <c r="J162" i="1"/>
  <c r="J160" i="1"/>
  <c r="F67" i="3" l="1"/>
  <c r="F66" i="3"/>
  <c r="F65" i="3"/>
  <c r="F64" i="3"/>
  <c r="F63" i="3"/>
  <c r="F62" i="3"/>
  <c r="F68" i="3"/>
  <c r="J140" i="1" l="1"/>
  <c r="K140" i="1"/>
  <c r="N140" i="1"/>
  <c r="O140" i="1"/>
  <c r="Q140" i="1"/>
  <c r="R140" i="1"/>
  <c r="S140" i="1"/>
  <c r="T140" i="1"/>
  <c r="J138" i="1"/>
  <c r="K138" i="1"/>
  <c r="N138" i="1"/>
  <c r="O138" i="1"/>
  <c r="Q138" i="1"/>
  <c r="R138" i="1"/>
  <c r="S138" i="1"/>
  <c r="T138" i="1"/>
  <c r="J148" i="1"/>
  <c r="K148" i="1"/>
  <c r="N148" i="1"/>
  <c r="O148" i="1"/>
  <c r="Q148" i="1"/>
  <c r="R148" i="1"/>
  <c r="S148" i="1"/>
  <c r="T148" i="1"/>
  <c r="J133" i="1"/>
  <c r="K133" i="1"/>
  <c r="N133" i="1"/>
  <c r="O133" i="1"/>
  <c r="Q133" i="1"/>
  <c r="R133" i="1"/>
  <c r="S133" i="1"/>
  <c r="T133" i="1"/>
  <c r="J144" i="1"/>
  <c r="J139" i="1"/>
  <c r="J128" i="1"/>
  <c r="J123" i="1"/>
  <c r="K123" i="1"/>
  <c r="N123" i="1"/>
  <c r="O123" i="1"/>
  <c r="Q123" i="1"/>
  <c r="R123" i="1"/>
  <c r="S123" i="1"/>
  <c r="T123" i="1"/>
  <c r="J116" i="1"/>
  <c r="K116" i="1"/>
  <c r="N116" i="1"/>
  <c r="O116" i="1"/>
  <c r="Q116" i="1"/>
  <c r="R116" i="1"/>
  <c r="S116" i="1"/>
  <c r="T116" i="1"/>
  <c r="K134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9" i="1"/>
  <c r="J112" i="1"/>
  <c r="J113" i="1"/>
  <c r="J114" i="1"/>
  <c r="J115" i="1"/>
  <c r="J117" i="1"/>
  <c r="J118" i="1"/>
  <c r="J119" i="1"/>
  <c r="J120" i="1"/>
  <c r="J121" i="1"/>
  <c r="J122" i="1"/>
  <c r="J124" i="1"/>
  <c r="J125" i="1"/>
  <c r="J126" i="1"/>
  <c r="J127" i="1"/>
  <c r="J129" i="1"/>
  <c r="J130" i="1"/>
  <c r="J131" i="1"/>
  <c r="J132" i="1"/>
  <c r="J134" i="1"/>
  <c r="J135" i="1"/>
  <c r="J136" i="1"/>
  <c r="J137" i="1"/>
  <c r="J142" i="1"/>
  <c r="J143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69" i="1"/>
  <c r="J174" i="1"/>
  <c r="J184" i="1"/>
  <c r="J186" i="1"/>
  <c r="J190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N126" i="1"/>
  <c r="O126" i="1"/>
  <c r="Q126" i="1"/>
  <c r="R126" i="1"/>
  <c r="S126" i="1"/>
  <c r="T126" i="1"/>
  <c r="N127" i="1"/>
  <c r="O127" i="1"/>
  <c r="Q127" i="1"/>
  <c r="R127" i="1"/>
  <c r="S127" i="1"/>
  <c r="T127" i="1"/>
  <c r="N128" i="1"/>
  <c r="O128" i="1"/>
  <c r="Q128" i="1"/>
  <c r="R128" i="1"/>
  <c r="S128" i="1"/>
  <c r="T128" i="1"/>
  <c r="N129" i="1"/>
  <c r="O129" i="1"/>
  <c r="Q129" i="1"/>
  <c r="R129" i="1"/>
  <c r="S129" i="1"/>
  <c r="T129" i="1"/>
  <c r="N130" i="1"/>
  <c r="O130" i="1"/>
  <c r="Q130" i="1"/>
  <c r="R130" i="1"/>
  <c r="S130" i="1"/>
  <c r="T130" i="1"/>
  <c r="N131" i="1"/>
  <c r="O131" i="1"/>
  <c r="Q131" i="1"/>
  <c r="R131" i="1"/>
  <c r="S131" i="1"/>
  <c r="T131" i="1"/>
  <c r="K132" i="1"/>
  <c r="N132" i="1"/>
  <c r="O132" i="1"/>
  <c r="Q132" i="1"/>
  <c r="R132" i="1"/>
  <c r="S132" i="1"/>
  <c r="T132" i="1"/>
  <c r="N134" i="1"/>
  <c r="O134" i="1"/>
  <c r="Q134" i="1"/>
  <c r="R134" i="1"/>
  <c r="S134" i="1"/>
  <c r="T134" i="1"/>
  <c r="N135" i="1"/>
  <c r="O135" i="1"/>
  <c r="Q135" i="1"/>
  <c r="R135" i="1"/>
  <c r="S135" i="1"/>
  <c r="T135" i="1"/>
  <c r="N136" i="1"/>
  <c r="O136" i="1"/>
  <c r="Q136" i="1"/>
  <c r="R136" i="1"/>
  <c r="S136" i="1"/>
  <c r="T136" i="1"/>
  <c r="N137" i="1"/>
  <c r="O137" i="1"/>
  <c r="Q137" i="1"/>
  <c r="R137" i="1"/>
  <c r="S137" i="1"/>
  <c r="T137" i="1"/>
  <c r="N139" i="1"/>
  <c r="O139" i="1"/>
  <c r="Q139" i="1"/>
  <c r="R139" i="1"/>
  <c r="S139" i="1"/>
  <c r="T139" i="1"/>
  <c r="N141" i="1"/>
  <c r="O141" i="1"/>
  <c r="Q141" i="1"/>
  <c r="R141" i="1"/>
  <c r="S141" i="1"/>
  <c r="T141" i="1"/>
  <c r="N142" i="1"/>
  <c r="O142" i="1"/>
  <c r="Q142" i="1"/>
  <c r="R142" i="1"/>
  <c r="S142" i="1"/>
  <c r="T142" i="1"/>
  <c r="N143" i="1"/>
  <c r="O143" i="1"/>
  <c r="Q143" i="1"/>
  <c r="R143" i="1"/>
  <c r="S143" i="1"/>
  <c r="T143" i="1"/>
  <c r="N144" i="1"/>
  <c r="O144" i="1"/>
  <c r="Q144" i="1"/>
  <c r="R144" i="1"/>
  <c r="S144" i="1"/>
  <c r="T144" i="1"/>
  <c r="N145" i="1"/>
  <c r="O145" i="1"/>
  <c r="Q145" i="1"/>
  <c r="R145" i="1"/>
  <c r="S145" i="1"/>
  <c r="T145" i="1"/>
  <c r="N146" i="1"/>
  <c r="O146" i="1"/>
  <c r="Q146" i="1"/>
  <c r="R146" i="1"/>
  <c r="S146" i="1"/>
  <c r="T146" i="1"/>
  <c r="N147" i="1"/>
  <c r="O147" i="1"/>
  <c r="Q147" i="1"/>
  <c r="R147" i="1"/>
  <c r="S147" i="1"/>
  <c r="T147" i="1"/>
  <c r="N149" i="1"/>
  <c r="O149" i="1"/>
  <c r="Q149" i="1"/>
  <c r="R149" i="1"/>
  <c r="S149" i="1"/>
  <c r="T149" i="1"/>
  <c r="N150" i="1"/>
  <c r="O150" i="1"/>
  <c r="Q150" i="1"/>
  <c r="R150" i="1"/>
  <c r="S150" i="1"/>
  <c r="T150" i="1"/>
  <c r="N151" i="1"/>
  <c r="O151" i="1"/>
  <c r="Q151" i="1"/>
  <c r="R151" i="1"/>
  <c r="S151" i="1"/>
  <c r="T151" i="1"/>
  <c r="N152" i="1"/>
  <c r="O152" i="1"/>
  <c r="Q152" i="1"/>
  <c r="R152" i="1"/>
  <c r="S152" i="1"/>
  <c r="T152" i="1"/>
  <c r="N153" i="1"/>
  <c r="O153" i="1"/>
  <c r="Q153" i="1"/>
  <c r="R153" i="1"/>
  <c r="S153" i="1"/>
  <c r="T153" i="1"/>
  <c r="N154" i="1"/>
  <c r="O154" i="1"/>
  <c r="Q154" i="1"/>
  <c r="R154" i="1"/>
  <c r="S154" i="1"/>
  <c r="T154" i="1"/>
  <c r="N155" i="1"/>
  <c r="O155" i="1"/>
  <c r="Q155" i="1"/>
  <c r="R155" i="1"/>
  <c r="S155" i="1"/>
  <c r="T155" i="1"/>
  <c r="N156" i="1"/>
  <c r="O156" i="1"/>
  <c r="Q156" i="1"/>
  <c r="R156" i="1"/>
  <c r="S156" i="1"/>
  <c r="T156" i="1"/>
  <c r="N157" i="1"/>
  <c r="O157" i="1"/>
  <c r="Q157" i="1"/>
  <c r="R157" i="1"/>
  <c r="S157" i="1"/>
  <c r="T157" i="1"/>
  <c r="N158" i="1"/>
  <c r="O158" i="1"/>
  <c r="Q158" i="1"/>
  <c r="R158" i="1"/>
  <c r="S158" i="1"/>
  <c r="T158" i="1"/>
  <c r="N160" i="1"/>
  <c r="O160" i="1"/>
  <c r="Q160" i="1"/>
  <c r="R160" i="1"/>
  <c r="S160" i="1"/>
  <c r="T160" i="1"/>
  <c r="N161" i="1"/>
  <c r="O161" i="1"/>
  <c r="Q161" i="1"/>
  <c r="R161" i="1"/>
  <c r="S161" i="1"/>
  <c r="T161" i="1"/>
  <c r="N162" i="1"/>
  <c r="O162" i="1"/>
  <c r="Q162" i="1"/>
  <c r="R162" i="1"/>
  <c r="S162" i="1"/>
  <c r="T162" i="1"/>
  <c r="N163" i="1"/>
  <c r="O163" i="1"/>
  <c r="Q163" i="1"/>
  <c r="R163" i="1"/>
  <c r="S163" i="1"/>
  <c r="T163" i="1"/>
  <c r="N164" i="1"/>
  <c r="O164" i="1"/>
  <c r="Q164" i="1"/>
  <c r="R164" i="1"/>
  <c r="S164" i="1"/>
  <c r="T164" i="1"/>
  <c r="N165" i="1"/>
  <c r="O165" i="1"/>
  <c r="Q165" i="1"/>
  <c r="R165" i="1"/>
  <c r="S165" i="1"/>
  <c r="T165" i="1"/>
  <c r="N168" i="1"/>
  <c r="O168" i="1"/>
  <c r="Q168" i="1"/>
  <c r="R168" i="1"/>
  <c r="S168" i="1"/>
  <c r="T168" i="1"/>
  <c r="N169" i="1"/>
  <c r="O169" i="1"/>
  <c r="Q169" i="1"/>
  <c r="R169" i="1"/>
  <c r="S169" i="1"/>
  <c r="T169" i="1"/>
  <c r="N170" i="1"/>
  <c r="O170" i="1"/>
  <c r="Q170" i="1"/>
  <c r="R170" i="1"/>
  <c r="S170" i="1"/>
  <c r="T170" i="1"/>
  <c r="N171" i="1"/>
  <c r="O171" i="1"/>
  <c r="Q171" i="1"/>
  <c r="R171" i="1"/>
  <c r="S171" i="1"/>
  <c r="T171" i="1"/>
  <c r="N173" i="1"/>
  <c r="O173" i="1"/>
  <c r="Q173" i="1"/>
  <c r="R173" i="1"/>
  <c r="S173" i="1"/>
  <c r="T173" i="1"/>
  <c r="N174" i="1"/>
  <c r="O174" i="1"/>
  <c r="Q174" i="1"/>
  <c r="R174" i="1"/>
  <c r="S174" i="1"/>
  <c r="T174" i="1"/>
  <c r="N175" i="1"/>
  <c r="O175" i="1"/>
  <c r="Q175" i="1"/>
  <c r="R175" i="1"/>
  <c r="S175" i="1"/>
  <c r="T175" i="1"/>
  <c r="N176" i="1"/>
  <c r="O176" i="1"/>
  <c r="Q176" i="1"/>
  <c r="R176" i="1"/>
  <c r="S176" i="1"/>
  <c r="T176" i="1"/>
  <c r="N177" i="1"/>
  <c r="O177" i="1"/>
  <c r="Q177" i="1"/>
  <c r="R177" i="1"/>
  <c r="S177" i="1"/>
  <c r="T177" i="1"/>
  <c r="N178" i="1"/>
  <c r="O178" i="1"/>
  <c r="Q178" i="1"/>
  <c r="R178" i="1"/>
  <c r="S178" i="1"/>
  <c r="T178" i="1"/>
  <c r="N179" i="1"/>
  <c r="O179" i="1"/>
  <c r="Q179" i="1"/>
  <c r="R179" i="1"/>
  <c r="S179" i="1"/>
  <c r="T179" i="1"/>
  <c r="N180" i="1"/>
  <c r="O180" i="1"/>
  <c r="Q180" i="1"/>
  <c r="R180" i="1"/>
  <c r="S180" i="1"/>
  <c r="T180" i="1"/>
  <c r="N181" i="1"/>
  <c r="O181" i="1"/>
  <c r="Q181" i="1"/>
  <c r="R181" i="1"/>
  <c r="S181" i="1"/>
  <c r="T181" i="1"/>
  <c r="N182" i="1"/>
  <c r="O182" i="1"/>
  <c r="Q182" i="1"/>
  <c r="R182" i="1"/>
  <c r="S182" i="1"/>
  <c r="T182" i="1"/>
  <c r="N183" i="1"/>
  <c r="O183" i="1"/>
  <c r="Q183" i="1"/>
  <c r="R183" i="1"/>
  <c r="S183" i="1"/>
  <c r="T183" i="1"/>
  <c r="N184" i="1"/>
  <c r="O184" i="1"/>
  <c r="Q184" i="1"/>
  <c r="R184" i="1"/>
  <c r="S184" i="1"/>
  <c r="T184" i="1"/>
  <c r="N185" i="1"/>
  <c r="O185" i="1"/>
  <c r="Q185" i="1"/>
  <c r="R185" i="1"/>
  <c r="S185" i="1"/>
  <c r="T185" i="1"/>
  <c r="N186" i="1"/>
  <c r="O186" i="1"/>
  <c r="Q186" i="1"/>
  <c r="R186" i="1"/>
  <c r="S186" i="1"/>
  <c r="T186" i="1"/>
  <c r="N187" i="1"/>
  <c r="O187" i="1"/>
  <c r="Q187" i="1"/>
  <c r="R187" i="1"/>
  <c r="S187" i="1"/>
  <c r="T187" i="1"/>
  <c r="N188" i="1"/>
  <c r="O188" i="1"/>
  <c r="Q188" i="1"/>
  <c r="R188" i="1"/>
  <c r="S188" i="1"/>
  <c r="T188" i="1"/>
  <c r="N189" i="1"/>
  <c r="O189" i="1"/>
  <c r="Q189" i="1"/>
  <c r="R189" i="1"/>
  <c r="S189" i="1"/>
  <c r="T189" i="1"/>
  <c r="N190" i="1"/>
  <c r="O190" i="1"/>
  <c r="Q190" i="1"/>
  <c r="R190" i="1"/>
  <c r="S190" i="1"/>
  <c r="T190" i="1"/>
  <c r="N191" i="1"/>
  <c r="O191" i="1"/>
  <c r="Q191" i="1"/>
  <c r="R191" i="1"/>
  <c r="S191" i="1"/>
  <c r="T191" i="1"/>
  <c r="N192" i="1"/>
  <c r="O192" i="1"/>
  <c r="Q192" i="1"/>
  <c r="R192" i="1"/>
  <c r="S192" i="1"/>
  <c r="T192" i="1"/>
  <c r="N193" i="1"/>
  <c r="O193" i="1"/>
  <c r="Q193" i="1"/>
  <c r="R193" i="1"/>
  <c r="S193" i="1"/>
  <c r="T193" i="1"/>
  <c r="N194" i="1"/>
  <c r="O194" i="1"/>
  <c r="Q194" i="1"/>
  <c r="R194" i="1"/>
  <c r="S194" i="1"/>
  <c r="T194" i="1"/>
  <c r="N195" i="1"/>
  <c r="O195" i="1"/>
  <c r="Q195" i="1"/>
  <c r="R195" i="1"/>
  <c r="S195" i="1"/>
  <c r="T195" i="1"/>
  <c r="N196" i="1"/>
  <c r="O196" i="1"/>
  <c r="Q196" i="1"/>
  <c r="R196" i="1"/>
  <c r="S196" i="1"/>
  <c r="T196" i="1"/>
  <c r="N197" i="1"/>
  <c r="O197" i="1"/>
  <c r="Q197" i="1"/>
  <c r="R197" i="1"/>
  <c r="S197" i="1"/>
  <c r="T197" i="1"/>
  <c r="N198" i="1"/>
  <c r="O198" i="1"/>
  <c r="Q198" i="1"/>
  <c r="R198" i="1"/>
  <c r="S198" i="1"/>
  <c r="T198" i="1"/>
  <c r="N199" i="1"/>
  <c r="O199" i="1"/>
  <c r="Q199" i="1"/>
  <c r="R199" i="1"/>
  <c r="S199" i="1"/>
  <c r="T199" i="1"/>
  <c r="N200" i="1"/>
  <c r="O200" i="1"/>
  <c r="Q200" i="1"/>
  <c r="R200" i="1"/>
  <c r="S200" i="1"/>
  <c r="T200" i="1"/>
  <c r="N201" i="1"/>
  <c r="O201" i="1"/>
  <c r="Q201" i="1"/>
  <c r="R201" i="1"/>
  <c r="S201" i="1"/>
  <c r="T201" i="1"/>
  <c r="N202" i="1"/>
  <c r="O202" i="1"/>
  <c r="Q202" i="1"/>
  <c r="R202" i="1"/>
  <c r="S202" i="1"/>
  <c r="T202" i="1"/>
  <c r="N203" i="1"/>
  <c r="O203" i="1"/>
  <c r="Q203" i="1"/>
  <c r="R203" i="1"/>
  <c r="S203" i="1"/>
  <c r="T203" i="1"/>
  <c r="N204" i="1"/>
  <c r="O204" i="1"/>
  <c r="Q204" i="1"/>
  <c r="R204" i="1"/>
  <c r="S204" i="1"/>
  <c r="T204" i="1"/>
  <c r="N205" i="1"/>
  <c r="O205" i="1"/>
  <c r="Q205" i="1"/>
  <c r="R205" i="1"/>
  <c r="S205" i="1"/>
  <c r="T205" i="1"/>
  <c r="N206" i="1"/>
  <c r="O206" i="1"/>
  <c r="Q206" i="1"/>
  <c r="R206" i="1"/>
  <c r="S206" i="1"/>
  <c r="T206" i="1"/>
  <c r="N207" i="1"/>
  <c r="O207" i="1"/>
  <c r="Q207" i="1"/>
  <c r="R207" i="1"/>
  <c r="S207" i="1"/>
  <c r="T207" i="1"/>
  <c r="N208" i="1"/>
  <c r="O208" i="1"/>
  <c r="Q208" i="1"/>
  <c r="R208" i="1"/>
  <c r="S208" i="1"/>
  <c r="T208" i="1"/>
  <c r="N209" i="1"/>
  <c r="O209" i="1"/>
  <c r="Q209" i="1"/>
  <c r="R209" i="1"/>
  <c r="S209" i="1"/>
  <c r="T209" i="1"/>
  <c r="N210" i="1"/>
  <c r="O210" i="1"/>
  <c r="Q210" i="1"/>
  <c r="R210" i="1"/>
  <c r="S210" i="1"/>
  <c r="T210" i="1"/>
  <c r="N211" i="1"/>
  <c r="O211" i="1"/>
  <c r="Q211" i="1"/>
  <c r="R211" i="1"/>
  <c r="S211" i="1"/>
  <c r="T211" i="1"/>
  <c r="N212" i="1"/>
  <c r="O212" i="1"/>
  <c r="Q212" i="1"/>
  <c r="R212" i="1"/>
  <c r="S212" i="1"/>
  <c r="T212" i="1"/>
  <c r="N213" i="1"/>
  <c r="O213" i="1"/>
  <c r="Q213" i="1"/>
  <c r="R213" i="1"/>
  <c r="S213" i="1"/>
  <c r="T213" i="1"/>
  <c r="N214" i="1"/>
  <c r="O214" i="1"/>
  <c r="Q214" i="1"/>
  <c r="R214" i="1"/>
  <c r="S214" i="1"/>
  <c r="T214" i="1"/>
  <c r="N215" i="1"/>
  <c r="O215" i="1"/>
  <c r="Q215" i="1"/>
  <c r="R215" i="1"/>
  <c r="S215" i="1"/>
  <c r="T215" i="1"/>
  <c r="N216" i="1"/>
  <c r="O216" i="1"/>
  <c r="Q216" i="1"/>
  <c r="R216" i="1"/>
  <c r="S216" i="1"/>
  <c r="T216" i="1"/>
  <c r="N217" i="1"/>
  <c r="O217" i="1"/>
  <c r="Q217" i="1"/>
  <c r="R217" i="1"/>
  <c r="S217" i="1"/>
  <c r="T217" i="1"/>
  <c r="N218" i="1"/>
  <c r="O218" i="1"/>
  <c r="Q218" i="1"/>
  <c r="R218" i="1"/>
  <c r="S218" i="1"/>
  <c r="T218" i="1"/>
  <c r="N219" i="1"/>
  <c r="O219" i="1"/>
  <c r="Q219" i="1"/>
  <c r="R219" i="1"/>
  <c r="S219" i="1"/>
  <c r="T219" i="1"/>
  <c r="N220" i="1"/>
  <c r="O220" i="1"/>
  <c r="Q220" i="1"/>
  <c r="R220" i="1"/>
  <c r="S220" i="1"/>
  <c r="T220" i="1"/>
  <c r="N221" i="1"/>
  <c r="O221" i="1"/>
  <c r="Q221" i="1"/>
  <c r="R221" i="1"/>
  <c r="S221" i="1"/>
  <c r="T221" i="1"/>
  <c r="N222" i="1"/>
  <c r="O222" i="1"/>
  <c r="Q222" i="1"/>
  <c r="R222" i="1"/>
  <c r="S222" i="1"/>
  <c r="T222" i="1"/>
  <c r="N223" i="1"/>
  <c r="O223" i="1"/>
  <c r="Q223" i="1"/>
  <c r="R223" i="1"/>
  <c r="S223" i="1"/>
  <c r="T223" i="1"/>
  <c r="N224" i="1"/>
  <c r="O224" i="1"/>
  <c r="Q224" i="1"/>
  <c r="R224" i="1"/>
  <c r="S224" i="1"/>
  <c r="T224" i="1"/>
  <c r="N225" i="1"/>
  <c r="O225" i="1"/>
  <c r="Q225" i="1"/>
  <c r="R225" i="1"/>
  <c r="S225" i="1"/>
  <c r="T225" i="1"/>
  <c r="N226" i="1"/>
  <c r="O226" i="1"/>
  <c r="Q226" i="1"/>
  <c r="R226" i="1"/>
  <c r="S226" i="1"/>
  <c r="T226" i="1"/>
  <c r="N227" i="1"/>
  <c r="O227" i="1"/>
  <c r="Q227" i="1"/>
  <c r="R227" i="1"/>
  <c r="S227" i="1"/>
  <c r="T227" i="1"/>
  <c r="N228" i="1"/>
  <c r="O228" i="1"/>
  <c r="Q228" i="1"/>
  <c r="R228" i="1"/>
  <c r="S228" i="1"/>
  <c r="T228" i="1"/>
  <c r="N229" i="1"/>
  <c r="O229" i="1"/>
  <c r="Q229" i="1"/>
  <c r="R229" i="1"/>
  <c r="S229" i="1"/>
  <c r="T229" i="1"/>
  <c r="N230" i="1"/>
  <c r="O230" i="1"/>
  <c r="Q230" i="1"/>
  <c r="R230" i="1"/>
  <c r="S230" i="1"/>
  <c r="T230" i="1"/>
  <c r="N231" i="1"/>
  <c r="O231" i="1"/>
  <c r="Q231" i="1"/>
  <c r="R231" i="1"/>
  <c r="S231" i="1"/>
  <c r="T231" i="1"/>
  <c r="N232" i="1"/>
  <c r="O232" i="1"/>
  <c r="Q232" i="1"/>
  <c r="R232" i="1"/>
  <c r="S232" i="1"/>
  <c r="T232" i="1"/>
  <c r="N233" i="1"/>
  <c r="O233" i="1"/>
  <c r="Q233" i="1"/>
  <c r="R233" i="1"/>
  <c r="S233" i="1"/>
  <c r="T233" i="1"/>
  <c r="N234" i="1"/>
  <c r="O234" i="1"/>
  <c r="Q234" i="1"/>
  <c r="R234" i="1"/>
  <c r="S234" i="1"/>
  <c r="T234" i="1"/>
  <c r="N235" i="1"/>
  <c r="O235" i="1"/>
  <c r="Q235" i="1"/>
  <c r="R235" i="1"/>
  <c r="S235" i="1"/>
  <c r="T235" i="1"/>
  <c r="N236" i="1"/>
  <c r="O236" i="1"/>
  <c r="Q236" i="1"/>
  <c r="R236" i="1"/>
  <c r="S236" i="1"/>
  <c r="T236" i="1"/>
  <c r="N237" i="1"/>
  <c r="O237" i="1"/>
  <c r="Q237" i="1"/>
  <c r="R237" i="1"/>
  <c r="S237" i="1"/>
  <c r="T237" i="1"/>
  <c r="N238" i="1"/>
  <c r="O238" i="1"/>
  <c r="Q238" i="1"/>
  <c r="R238" i="1"/>
  <c r="S238" i="1"/>
  <c r="T238" i="1"/>
  <c r="N239" i="1"/>
  <c r="O239" i="1"/>
  <c r="Q239" i="1"/>
  <c r="R239" i="1"/>
  <c r="S239" i="1"/>
  <c r="T239" i="1"/>
  <c r="N240" i="1"/>
  <c r="O240" i="1"/>
  <c r="Q240" i="1"/>
  <c r="R240" i="1"/>
  <c r="S240" i="1"/>
  <c r="T240" i="1"/>
  <c r="N241" i="1"/>
  <c r="O241" i="1"/>
  <c r="Q241" i="1"/>
  <c r="R241" i="1"/>
  <c r="S241" i="1"/>
  <c r="T241" i="1"/>
  <c r="N242" i="1"/>
  <c r="O242" i="1"/>
  <c r="Q242" i="1"/>
  <c r="R242" i="1"/>
  <c r="S242" i="1"/>
  <c r="T242" i="1"/>
  <c r="N243" i="1"/>
  <c r="O243" i="1"/>
  <c r="Q243" i="1"/>
  <c r="R243" i="1"/>
  <c r="S243" i="1"/>
  <c r="T243" i="1"/>
  <c r="N244" i="1"/>
  <c r="O244" i="1"/>
  <c r="Q244" i="1"/>
  <c r="R244" i="1"/>
  <c r="S244" i="1"/>
  <c r="T244" i="1"/>
  <c r="N245" i="1"/>
  <c r="O245" i="1"/>
  <c r="Q245" i="1"/>
  <c r="R245" i="1"/>
  <c r="S245" i="1"/>
  <c r="T245" i="1"/>
  <c r="N246" i="1"/>
  <c r="O246" i="1"/>
  <c r="Q246" i="1"/>
  <c r="R246" i="1"/>
  <c r="S246" i="1"/>
  <c r="T246" i="1"/>
  <c r="N247" i="1"/>
  <c r="O247" i="1"/>
  <c r="Q247" i="1"/>
  <c r="R247" i="1"/>
  <c r="S247" i="1"/>
  <c r="T247" i="1"/>
  <c r="N248" i="1"/>
  <c r="O248" i="1"/>
  <c r="Q248" i="1"/>
  <c r="R248" i="1"/>
  <c r="S248" i="1"/>
  <c r="T248" i="1"/>
  <c r="N249" i="1"/>
  <c r="O249" i="1"/>
  <c r="Q249" i="1"/>
  <c r="R249" i="1"/>
  <c r="S249" i="1"/>
  <c r="T249" i="1"/>
  <c r="N250" i="1"/>
  <c r="O250" i="1"/>
  <c r="Q250" i="1"/>
  <c r="R250" i="1"/>
  <c r="S250" i="1"/>
  <c r="T250" i="1"/>
  <c r="N251" i="1"/>
  <c r="O251" i="1"/>
  <c r="Q251" i="1"/>
  <c r="R251" i="1"/>
  <c r="S251" i="1"/>
  <c r="T251" i="1"/>
  <c r="N252" i="1"/>
  <c r="O252" i="1"/>
  <c r="Q252" i="1"/>
  <c r="R252" i="1"/>
  <c r="S252" i="1"/>
  <c r="T252" i="1"/>
  <c r="N253" i="1"/>
  <c r="O253" i="1"/>
  <c r="Q253" i="1"/>
  <c r="R253" i="1"/>
  <c r="S253" i="1"/>
  <c r="T253" i="1"/>
  <c r="N254" i="1"/>
  <c r="O254" i="1"/>
  <c r="Q254" i="1"/>
  <c r="R254" i="1"/>
  <c r="S254" i="1"/>
  <c r="T254" i="1"/>
  <c r="N255" i="1"/>
  <c r="O255" i="1"/>
  <c r="Q255" i="1"/>
  <c r="R255" i="1"/>
  <c r="S255" i="1"/>
  <c r="T255" i="1"/>
  <c r="N256" i="1"/>
  <c r="O256" i="1"/>
  <c r="Q256" i="1"/>
  <c r="R256" i="1"/>
  <c r="S256" i="1"/>
  <c r="T256" i="1"/>
  <c r="N257" i="1"/>
  <c r="O257" i="1"/>
  <c r="Q257" i="1"/>
  <c r="R257" i="1"/>
  <c r="S257" i="1"/>
  <c r="T257" i="1"/>
  <c r="N258" i="1"/>
  <c r="O258" i="1"/>
  <c r="Q258" i="1"/>
  <c r="R258" i="1"/>
  <c r="S258" i="1"/>
  <c r="T258" i="1"/>
  <c r="N259" i="1"/>
  <c r="O259" i="1"/>
  <c r="Q259" i="1"/>
  <c r="R259" i="1"/>
  <c r="S259" i="1"/>
  <c r="T259" i="1"/>
  <c r="N260" i="1"/>
  <c r="O260" i="1"/>
  <c r="Q260" i="1"/>
  <c r="R260" i="1"/>
  <c r="S260" i="1"/>
  <c r="T260" i="1"/>
  <c r="N261" i="1"/>
  <c r="O261" i="1"/>
  <c r="Q261" i="1"/>
  <c r="R261" i="1"/>
  <c r="S261" i="1"/>
  <c r="T261" i="1"/>
  <c r="N262" i="1"/>
  <c r="O262" i="1"/>
  <c r="Q262" i="1"/>
  <c r="R262" i="1"/>
  <c r="S262" i="1"/>
  <c r="T262" i="1"/>
  <c r="N263" i="1"/>
  <c r="O263" i="1"/>
  <c r="Q263" i="1"/>
  <c r="R263" i="1"/>
  <c r="S263" i="1"/>
  <c r="T263" i="1"/>
  <c r="N264" i="1"/>
  <c r="O264" i="1"/>
  <c r="Q264" i="1"/>
  <c r="R264" i="1"/>
  <c r="S264" i="1"/>
  <c r="T264" i="1"/>
  <c r="N265" i="1"/>
  <c r="O265" i="1"/>
  <c r="Q265" i="1"/>
  <c r="R265" i="1"/>
  <c r="S265" i="1"/>
  <c r="T265" i="1"/>
  <c r="N266" i="1"/>
  <c r="O266" i="1"/>
  <c r="Q266" i="1"/>
  <c r="R266" i="1"/>
  <c r="S266" i="1"/>
  <c r="T266" i="1"/>
  <c r="N267" i="1"/>
  <c r="O267" i="1"/>
  <c r="Q267" i="1"/>
  <c r="R267" i="1"/>
  <c r="S267" i="1"/>
  <c r="T267" i="1"/>
  <c r="N268" i="1"/>
  <c r="O268" i="1"/>
  <c r="Q268" i="1"/>
  <c r="R268" i="1"/>
  <c r="S268" i="1"/>
  <c r="T268" i="1"/>
  <c r="N269" i="1"/>
  <c r="O269" i="1"/>
  <c r="Q269" i="1"/>
  <c r="R269" i="1"/>
  <c r="S269" i="1"/>
  <c r="T269" i="1"/>
  <c r="N270" i="1"/>
  <c r="O270" i="1"/>
  <c r="Q270" i="1"/>
  <c r="R270" i="1"/>
  <c r="S270" i="1"/>
  <c r="T270" i="1"/>
  <c r="N271" i="1"/>
  <c r="O271" i="1"/>
  <c r="Q271" i="1"/>
  <c r="R271" i="1"/>
  <c r="S271" i="1"/>
  <c r="T271" i="1"/>
  <c r="N272" i="1"/>
  <c r="O272" i="1"/>
  <c r="Q272" i="1"/>
  <c r="R272" i="1"/>
  <c r="S272" i="1"/>
  <c r="T272" i="1"/>
  <c r="N273" i="1"/>
  <c r="O273" i="1"/>
  <c r="Q273" i="1"/>
  <c r="R273" i="1"/>
  <c r="S273" i="1"/>
  <c r="T273" i="1"/>
  <c r="N274" i="1"/>
  <c r="O274" i="1"/>
  <c r="Q274" i="1"/>
  <c r="R274" i="1"/>
  <c r="S274" i="1"/>
  <c r="T274" i="1"/>
  <c r="N275" i="1"/>
  <c r="O275" i="1"/>
  <c r="Q275" i="1"/>
  <c r="R275" i="1"/>
  <c r="S275" i="1"/>
  <c r="T275" i="1"/>
  <c r="N276" i="1"/>
  <c r="O276" i="1"/>
  <c r="Q276" i="1"/>
  <c r="R276" i="1"/>
  <c r="S276" i="1"/>
  <c r="T276" i="1"/>
  <c r="N277" i="1"/>
  <c r="O277" i="1"/>
  <c r="Q277" i="1"/>
  <c r="R277" i="1"/>
  <c r="S277" i="1"/>
  <c r="T277" i="1"/>
  <c r="N278" i="1"/>
  <c r="O278" i="1"/>
  <c r="Q278" i="1"/>
  <c r="R278" i="1"/>
  <c r="S278" i="1"/>
  <c r="T278" i="1"/>
  <c r="N279" i="1"/>
  <c r="O279" i="1"/>
  <c r="Q279" i="1"/>
  <c r="R279" i="1"/>
  <c r="S279" i="1"/>
  <c r="T279" i="1"/>
  <c r="N280" i="1"/>
  <c r="O280" i="1"/>
  <c r="Q280" i="1"/>
  <c r="R280" i="1"/>
  <c r="S280" i="1"/>
  <c r="T280" i="1"/>
  <c r="N281" i="1"/>
  <c r="O281" i="1"/>
  <c r="Q281" i="1"/>
  <c r="R281" i="1"/>
  <c r="S281" i="1"/>
  <c r="T281" i="1"/>
  <c r="N282" i="1"/>
  <c r="O282" i="1"/>
  <c r="Q282" i="1"/>
  <c r="R282" i="1"/>
  <c r="S282" i="1"/>
  <c r="T282" i="1"/>
  <c r="N283" i="1"/>
  <c r="O283" i="1"/>
  <c r="Q283" i="1"/>
  <c r="R283" i="1"/>
  <c r="S283" i="1"/>
  <c r="T283" i="1"/>
  <c r="N284" i="1"/>
  <c r="O284" i="1"/>
  <c r="Q284" i="1"/>
  <c r="R284" i="1"/>
  <c r="S284" i="1"/>
  <c r="T284" i="1"/>
  <c r="N285" i="1"/>
  <c r="O285" i="1"/>
  <c r="Q285" i="1"/>
  <c r="R285" i="1"/>
  <c r="S285" i="1"/>
  <c r="T285" i="1"/>
  <c r="N286" i="1"/>
  <c r="O286" i="1"/>
  <c r="Q286" i="1"/>
  <c r="R286" i="1"/>
  <c r="S286" i="1"/>
  <c r="T286" i="1"/>
  <c r="N287" i="1"/>
  <c r="O287" i="1"/>
  <c r="Q287" i="1"/>
  <c r="R287" i="1"/>
  <c r="S287" i="1"/>
  <c r="T287" i="1"/>
  <c r="N288" i="1"/>
  <c r="O288" i="1"/>
  <c r="Q288" i="1"/>
  <c r="R288" i="1"/>
  <c r="S288" i="1"/>
  <c r="T288" i="1"/>
  <c r="N289" i="1"/>
  <c r="O289" i="1"/>
  <c r="Q289" i="1"/>
  <c r="R289" i="1"/>
  <c r="S289" i="1"/>
  <c r="T289" i="1"/>
  <c r="N290" i="1"/>
  <c r="O290" i="1"/>
  <c r="Q290" i="1"/>
  <c r="R290" i="1"/>
  <c r="S290" i="1"/>
  <c r="T290" i="1"/>
  <c r="N291" i="1"/>
  <c r="O291" i="1"/>
  <c r="Q291" i="1"/>
  <c r="R291" i="1"/>
  <c r="S291" i="1"/>
  <c r="T291" i="1"/>
  <c r="N292" i="1"/>
  <c r="O292" i="1"/>
  <c r="Q292" i="1"/>
  <c r="R292" i="1"/>
  <c r="S292" i="1"/>
  <c r="T292" i="1"/>
  <c r="N293" i="1"/>
  <c r="O293" i="1"/>
  <c r="Q293" i="1"/>
  <c r="R293" i="1"/>
  <c r="S293" i="1"/>
  <c r="T293" i="1"/>
  <c r="N294" i="1"/>
  <c r="O294" i="1"/>
  <c r="Q294" i="1"/>
  <c r="R294" i="1"/>
  <c r="S294" i="1"/>
  <c r="T294" i="1"/>
  <c r="N295" i="1"/>
  <c r="O295" i="1"/>
  <c r="Q295" i="1"/>
  <c r="R295" i="1"/>
  <c r="S295" i="1"/>
  <c r="T295" i="1"/>
  <c r="N296" i="1"/>
  <c r="O296" i="1"/>
  <c r="Q296" i="1"/>
  <c r="R296" i="1"/>
  <c r="S296" i="1"/>
  <c r="T296" i="1"/>
  <c r="N297" i="1"/>
  <c r="O297" i="1"/>
  <c r="Q297" i="1"/>
  <c r="R297" i="1"/>
  <c r="S297" i="1"/>
  <c r="T297" i="1"/>
  <c r="N298" i="1"/>
  <c r="O298" i="1"/>
  <c r="Q298" i="1"/>
  <c r="R298" i="1"/>
  <c r="S298" i="1"/>
  <c r="T298" i="1"/>
  <c r="N299" i="1"/>
  <c r="O299" i="1"/>
  <c r="Q299" i="1"/>
  <c r="R299" i="1"/>
  <c r="S299" i="1"/>
  <c r="T299" i="1"/>
  <c r="N300" i="1"/>
  <c r="O300" i="1"/>
  <c r="Q300" i="1"/>
  <c r="R300" i="1"/>
  <c r="S300" i="1"/>
  <c r="T300" i="1"/>
  <c r="N301" i="1"/>
  <c r="O301" i="1"/>
  <c r="Q301" i="1"/>
  <c r="R301" i="1"/>
  <c r="S301" i="1"/>
  <c r="T301" i="1"/>
  <c r="N302" i="1"/>
  <c r="O302" i="1"/>
  <c r="Q302" i="1"/>
  <c r="R302" i="1"/>
  <c r="S302" i="1"/>
  <c r="T302" i="1"/>
  <c r="N303" i="1"/>
  <c r="O303" i="1"/>
  <c r="Q303" i="1"/>
  <c r="R303" i="1"/>
  <c r="S303" i="1"/>
  <c r="T303" i="1"/>
  <c r="N304" i="1"/>
  <c r="O304" i="1"/>
  <c r="Q304" i="1"/>
  <c r="R304" i="1"/>
  <c r="S304" i="1"/>
  <c r="T304" i="1"/>
  <c r="N305" i="1"/>
  <c r="O305" i="1"/>
  <c r="Q305" i="1"/>
  <c r="R305" i="1"/>
  <c r="S305" i="1"/>
  <c r="T305" i="1"/>
  <c r="N306" i="1"/>
  <c r="O306" i="1"/>
  <c r="Q306" i="1"/>
  <c r="R306" i="1"/>
  <c r="S306" i="1"/>
  <c r="T306" i="1"/>
  <c r="N307" i="1"/>
  <c r="O307" i="1"/>
  <c r="Q307" i="1"/>
  <c r="R307" i="1"/>
  <c r="S307" i="1"/>
  <c r="T307" i="1"/>
  <c r="N308" i="1"/>
  <c r="O308" i="1"/>
  <c r="Q308" i="1"/>
  <c r="R308" i="1"/>
  <c r="S308" i="1"/>
  <c r="T308" i="1"/>
  <c r="N309" i="1"/>
  <c r="O309" i="1"/>
  <c r="Q309" i="1"/>
  <c r="R309" i="1"/>
  <c r="S309" i="1"/>
  <c r="T309" i="1"/>
  <c r="N310" i="1"/>
  <c r="O310" i="1"/>
  <c r="Q310" i="1"/>
  <c r="R310" i="1"/>
  <c r="S310" i="1"/>
  <c r="T310" i="1"/>
  <c r="N311" i="1"/>
  <c r="O311" i="1"/>
  <c r="Q311" i="1"/>
  <c r="R311" i="1"/>
  <c r="S311" i="1"/>
  <c r="T311" i="1"/>
  <c r="N312" i="1"/>
  <c r="O312" i="1"/>
  <c r="Q312" i="1"/>
  <c r="R312" i="1"/>
  <c r="S312" i="1"/>
  <c r="T312" i="1"/>
  <c r="N313" i="1"/>
  <c r="O313" i="1"/>
  <c r="Q313" i="1"/>
  <c r="R313" i="1"/>
  <c r="S313" i="1"/>
  <c r="T313" i="1"/>
  <c r="N314" i="1"/>
  <c r="O314" i="1"/>
  <c r="Q314" i="1"/>
  <c r="R314" i="1"/>
  <c r="S314" i="1"/>
  <c r="T314" i="1"/>
  <c r="N315" i="1"/>
  <c r="O315" i="1"/>
  <c r="Q315" i="1"/>
  <c r="R315" i="1"/>
  <c r="S315" i="1"/>
  <c r="T315" i="1"/>
  <c r="N316" i="1"/>
  <c r="O316" i="1"/>
  <c r="Q316" i="1"/>
  <c r="R316" i="1"/>
  <c r="S316" i="1"/>
  <c r="T316" i="1"/>
  <c r="N317" i="1"/>
  <c r="O317" i="1"/>
  <c r="Q317" i="1"/>
  <c r="R317" i="1"/>
  <c r="S317" i="1"/>
  <c r="T317" i="1"/>
  <c r="N318" i="1"/>
  <c r="O318" i="1"/>
  <c r="Q318" i="1"/>
  <c r="R318" i="1"/>
  <c r="S318" i="1"/>
  <c r="T318" i="1"/>
  <c r="N319" i="1"/>
  <c r="O319" i="1"/>
  <c r="Q319" i="1"/>
  <c r="R319" i="1"/>
  <c r="S319" i="1"/>
  <c r="T319" i="1"/>
  <c r="N320" i="1"/>
  <c r="O320" i="1"/>
  <c r="Q320" i="1"/>
  <c r="R320" i="1"/>
  <c r="S320" i="1"/>
  <c r="T320" i="1"/>
  <c r="N321" i="1"/>
  <c r="O321" i="1"/>
  <c r="Q321" i="1"/>
  <c r="R321" i="1"/>
  <c r="S321" i="1"/>
  <c r="T321" i="1"/>
  <c r="N322" i="1"/>
  <c r="O322" i="1"/>
  <c r="Q322" i="1"/>
  <c r="R322" i="1"/>
  <c r="S322" i="1"/>
  <c r="T322" i="1"/>
  <c r="N323" i="1"/>
  <c r="O323" i="1"/>
  <c r="Q323" i="1"/>
  <c r="R323" i="1"/>
  <c r="S323" i="1"/>
  <c r="T323" i="1"/>
  <c r="N324" i="1"/>
  <c r="O324" i="1"/>
  <c r="Q324" i="1"/>
  <c r="R324" i="1"/>
  <c r="S324" i="1"/>
  <c r="T324" i="1"/>
  <c r="N325" i="1"/>
  <c r="O325" i="1"/>
  <c r="Q325" i="1"/>
  <c r="R325" i="1"/>
  <c r="S325" i="1"/>
  <c r="T325" i="1"/>
  <c r="N326" i="1"/>
  <c r="O326" i="1"/>
  <c r="Q326" i="1"/>
  <c r="R326" i="1"/>
  <c r="S326" i="1"/>
  <c r="T326" i="1"/>
  <c r="N327" i="1"/>
  <c r="O327" i="1"/>
  <c r="Q327" i="1"/>
  <c r="R327" i="1"/>
  <c r="S327" i="1"/>
  <c r="T327" i="1"/>
  <c r="N328" i="1"/>
  <c r="O328" i="1"/>
  <c r="Q328" i="1"/>
  <c r="R328" i="1"/>
  <c r="S328" i="1"/>
  <c r="T328" i="1"/>
  <c r="N329" i="1"/>
  <c r="O329" i="1"/>
  <c r="Q329" i="1"/>
  <c r="R329" i="1"/>
  <c r="S329" i="1"/>
  <c r="T329" i="1"/>
  <c r="N330" i="1"/>
  <c r="O330" i="1"/>
  <c r="Q330" i="1"/>
  <c r="R330" i="1"/>
  <c r="S330" i="1"/>
  <c r="T330" i="1"/>
  <c r="N331" i="1"/>
  <c r="O331" i="1"/>
  <c r="Q331" i="1"/>
  <c r="R331" i="1"/>
  <c r="S331" i="1"/>
  <c r="T331" i="1"/>
  <c r="N332" i="1"/>
  <c r="O332" i="1"/>
  <c r="Q332" i="1"/>
  <c r="R332" i="1"/>
  <c r="S332" i="1"/>
  <c r="T332" i="1"/>
  <c r="N333" i="1"/>
  <c r="O333" i="1"/>
  <c r="Q333" i="1"/>
  <c r="R333" i="1"/>
  <c r="S333" i="1"/>
  <c r="T333" i="1"/>
  <c r="N334" i="1"/>
  <c r="O334" i="1"/>
  <c r="Q334" i="1"/>
  <c r="R334" i="1"/>
  <c r="S334" i="1"/>
  <c r="T334" i="1"/>
  <c r="N335" i="1"/>
  <c r="O335" i="1"/>
  <c r="Q335" i="1"/>
  <c r="R335" i="1"/>
  <c r="S335" i="1"/>
  <c r="T335" i="1"/>
  <c r="N336" i="1"/>
  <c r="O336" i="1"/>
  <c r="Q336" i="1"/>
  <c r="R336" i="1"/>
  <c r="S336" i="1"/>
  <c r="T336" i="1"/>
  <c r="N337" i="1"/>
  <c r="O337" i="1"/>
  <c r="Q337" i="1"/>
  <c r="R337" i="1"/>
  <c r="S337" i="1"/>
  <c r="T337" i="1"/>
  <c r="N338" i="1"/>
  <c r="O338" i="1"/>
  <c r="Q338" i="1"/>
  <c r="R338" i="1"/>
  <c r="S338" i="1"/>
  <c r="T338" i="1"/>
  <c r="N339" i="1"/>
  <c r="O339" i="1"/>
  <c r="Q339" i="1"/>
  <c r="R339" i="1"/>
  <c r="S339" i="1"/>
  <c r="T339" i="1"/>
  <c r="N340" i="1"/>
  <c r="O340" i="1"/>
  <c r="Q340" i="1"/>
  <c r="R340" i="1"/>
  <c r="S340" i="1"/>
  <c r="T340" i="1"/>
  <c r="N341" i="1"/>
  <c r="O341" i="1"/>
  <c r="Q341" i="1"/>
  <c r="R341" i="1"/>
  <c r="S341" i="1"/>
  <c r="T341" i="1"/>
  <c r="N342" i="1"/>
  <c r="O342" i="1"/>
  <c r="Q342" i="1"/>
  <c r="R342" i="1"/>
  <c r="S342" i="1"/>
  <c r="T342" i="1"/>
  <c r="N343" i="1"/>
  <c r="O343" i="1"/>
  <c r="Q343" i="1"/>
  <c r="R343" i="1"/>
  <c r="S343" i="1"/>
  <c r="T343" i="1"/>
  <c r="N344" i="1"/>
  <c r="O344" i="1"/>
  <c r="Q344" i="1"/>
  <c r="R344" i="1"/>
  <c r="S344" i="1"/>
  <c r="T344" i="1"/>
  <c r="N345" i="1"/>
  <c r="O345" i="1"/>
  <c r="Q345" i="1"/>
  <c r="R345" i="1"/>
  <c r="S345" i="1"/>
  <c r="T345" i="1"/>
  <c r="N346" i="1"/>
  <c r="O346" i="1"/>
  <c r="Q346" i="1"/>
  <c r="R346" i="1"/>
  <c r="S346" i="1"/>
  <c r="T346" i="1"/>
  <c r="N347" i="1"/>
  <c r="O347" i="1"/>
  <c r="Q347" i="1"/>
  <c r="R347" i="1"/>
  <c r="S347" i="1"/>
  <c r="T347" i="1"/>
  <c r="N348" i="1"/>
  <c r="O348" i="1"/>
  <c r="Q348" i="1"/>
  <c r="R348" i="1"/>
  <c r="S348" i="1"/>
  <c r="T348" i="1"/>
  <c r="N349" i="1"/>
  <c r="O349" i="1"/>
  <c r="Q349" i="1"/>
  <c r="R349" i="1"/>
  <c r="S349" i="1"/>
  <c r="T349" i="1"/>
  <c r="N350" i="1"/>
  <c r="O350" i="1"/>
  <c r="Q350" i="1"/>
  <c r="R350" i="1"/>
  <c r="S350" i="1"/>
  <c r="T350" i="1"/>
  <c r="N351" i="1"/>
  <c r="O351" i="1"/>
  <c r="Q351" i="1"/>
  <c r="R351" i="1"/>
  <c r="S351" i="1"/>
  <c r="T351" i="1"/>
  <c r="N352" i="1"/>
  <c r="O352" i="1"/>
  <c r="Q352" i="1"/>
  <c r="R352" i="1"/>
  <c r="S352" i="1"/>
  <c r="T352" i="1"/>
  <c r="N353" i="1"/>
  <c r="O353" i="1"/>
  <c r="Q353" i="1"/>
  <c r="R353" i="1"/>
  <c r="S353" i="1"/>
  <c r="T353" i="1"/>
  <c r="N354" i="1"/>
  <c r="O354" i="1"/>
  <c r="Q354" i="1"/>
  <c r="R354" i="1"/>
  <c r="S354" i="1"/>
  <c r="T354" i="1"/>
  <c r="N355" i="1"/>
  <c r="O355" i="1"/>
  <c r="Q355" i="1"/>
  <c r="R355" i="1"/>
  <c r="S355" i="1"/>
  <c r="T355" i="1"/>
  <c r="N356" i="1"/>
  <c r="O356" i="1"/>
  <c r="Q356" i="1"/>
  <c r="R356" i="1"/>
  <c r="S356" i="1"/>
  <c r="T356" i="1"/>
  <c r="N357" i="1"/>
  <c r="O357" i="1"/>
  <c r="Q357" i="1"/>
  <c r="R357" i="1"/>
  <c r="S357" i="1"/>
  <c r="T357" i="1"/>
  <c r="N358" i="1"/>
  <c r="O358" i="1"/>
  <c r="Q358" i="1"/>
  <c r="R358" i="1"/>
  <c r="S358" i="1"/>
  <c r="T358" i="1"/>
  <c r="N359" i="1"/>
  <c r="O359" i="1"/>
  <c r="Q359" i="1"/>
  <c r="R359" i="1"/>
  <c r="S359" i="1"/>
  <c r="T359" i="1"/>
  <c r="N360" i="1"/>
  <c r="O360" i="1"/>
  <c r="Q360" i="1"/>
  <c r="R360" i="1"/>
  <c r="S360" i="1"/>
  <c r="T360" i="1"/>
  <c r="N361" i="1"/>
  <c r="O361" i="1"/>
  <c r="Q361" i="1"/>
  <c r="R361" i="1"/>
  <c r="S361" i="1"/>
  <c r="T361" i="1"/>
  <c r="N362" i="1"/>
  <c r="O362" i="1"/>
  <c r="Q362" i="1"/>
  <c r="R362" i="1"/>
  <c r="S362" i="1"/>
  <c r="T362" i="1"/>
  <c r="N363" i="1"/>
  <c r="O363" i="1"/>
  <c r="Q363" i="1"/>
  <c r="R363" i="1"/>
  <c r="S363" i="1"/>
  <c r="T363" i="1"/>
  <c r="N364" i="1"/>
  <c r="O364" i="1"/>
  <c r="Q364" i="1"/>
  <c r="R364" i="1"/>
  <c r="S364" i="1"/>
  <c r="T364" i="1"/>
  <c r="N365" i="1"/>
  <c r="O365" i="1"/>
  <c r="Q365" i="1"/>
  <c r="R365" i="1"/>
  <c r="S365" i="1"/>
  <c r="T365" i="1"/>
  <c r="N366" i="1"/>
  <c r="O366" i="1"/>
  <c r="Q366" i="1"/>
  <c r="R366" i="1"/>
  <c r="S366" i="1"/>
  <c r="T366" i="1"/>
  <c r="N367" i="1"/>
  <c r="O367" i="1"/>
  <c r="Q367" i="1"/>
  <c r="R367" i="1"/>
  <c r="S367" i="1"/>
  <c r="T367" i="1"/>
  <c r="N368" i="1"/>
  <c r="O368" i="1"/>
  <c r="Q368" i="1"/>
  <c r="R368" i="1"/>
  <c r="S368" i="1"/>
  <c r="T368" i="1"/>
  <c r="N369" i="1"/>
  <c r="O369" i="1"/>
  <c r="Q369" i="1"/>
  <c r="R369" i="1"/>
  <c r="S369" i="1"/>
  <c r="T369" i="1"/>
  <c r="N370" i="1"/>
  <c r="O370" i="1"/>
  <c r="Q370" i="1"/>
  <c r="R370" i="1"/>
  <c r="S370" i="1"/>
  <c r="T370" i="1"/>
  <c r="N371" i="1"/>
  <c r="O371" i="1"/>
  <c r="Q371" i="1"/>
  <c r="R371" i="1"/>
  <c r="S371" i="1"/>
  <c r="T371" i="1"/>
  <c r="N372" i="1"/>
  <c r="O372" i="1"/>
  <c r="Q372" i="1"/>
  <c r="R372" i="1"/>
  <c r="S372" i="1"/>
  <c r="T372" i="1"/>
  <c r="N373" i="1"/>
  <c r="O373" i="1"/>
  <c r="Q373" i="1"/>
  <c r="R373" i="1"/>
  <c r="S373" i="1"/>
  <c r="T373" i="1"/>
  <c r="N374" i="1"/>
  <c r="O374" i="1"/>
  <c r="Q374" i="1"/>
  <c r="R374" i="1"/>
  <c r="S374" i="1"/>
  <c r="T374" i="1"/>
  <c r="N375" i="1"/>
  <c r="O375" i="1"/>
  <c r="Q375" i="1"/>
  <c r="R375" i="1"/>
  <c r="S375" i="1"/>
  <c r="T375" i="1"/>
  <c r="N376" i="1"/>
  <c r="O376" i="1"/>
  <c r="Q376" i="1"/>
  <c r="R376" i="1"/>
  <c r="S376" i="1"/>
  <c r="T376" i="1"/>
  <c r="N377" i="1"/>
  <c r="O377" i="1"/>
  <c r="Q377" i="1"/>
  <c r="R377" i="1"/>
  <c r="S377" i="1"/>
  <c r="T377" i="1"/>
  <c r="N378" i="1"/>
  <c r="O378" i="1"/>
  <c r="Q378" i="1"/>
  <c r="R378" i="1"/>
  <c r="S378" i="1"/>
  <c r="T378" i="1"/>
  <c r="N379" i="1"/>
  <c r="O379" i="1"/>
  <c r="Q379" i="1"/>
  <c r="R379" i="1"/>
  <c r="S379" i="1"/>
  <c r="T379" i="1"/>
  <c r="N380" i="1"/>
  <c r="O380" i="1"/>
  <c r="Q380" i="1"/>
  <c r="R380" i="1"/>
  <c r="S380" i="1"/>
  <c r="T380" i="1"/>
  <c r="N381" i="1"/>
  <c r="O381" i="1"/>
  <c r="Q381" i="1"/>
  <c r="R381" i="1"/>
  <c r="S381" i="1"/>
  <c r="T381" i="1"/>
  <c r="N382" i="1"/>
  <c r="O382" i="1"/>
  <c r="Q382" i="1"/>
  <c r="R382" i="1"/>
  <c r="S382" i="1"/>
  <c r="T382" i="1"/>
  <c r="N383" i="1"/>
  <c r="O383" i="1"/>
  <c r="Q383" i="1"/>
  <c r="R383" i="1"/>
  <c r="S383" i="1"/>
  <c r="T383" i="1"/>
  <c r="N384" i="1"/>
  <c r="O384" i="1"/>
  <c r="Q384" i="1"/>
  <c r="R384" i="1"/>
  <c r="S384" i="1"/>
  <c r="T384" i="1"/>
  <c r="N385" i="1"/>
  <c r="O385" i="1"/>
  <c r="Q385" i="1"/>
  <c r="R385" i="1"/>
  <c r="S385" i="1"/>
  <c r="T385" i="1"/>
  <c r="N386" i="1"/>
  <c r="O386" i="1"/>
  <c r="Q386" i="1"/>
  <c r="R386" i="1"/>
  <c r="S386" i="1"/>
  <c r="T386" i="1"/>
  <c r="N387" i="1"/>
  <c r="O387" i="1"/>
  <c r="Q387" i="1"/>
  <c r="R387" i="1"/>
  <c r="S387" i="1"/>
  <c r="T387" i="1"/>
  <c r="N388" i="1"/>
  <c r="O388" i="1"/>
  <c r="Q388" i="1"/>
  <c r="R388" i="1"/>
  <c r="S388" i="1"/>
  <c r="T388" i="1"/>
  <c r="N389" i="1"/>
  <c r="O389" i="1"/>
  <c r="Q389" i="1"/>
  <c r="R389" i="1"/>
  <c r="S389" i="1"/>
  <c r="T389" i="1"/>
  <c r="N390" i="1"/>
  <c r="O390" i="1"/>
  <c r="Q390" i="1"/>
  <c r="R390" i="1"/>
  <c r="S390" i="1"/>
  <c r="T390" i="1"/>
  <c r="N391" i="1"/>
  <c r="O391" i="1"/>
  <c r="Q391" i="1"/>
  <c r="R391" i="1"/>
  <c r="S391" i="1"/>
  <c r="T391" i="1"/>
  <c r="N392" i="1"/>
  <c r="O392" i="1"/>
  <c r="Q392" i="1"/>
  <c r="R392" i="1"/>
  <c r="S392" i="1"/>
  <c r="T392" i="1"/>
  <c r="N393" i="1"/>
  <c r="O393" i="1"/>
  <c r="Q393" i="1"/>
  <c r="R393" i="1"/>
  <c r="S393" i="1"/>
  <c r="T393" i="1"/>
  <c r="J2" i="1"/>
  <c r="F56" i="3"/>
  <c r="F55" i="3"/>
  <c r="F54" i="3"/>
  <c r="F53" i="3"/>
  <c r="F52" i="3"/>
  <c r="F51" i="3"/>
  <c r="F50" i="3"/>
  <c r="F57" i="3" s="1"/>
  <c r="N118" i="1"/>
  <c r="O118" i="1"/>
  <c r="Q118" i="1"/>
  <c r="R118" i="1"/>
  <c r="S118" i="1"/>
  <c r="T118" i="1"/>
  <c r="J104" i="5" l="1"/>
  <c r="K104" i="5"/>
  <c r="N104" i="5"/>
  <c r="O104" i="5"/>
  <c r="Q104" i="5"/>
  <c r="R104" i="5"/>
  <c r="S104" i="5"/>
  <c r="T104" i="5"/>
  <c r="J105" i="5"/>
  <c r="K105" i="5"/>
  <c r="N105" i="5"/>
  <c r="O105" i="5"/>
  <c r="Q105" i="5"/>
  <c r="R105" i="5"/>
  <c r="S105" i="5"/>
  <c r="T105" i="5"/>
  <c r="J106" i="5"/>
  <c r="K106" i="5"/>
  <c r="N106" i="5"/>
  <c r="O106" i="5"/>
  <c r="Q106" i="5"/>
  <c r="R106" i="5"/>
  <c r="S106" i="5"/>
  <c r="T106" i="5"/>
  <c r="J107" i="5"/>
  <c r="K107" i="5"/>
  <c r="N107" i="5"/>
  <c r="O107" i="5"/>
  <c r="Q107" i="5"/>
  <c r="R107" i="5"/>
  <c r="S107" i="5"/>
  <c r="T107" i="5"/>
  <c r="K108" i="5"/>
  <c r="N108" i="5"/>
  <c r="O108" i="5"/>
  <c r="Q108" i="5"/>
  <c r="R108" i="5"/>
  <c r="S108" i="5"/>
  <c r="T108" i="5"/>
  <c r="J109" i="5"/>
  <c r="K109" i="5"/>
  <c r="N109" i="5"/>
  <c r="O109" i="5"/>
  <c r="R109" i="5"/>
  <c r="S109" i="5"/>
  <c r="T109" i="5"/>
  <c r="J110" i="5"/>
  <c r="K110" i="5"/>
  <c r="N110" i="5"/>
  <c r="O110" i="5"/>
  <c r="Q110" i="5"/>
  <c r="R110" i="5"/>
  <c r="S110" i="5"/>
  <c r="T110" i="5"/>
  <c r="J112" i="5"/>
  <c r="K112" i="5"/>
  <c r="N112" i="5"/>
  <c r="O112" i="5"/>
  <c r="Q112" i="5"/>
  <c r="R112" i="5"/>
  <c r="S112" i="5"/>
  <c r="T112" i="5"/>
  <c r="J113" i="5"/>
  <c r="K113" i="5"/>
  <c r="N113" i="5"/>
  <c r="O113" i="5"/>
  <c r="Q113" i="5"/>
  <c r="R113" i="5"/>
  <c r="S113" i="5"/>
  <c r="T113" i="5"/>
  <c r="J114" i="5"/>
  <c r="K114" i="5"/>
  <c r="N114" i="5"/>
  <c r="O114" i="5"/>
  <c r="Q114" i="5"/>
  <c r="R114" i="5"/>
  <c r="S114" i="5"/>
  <c r="T114" i="5"/>
  <c r="I446" i="5"/>
  <c r="Q445" i="5"/>
  <c r="R445" i="5" s="1"/>
  <c r="N445" i="5"/>
  <c r="O445" i="5" s="1"/>
  <c r="J445" i="5"/>
  <c r="K445" i="5" s="1"/>
  <c r="Q444" i="5"/>
  <c r="R444" i="5" s="1"/>
  <c r="N444" i="5"/>
  <c r="O444" i="5" s="1"/>
  <c r="J444" i="5"/>
  <c r="K444" i="5" s="1"/>
  <c r="Q443" i="5"/>
  <c r="R443" i="5" s="1"/>
  <c r="N443" i="5"/>
  <c r="O443" i="5" s="1"/>
  <c r="J443" i="5"/>
  <c r="K443" i="5" s="1"/>
  <c r="Q442" i="5"/>
  <c r="R442" i="5" s="1"/>
  <c r="N442" i="5"/>
  <c r="O442" i="5" s="1"/>
  <c r="J442" i="5"/>
  <c r="K442" i="5" s="1"/>
  <c r="Q441" i="5"/>
  <c r="R441" i="5" s="1"/>
  <c r="N441" i="5"/>
  <c r="O441" i="5" s="1"/>
  <c r="J441" i="5"/>
  <c r="K441" i="5" s="1"/>
  <c r="Q440" i="5"/>
  <c r="R440" i="5" s="1"/>
  <c r="N440" i="5"/>
  <c r="O440" i="5" s="1"/>
  <c r="J440" i="5"/>
  <c r="K440" i="5" s="1"/>
  <c r="Q439" i="5"/>
  <c r="R439" i="5" s="1"/>
  <c r="N439" i="5"/>
  <c r="O439" i="5" s="1"/>
  <c r="J439" i="5"/>
  <c r="K439" i="5" s="1"/>
  <c r="Q438" i="5"/>
  <c r="R438" i="5" s="1"/>
  <c r="N438" i="5"/>
  <c r="O438" i="5" s="1"/>
  <c r="J438" i="5"/>
  <c r="K438" i="5" s="1"/>
  <c r="Q437" i="5"/>
  <c r="R437" i="5" s="1"/>
  <c r="N437" i="5"/>
  <c r="O437" i="5" s="1"/>
  <c r="J437" i="5"/>
  <c r="K437" i="5" s="1"/>
  <c r="Q436" i="5"/>
  <c r="R436" i="5" s="1"/>
  <c r="N436" i="5"/>
  <c r="O436" i="5" s="1"/>
  <c r="J436" i="5"/>
  <c r="K436" i="5" s="1"/>
  <c r="Q435" i="5"/>
  <c r="R435" i="5" s="1"/>
  <c r="N435" i="5"/>
  <c r="O435" i="5" s="1"/>
  <c r="J435" i="5"/>
  <c r="K435" i="5" s="1"/>
  <c r="Q434" i="5"/>
  <c r="R434" i="5" s="1"/>
  <c r="N434" i="5"/>
  <c r="O434" i="5" s="1"/>
  <c r="J434" i="5"/>
  <c r="K434" i="5" s="1"/>
  <c r="Q433" i="5"/>
  <c r="R433" i="5" s="1"/>
  <c r="N433" i="5"/>
  <c r="O433" i="5" s="1"/>
  <c r="J433" i="5"/>
  <c r="K433" i="5" s="1"/>
  <c r="Q432" i="5"/>
  <c r="R432" i="5" s="1"/>
  <c r="N432" i="5"/>
  <c r="O432" i="5" s="1"/>
  <c r="J432" i="5"/>
  <c r="K432" i="5" s="1"/>
  <c r="Q431" i="5"/>
  <c r="R431" i="5" s="1"/>
  <c r="N431" i="5"/>
  <c r="O431" i="5" s="1"/>
  <c r="J431" i="5"/>
  <c r="K431" i="5" s="1"/>
  <c r="Q430" i="5"/>
  <c r="R430" i="5" s="1"/>
  <c r="N430" i="5"/>
  <c r="O430" i="5" s="1"/>
  <c r="J430" i="5"/>
  <c r="K430" i="5" s="1"/>
  <c r="Q429" i="5"/>
  <c r="R429" i="5" s="1"/>
  <c r="N429" i="5"/>
  <c r="O429" i="5" s="1"/>
  <c r="J429" i="5"/>
  <c r="K429" i="5" s="1"/>
  <c r="Q428" i="5"/>
  <c r="R428" i="5" s="1"/>
  <c r="N428" i="5"/>
  <c r="O428" i="5" s="1"/>
  <c r="J428" i="5"/>
  <c r="K428" i="5" s="1"/>
  <c r="Q427" i="5"/>
  <c r="R427" i="5" s="1"/>
  <c r="N427" i="5"/>
  <c r="O427" i="5" s="1"/>
  <c r="J427" i="5"/>
  <c r="K427" i="5" s="1"/>
  <c r="Q426" i="5"/>
  <c r="R426" i="5" s="1"/>
  <c r="N426" i="5"/>
  <c r="O426" i="5" s="1"/>
  <c r="J426" i="5"/>
  <c r="K426" i="5" s="1"/>
  <c r="Q425" i="5"/>
  <c r="R425" i="5" s="1"/>
  <c r="N425" i="5"/>
  <c r="O425" i="5" s="1"/>
  <c r="J425" i="5"/>
  <c r="K425" i="5" s="1"/>
  <c r="Q424" i="5"/>
  <c r="R424" i="5" s="1"/>
  <c r="N424" i="5"/>
  <c r="O424" i="5" s="1"/>
  <c r="J424" i="5"/>
  <c r="K424" i="5" s="1"/>
  <c r="Q423" i="5"/>
  <c r="R423" i="5" s="1"/>
  <c r="N423" i="5"/>
  <c r="O423" i="5" s="1"/>
  <c r="J423" i="5"/>
  <c r="K423" i="5" s="1"/>
  <c r="Q422" i="5"/>
  <c r="R422" i="5" s="1"/>
  <c r="N422" i="5"/>
  <c r="O422" i="5" s="1"/>
  <c r="J422" i="5"/>
  <c r="K422" i="5" s="1"/>
  <c r="Q421" i="5"/>
  <c r="R421" i="5" s="1"/>
  <c r="N421" i="5"/>
  <c r="O421" i="5" s="1"/>
  <c r="J421" i="5"/>
  <c r="K421" i="5" s="1"/>
  <c r="Q420" i="5"/>
  <c r="R420" i="5" s="1"/>
  <c r="N420" i="5"/>
  <c r="O420" i="5" s="1"/>
  <c r="J420" i="5"/>
  <c r="K420" i="5" s="1"/>
  <c r="Q419" i="5"/>
  <c r="R419" i="5" s="1"/>
  <c r="N419" i="5"/>
  <c r="O419" i="5" s="1"/>
  <c r="J419" i="5"/>
  <c r="K419" i="5" s="1"/>
  <c r="Q418" i="5"/>
  <c r="R418" i="5" s="1"/>
  <c r="N418" i="5"/>
  <c r="O418" i="5" s="1"/>
  <c r="J418" i="5"/>
  <c r="K418" i="5" s="1"/>
  <c r="Q417" i="5"/>
  <c r="R417" i="5" s="1"/>
  <c r="N417" i="5"/>
  <c r="O417" i="5" s="1"/>
  <c r="J417" i="5"/>
  <c r="K417" i="5" s="1"/>
  <c r="Q416" i="5"/>
  <c r="R416" i="5" s="1"/>
  <c r="N416" i="5"/>
  <c r="O416" i="5" s="1"/>
  <c r="J416" i="5"/>
  <c r="K416" i="5" s="1"/>
  <c r="Q415" i="5"/>
  <c r="R415" i="5" s="1"/>
  <c r="N415" i="5"/>
  <c r="O415" i="5" s="1"/>
  <c r="J415" i="5"/>
  <c r="K415" i="5" s="1"/>
  <c r="Q414" i="5"/>
  <c r="R414" i="5" s="1"/>
  <c r="N414" i="5"/>
  <c r="O414" i="5" s="1"/>
  <c r="J414" i="5"/>
  <c r="K414" i="5" s="1"/>
  <c r="Q413" i="5"/>
  <c r="R413" i="5" s="1"/>
  <c r="N413" i="5"/>
  <c r="O413" i="5" s="1"/>
  <c r="J413" i="5"/>
  <c r="K413" i="5" s="1"/>
  <c r="Q412" i="5"/>
  <c r="R412" i="5" s="1"/>
  <c r="N412" i="5"/>
  <c r="O412" i="5" s="1"/>
  <c r="J412" i="5"/>
  <c r="K412" i="5" s="1"/>
  <c r="Q411" i="5"/>
  <c r="R411" i="5" s="1"/>
  <c r="N411" i="5"/>
  <c r="O411" i="5" s="1"/>
  <c r="J411" i="5"/>
  <c r="K411" i="5" s="1"/>
  <c r="Q410" i="5"/>
  <c r="R410" i="5" s="1"/>
  <c r="N410" i="5"/>
  <c r="O410" i="5" s="1"/>
  <c r="J410" i="5"/>
  <c r="K410" i="5" s="1"/>
  <c r="Q409" i="5"/>
  <c r="R409" i="5" s="1"/>
  <c r="N409" i="5"/>
  <c r="O409" i="5" s="1"/>
  <c r="J409" i="5"/>
  <c r="K409" i="5" s="1"/>
  <c r="Q408" i="5"/>
  <c r="R408" i="5" s="1"/>
  <c r="N408" i="5"/>
  <c r="O408" i="5" s="1"/>
  <c r="J408" i="5"/>
  <c r="K408" i="5" s="1"/>
  <c r="Q407" i="5"/>
  <c r="R407" i="5" s="1"/>
  <c r="N407" i="5"/>
  <c r="O407" i="5" s="1"/>
  <c r="J407" i="5"/>
  <c r="K407" i="5" s="1"/>
  <c r="Q406" i="5"/>
  <c r="R406" i="5" s="1"/>
  <c r="N406" i="5"/>
  <c r="O406" i="5" s="1"/>
  <c r="J406" i="5"/>
  <c r="K406" i="5" s="1"/>
  <c r="Q405" i="5"/>
  <c r="R405" i="5" s="1"/>
  <c r="N405" i="5"/>
  <c r="O405" i="5" s="1"/>
  <c r="J405" i="5"/>
  <c r="K405" i="5" s="1"/>
  <c r="Q404" i="5"/>
  <c r="R404" i="5" s="1"/>
  <c r="N404" i="5"/>
  <c r="O404" i="5" s="1"/>
  <c r="J404" i="5"/>
  <c r="K404" i="5" s="1"/>
  <c r="Q403" i="5"/>
  <c r="R403" i="5" s="1"/>
  <c r="N403" i="5"/>
  <c r="O403" i="5" s="1"/>
  <c r="J403" i="5"/>
  <c r="K403" i="5" s="1"/>
  <c r="Q402" i="5"/>
  <c r="R402" i="5" s="1"/>
  <c r="N402" i="5"/>
  <c r="O402" i="5" s="1"/>
  <c r="J402" i="5"/>
  <c r="K402" i="5" s="1"/>
  <c r="Q401" i="5"/>
  <c r="R401" i="5" s="1"/>
  <c r="N401" i="5"/>
  <c r="O401" i="5" s="1"/>
  <c r="J401" i="5"/>
  <c r="K401" i="5" s="1"/>
  <c r="Q400" i="5"/>
  <c r="R400" i="5" s="1"/>
  <c r="N400" i="5"/>
  <c r="O400" i="5" s="1"/>
  <c r="J400" i="5"/>
  <c r="K400" i="5" s="1"/>
  <c r="Q399" i="5"/>
  <c r="R399" i="5" s="1"/>
  <c r="N399" i="5"/>
  <c r="O399" i="5" s="1"/>
  <c r="J399" i="5"/>
  <c r="K399" i="5" s="1"/>
  <c r="Q398" i="5"/>
  <c r="R398" i="5" s="1"/>
  <c r="N398" i="5"/>
  <c r="O398" i="5" s="1"/>
  <c r="J398" i="5"/>
  <c r="K398" i="5" s="1"/>
  <c r="Q397" i="5"/>
  <c r="R397" i="5" s="1"/>
  <c r="N397" i="5"/>
  <c r="O397" i="5" s="1"/>
  <c r="J397" i="5"/>
  <c r="K397" i="5" s="1"/>
  <c r="Q396" i="5"/>
  <c r="R396" i="5" s="1"/>
  <c r="N396" i="5"/>
  <c r="O396" i="5" s="1"/>
  <c r="J396" i="5"/>
  <c r="K396" i="5" s="1"/>
  <c r="Q395" i="5"/>
  <c r="R395" i="5" s="1"/>
  <c r="N395" i="5"/>
  <c r="O395" i="5" s="1"/>
  <c r="J395" i="5"/>
  <c r="K395" i="5" s="1"/>
  <c r="Q394" i="5"/>
  <c r="R394" i="5" s="1"/>
  <c r="N394" i="5"/>
  <c r="O394" i="5" s="1"/>
  <c r="J394" i="5"/>
  <c r="K394" i="5" s="1"/>
  <c r="Q393" i="5"/>
  <c r="R393" i="5" s="1"/>
  <c r="N393" i="5"/>
  <c r="O393" i="5" s="1"/>
  <c r="J393" i="5"/>
  <c r="K393" i="5" s="1"/>
  <c r="Q392" i="5"/>
  <c r="R392" i="5" s="1"/>
  <c r="N392" i="5"/>
  <c r="O392" i="5" s="1"/>
  <c r="J392" i="5"/>
  <c r="K392" i="5" s="1"/>
  <c r="Q391" i="5"/>
  <c r="R391" i="5" s="1"/>
  <c r="N391" i="5"/>
  <c r="O391" i="5" s="1"/>
  <c r="J391" i="5"/>
  <c r="K391" i="5" s="1"/>
  <c r="Q390" i="5"/>
  <c r="R390" i="5" s="1"/>
  <c r="N390" i="5"/>
  <c r="O390" i="5" s="1"/>
  <c r="J390" i="5"/>
  <c r="K390" i="5" s="1"/>
  <c r="Q389" i="5"/>
  <c r="R389" i="5" s="1"/>
  <c r="N389" i="5"/>
  <c r="O389" i="5" s="1"/>
  <c r="J389" i="5"/>
  <c r="K389" i="5" s="1"/>
  <c r="Q388" i="5"/>
  <c r="R388" i="5" s="1"/>
  <c r="N388" i="5"/>
  <c r="O388" i="5" s="1"/>
  <c r="J388" i="5"/>
  <c r="K388" i="5" s="1"/>
  <c r="Q387" i="5"/>
  <c r="R387" i="5" s="1"/>
  <c r="N387" i="5"/>
  <c r="O387" i="5" s="1"/>
  <c r="J387" i="5"/>
  <c r="K387" i="5" s="1"/>
  <c r="Q386" i="5"/>
  <c r="R386" i="5" s="1"/>
  <c r="N386" i="5"/>
  <c r="O386" i="5" s="1"/>
  <c r="J386" i="5"/>
  <c r="K386" i="5" s="1"/>
  <c r="Q385" i="5"/>
  <c r="R385" i="5" s="1"/>
  <c r="N385" i="5"/>
  <c r="O385" i="5" s="1"/>
  <c r="J385" i="5"/>
  <c r="K385" i="5" s="1"/>
  <c r="Q384" i="5"/>
  <c r="R384" i="5" s="1"/>
  <c r="N384" i="5"/>
  <c r="O384" i="5" s="1"/>
  <c r="J384" i="5"/>
  <c r="K384" i="5" s="1"/>
  <c r="Q383" i="5"/>
  <c r="R383" i="5" s="1"/>
  <c r="N383" i="5"/>
  <c r="O383" i="5" s="1"/>
  <c r="J383" i="5"/>
  <c r="K383" i="5" s="1"/>
  <c r="Q382" i="5"/>
  <c r="R382" i="5" s="1"/>
  <c r="N382" i="5"/>
  <c r="O382" i="5" s="1"/>
  <c r="J382" i="5"/>
  <c r="K382" i="5" s="1"/>
  <c r="Q381" i="5"/>
  <c r="R381" i="5" s="1"/>
  <c r="N381" i="5"/>
  <c r="O381" i="5" s="1"/>
  <c r="J381" i="5"/>
  <c r="K381" i="5" s="1"/>
  <c r="Q380" i="5"/>
  <c r="R380" i="5" s="1"/>
  <c r="N380" i="5"/>
  <c r="O380" i="5" s="1"/>
  <c r="J380" i="5"/>
  <c r="K380" i="5" s="1"/>
  <c r="Q379" i="5"/>
  <c r="R379" i="5" s="1"/>
  <c r="N379" i="5"/>
  <c r="O379" i="5" s="1"/>
  <c r="J379" i="5"/>
  <c r="K379" i="5" s="1"/>
  <c r="Q378" i="5"/>
  <c r="R378" i="5" s="1"/>
  <c r="N378" i="5"/>
  <c r="O378" i="5" s="1"/>
  <c r="J378" i="5"/>
  <c r="K378" i="5" s="1"/>
  <c r="Q377" i="5"/>
  <c r="R377" i="5" s="1"/>
  <c r="N377" i="5"/>
  <c r="O377" i="5" s="1"/>
  <c r="J377" i="5"/>
  <c r="K377" i="5" s="1"/>
  <c r="Q376" i="5"/>
  <c r="R376" i="5" s="1"/>
  <c r="N376" i="5"/>
  <c r="O376" i="5" s="1"/>
  <c r="J376" i="5"/>
  <c r="K376" i="5" s="1"/>
  <c r="Q375" i="5"/>
  <c r="R375" i="5" s="1"/>
  <c r="N375" i="5"/>
  <c r="O375" i="5" s="1"/>
  <c r="J375" i="5"/>
  <c r="K375" i="5" s="1"/>
  <c r="Q374" i="5"/>
  <c r="R374" i="5" s="1"/>
  <c r="N374" i="5"/>
  <c r="O374" i="5" s="1"/>
  <c r="J374" i="5"/>
  <c r="K374" i="5" s="1"/>
  <c r="Q373" i="5"/>
  <c r="R373" i="5" s="1"/>
  <c r="N373" i="5"/>
  <c r="O373" i="5" s="1"/>
  <c r="J373" i="5"/>
  <c r="K373" i="5" s="1"/>
  <c r="Q372" i="5"/>
  <c r="R372" i="5" s="1"/>
  <c r="N372" i="5"/>
  <c r="O372" i="5" s="1"/>
  <c r="J372" i="5"/>
  <c r="K372" i="5" s="1"/>
  <c r="Q371" i="5"/>
  <c r="R371" i="5" s="1"/>
  <c r="N371" i="5"/>
  <c r="O371" i="5" s="1"/>
  <c r="J371" i="5"/>
  <c r="K371" i="5" s="1"/>
  <c r="Q370" i="5"/>
  <c r="R370" i="5" s="1"/>
  <c r="N370" i="5"/>
  <c r="O370" i="5" s="1"/>
  <c r="J370" i="5"/>
  <c r="K370" i="5" s="1"/>
  <c r="Q369" i="5"/>
  <c r="R369" i="5" s="1"/>
  <c r="N369" i="5"/>
  <c r="O369" i="5" s="1"/>
  <c r="J369" i="5"/>
  <c r="K369" i="5" s="1"/>
  <c r="Q368" i="5"/>
  <c r="R368" i="5" s="1"/>
  <c r="N368" i="5"/>
  <c r="O368" i="5" s="1"/>
  <c r="J368" i="5"/>
  <c r="K368" i="5" s="1"/>
  <c r="Q367" i="5"/>
  <c r="R367" i="5" s="1"/>
  <c r="N367" i="5"/>
  <c r="O367" i="5" s="1"/>
  <c r="J367" i="5"/>
  <c r="K367" i="5" s="1"/>
  <c r="Q366" i="5"/>
  <c r="R366" i="5" s="1"/>
  <c r="N366" i="5"/>
  <c r="O366" i="5" s="1"/>
  <c r="J366" i="5"/>
  <c r="K366" i="5" s="1"/>
  <c r="Q365" i="5"/>
  <c r="R365" i="5" s="1"/>
  <c r="N365" i="5"/>
  <c r="O365" i="5" s="1"/>
  <c r="J365" i="5"/>
  <c r="K365" i="5" s="1"/>
  <c r="Q364" i="5"/>
  <c r="R364" i="5" s="1"/>
  <c r="N364" i="5"/>
  <c r="O364" i="5" s="1"/>
  <c r="J364" i="5"/>
  <c r="K364" i="5" s="1"/>
  <c r="Q363" i="5"/>
  <c r="R363" i="5" s="1"/>
  <c r="N363" i="5"/>
  <c r="O363" i="5" s="1"/>
  <c r="J363" i="5"/>
  <c r="K363" i="5" s="1"/>
  <c r="Q362" i="5"/>
  <c r="R362" i="5" s="1"/>
  <c r="N362" i="5"/>
  <c r="O362" i="5" s="1"/>
  <c r="J362" i="5"/>
  <c r="K362" i="5" s="1"/>
  <c r="Q361" i="5"/>
  <c r="R361" i="5" s="1"/>
  <c r="N361" i="5"/>
  <c r="O361" i="5" s="1"/>
  <c r="J361" i="5"/>
  <c r="K361" i="5" s="1"/>
  <c r="Q360" i="5"/>
  <c r="R360" i="5" s="1"/>
  <c r="N360" i="5"/>
  <c r="O360" i="5" s="1"/>
  <c r="J360" i="5"/>
  <c r="K360" i="5" s="1"/>
  <c r="Q359" i="5"/>
  <c r="R359" i="5" s="1"/>
  <c r="N359" i="5"/>
  <c r="O359" i="5" s="1"/>
  <c r="J359" i="5"/>
  <c r="K359" i="5" s="1"/>
  <c r="Q358" i="5"/>
  <c r="R358" i="5" s="1"/>
  <c r="N358" i="5"/>
  <c r="O358" i="5" s="1"/>
  <c r="J358" i="5"/>
  <c r="K358" i="5" s="1"/>
  <c r="Q357" i="5"/>
  <c r="R357" i="5" s="1"/>
  <c r="N357" i="5"/>
  <c r="O357" i="5" s="1"/>
  <c r="J357" i="5"/>
  <c r="K357" i="5" s="1"/>
  <c r="Q356" i="5"/>
  <c r="R356" i="5" s="1"/>
  <c r="N356" i="5"/>
  <c r="O356" i="5" s="1"/>
  <c r="J356" i="5"/>
  <c r="K356" i="5" s="1"/>
  <c r="Q355" i="5"/>
  <c r="R355" i="5" s="1"/>
  <c r="N355" i="5"/>
  <c r="O355" i="5" s="1"/>
  <c r="J355" i="5"/>
  <c r="K355" i="5" s="1"/>
  <c r="Q354" i="5"/>
  <c r="R354" i="5" s="1"/>
  <c r="N354" i="5"/>
  <c r="O354" i="5" s="1"/>
  <c r="J354" i="5"/>
  <c r="K354" i="5" s="1"/>
  <c r="Q353" i="5"/>
  <c r="R353" i="5" s="1"/>
  <c r="N353" i="5"/>
  <c r="O353" i="5" s="1"/>
  <c r="J353" i="5"/>
  <c r="K353" i="5" s="1"/>
  <c r="Q352" i="5"/>
  <c r="R352" i="5" s="1"/>
  <c r="N352" i="5"/>
  <c r="O352" i="5" s="1"/>
  <c r="J352" i="5"/>
  <c r="K352" i="5" s="1"/>
  <c r="Q351" i="5"/>
  <c r="R351" i="5" s="1"/>
  <c r="N351" i="5"/>
  <c r="O351" i="5" s="1"/>
  <c r="J351" i="5"/>
  <c r="K351" i="5" s="1"/>
  <c r="Q350" i="5"/>
  <c r="R350" i="5" s="1"/>
  <c r="N350" i="5"/>
  <c r="O350" i="5" s="1"/>
  <c r="J350" i="5"/>
  <c r="K350" i="5" s="1"/>
  <c r="Q349" i="5"/>
  <c r="R349" i="5" s="1"/>
  <c r="N349" i="5"/>
  <c r="O349" i="5" s="1"/>
  <c r="J349" i="5"/>
  <c r="K349" i="5" s="1"/>
  <c r="Q348" i="5"/>
  <c r="R348" i="5" s="1"/>
  <c r="N348" i="5"/>
  <c r="O348" i="5" s="1"/>
  <c r="J348" i="5"/>
  <c r="K348" i="5" s="1"/>
  <c r="Q347" i="5"/>
  <c r="R347" i="5" s="1"/>
  <c r="N347" i="5"/>
  <c r="O347" i="5" s="1"/>
  <c r="J347" i="5"/>
  <c r="K347" i="5" s="1"/>
  <c r="Q346" i="5"/>
  <c r="R346" i="5" s="1"/>
  <c r="N346" i="5"/>
  <c r="O346" i="5" s="1"/>
  <c r="J346" i="5"/>
  <c r="K346" i="5" s="1"/>
  <c r="Q345" i="5"/>
  <c r="R345" i="5" s="1"/>
  <c r="N345" i="5"/>
  <c r="O345" i="5" s="1"/>
  <c r="J345" i="5"/>
  <c r="K345" i="5" s="1"/>
  <c r="Q344" i="5"/>
  <c r="R344" i="5" s="1"/>
  <c r="N344" i="5"/>
  <c r="O344" i="5" s="1"/>
  <c r="J344" i="5"/>
  <c r="K344" i="5" s="1"/>
  <c r="Q343" i="5"/>
  <c r="R343" i="5" s="1"/>
  <c r="N343" i="5"/>
  <c r="O343" i="5" s="1"/>
  <c r="J343" i="5"/>
  <c r="K343" i="5" s="1"/>
  <c r="Q342" i="5"/>
  <c r="R342" i="5" s="1"/>
  <c r="N342" i="5"/>
  <c r="O342" i="5" s="1"/>
  <c r="J342" i="5"/>
  <c r="K342" i="5" s="1"/>
  <c r="Q341" i="5"/>
  <c r="R341" i="5" s="1"/>
  <c r="N341" i="5"/>
  <c r="O341" i="5" s="1"/>
  <c r="J341" i="5"/>
  <c r="K341" i="5" s="1"/>
  <c r="Q340" i="5"/>
  <c r="R340" i="5" s="1"/>
  <c r="N340" i="5"/>
  <c r="O340" i="5" s="1"/>
  <c r="J340" i="5"/>
  <c r="K340" i="5" s="1"/>
  <c r="Q339" i="5"/>
  <c r="R339" i="5" s="1"/>
  <c r="N339" i="5"/>
  <c r="O339" i="5" s="1"/>
  <c r="J339" i="5"/>
  <c r="K339" i="5" s="1"/>
  <c r="Q338" i="5"/>
  <c r="R338" i="5" s="1"/>
  <c r="N338" i="5"/>
  <c r="O338" i="5" s="1"/>
  <c r="J338" i="5"/>
  <c r="K338" i="5" s="1"/>
  <c r="Q337" i="5"/>
  <c r="R337" i="5" s="1"/>
  <c r="N337" i="5"/>
  <c r="O337" i="5" s="1"/>
  <c r="J337" i="5"/>
  <c r="K337" i="5" s="1"/>
  <c r="Q336" i="5"/>
  <c r="R336" i="5" s="1"/>
  <c r="N336" i="5"/>
  <c r="O336" i="5" s="1"/>
  <c r="J336" i="5"/>
  <c r="K336" i="5" s="1"/>
  <c r="Q335" i="5"/>
  <c r="R335" i="5" s="1"/>
  <c r="N335" i="5"/>
  <c r="O335" i="5" s="1"/>
  <c r="J335" i="5"/>
  <c r="K335" i="5" s="1"/>
  <c r="Q334" i="5"/>
  <c r="R334" i="5" s="1"/>
  <c r="N334" i="5"/>
  <c r="O334" i="5" s="1"/>
  <c r="J334" i="5"/>
  <c r="K334" i="5" s="1"/>
  <c r="Q333" i="5"/>
  <c r="R333" i="5" s="1"/>
  <c r="N333" i="5"/>
  <c r="O333" i="5" s="1"/>
  <c r="J333" i="5"/>
  <c r="K333" i="5" s="1"/>
  <c r="Q332" i="5"/>
  <c r="R332" i="5" s="1"/>
  <c r="N332" i="5"/>
  <c r="O332" i="5" s="1"/>
  <c r="J332" i="5"/>
  <c r="K332" i="5" s="1"/>
  <c r="Q331" i="5"/>
  <c r="R331" i="5" s="1"/>
  <c r="N331" i="5"/>
  <c r="O331" i="5" s="1"/>
  <c r="J331" i="5"/>
  <c r="K331" i="5" s="1"/>
  <c r="Q330" i="5"/>
  <c r="R330" i="5" s="1"/>
  <c r="N330" i="5"/>
  <c r="O330" i="5" s="1"/>
  <c r="J330" i="5"/>
  <c r="K330" i="5" s="1"/>
  <c r="Q329" i="5"/>
  <c r="R329" i="5" s="1"/>
  <c r="N329" i="5"/>
  <c r="O329" i="5" s="1"/>
  <c r="J329" i="5"/>
  <c r="K329" i="5" s="1"/>
  <c r="Q328" i="5"/>
  <c r="R328" i="5" s="1"/>
  <c r="N328" i="5"/>
  <c r="O328" i="5" s="1"/>
  <c r="J328" i="5"/>
  <c r="K328" i="5" s="1"/>
  <c r="Q327" i="5"/>
  <c r="R327" i="5" s="1"/>
  <c r="N327" i="5"/>
  <c r="O327" i="5" s="1"/>
  <c r="J327" i="5"/>
  <c r="K327" i="5" s="1"/>
  <c r="Q326" i="5"/>
  <c r="R326" i="5" s="1"/>
  <c r="N326" i="5"/>
  <c r="O326" i="5" s="1"/>
  <c r="J326" i="5"/>
  <c r="K326" i="5" s="1"/>
  <c r="Q325" i="5"/>
  <c r="R325" i="5" s="1"/>
  <c r="N325" i="5"/>
  <c r="O325" i="5" s="1"/>
  <c r="J325" i="5"/>
  <c r="K325" i="5" s="1"/>
  <c r="Q324" i="5"/>
  <c r="R324" i="5" s="1"/>
  <c r="N324" i="5"/>
  <c r="O324" i="5" s="1"/>
  <c r="J324" i="5"/>
  <c r="K324" i="5" s="1"/>
  <c r="Q323" i="5"/>
  <c r="R323" i="5" s="1"/>
  <c r="N323" i="5"/>
  <c r="O323" i="5" s="1"/>
  <c r="J323" i="5"/>
  <c r="K323" i="5" s="1"/>
  <c r="Q322" i="5"/>
  <c r="R322" i="5" s="1"/>
  <c r="N322" i="5"/>
  <c r="O322" i="5" s="1"/>
  <c r="J322" i="5"/>
  <c r="K322" i="5" s="1"/>
  <c r="Q321" i="5"/>
  <c r="R321" i="5" s="1"/>
  <c r="N321" i="5"/>
  <c r="O321" i="5" s="1"/>
  <c r="J321" i="5"/>
  <c r="K321" i="5" s="1"/>
  <c r="Q320" i="5"/>
  <c r="R320" i="5" s="1"/>
  <c r="N320" i="5"/>
  <c r="O320" i="5" s="1"/>
  <c r="J320" i="5"/>
  <c r="K320" i="5" s="1"/>
  <c r="Q319" i="5"/>
  <c r="R319" i="5" s="1"/>
  <c r="N319" i="5"/>
  <c r="O319" i="5" s="1"/>
  <c r="J319" i="5"/>
  <c r="K319" i="5" s="1"/>
  <c r="Q318" i="5"/>
  <c r="R318" i="5" s="1"/>
  <c r="N318" i="5"/>
  <c r="O318" i="5" s="1"/>
  <c r="J318" i="5"/>
  <c r="K318" i="5" s="1"/>
  <c r="Q317" i="5"/>
  <c r="R317" i="5" s="1"/>
  <c r="N317" i="5"/>
  <c r="O317" i="5" s="1"/>
  <c r="J317" i="5"/>
  <c r="K317" i="5" s="1"/>
  <c r="Q316" i="5"/>
  <c r="R316" i="5" s="1"/>
  <c r="N316" i="5"/>
  <c r="O316" i="5" s="1"/>
  <c r="J316" i="5"/>
  <c r="K316" i="5" s="1"/>
  <c r="Q315" i="5"/>
  <c r="R315" i="5" s="1"/>
  <c r="N315" i="5"/>
  <c r="O315" i="5" s="1"/>
  <c r="J315" i="5"/>
  <c r="K315" i="5" s="1"/>
  <c r="Q314" i="5"/>
  <c r="R314" i="5" s="1"/>
  <c r="N314" i="5"/>
  <c r="O314" i="5" s="1"/>
  <c r="J314" i="5"/>
  <c r="K314" i="5" s="1"/>
  <c r="Q313" i="5"/>
  <c r="R313" i="5" s="1"/>
  <c r="N313" i="5"/>
  <c r="O313" i="5" s="1"/>
  <c r="J313" i="5"/>
  <c r="K313" i="5" s="1"/>
  <c r="Q312" i="5"/>
  <c r="R312" i="5" s="1"/>
  <c r="N312" i="5"/>
  <c r="O312" i="5" s="1"/>
  <c r="J312" i="5"/>
  <c r="K312" i="5" s="1"/>
  <c r="Q311" i="5"/>
  <c r="R311" i="5" s="1"/>
  <c r="N311" i="5"/>
  <c r="O311" i="5" s="1"/>
  <c r="J311" i="5"/>
  <c r="K311" i="5" s="1"/>
  <c r="Q310" i="5"/>
  <c r="R310" i="5" s="1"/>
  <c r="N310" i="5"/>
  <c r="O310" i="5" s="1"/>
  <c r="J310" i="5"/>
  <c r="K310" i="5" s="1"/>
  <c r="Q309" i="5"/>
  <c r="R309" i="5" s="1"/>
  <c r="N309" i="5"/>
  <c r="O309" i="5" s="1"/>
  <c r="J309" i="5"/>
  <c r="K309" i="5" s="1"/>
  <c r="Q308" i="5"/>
  <c r="R308" i="5" s="1"/>
  <c r="N308" i="5"/>
  <c r="O308" i="5" s="1"/>
  <c r="J308" i="5"/>
  <c r="K308" i="5" s="1"/>
  <c r="Q307" i="5"/>
  <c r="R307" i="5" s="1"/>
  <c r="N307" i="5"/>
  <c r="O307" i="5" s="1"/>
  <c r="J307" i="5"/>
  <c r="K307" i="5" s="1"/>
  <c r="Q306" i="5"/>
  <c r="R306" i="5" s="1"/>
  <c r="N306" i="5"/>
  <c r="O306" i="5" s="1"/>
  <c r="J306" i="5"/>
  <c r="K306" i="5" s="1"/>
  <c r="Q305" i="5"/>
  <c r="R305" i="5" s="1"/>
  <c r="N305" i="5"/>
  <c r="O305" i="5" s="1"/>
  <c r="J305" i="5"/>
  <c r="K305" i="5" s="1"/>
  <c r="Q304" i="5"/>
  <c r="R304" i="5" s="1"/>
  <c r="N304" i="5"/>
  <c r="O304" i="5" s="1"/>
  <c r="J304" i="5"/>
  <c r="K304" i="5" s="1"/>
  <c r="Q303" i="5"/>
  <c r="R303" i="5" s="1"/>
  <c r="N303" i="5"/>
  <c r="O303" i="5" s="1"/>
  <c r="J303" i="5"/>
  <c r="K303" i="5" s="1"/>
  <c r="Q302" i="5"/>
  <c r="R302" i="5" s="1"/>
  <c r="N302" i="5"/>
  <c r="O302" i="5" s="1"/>
  <c r="J302" i="5"/>
  <c r="K302" i="5" s="1"/>
  <c r="Q301" i="5"/>
  <c r="R301" i="5" s="1"/>
  <c r="N301" i="5"/>
  <c r="O301" i="5" s="1"/>
  <c r="J301" i="5"/>
  <c r="K301" i="5" s="1"/>
  <c r="Q300" i="5"/>
  <c r="R300" i="5" s="1"/>
  <c r="N300" i="5"/>
  <c r="O300" i="5" s="1"/>
  <c r="J300" i="5"/>
  <c r="K300" i="5" s="1"/>
  <c r="Q299" i="5"/>
  <c r="R299" i="5" s="1"/>
  <c r="N299" i="5"/>
  <c r="O299" i="5" s="1"/>
  <c r="J299" i="5"/>
  <c r="K299" i="5" s="1"/>
  <c r="Q298" i="5"/>
  <c r="R298" i="5" s="1"/>
  <c r="N298" i="5"/>
  <c r="O298" i="5" s="1"/>
  <c r="J298" i="5"/>
  <c r="K298" i="5" s="1"/>
  <c r="Q297" i="5"/>
  <c r="R297" i="5" s="1"/>
  <c r="N297" i="5"/>
  <c r="O297" i="5" s="1"/>
  <c r="J297" i="5"/>
  <c r="K297" i="5" s="1"/>
  <c r="Q296" i="5"/>
  <c r="R296" i="5" s="1"/>
  <c r="N296" i="5"/>
  <c r="O296" i="5" s="1"/>
  <c r="J296" i="5"/>
  <c r="K296" i="5" s="1"/>
  <c r="Q295" i="5"/>
  <c r="R295" i="5" s="1"/>
  <c r="N295" i="5"/>
  <c r="O295" i="5" s="1"/>
  <c r="J295" i="5"/>
  <c r="K295" i="5" s="1"/>
  <c r="Q294" i="5"/>
  <c r="R294" i="5" s="1"/>
  <c r="N294" i="5"/>
  <c r="O294" i="5" s="1"/>
  <c r="J294" i="5"/>
  <c r="K294" i="5" s="1"/>
  <c r="Q293" i="5"/>
  <c r="R293" i="5" s="1"/>
  <c r="N293" i="5"/>
  <c r="O293" i="5" s="1"/>
  <c r="J293" i="5"/>
  <c r="K293" i="5" s="1"/>
  <c r="Q292" i="5"/>
  <c r="R292" i="5" s="1"/>
  <c r="N292" i="5"/>
  <c r="O292" i="5" s="1"/>
  <c r="J292" i="5"/>
  <c r="K292" i="5" s="1"/>
  <c r="Q291" i="5"/>
  <c r="R291" i="5" s="1"/>
  <c r="N291" i="5"/>
  <c r="O291" i="5" s="1"/>
  <c r="J291" i="5"/>
  <c r="K291" i="5" s="1"/>
  <c r="Q290" i="5"/>
  <c r="R290" i="5" s="1"/>
  <c r="N290" i="5"/>
  <c r="O290" i="5" s="1"/>
  <c r="J290" i="5"/>
  <c r="K290" i="5" s="1"/>
  <c r="Q289" i="5"/>
  <c r="R289" i="5" s="1"/>
  <c r="N289" i="5"/>
  <c r="O289" i="5" s="1"/>
  <c r="J289" i="5"/>
  <c r="K289" i="5" s="1"/>
  <c r="Q288" i="5"/>
  <c r="R288" i="5" s="1"/>
  <c r="N288" i="5"/>
  <c r="O288" i="5" s="1"/>
  <c r="J288" i="5"/>
  <c r="K288" i="5" s="1"/>
  <c r="Q287" i="5"/>
  <c r="R287" i="5" s="1"/>
  <c r="N287" i="5"/>
  <c r="O287" i="5" s="1"/>
  <c r="J287" i="5"/>
  <c r="K287" i="5" s="1"/>
  <c r="Q286" i="5"/>
  <c r="R286" i="5" s="1"/>
  <c r="N286" i="5"/>
  <c r="O286" i="5" s="1"/>
  <c r="J286" i="5"/>
  <c r="K286" i="5" s="1"/>
  <c r="Q285" i="5"/>
  <c r="R285" i="5" s="1"/>
  <c r="N285" i="5"/>
  <c r="O285" i="5" s="1"/>
  <c r="J285" i="5"/>
  <c r="K285" i="5" s="1"/>
  <c r="Q284" i="5"/>
  <c r="R284" i="5" s="1"/>
  <c r="N284" i="5"/>
  <c r="O284" i="5" s="1"/>
  <c r="J284" i="5"/>
  <c r="K284" i="5" s="1"/>
  <c r="Q283" i="5"/>
  <c r="R283" i="5" s="1"/>
  <c r="N283" i="5"/>
  <c r="O283" i="5" s="1"/>
  <c r="J283" i="5"/>
  <c r="K283" i="5" s="1"/>
  <c r="Q282" i="5"/>
  <c r="R282" i="5" s="1"/>
  <c r="N282" i="5"/>
  <c r="O282" i="5" s="1"/>
  <c r="J282" i="5"/>
  <c r="K282" i="5" s="1"/>
  <c r="Q281" i="5"/>
  <c r="R281" i="5" s="1"/>
  <c r="N281" i="5"/>
  <c r="O281" i="5" s="1"/>
  <c r="J281" i="5"/>
  <c r="K281" i="5" s="1"/>
  <c r="Q280" i="5"/>
  <c r="R280" i="5" s="1"/>
  <c r="N280" i="5"/>
  <c r="O280" i="5" s="1"/>
  <c r="J280" i="5"/>
  <c r="K280" i="5" s="1"/>
  <c r="Q279" i="5"/>
  <c r="R279" i="5" s="1"/>
  <c r="N279" i="5"/>
  <c r="O279" i="5" s="1"/>
  <c r="J279" i="5"/>
  <c r="K279" i="5" s="1"/>
  <c r="Q278" i="5"/>
  <c r="R278" i="5" s="1"/>
  <c r="N278" i="5"/>
  <c r="O278" i="5" s="1"/>
  <c r="J278" i="5"/>
  <c r="K278" i="5" s="1"/>
  <c r="Q277" i="5"/>
  <c r="R277" i="5" s="1"/>
  <c r="N277" i="5"/>
  <c r="O277" i="5" s="1"/>
  <c r="J277" i="5"/>
  <c r="K277" i="5" s="1"/>
  <c r="Q276" i="5"/>
  <c r="R276" i="5" s="1"/>
  <c r="N276" i="5"/>
  <c r="O276" i="5" s="1"/>
  <c r="J276" i="5"/>
  <c r="K276" i="5" s="1"/>
  <c r="Q275" i="5"/>
  <c r="R275" i="5" s="1"/>
  <c r="N275" i="5"/>
  <c r="O275" i="5" s="1"/>
  <c r="J275" i="5"/>
  <c r="K275" i="5" s="1"/>
  <c r="Q274" i="5"/>
  <c r="R274" i="5" s="1"/>
  <c r="N274" i="5"/>
  <c r="O274" i="5" s="1"/>
  <c r="J274" i="5"/>
  <c r="K274" i="5" s="1"/>
  <c r="Q273" i="5"/>
  <c r="R273" i="5" s="1"/>
  <c r="N273" i="5"/>
  <c r="O273" i="5" s="1"/>
  <c r="J273" i="5"/>
  <c r="K273" i="5" s="1"/>
  <c r="Q272" i="5"/>
  <c r="R272" i="5" s="1"/>
  <c r="N272" i="5"/>
  <c r="O272" i="5" s="1"/>
  <c r="J272" i="5"/>
  <c r="K272" i="5" s="1"/>
  <c r="Q271" i="5"/>
  <c r="R271" i="5" s="1"/>
  <c r="N271" i="5"/>
  <c r="O271" i="5" s="1"/>
  <c r="J271" i="5"/>
  <c r="K271" i="5" s="1"/>
  <c r="Q270" i="5"/>
  <c r="R270" i="5" s="1"/>
  <c r="N270" i="5"/>
  <c r="O270" i="5" s="1"/>
  <c r="J270" i="5"/>
  <c r="K270" i="5" s="1"/>
  <c r="Q269" i="5"/>
  <c r="R269" i="5" s="1"/>
  <c r="N269" i="5"/>
  <c r="O269" i="5" s="1"/>
  <c r="J269" i="5"/>
  <c r="K269" i="5" s="1"/>
  <c r="Q268" i="5"/>
  <c r="R268" i="5" s="1"/>
  <c r="N268" i="5"/>
  <c r="O268" i="5" s="1"/>
  <c r="J268" i="5"/>
  <c r="K268" i="5" s="1"/>
  <c r="Q267" i="5"/>
  <c r="R267" i="5" s="1"/>
  <c r="N267" i="5"/>
  <c r="O267" i="5" s="1"/>
  <c r="J267" i="5"/>
  <c r="K267" i="5" s="1"/>
  <c r="Q266" i="5"/>
  <c r="R266" i="5" s="1"/>
  <c r="N266" i="5"/>
  <c r="O266" i="5" s="1"/>
  <c r="J266" i="5"/>
  <c r="K266" i="5" s="1"/>
  <c r="Q265" i="5"/>
  <c r="R265" i="5" s="1"/>
  <c r="N265" i="5"/>
  <c r="O265" i="5" s="1"/>
  <c r="J265" i="5"/>
  <c r="K265" i="5" s="1"/>
  <c r="Q264" i="5"/>
  <c r="R264" i="5" s="1"/>
  <c r="N264" i="5"/>
  <c r="O264" i="5" s="1"/>
  <c r="J264" i="5"/>
  <c r="K264" i="5" s="1"/>
  <c r="Q263" i="5"/>
  <c r="R263" i="5" s="1"/>
  <c r="N263" i="5"/>
  <c r="O263" i="5" s="1"/>
  <c r="J263" i="5"/>
  <c r="K263" i="5" s="1"/>
  <c r="Q262" i="5"/>
  <c r="R262" i="5" s="1"/>
  <c r="N262" i="5"/>
  <c r="O262" i="5" s="1"/>
  <c r="J262" i="5"/>
  <c r="K262" i="5" s="1"/>
  <c r="Q261" i="5"/>
  <c r="R261" i="5" s="1"/>
  <c r="N261" i="5"/>
  <c r="O261" i="5" s="1"/>
  <c r="J261" i="5"/>
  <c r="K261" i="5" s="1"/>
  <c r="Q260" i="5"/>
  <c r="R260" i="5" s="1"/>
  <c r="N260" i="5"/>
  <c r="O260" i="5" s="1"/>
  <c r="J260" i="5"/>
  <c r="K260" i="5" s="1"/>
  <c r="Q259" i="5"/>
  <c r="R259" i="5" s="1"/>
  <c r="N259" i="5"/>
  <c r="O259" i="5" s="1"/>
  <c r="J259" i="5"/>
  <c r="K259" i="5" s="1"/>
  <c r="Q258" i="5"/>
  <c r="R258" i="5" s="1"/>
  <c r="N258" i="5"/>
  <c r="O258" i="5" s="1"/>
  <c r="J258" i="5"/>
  <c r="K258" i="5" s="1"/>
  <c r="Q257" i="5"/>
  <c r="R257" i="5" s="1"/>
  <c r="N257" i="5"/>
  <c r="O257" i="5" s="1"/>
  <c r="J257" i="5"/>
  <c r="K257" i="5" s="1"/>
  <c r="Q256" i="5"/>
  <c r="R256" i="5" s="1"/>
  <c r="N256" i="5"/>
  <c r="O256" i="5" s="1"/>
  <c r="J256" i="5"/>
  <c r="K256" i="5" s="1"/>
  <c r="Q255" i="5"/>
  <c r="R255" i="5" s="1"/>
  <c r="N255" i="5"/>
  <c r="O255" i="5" s="1"/>
  <c r="J255" i="5"/>
  <c r="K255" i="5" s="1"/>
  <c r="Q254" i="5"/>
  <c r="R254" i="5" s="1"/>
  <c r="N254" i="5"/>
  <c r="O254" i="5" s="1"/>
  <c r="J254" i="5"/>
  <c r="K254" i="5" s="1"/>
  <c r="Q253" i="5"/>
  <c r="R253" i="5" s="1"/>
  <c r="N253" i="5"/>
  <c r="O253" i="5" s="1"/>
  <c r="J253" i="5"/>
  <c r="K253" i="5" s="1"/>
  <c r="Q252" i="5"/>
  <c r="R252" i="5" s="1"/>
  <c r="N252" i="5"/>
  <c r="O252" i="5" s="1"/>
  <c r="J252" i="5"/>
  <c r="K252" i="5" s="1"/>
  <c r="Q251" i="5"/>
  <c r="R251" i="5" s="1"/>
  <c r="N251" i="5"/>
  <c r="O251" i="5" s="1"/>
  <c r="J251" i="5"/>
  <c r="K251" i="5" s="1"/>
  <c r="Q250" i="5"/>
  <c r="R250" i="5" s="1"/>
  <c r="N250" i="5"/>
  <c r="O250" i="5" s="1"/>
  <c r="J250" i="5"/>
  <c r="K250" i="5" s="1"/>
  <c r="Q249" i="5"/>
  <c r="R249" i="5" s="1"/>
  <c r="N249" i="5"/>
  <c r="O249" i="5" s="1"/>
  <c r="J249" i="5"/>
  <c r="K249" i="5" s="1"/>
  <c r="Q248" i="5"/>
  <c r="R248" i="5" s="1"/>
  <c r="N248" i="5"/>
  <c r="O248" i="5" s="1"/>
  <c r="J248" i="5"/>
  <c r="K248" i="5" s="1"/>
  <c r="Q247" i="5"/>
  <c r="R247" i="5" s="1"/>
  <c r="N247" i="5"/>
  <c r="O247" i="5" s="1"/>
  <c r="J247" i="5"/>
  <c r="K247" i="5" s="1"/>
  <c r="Q246" i="5"/>
  <c r="R246" i="5" s="1"/>
  <c r="N246" i="5"/>
  <c r="O246" i="5" s="1"/>
  <c r="J246" i="5"/>
  <c r="K246" i="5" s="1"/>
  <c r="Q245" i="5"/>
  <c r="R245" i="5" s="1"/>
  <c r="N245" i="5"/>
  <c r="O245" i="5" s="1"/>
  <c r="J245" i="5"/>
  <c r="K245" i="5" s="1"/>
  <c r="Q244" i="5"/>
  <c r="R244" i="5" s="1"/>
  <c r="N244" i="5"/>
  <c r="O244" i="5" s="1"/>
  <c r="J244" i="5"/>
  <c r="K244" i="5" s="1"/>
  <c r="Q243" i="5"/>
  <c r="R243" i="5" s="1"/>
  <c r="N243" i="5"/>
  <c r="O243" i="5" s="1"/>
  <c r="J243" i="5"/>
  <c r="K243" i="5" s="1"/>
  <c r="Q242" i="5"/>
  <c r="R242" i="5" s="1"/>
  <c r="N242" i="5"/>
  <c r="O242" i="5" s="1"/>
  <c r="J242" i="5"/>
  <c r="K242" i="5" s="1"/>
  <c r="Q241" i="5"/>
  <c r="R241" i="5" s="1"/>
  <c r="N241" i="5"/>
  <c r="O241" i="5" s="1"/>
  <c r="J241" i="5"/>
  <c r="K241" i="5" s="1"/>
  <c r="Q240" i="5"/>
  <c r="R240" i="5" s="1"/>
  <c r="N240" i="5"/>
  <c r="O240" i="5" s="1"/>
  <c r="J240" i="5"/>
  <c r="K240" i="5" s="1"/>
  <c r="Q239" i="5"/>
  <c r="R239" i="5" s="1"/>
  <c r="N239" i="5"/>
  <c r="O239" i="5" s="1"/>
  <c r="J239" i="5"/>
  <c r="K239" i="5" s="1"/>
  <c r="Q238" i="5"/>
  <c r="R238" i="5" s="1"/>
  <c r="N238" i="5"/>
  <c r="O238" i="5" s="1"/>
  <c r="J238" i="5"/>
  <c r="K238" i="5" s="1"/>
  <c r="Q237" i="5"/>
  <c r="R237" i="5" s="1"/>
  <c r="N237" i="5"/>
  <c r="O237" i="5" s="1"/>
  <c r="J237" i="5"/>
  <c r="K237" i="5" s="1"/>
  <c r="Q236" i="5"/>
  <c r="R236" i="5" s="1"/>
  <c r="N236" i="5"/>
  <c r="O236" i="5" s="1"/>
  <c r="J236" i="5"/>
  <c r="K236" i="5" s="1"/>
  <c r="Q235" i="5"/>
  <c r="R235" i="5" s="1"/>
  <c r="N235" i="5"/>
  <c r="O235" i="5" s="1"/>
  <c r="J235" i="5"/>
  <c r="K235" i="5" s="1"/>
  <c r="Q234" i="5"/>
  <c r="R234" i="5" s="1"/>
  <c r="N234" i="5"/>
  <c r="O234" i="5" s="1"/>
  <c r="J234" i="5"/>
  <c r="K234" i="5" s="1"/>
  <c r="Q233" i="5"/>
  <c r="R233" i="5" s="1"/>
  <c r="N233" i="5"/>
  <c r="O233" i="5" s="1"/>
  <c r="J233" i="5"/>
  <c r="K233" i="5" s="1"/>
  <c r="Q232" i="5"/>
  <c r="R232" i="5" s="1"/>
  <c r="N232" i="5"/>
  <c r="O232" i="5" s="1"/>
  <c r="J232" i="5"/>
  <c r="K232" i="5" s="1"/>
  <c r="Q231" i="5"/>
  <c r="R231" i="5" s="1"/>
  <c r="N231" i="5"/>
  <c r="O231" i="5" s="1"/>
  <c r="J231" i="5"/>
  <c r="K231" i="5" s="1"/>
  <c r="Q230" i="5"/>
  <c r="R230" i="5" s="1"/>
  <c r="N230" i="5"/>
  <c r="O230" i="5" s="1"/>
  <c r="J230" i="5"/>
  <c r="K230" i="5" s="1"/>
  <c r="Q229" i="5"/>
  <c r="R229" i="5" s="1"/>
  <c r="N229" i="5"/>
  <c r="O229" i="5" s="1"/>
  <c r="J229" i="5"/>
  <c r="K229" i="5" s="1"/>
  <c r="Q228" i="5"/>
  <c r="R228" i="5" s="1"/>
  <c r="N228" i="5"/>
  <c r="O228" i="5" s="1"/>
  <c r="J228" i="5"/>
  <c r="K228" i="5" s="1"/>
  <c r="Q227" i="5"/>
  <c r="R227" i="5" s="1"/>
  <c r="N227" i="5"/>
  <c r="O227" i="5" s="1"/>
  <c r="J227" i="5"/>
  <c r="K227" i="5" s="1"/>
  <c r="Q226" i="5"/>
  <c r="R226" i="5" s="1"/>
  <c r="N226" i="5"/>
  <c r="O226" i="5" s="1"/>
  <c r="J226" i="5"/>
  <c r="K226" i="5" s="1"/>
  <c r="Q225" i="5"/>
  <c r="R225" i="5" s="1"/>
  <c r="N225" i="5"/>
  <c r="O225" i="5" s="1"/>
  <c r="J225" i="5"/>
  <c r="K225" i="5" s="1"/>
  <c r="Q224" i="5"/>
  <c r="R224" i="5" s="1"/>
  <c r="N224" i="5"/>
  <c r="O224" i="5" s="1"/>
  <c r="J224" i="5"/>
  <c r="K224" i="5" s="1"/>
  <c r="Q223" i="5"/>
  <c r="R223" i="5" s="1"/>
  <c r="N223" i="5"/>
  <c r="O223" i="5" s="1"/>
  <c r="J223" i="5"/>
  <c r="K223" i="5" s="1"/>
  <c r="Q222" i="5"/>
  <c r="R222" i="5" s="1"/>
  <c r="N222" i="5"/>
  <c r="O222" i="5" s="1"/>
  <c r="J222" i="5"/>
  <c r="K222" i="5" s="1"/>
  <c r="Q221" i="5"/>
  <c r="R221" i="5" s="1"/>
  <c r="N221" i="5"/>
  <c r="O221" i="5" s="1"/>
  <c r="J221" i="5"/>
  <c r="K221" i="5" s="1"/>
  <c r="Q220" i="5"/>
  <c r="R220" i="5" s="1"/>
  <c r="N220" i="5"/>
  <c r="O220" i="5" s="1"/>
  <c r="J220" i="5"/>
  <c r="K220" i="5" s="1"/>
  <c r="Q219" i="5"/>
  <c r="R219" i="5" s="1"/>
  <c r="N219" i="5"/>
  <c r="O219" i="5" s="1"/>
  <c r="J219" i="5"/>
  <c r="K219" i="5" s="1"/>
  <c r="Q218" i="5"/>
  <c r="R218" i="5" s="1"/>
  <c r="N218" i="5"/>
  <c r="O218" i="5" s="1"/>
  <c r="J218" i="5"/>
  <c r="K218" i="5" s="1"/>
  <c r="Q217" i="5"/>
  <c r="R217" i="5" s="1"/>
  <c r="N217" i="5"/>
  <c r="O217" i="5" s="1"/>
  <c r="J217" i="5"/>
  <c r="K217" i="5" s="1"/>
  <c r="Q216" i="5"/>
  <c r="R216" i="5" s="1"/>
  <c r="N216" i="5"/>
  <c r="O216" i="5" s="1"/>
  <c r="J216" i="5"/>
  <c r="K216" i="5" s="1"/>
  <c r="Q215" i="5"/>
  <c r="R215" i="5" s="1"/>
  <c r="N215" i="5"/>
  <c r="O215" i="5" s="1"/>
  <c r="J215" i="5"/>
  <c r="K215" i="5" s="1"/>
  <c r="Q214" i="5"/>
  <c r="R214" i="5" s="1"/>
  <c r="N214" i="5"/>
  <c r="O214" i="5" s="1"/>
  <c r="J214" i="5"/>
  <c r="K214" i="5" s="1"/>
  <c r="Q213" i="5"/>
  <c r="R213" i="5" s="1"/>
  <c r="N213" i="5"/>
  <c r="O213" i="5" s="1"/>
  <c r="J213" i="5"/>
  <c r="K213" i="5" s="1"/>
  <c r="Q212" i="5"/>
  <c r="R212" i="5" s="1"/>
  <c r="N212" i="5"/>
  <c r="O212" i="5" s="1"/>
  <c r="J212" i="5"/>
  <c r="K212" i="5" s="1"/>
  <c r="Q211" i="5"/>
  <c r="R211" i="5" s="1"/>
  <c r="N211" i="5"/>
  <c r="O211" i="5" s="1"/>
  <c r="J211" i="5"/>
  <c r="K211" i="5" s="1"/>
  <c r="Q210" i="5"/>
  <c r="R210" i="5" s="1"/>
  <c r="N210" i="5"/>
  <c r="O210" i="5" s="1"/>
  <c r="J210" i="5"/>
  <c r="K210" i="5" s="1"/>
  <c r="Q209" i="5"/>
  <c r="R209" i="5" s="1"/>
  <c r="N209" i="5"/>
  <c r="O209" i="5" s="1"/>
  <c r="J209" i="5"/>
  <c r="K209" i="5" s="1"/>
  <c r="Q208" i="5"/>
  <c r="R208" i="5" s="1"/>
  <c r="N208" i="5"/>
  <c r="O208" i="5" s="1"/>
  <c r="J208" i="5"/>
  <c r="K208" i="5" s="1"/>
  <c r="Q207" i="5"/>
  <c r="R207" i="5" s="1"/>
  <c r="N207" i="5"/>
  <c r="O207" i="5" s="1"/>
  <c r="J207" i="5"/>
  <c r="K207" i="5" s="1"/>
  <c r="Q206" i="5"/>
  <c r="R206" i="5" s="1"/>
  <c r="N206" i="5"/>
  <c r="O206" i="5" s="1"/>
  <c r="K206" i="5"/>
  <c r="Q205" i="5"/>
  <c r="R205" i="5" s="1"/>
  <c r="N205" i="5"/>
  <c r="O205" i="5" s="1"/>
  <c r="J205" i="5"/>
  <c r="K205" i="5" s="1"/>
  <c r="Q204" i="5"/>
  <c r="R204" i="5" s="1"/>
  <c r="N204" i="5"/>
  <c r="O204" i="5" s="1"/>
  <c r="J204" i="5"/>
  <c r="K204" i="5" s="1"/>
  <c r="Q203" i="5"/>
  <c r="R203" i="5" s="1"/>
  <c r="N203" i="5"/>
  <c r="O203" i="5" s="1"/>
  <c r="J203" i="5"/>
  <c r="K203" i="5" s="1"/>
  <c r="Q202" i="5"/>
  <c r="R202" i="5" s="1"/>
  <c r="N202" i="5"/>
  <c r="O202" i="5" s="1"/>
  <c r="J202" i="5"/>
  <c r="K202" i="5" s="1"/>
  <c r="Q201" i="5"/>
  <c r="R201" i="5" s="1"/>
  <c r="N201" i="5"/>
  <c r="O201" i="5" s="1"/>
  <c r="K201" i="5"/>
  <c r="Q200" i="5"/>
  <c r="R200" i="5" s="1"/>
  <c r="N200" i="5"/>
  <c r="O200" i="5" s="1"/>
  <c r="J200" i="5"/>
  <c r="K200" i="5" s="1"/>
  <c r="Q199" i="5"/>
  <c r="R199" i="5" s="1"/>
  <c r="N199" i="5"/>
  <c r="O199" i="5" s="1"/>
  <c r="J199" i="5"/>
  <c r="K199" i="5" s="1"/>
  <c r="Q198" i="5"/>
  <c r="R198" i="5" s="1"/>
  <c r="N198" i="5"/>
  <c r="O198" i="5" s="1"/>
  <c r="J198" i="5"/>
  <c r="K198" i="5" s="1"/>
  <c r="Q197" i="5"/>
  <c r="R197" i="5" s="1"/>
  <c r="N197" i="5"/>
  <c r="O197" i="5" s="1"/>
  <c r="J197" i="5"/>
  <c r="K197" i="5" s="1"/>
  <c r="Q196" i="5"/>
  <c r="R196" i="5" s="1"/>
  <c r="N196" i="5"/>
  <c r="O196" i="5" s="1"/>
  <c r="J196" i="5"/>
  <c r="K196" i="5" s="1"/>
  <c r="Q195" i="5"/>
  <c r="R195" i="5" s="1"/>
  <c r="N195" i="5"/>
  <c r="O195" i="5" s="1"/>
  <c r="J195" i="5"/>
  <c r="K195" i="5" s="1"/>
  <c r="Q194" i="5"/>
  <c r="R194" i="5" s="1"/>
  <c r="N194" i="5"/>
  <c r="O194" i="5" s="1"/>
  <c r="J194" i="5"/>
  <c r="K194" i="5" s="1"/>
  <c r="Q193" i="5"/>
  <c r="R193" i="5" s="1"/>
  <c r="N193" i="5"/>
  <c r="O193" i="5" s="1"/>
  <c r="J193" i="5"/>
  <c r="K193" i="5" s="1"/>
  <c r="Q192" i="5"/>
  <c r="R192" i="5" s="1"/>
  <c r="N192" i="5"/>
  <c r="O192" i="5" s="1"/>
  <c r="J192" i="5"/>
  <c r="K192" i="5" s="1"/>
  <c r="Q191" i="5"/>
  <c r="R191" i="5" s="1"/>
  <c r="N191" i="5"/>
  <c r="O191" i="5" s="1"/>
  <c r="J191" i="5"/>
  <c r="K191" i="5" s="1"/>
  <c r="Q190" i="5"/>
  <c r="R190" i="5" s="1"/>
  <c r="N190" i="5"/>
  <c r="O190" i="5" s="1"/>
  <c r="J190" i="5"/>
  <c r="K190" i="5" s="1"/>
  <c r="Q189" i="5"/>
  <c r="R189" i="5" s="1"/>
  <c r="N189" i="5"/>
  <c r="O189" i="5" s="1"/>
  <c r="J189" i="5"/>
  <c r="K189" i="5" s="1"/>
  <c r="Q188" i="5"/>
  <c r="R188" i="5" s="1"/>
  <c r="N188" i="5"/>
  <c r="O188" i="5" s="1"/>
  <c r="J188" i="5"/>
  <c r="K188" i="5" s="1"/>
  <c r="Q187" i="5"/>
  <c r="R187" i="5" s="1"/>
  <c r="N187" i="5"/>
  <c r="O187" i="5" s="1"/>
  <c r="J187" i="5"/>
  <c r="K187" i="5" s="1"/>
  <c r="Q186" i="5"/>
  <c r="R186" i="5" s="1"/>
  <c r="N186" i="5"/>
  <c r="O186" i="5" s="1"/>
  <c r="J186" i="5"/>
  <c r="K186" i="5" s="1"/>
  <c r="Q185" i="5"/>
  <c r="R185" i="5" s="1"/>
  <c r="N185" i="5"/>
  <c r="O185" i="5" s="1"/>
  <c r="J185" i="5"/>
  <c r="K185" i="5" s="1"/>
  <c r="Q184" i="5"/>
  <c r="R184" i="5" s="1"/>
  <c r="N184" i="5"/>
  <c r="O184" i="5" s="1"/>
  <c r="J184" i="5"/>
  <c r="K184" i="5" s="1"/>
  <c r="Q183" i="5"/>
  <c r="R183" i="5" s="1"/>
  <c r="N183" i="5"/>
  <c r="O183" i="5" s="1"/>
  <c r="J183" i="5"/>
  <c r="K183" i="5" s="1"/>
  <c r="Q182" i="5"/>
  <c r="R182" i="5" s="1"/>
  <c r="N182" i="5"/>
  <c r="O182" i="5" s="1"/>
  <c r="K182" i="5"/>
  <c r="Q181" i="5"/>
  <c r="R181" i="5" s="1"/>
  <c r="N181" i="5"/>
  <c r="O181" i="5" s="1"/>
  <c r="J181" i="5"/>
  <c r="K181" i="5" s="1"/>
  <c r="Q180" i="5"/>
  <c r="R180" i="5" s="1"/>
  <c r="N180" i="5"/>
  <c r="O180" i="5" s="1"/>
  <c r="J180" i="5"/>
  <c r="K180" i="5" s="1"/>
  <c r="Q179" i="5"/>
  <c r="R179" i="5" s="1"/>
  <c r="N179" i="5"/>
  <c r="O179" i="5" s="1"/>
  <c r="J179" i="5"/>
  <c r="K179" i="5" s="1"/>
  <c r="Q178" i="5"/>
  <c r="R178" i="5" s="1"/>
  <c r="N178" i="5"/>
  <c r="O178" i="5" s="1"/>
  <c r="J178" i="5"/>
  <c r="K178" i="5" s="1"/>
  <c r="Q177" i="5"/>
  <c r="R177" i="5" s="1"/>
  <c r="N177" i="5"/>
  <c r="O177" i="5" s="1"/>
  <c r="J177" i="5"/>
  <c r="K177" i="5" s="1"/>
  <c r="Q176" i="5"/>
  <c r="R176" i="5" s="1"/>
  <c r="N176" i="5"/>
  <c r="O176" i="5" s="1"/>
  <c r="J176" i="5"/>
  <c r="K176" i="5" s="1"/>
  <c r="Q175" i="5"/>
  <c r="R175" i="5" s="1"/>
  <c r="N175" i="5"/>
  <c r="O175" i="5" s="1"/>
  <c r="J175" i="5"/>
  <c r="K175" i="5" s="1"/>
  <c r="Q174" i="5"/>
  <c r="R174" i="5" s="1"/>
  <c r="N174" i="5"/>
  <c r="O174" i="5" s="1"/>
  <c r="J174" i="5"/>
  <c r="K174" i="5" s="1"/>
  <c r="Q173" i="5"/>
  <c r="R173" i="5" s="1"/>
  <c r="N173" i="5"/>
  <c r="O173" i="5" s="1"/>
  <c r="J173" i="5"/>
  <c r="K173" i="5" s="1"/>
  <c r="Q172" i="5"/>
  <c r="R172" i="5" s="1"/>
  <c r="N172" i="5"/>
  <c r="O172" i="5" s="1"/>
  <c r="J172" i="5"/>
  <c r="K172" i="5" s="1"/>
  <c r="Q171" i="5"/>
  <c r="R171" i="5" s="1"/>
  <c r="N171" i="5"/>
  <c r="O171" i="5" s="1"/>
  <c r="J171" i="5"/>
  <c r="K171" i="5" s="1"/>
  <c r="Q170" i="5"/>
  <c r="R170" i="5" s="1"/>
  <c r="N170" i="5"/>
  <c r="O170" i="5" s="1"/>
  <c r="J170" i="5"/>
  <c r="K170" i="5" s="1"/>
  <c r="Q169" i="5"/>
  <c r="R169" i="5" s="1"/>
  <c r="N169" i="5"/>
  <c r="O169" i="5" s="1"/>
  <c r="J169" i="5"/>
  <c r="K169" i="5" s="1"/>
  <c r="Q168" i="5"/>
  <c r="R168" i="5" s="1"/>
  <c r="N168" i="5"/>
  <c r="O168" i="5" s="1"/>
  <c r="J168" i="5"/>
  <c r="K168" i="5" s="1"/>
  <c r="Q166" i="5"/>
  <c r="R166" i="5" s="1"/>
  <c r="N166" i="5"/>
  <c r="O166" i="5" s="1"/>
  <c r="J166" i="5"/>
  <c r="K166" i="5" s="1"/>
  <c r="Q165" i="5"/>
  <c r="R165" i="5" s="1"/>
  <c r="N165" i="5"/>
  <c r="O165" i="5" s="1"/>
  <c r="J165" i="5"/>
  <c r="K165" i="5" s="1"/>
  <c r="Q164" i="5"/>
  <c r="R164" i="5" s="1"/>
  <c r="N164" i="5"/>
  <c r="O164" i="5" s="1"/>
  <c r="J164" i="5"/>
  <c r="K164" i="5" s="1"/>
  <c r="Q163" i="5"/>
  <c r="R163" i="5" s="1"/>
  <c r="N163" i="5"/>
  <c r="O163" i="5" s="1"/>
  <c r="J163" i="5"/>
  <c r="K163" i="5" s="1"/>
  <c r="Q162" i="5"/>
  <c r="R162" i="5" s="1"/>
  <c r="N162" i="5"/>
  <c r="O162" i="5" s="1"/>
  <c r="J162" i="5"/>
  <c r="K162" i="5" s="1"/>
  <c r="Q161" i="5"/>
  <c r="R161" i="5" s="1"/>
  <c r="N161" i="5"/>
  <c r="O161" i="5" s="1"/>
  <c r="J161" i="5"/>
  <c r="K161" i="5" s="1"/>
  <c r="Q160" i="5"/>
  <c r="R160" i="5" s="1"/>
  <c r="N160" i="5"/>
  <c r="O160" i="5" s="1"/>
  <c r="J160" i="5"/>
  <c r="K160" i="5" s="1"/>
  <c r="Q159" i="5"/>
  <c r="R159" i="5" s="1"/>
  <c r="N159" i="5"/>
  <c r="O159" i="5" s="1"/>
  <c r="J159" i="5"/>
  <c r="K159" i="5" s="1"/>
  <c r="Q158" i="5"/>
  <c r="R158" i="5" s="1"/>
  <c r="N158" i="5"/>
  <c r="O158" i="5" s="1"/>
  <c r="J158" i="5"/>
  <c r="K158" i="5" s="1"/>
  <c r="Q157" i="5"/>
  <c r="R157" i="5" s="1"/>
  <c r="N157" i="5"/>
  <c r="O157" i="5" s="1"/>
  <c r="J157" i="5"/>
  <c r="K157" i="5" s="1"/>
  <c r="Q156" i="5"/>
  <c r="R156" i="5" s="1"/>
  <c r="N156" i="5"/>
  <c r="O156" i="5" s="1"/>
  <c r="J156" i="5"/>
  <c r="K156" i="5" s="1"/>
  <c r="Q155" i="5"/>
  <c r="R155" i="5" s="1"/>
  <c r="N155" i="5"/>
  <c r="O155" i="5" s="1"/>
  <c r="K155" i="5"/>
  <c r="Q154" i="5"/>
  <c r="R154" i="5" s="1"/>
  <c r="N154" i="5"/>
  <c r="O154" i="5" s="1"/>
  <c r="J154" i="5"/>
  <c r="K154" i="5" s="1"/>
  <c r="Q153" i="5"/>
  <c r="R153" i="5" s="1"/>
  <c r="N153" i="5"/>
  <c r="O153" i="5" s="1"/>
  <c r="J153" i="5"/>
  <c r="K153" i="5" s="1"/>
  <c r="Q152" i="5"/>
  <c r="R152" i="5" s="1"/>
  <c r="N152" i="5"/>
  <c r="O152" i="5" s="1"/>
  <c r="J152" i="5"/>
  <c r="K152" i="5" s="1"/>
  <c r="Q151" i="5"/>
  <c r="R151" i="5" s="1"/>
  <c r="O151" i="5"/>
  <c r="J151" i="5"/>
  <c r="K151" i="5" s="1"/>
  <c r="Q149" i="5"/>
  <c r="R149" i="5" s="1"/>
  <c r="N149" i="5"/>
  <c r="O149" i="5" s="1"/>
  <c r="J149" i="5"/>
  <c r="K149" i="5" s="1"/>
  <c r="Q146" i="5"/>
  <c r="R146" i="5" s="1"/>
  <c r="N146" i="5"/>
  <c r="O146" i="5" s="1"/>
  <c r="K146" i="5"/>
  <c r="Q145" i="5"/>
  <c r="R145" i="5" s="1"/>
  <c r="N145" i="5"/>
  <c r="O145" i="5" s="1"/>
  <c r="J145" i="5"/>
  <c r="K145" i="5" s="1"/>
  <c r="Q144" i="5"/>
  <c r="R144" i="5" s="1"/>
  <c r="N144" i="5"/>
  <c r="O144" i="5" s="1"/>
  <c r="K144" i="5"/>
  <c r="Q143" i="5"/>
  <c r="R143" i="5" s="1"/>
  <c r="N143" i="5"/>
  <c r="O143" i="5" s="1"/>
  <c r="J143" i="5"/>
  <c r="K143" i="5" s="1"/>
  <c r="Q141" i="5"/>
  <c r="R141" i="5" s="1"/>
  <c r="N141" i="5"/>
  <c r="O141" i="5" s="1"/>
  <c r="J141" i="5"/>
  <c r="K141" i="5" s="1"/>
  <c r="Q140" i="5"/>
  <c r="R140" i="5" s="1"/>
  <c r="N140" i="5"/>
  <c r="O140" i="5" s="1"/>
  <c r="J140" i="5"/>
  <c r="K140" i="5" s="1"/>
  <c r="Q138" i="5"/>
  <c r="R138" i="5" s="1"/>
  <c r="N138" i="5"/>
  <c r="O138" i="5" s="1"/>
  <c r="J138" i="5"/>
  <c r="K138" i="5" s="1"/>
  <c r="Q136" i="5"/>
  <c r="R136" i="5" s="1"/>
  <c r="N136" i="5"/>
  <c r="O136" i="5" s="1"/>
  <c r="J136" i="5"/>
  <c r="K136" i="5" s="1"/>
  <c r="Q135" i="5"/>
  <c r="R135" i="5" s="1"/>
  <c r="N135" i="5"/>
  <c r="O135" i="5" s="1"/>
  <c r="J135" i="5"/>
  <c r="K135" i="5" s="1"/>
  <c r="Q134" i="5"/>
  <c r="R134" i="5" s="1"/>
  <c r="N134" i="5"/>
  <c r="O134" i="5" s="1"/>
  <c r="J134" i="5"/>
  <c r="K134" i="5" s="1"/>
  <c r="Q132" i="5"/>
  <c r="R132" i="5" s="1"/>
  <c r="N132" i="5"/>
  <c r="O132" i="5" s="1"/>
  <c r="J132" i="5"/>
  <c r="K132" i="5" s="1"/>
  <c r="Q131" i="5"/>
  <c r="R131" i="5" s="1"/>
  <c r="N131" i="5"/>
  <c r="O131" i="5" s="1"/>
  <c r="J131" i="5"/>
  <c r="K131" i="5" s="1"/>
  <c r="Q130" i="5"/>
  <c r="R130" i="5" s="1"/>
  <c r="N130" i="5"/>
  <c r="O130" i="5" s="1"/>
  <c r="J130" i="5"/>
  <c r="K130" i="5" s="1"/>
  <c r="Q129" i="5"/>
  <c r="R129" i="5" s="1"/>
  <c r="N129" i="5"/>
  <c r="O129" i="5" s="1"/>
  <c r="J129" i="5"/>
  <c r="K129" i="5" s="1"/>
  <c r="Q128" i="5"/>
  <c r="R128" i="5" s="1"/>
  <c r="N128" i="5"/>
  <c r="O128" i="5" s="1"/>
  <c r="J128" i="5"/>
  <c r="K128" i="5" s="1"/>
  <c r="Q127" i="5"/>
  <c r="R127" i="5" s="1"/>
  <c r="N127" i="5"/>
  <c r="O127" i="5" s="1"/>
  <c r="J127" i="5"/>
  <c r="K127" i="5" s="1"/>
  <c r="Q126" i="5"/>
  <c r="R126" i="5" s="1"/>
  <c r="N126" i="5"/>
  <c r="O126" i="5" s="1"/>
  <c r="J126" i="5"/>
  <c r="K126" i="5" s="1"/>
  <c r="Q125" i="5"/>
  <c r="R125" i="5" s="1"/>
  <c r="N125" i="5"/>
  <c r="O125" i="5" s="1"/>
  <c r="J125" i="5"/>
  <c r="K125" i="5" s="1"/>
  <c r="Q124" i="5"/>
  <c r="R124" i="5" s="1"/>
  <c r="N124" i="5"/>
  <c r="O124" i="5" s="1"/>
  <c r="J124" i="5"/>
  <c r="K124" i="5" s="1"/>
  <c r="Q123" i="5"/>
  <c r="R123" i="5" s="1"/>
  <c r="N123" i="5"/>
  <c r="O123" i="5" s="1"/>
  <c r="J123" i="5"/>
  <c r="K123" i="5" s="1"/>
  <c r="Q122" i="5"/>
  <c r="R122" i="5" s="1"/>
  <c r="N122" i="5"/>
  <c r="O122" i="5" s="1"/>
  <c r="J122" i="5"/>
  <c r="K122" i="5" s="1"/>
  <c r="Q121" i="5"/>
  <c r="R121" i="5" s="1"/>
  <c r="N121" i="5"/>
  <c r="O121" i="5" s="1"/>
  <c r="K121" i="5"/>
  <c r="Q120" i="5"/>
  <c r="R120" i="5" s="1"/>
  <c r="N120" i="5"/>
  <c r="O120" i="5" s="1"/>
  <c r="J120" i="5"/>
  <c r="K120" i="5" s="1"/>
  <c r="Q119" i="5"/>
  <c r="R119" i="5" s="1"/>
  <c r="N119" i="5"/>
  <c r="O119" i="5" s="1"/>
  <c r="J119" i="5"/>
  <c r="K119" i="5" s="1"/>
  <c r="Q115" i="5"/>
  <c r="R115" i="5" s="1"/>
  <c r="N115" i="5"/>
  <c r="O115" i="5" s="1"/>
  <c r="J115" i="5"/>
  <c r="K115" i="5" s="1"/>
  <c r="Q103" i="5"/>
  <c r="R103" i="5" s="1"/>
  <c r="J103" i="5"/>
  <c r="K103" i="5" s="1"/>
  <c r="Q102" i="5"/>
  <c r="R102" i="5" s="1"/>
  <c r="N102" i="5"/>
  <c r="O102" i="5" s="1"/>
  <c r="J102" i="5"/>
  <c r="K102" i="5" s="1"/>
  <c r="Q101" i="5"/>
  <c r="R101" i="5" s="1"/>
  <c r="N101" i="5"/>
  <c r="O101" i="5" s="1"/>
  <c r="J101" i="5"/>
  <c r="K101" i="5" s="1"/>
  <c r="Q100" i="5"/>
  <c r="R100" i="5" s="1"/>
  <c r="N100" i="5"/>
  <c r="O100" i="5" s="1"/>
  <c r="K100" i="5"/>
  <c r="Q99" i="5"/>
  <c r="R99" i="5" s="1"/>
  <c r="N99" i="5"/>
  <c r="O99" i="5" s="1"/>
  <c r="J99" i="5"/>
  <c r="K99" i="5" s="1"/>
  <c r="P98" i="5"/>
  <c r="N98" i="5"/>
  <c r="O98" i="5" s="1"/>
  <c r="J98" i="5"/>
  <c r="K98" i="5" s="1"/>
  <c r="Q97" i="5"/>
  <c r="R97" i="5" s="1"/>
  <c r="N97" i="5"/>
  <c r="O97" i="5" s="1"/>
  <c r="J97" i="5"/>
  <c r="K97" i="5" s="1"/>
  <c r="Q96" i="5"/>
  <c r="R96" i="5" s="1"/>
  <c r="N96" i="5"/>
  <c r="O96" i="5" s="1"/>
  <c r="J96" i="5"/>
  <c r="K96" i="5" s="1"/>
  <c r="P95" i="5"/>
  <c r="N95" i="5"/>
  <c r="O95" i="5" s="1"/>
  <c r="J95" i="5"/>
  <c r="K95" i="5" s="1"/>
  <c r="Q94" i="5"/>
  <c r="R94" i="5" s="1"/>
  <c r="N94" i="5"/>
  <c r="O94" i="5" s="1"/>
  <c r="J94" i="5"/>
  <c r="K94" i="5" s="1"/>
  <c r="Q93" i="5"/>
  <c r="R93" i="5" s="1"/>
  <c r="N93" i="5"/>
  <c r="O93" i="5" s="1"/>
  <c r="J93" i="5"/>
  <c r="K93" i="5" s="1"/>
  <c r="Q92" i="5"/>
  <c r="R92" i="5" s="1"/>
  <c r="N92" i="5"/>
  <c r="O92" i="5" s="1"/>
  <c r="J92" i="5"/>
  <c r="K92" i="5" s="1"/>
  <c r="R91" i="5"/>
  <c r="O91" i="5"/>
  <c r="M91" i="5"/>
  <c r="J91" i="5"/>
  <c r="K91" i="5" s="1"/>
  <c r="Q90" i="5"/>
  <c r="R90" i="5" s="1"/>
  <c r="N90" i="5"/>
  <c r="O90" i="5" s="1"/>
  <c r="J90" i="5"/>
  <c r="K90" i="5" s="1"/>
  <c r="Q89" i="5"/>
  <c r="R89" i="5" s="1"/>
  <c r="N89" i="5"/>
  <c r="O89" i="5" s="1"/>
  <c r="J89" i="5"/>
  <c r="K89" i="5" s="1"/>
  <c r="Q88" i="5"/>
  <c r="R88" i="5" s="1"/>
  <c r="N88" i="5"/>
  <c r="O88" i="5" s="1"/>
  <c r="J88" i="5"/>
  <c r="K88" i="5" s="1"/>
  <c r="Q87" i="5"/>
  <c r="R87" i="5" s="1"/>
  <c r="N87" i="5"/>
  <c r="O87" i="5" s="1"/>
  <c r="J87" i="5"/>
  <c r="K87" i="5" s="1"/>
  <c r="Q86" i="5"/>
  <c r="R86" i="5" s="1"/>
  <c r="N86" i="5"/>
  <c r="O86" i="5" s="1"/>
  <c r="J86" i="5"/>
  <c r="K86" i="5" s="1"/>
  <c r="Q85" i="5"/>
  <c r="R85" i="5" s="1"/>
  <c r="N85" i="5"/>
  <c r="O85" i="5" s="1"/>
  <c r="J85" i="5"/>
  <c r="K85" i="5" s="1"/>
  <c r="Q84" i="5"/>
  <c r="R84" i="5" s="1"/>
  <c r="M84" i="5"/>
  <c r="K84" i="5"/>
  <c r="R83" i="5"/>
  <c r="O83" i="5"/>
  <c r="J83" i="5"/>
  <c r="K83" i="5" s="1"/>
  <c r="Q82" i="5"/>
  <c r="R82" i="5" s="1"/>
  <c r="N82" i="5"/>
  <c r="O82" i="5" s="1"/>
  <c r="J82" i="5"/>
  <c r="K82" i="5" s="1"/>
  <c r="Q81" i="5"/>
  <c r="R81" i="5" s="1"/>
  <c r="N81" i="5"/>
  <c r="O81" i="5" s="1"/>
  <c r="J81" i="5"/>
  <c r="K81" i="5" s="1"/>
  <c r="Q80" i="5"/>
  <c r="R80" i="5" s="1"/>
  <c r="N80" i="5"/>
  <c r="O80" i="5" s="1"/>
  <c r="J80" i="5"/>
  <c r="K80" i="5" s="1"/>
  <c r="Q79" i="5"/>
  <c r="R79" i="5" s="1"/>
  <c r="N79" i="5"/>
  <c r="O79" i="5" s="1"/>
  <c r="J79" i="5"/>
  <c r="K79" i="5" s="1"/>
  <c r="Q78" i="5"/>
  <c r="R78" i="5" s="1"/>
  <c r="N78" i="5"/>
  <c r="O78" i="5" s="1"/>
  <c r="J78" i="5"/>
  <c r="K78" i="5" s="1"/>
  <c r="Q77" i="5"/>
  <c r="R77" i="5" s="1"/>
  <c r="N77" i="5"/>
  <c r="O77" i="5" s="1"/>
  <c r="J77" i="5"/>
  <c r="K77" i="5" s="1"/>
  <c r="Q76" i="5"/>
  <c r="R76" i="5" s="1"/>
  <c r="M76" i="5"/>
  <c r="J76" i="5"/>
  <c r="K76" i="5" s="1"/>
  <c r="P75" i="5"/>
  <c r="N75" i="5"/>
  <c r="O75" i="5" s="1"/>
  <c r="J75" i="5"/>
  <c r="K75" i="5" s="1"/>
  <c r="Q74" i="5"/>
  <c r="R74" i="5" s="1"/>
  <c r="N74" i="5"/>
  <c r="O74" i="5" s="1"/>
  <c r="J74" i="5"/>
  <c r="K74" i="5" s="1"/>
  <c r="Q73" i="5"/>
  <c r="R73" i="5" s="1"/>
  <c r="N73" i="5"/>
  <c r="O73" i="5" s="1"/>
  <c r="J73" i="5"/>
  <c r="K73" i="5" s="1"/>
  <c r="Q72" i="5"/>
  <c r="R72" i="5" s="1"/>
  <c r="N72" i="5"/>
  <c r="O72" i="5" s="1"/>
  <c r="J72" i="5"/>
  <c r="K72" i="5" s="1"/>
  <c r="Q71" i="5"/>
  <c r="R71" i="5" s="1"/>
  <c r="N71" i="5"/>
  <c r="O71" i="5" s="1"/>
  <c r="J71" i="5"/>
  <c r="K71" i="5" s="1"/>
  <c r="Q70" i="5"/>
  <c r="R70" i="5" s="1"/>
  <c r="N70" i="5"/>
  <c r="O70" i="5" s="1"/>
  <c r="J70" i="5"/>
  <c r="K70" i="5" s="1"/>
  <c r="Q69" i="5"/>
  <c r="R69" i="5" s="1"/>
  <c r="N69" i="5"/>
  <c r="O69" i="5" s="1"/>
  <c r="J69" i="5"/>
  <c r="K69" i="5" s="1"/>
  <c r="Q68" i="5"/>
  <c r="R68" i="5" s="1"/>
  <c r="N68" i="5"/>
  <c r="O68" i="5" s="1"/>
  <c r="J68" i="5"/>
  <c r="K68" i="5" s="1"/>
  <c r="Q67" i="5"/>
  <c r="R67" i="5" s="1"/>
  <c r="N67" i="5"/>
  <c r="O67" i="5" s="1"/>
  <c r="J67" i="5"/>
  <c r="K67" i="5" s="1"/>
  <c r="P66" i="5"/>
  <c r="M66" i="5"/>
  <c r="N66" i="5" s="1"/>
  <c r="O66" i="5" s="1"/>
  <c r="J66" i="5"/>
  <c r="K66" i="5" s="1"/>
  <c r="P65" i="5"/>
  <c r="M65" i="5"/>
  <c r="N65" i="5" s="1"/>
  <c r="O65" i="5" s="1"/>
  <c r="J65" i="5"/>
  <c r="K65" i="5" s="1"/>
  <c r="Q64" i="5"/>
  <c r="R64" i="5" s="1"/>
  <c r="N64" i="5"/>
  <c r="O64" i="5" s="1"/>
  <c r="J64" i="5"/>
  <c r="K64" i="5" s="1"/>
  <c r="Q63" i="5"/>
  <c r="R63" i="5" s="1"/>
  <c r="M63" i="5"/>
  <c r="J63" i="5"/>
  <c r="K63" i="5" s="1"/>
  <c r="Q62" i="5"/>
  <c r="R62" i="5" s="1"/>
  <c r="N62" i="5"/>
  <c r="O62" i="5" s="1"/>
  <c r="J62" i="5"/>
  <c r="K62" i="5" s="1"/>
  <c r="Q61" i="5"/>
  <c r="R61" i="5" s="1"/>
  <c r="N61" i="5"/>
  <c r="O61" i="5" s="1"/>
  <c r="J61" i="5"/>
  <c r="K61" i="5" s="1"/>
  <c r="Q60" i="5"/>
  <c r="R60" i="5" s="1"/>
  <c r="N60" i="5"/>
  <c r="O60" i="5" s="1"/>
  <c r="K60" i="5"/>
  <c r="Q59" i="5"/>
  <c r="R59" i="5" s="1"/>
  <c r="N59" i="5"/>
  <c r="O59" i="5" s="1"/>
  <c r="J59" i="5"/>
  <c r="K59" i="5" s="1"/>
  <c r="Q58" i="5"/>
  <c r="R58" i="5" s="1"/>
  <c r="N58" i="5"/>
  <c r="O58" i="5" s="1"/>
  <c r="J58" i="5"/>
  <c r="K58" i="5" s="1"/>
  <c r="Q57" i="5"/>
  <c r="R57" i="5" s="1"/>
  <c r="N57" i="5"/>
  <c r="O57" i="5" s="1"/>
  <c r="J57" i="5"/>
  <c r="K57" i="5" s="1"/>
  <c r="Q56" i="5"/>
  <c r="R56" i="5" s="1"/>
  <c r="M56" i="5"/>
  <c r="J56" i="5"/>
  <c r="K56" i="5" s="1"/>
  <c r="Q55" i="5"/>
  <c r="R55" i="5" s="1"/>
  <c r="N55" i="5"/>
  <c r="O55" i="5" s="1"/>
  <c r="J55" i="5"/>
  <c r="K55" i="5" s="1"/>
  <c r="Q54" i="5"/>
  <c r="R54" i="5" s="1"/>
  <c r="N54" i="5"/>
  <c r="O54" i="5" s="1"/>
  <c r="J54" i="5"/>
  <c r="K54" i="5" s="1"/>
  <c r="Q53" i="5"/>
  <c r="R53" i="5" s="1"/>
  <c r="N53" i="5"/>
  <c r="O53" i="5" s="1"/>
  <c r="J53" i="5"/>
  <c r="K53" i="5" s="1"/>
  <c r="Q52" i="5"/>
  <c r="R52" i="5" s="1"/>
  <c r="N52" i="5"/>
  <c r="O52" i="5" s="1"/>
  <c r="J52" i="5"/>
  <c r="K52" i="5" s="1"/>
  <c r="Q51" i="5"/>
  <c r="R51" i="5" s="1"/>
  <c r="N51" i="5"/>
  <c r="O51" i="5" s="1"/>
  <c r="J51" i="5"/>
  <c r="K51" i="5" s="1"/>
  <c r="Q50" i="5"/>
  <c r="R50" i="5" s="1"/>
  <c r="N50" i="5"/>
  <c r="O50" i="5" s="1"/>
  <c r="J50" i="5"/>
  <c r="K50" i="5" s="1"/>
  <c r="Q49" i="5"/>
  <c r="R49" i="5" s="1"/>
  <c r="N49" i="5"/>
  <c r="O49" i="5" s="1"/>
  <c r="J49" i="5"/>
  <c r="K49" i="5" s="1"/>
  <c r="S48" i="5"/>
  <c r="T48" i="5" s="1"/>
  <c r="Q48" i="5"/>
  <c r="J48" i="5"/>
  <c r="K48" i="5" s="1"/>
  <c r="Q47" i="5"/>
  <c r="R47" i="5" s="1"/>
  <c r="N47" i="5"/>
  <c r="O47" i="5" s="1"/>
  <c r="J47" i="5"/>
  <c r="K47" i="5" s="1"/>
  <c r="Q46" i="5"/>
  <c r="R46" i="5" s="1"/>
  <c r="N46" i="5"/>
  <c r="O46" i="5" s="1"/>
  <c r="J46" i="5"/>
  <c r="K46" i="5" s="1"/>
  <c r="Q45" i="5"/>
  <c r="R45" i="5" s="1"/>
  <c r="N45" i="5"/>
  <c r="O45" i="5" s="1"/>
  <c r="J45" i="5"/>
  <c r="K45" i="5" s="1"/>
  <c r="Q44" i="5"/>
  <c r="R44" i="5" s="1"/>
  <c r="N44" i="5"/>
  <c r="O44" i="5" s="1"/>
  <c r="J44" i="5"/>
  <c r="K44" i="5" s="1"/>
  <c r="Q43" i="5"/>
  <c r="R43" i="5" s="1"/>
  <c r="N43" i="5"/>
  <c r="O43" i="5" s="1"/>
  <c r="J43" i="5"/>
  <c r="K43" i="5" s="1"/>
  <c r="Q42" i="5"/>
  <c r="R42" i="5" s="1"/>
  <c r="N42" i="5"/>
  <c r="O42" i="5" s="1"/>
  <c r="J42" i="5"/>
  <c r="K42" i="5" s="1"/>
  <c r="Q41" i="5"/>
  <c r="R41" i="5" s="1"/>
  <c r="N41" i="5"/>
  <c r="O41" i="5" s="1"/>
  <c r="J41" i="5"/>
  <c r="K41" i="5" s="1"/>
  <c r="Q40" i="5"/>
  <c r="R40" i="5" s="1"/>
  <c r="M40" i="5"/>
  <c r="J40" i="5"/>
  <c r="K40" i="5" s="1"/>
  <c r="Q39" i="5"/>
  <c r="R39" i="5" s="1"/>
  <c r="N39" i="5"/>
  <c r="O39" i="5" s="1"/>
  <c r="J39" i="5"/>
  <c r="K39" i="5" s="1"/>
  <c r="Q38" i="5"/>
  <c r="R38" i="5" s="1"/>
  <c r="N38" i="5"/>
  <c r="O38" i="5" s="1"/>
  <c r="J38" i="5"/>
  <c r="K38" i="5" s="1"/>
  <c r="Q37" i="5"/>
  <c r="R37" i="5" s="1"/>
  <c r="N37" i="5"/>
  <c r="O37" i="5" s="1"/>
  <c r="J37" i="5"/>
  <c r="K37" i="5" s="1"/>
  <c r="Q36" i="5"/>
  <c r="R36" i="5" s="1"/>
  <c r="N36" i="5"/>
  <c r="O36" i="5" s="1"/>
  <c r="J36" i="5"/>
  <c r="K36" i="5" s="1"/>
  <c r="Q35" i="5"/>
  <c r="R35" i="5" s="1"/>
  <c r="N35" i="5"/>
  <c r="O35" i="5" s="1"/>
  <c r="J35" i="5"/>
  <c r="K35" i="5" s="1"/>
  <c r="Q34" i="5"/>
  <c r="R34" i="5" s="1"/>
  <c r="N34" i="5"/>
  <c r="O34" i="5" s="1"/>
  <c r="J34" i="5"/>
  <c r="K34" i="5" s="1"/>
  <c r="Q33" i="5"/>
  <c r="R33" i="5" s="1"/>
  <c r="N33" i="5"/>
  <c r="O33" i="5" s="1"/>
  <c r="J33" i="5"/>
  <c r="K33" i="5" s="1"/>
  <c r="Q32" i="5"/>
  <c r="R32" i="5" s="1"/>
  <c r="N32" i="5"/>
  <c r="O32" i="5" s="1"/>
  <c r="J32" i="5"/>
  <c r="K32" i="5" s="1"/>
  <c r="Q31" i="5"/>
  <c r="R31" i="5" s="1"/>
  <c r="N31" i="5"/>
  <c r="O31" i="5" s="1"/>
  <c r="J31" i="5"/>
  <c r="K31" i="5" s="1"/>
  <c r="Q30" i="5"/>
  <c r="R30" i="5" s="1"/>
  <c r="N30" i="5"/>
  <c r="O30" i="5" s="1"/>
  <c r="J30" i="5"/>
  <c r="K30" i="5" s="1"/>
  <c r="Q29" i="5"/>
  <c r="R29" i="5" s="1"/>
  <c r="M29" i="5"/>
  <c r="J29" i="5"/>
  <c r="K29" i="5" s="1"/>
  <c r="Q28" i="5"/>
  <c r="R28" i="5" s="1"/>
  <c r="M28" i="5"/>
  <c r="J28" i="5"/>
  <c r="K28" i="5" s="1"/>
  <c r="Q27" i="5"/>
  <c r="R27" i="5" s="1"/>
  <c r="N27" i="5"/>
  <c r="O27" i="5" s="1"/>
  <c r="J27" i="5"/>
  <c r="K27" i="5" s="1"/>
  <c r="Q26" i="5"/>
  <c r="R26" i="5" s="1"/>
  <c r="N26" i="5"/>
  <c r="O26" i="5" s="1"/>
  <c r="J26" i="5"/>
  <c r="K26" i="5" s="1"/>
  <c r="Q25" i="5"/>
  <c r="R25" i="5" s="1"/>
  <c r="N25" i="5"/>
  <c r="O25" i="5" s="1"/>
  <c r="J25" i="5"/>
  <c r="K25" i="5" s="1"/>
  <c r="Q24" i="5"/>
  <c r="R24" i="5" s="1"/>
  <c r="M24" i="5"/>
  <c r="J24" i="5"/>
  <c r="K24" i="5" s="1"/>
  <c r="Q23" i="5"/>
  <c r="R23" i="5" s="1"/>
  <c r="N23" i="5"/>
  <c r="O23" i="5" s="1"/>
  <c r="K23" i="5"/>
  <c r="Q22" i="5"/>
  <c r="R22" i="5" s="1"/>
  <c r="N22" i="5"/>
  <c r="O22" i="5" s="1"/>
  <c r="J22" i="5"/>
  <c r="K22" i="5" s="1"/>
  <c r="Q21" i="5"/>
  <c r="R21" i="5" s="1"/>
  <c r="N21" i="5"/>
  <c r="O21" i="5" s="1"/>
  <c r="J21" i="5"/>
  <c r="K21" i="5" s="1"/>
  <c r="Q20" i="5"/>
  <c r="R20" i="5" s="1"/>
  <c r="N20" i="5"/>
  <c r="O20" i="5" s="1"/>
  <c r="J20" i="5"/>
  <c r="K20" i="5" s="1"/>
  <c r="Q19" i="5"/>
  <c r="R19" i="5" s="1"/>
  <c r="N19" i="5"/>
  <c r="O19" i="5" s="1"/>
  <c r="J19" i="5"/>
  <c r="K19" i="5" s="1"/>
  <c r="Q18" i="5"/>
  <c r="R18" i="5" s="1"/>
  <c r="N18" i="5"/>
  <c r="O18" i="5" s="1"/>
  <c r="J18" i="5"/>
  <c r="K18" i="5" s="1"/>
  <c r="Q17" i="5"/>
  <c r="R17" i="5" s="1"/>
  <c r="N17" i="5"/>
  <c r="O17" i="5" s="1"/>
  <c r="J17" i="5"/>
  <c r="K17" i="5" s="1"/>
  <c r="Q16" i="5"/>
  <c r="R16" i="5" s="1"/>
  <c r="N16" i="5"/>
  <c r="O16" i="5" s="1"/>
  <c r="K16" i="5"/>
  <c r="Q15" i="5"/>
  <c r="R15" i="5" s="1"/>
  <c r="N15" i="5"/>
  <c r="O15" i="5" s="1"/>
  <c r="J15" i="5"/>
  <c r="K15" i="5" s="1"/>
  <c r="Q14" i="5"/>
  <c r="R14" i="5" s="1"/>
  <c r="N14" i="5"/>
  <c r="O14" i="5" s="1"/>
  <c r="J14" i="5"/>
  <c r="K14" i="5" s="1"/>
  <c r="Q13" i="5"/>
  <c r="R13" i="5" s="1"/>
  <c r="N13" i="5"/>
  <c r="O13" i="5" s="1"/>
  <c r="J13" i="5"/>
  <c r="K13" i="5" s="1"/>
  <c r="Q12" i="5"/>
  <c r="R12" i="5" s="1"/>
  <c r="N12" i="5"/>
  <c r="O12" i="5" s="1"/>
  <c r="J12" i="5"/>
  <c r="K12" i="5" s="1"/>
  <c r="Q11" i="5"/>
  <c r="R11" i="5" s="1"/>
  <c r="N11" i="5"/>
  <c r="O11" i="5" s="1"/>
  <c r="J11" i="5"/>
  <c r="K11" i="5" s="1"/>
  <c r="Q10" i="5"/>
  <c r="R10" i="5" s="1"/>
  <c r="N10" i="5"/>
  <c r="O10" i="5" s="1"/>
  <c r="J10" i="5"/>
  <c r="K10" i="5" s="1"/>
  <c r="R9" i="5"/>
  <c r="O9" i="5"/>
  <c r="M9" i="5"/>
  <c r="J9" i="5"/>
  <c r="K9" i="5" s="1"/>
  <c r="Q8" i="5"/>
  <c r="R8" i="5" s="1"/>
  <c r="N8" i="5"/>
  <c r="O8" i="5" s="1"/>
  <c r="J8" i="5"/>
  <c r="K8" i="5" s="1"/>
  <c r="Q7" i="5"/>
  <c r="R7" i="5" s="1"/>
  <c r="N7" i="5"/>
  <c r="O7" i="5" s="1"/>
  <c r="J7" i="5"/>
  <c r="K7" i="5" s="1"/>
  <c r="Q6" i="5"/>
  <c r="R6" i="5" s="1"/>
  <c r="N6" i="5"/>
  <c r="O6" i="5" s="1"/>
  <c r="J6" i="5"/>
  <c r="K6" i="5" s="1"/>
  <c r="Q5" i="5"/>
  <c r="R5" i="5" s="1"/>
  <c r="N5" i="5"/>
  <c r="O5" i="5" s="1"/>
  <c r="J5" i="5"/>
  <c r="K5" i="5" s="1"/>
  <c r="Q4" i="5"/>
  <c r="R4" i="5" s="1"/>
  <c r="M4" i="5"/>
  <c r="J4" i="5"/>
  <c r="K4" i="5" s="1"/>
  <c r="Q3" i="5"/>
  <c r="R3" i="5" s="1"/>
  <c r="N3" i="5"/>
  <c r="O3" i="5" s="1"/>
  <c r="J3" i="5"/>
  <c r="K3" i="5" s="1"/>
  <c r="Q2" i="5"/>
  <c r="R2" i="5" s="1"/>
  <c r="N2" i="5"/>
  <c r="O2" i="5" s="1"/>
  <c r="J2" i="5"/>
  <c r="J446" i="5" l="1"/>
  <c r="K2" i="5"/>
  <c r="K446" i="5" s="1"/>
  <c r="S2" i="5"/>
  <c r="T2" i="5" s="1"/>
  <c r="S3" i="5"/>
  <c r="T3" i="5" s="1"/>
  <c r="N4" i="5"/>
  <c r="O4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0" i="5"/>
  <c r="T20" i="5" s="1"/>
  <c r="S21" i="5"/>
  <c r="T21" i="5" s="1"/>
  <c r="S22" i="5"/>
  <c r="T22" i="5" s="1"/>
  <c r="S23" i="5"/>
  <c r="T23" i="5" s="1"/>
  <c r="N24" i="5"/>
  <c r="O24" i="5" s="1"/>
  <c r="S24" i="5"/>
  <c r="T24" i="5" s="1"/>
  <c r="S25" i="5"/>
  <c r="T25" i="5" s="1"/>
  <c r="S26" i="5"/>
  <c r="T26" i="5" s="1"/>
  <c r="S27" i="5"/>
  <c r="T27" i="5" s="1"/>
  <c r="N28" i="5"/>
  <c r="O28" i="5" s="1"/>
  <c r="S28" i="5"/>
  <c r="T28" i="5" s="1"/>
  <c r="N29" i="5"/>
  <c r="O29" i="5" s="1"/>
  <c r="S29" i="5"/>
  <c r="T29" i="5" s="1"/>
  <c r="S30" i="5"/>
  <c r="T30" i="5" s="1"/>
  <c r="S31" i="5"/>
  <c r="T31" i="5" s="1"/>
  <c r="S32" i="5"/>
  <c r="T32" i="5" s="1"/>
  <c r="S33" i="5"/>
  <c r="T33" i="5" s="1"/>
  <c r="S34" i="5"/>
  <c r="T34" i="5" s="1"/>
  <c r="S35" i="5"/>
  <c r="T35" i="5" s="1"/>
  <c r="S36" i="5"/>
  <c r="T36" i="5" s="1"/>
  <c r="S37" i="5"/>
  <c r="T37" i="5" s="1"/>
  <c r="S38" i="5"/>
  <c r="T38" i="5" s="1"/>
  <c r="S39" i="5"/>
  <c r="T39" i="5" s="1"/>
  <c r="N40" i="5"/>
  <c r="O40" i="5" s="1"/>
  <c r="S40" i="5"/>
  <c r="T40" i="5" s="1"/>
  <c r="S41" i="5"/>
  <c r="T41" i="5" s="1"/>
  <c r="S42" i="5"/>
  <c r="T42" i="5" s="1"/>
  <c r="S43" i="5"/>
  <c r="T43" i="5" s="1"/>
  <c r="S44" i="5"/>
  <c r="T44" i="5" s="1"/>
  <c r="S45" i="5"/>
  <c r="T45" i="5" s="1"/>
  <c r="S46" i="5"/>
  <c r="T46" i="5" s="1"/>
  <c r="S47" i="5"/>
  <c r="T47" i="5" s="1"/>
  <c r="S49" i="5"/>
  <c r="T49" i="5" s="1"/>
  <c r="S50" i="5"/>
  <c r="T50" i="5" s="1"/>
  <c r="S51" i="5"/>
  <c r="T51" i="5" s="1"/>
  <c r="S52" i="5"/>
  <c r="T52" i="5" s="1"/>
  <c r="S53" i="5"/>
  <c r="T53" i="5" s="1"/>
  <c r="S54" i="5"/>
  <c r="T54" i="5" s="1"/>
  <c r="S55" i="5"/>
  <c r="T55" i="5" s="1"/>
  <c r="N56" i="5"/>
  <c r="O56" i="5" s="1"/>
  <c r="S56" i="5"/>
  <c r="T56" i="5" s="1"/>
  <c r="S57" i="5"/>
  <c r="T57" i="5" s="1"/>
  <c r="S58" i="5"/>
  <c r="T58" i="5" s="1"/>
  <c r="S59" i="5"/>
  <c r="T59" i="5" s="1"/>
  <c r="S60" i="5"/>
  <c r="T60" i="5" s="1"/>
  <c r="S61" i="5"/>
  <c r="T61" i="5" s="1"/>
  <c r="S62" i="5"/>
  <c r="T62" i="5" s="1"/>
  <c r="N63" i="5"/>
  <c r="O63" i="5" s="1"/>
  <c r="S63" i="5"/>
  <c r="T63" i="5" s="1"/>
  <c r="S64" i="5"/>
  <c r="T64" i="5" s="1"/>
  <c r="Q65" i="5"/>
  <c r="R65" i="5" s="1"/>
  <c r="S65" i="5" s="1"/>
  <c r="T65" i="5" s="1"/>
  <c r="Q66" i="5"/>
  <c r="R66" i="5" s="1"/>
  <c r="S66" i="5" s="1"/>
  <c r="T66" i="5" s="1"/>
  <c r="S67" i="5"/>
  <c r="T67" i="5" s="1"/>
  <c r="S68" i="5"/>
  <c r="T68" i="5" s="1"/>
  <c r="S69" i="5"/>
  <c r="T69" i="5" s="1"/>
  <c r="S70" i="5"/>
  <c r="T70" i="5" s="1"/>
  <c r="S71" i="5"/>
  <c r="T71" i="5" s="1"/>
  <c r="S72" i="5"/>
  <c r="T72" i="5" s="1"/>
  <c r="S73" i="5"/>
  <c r="T73" i="5" s="1"/>
  <c r="S74" i="5"/>
  <c r="T74" i="5" s="1"/>
  <c r="Q75" i="5"/>
  <c r="R75" i="5" s="1"/>
  <c r="S75" i="5" s="1"/>
  <c r="T75" i="5" s="1"/>
  <c r="N76" i="5"/>
  <c r="O76" i="5" s="1"/>
  <c r="S76" i="5"/>
  <c r="T76" i="5" s="1"/>
  <c r="S77" i="5"/>
  <c r="T77" i="5" s="1"/>
  <c r="S78" i="5"/>
  <c r="T78" i="5" s="1"/>
  <c r="S79" i="5"/>
  <c r="T79" i="5" s="1"/>
  <c r="S80" i="5"/>
  <c r="T80" i="5" s="1"/>
  <c r="S81" i="5"/>
  <c r="T81" i="5" s="1"/>
  <c r="S82" i="5"/>
  <c r="T82" i="5" s="1"/>
  <c r="S83" i="5"/>
  <c r="T83" i="5" s="1"/>
  <c r="N84" i="5"/>
  <c r="O84" i="5" s="1"/>
  <c r="S84" i="5"/>
  <c r="T84" i="5" s="1"/>
  <c r="S85" i="5"/>
  <c r="T85" i="5" s="1"/>
  <c r="S86" i="5"/>
  <c r="T86" i="5" s="1"/>
  <c r="S87" i="5"/>
  <c r="T87" i="5" s="1"/>
  <c r="S88" i="5"/>
  <c r="T88" i="5" s="1"/>
  <c r="S89" i="5"/>
  <c r="T89" i="5" s="1"/>
  <c r="S90" i="5"/>
  <c r="T90" i="5" s="1"/>
  <c r="S91" i="5"/>
  <c r="T91" i="5" s="1"/>
  <c r="S92" i="5"/>
  <c r="T92" i="5" s="1"/>
  <c r="S93" i="5"/>
  <c r="T93" i="5" s="1"/>
  <c r="S94" i="5"/>
  <c r="T94" i="5" s="1"/>
  <c r="Q95" i="5"/>
  <c r="R95" i="5" s="1"/>
  <c r="S95" i="5" s="1"/>
  <c r="T95" i="5" s="1"/>
  <c r="S96" i="5"/>
  <c r="T96" i="5" s="1"/>
  <c r="S97" i="5"/>
  <c r="T97" i="5" s="1"/>
  <c r="Q98" i="5"/>
  <c r="R98" i="5" s="1"/>
  <c r="S98" i="5" s="1"/>
  <c r="T98" i="5" s="1"/>
  <c r="S99" i="5"/>
  <c r="T99" i="5" s="1"/>
  <c r="S100" i="5"/>
  <c r="T100" i="5" s="1"/>
  <c r="S101" i="5"/>
  <c r="T101" i="5" s="1"/>
  <c r="S102" i="5"/>
  <c r="T102" i="5" s="1"/>
  <c r="N103" i="5"/>
  <c r="O103" i="5" s="1"/>
  <c r="S103" i="5"/>
  <c r="T103" i="5" s="1"/>
  <c r="S115" i="5"/>
  <c r="T115" i="5" s="1"/>
  <c r="S119" i="5"/>
  <c r="T119" i="5" s="1"/>
  <c r="S120" i="5"/>
  <c r="T120" i="5" s="1"/>
  <c r="S121" i="5"/>
  <c r="T121" i="5" s="1"/>
  <c r="S122" i="5"/>
  <c r="T122" i="5" s="1"/>
  <c r="S123" i="5"/>
  <c r="T123" i="5" s="1"/>
  <c r="S124" i="5"/>
  <c r="T124" i="5" s="1"/>
  <c r="S125" i="5"/>
  <c r="T125" i="5" s="1"/>
  <c r="S126" i="5"/>
  <c r="T126" i="5" s="1"/>
  <c r="S127" i="5"/>
  <c r="T127" i="5" s="1"/>
  <c r="S128" i="5"/>
  <c r="T128" i="5" s="1"/>
  <c r="S129" i="5"/>
  <c r="T129" i="5" s="1"/>
  <c r="S130" i="5"/>
  <c r="T130" i="5" s="1"/>
  <c r="S131" i="5"/>
  <c r="T131" i="5" s="1"/>
  <c r="S132" i="5"/>
  <c r="T132" i="5" s="1"/>
  <c r="S134" i="5"/>
  <c r="T134" i="5" s="1"/>
  <c r="S135" i="5"/>
  <c r="T135" i="5" s="1"/>
  <c r="S136" i="5"/>
  <c r="T136" i="5" s="1"/>
  <c r="S138" i="5"/>
  <c r="T138" i="5" s="1"/>
  <c r="S140" i="5"/>
  <c r="T140" i="5" s="1"/>
  <c r="S141" i="5"/>
  <c r="T141" i="5" s="1"/>
  <c r="S143" i="5"/>
  <c r="T143" i="5" s="1"/>
  <c r="S144" i="5"/>
  <c r="T144" i="5" s="1"/>
  <c r="S145" i="5"/>
  <c r="T145" i="5" s="1"/>
  <c r="S146" i="5"/>
  <c r="T146" i="5" s="1"/>
  <c r="S149" i="5"/>
  <c r="T149" i="5" s="1"/>
  <c r="S151" i="5"/>
  <c r="T151" i="5" s="1"/>
  <c r="S152" i="5"/>
  <c r="T152" i="5" s="1"/>
  <c r="S153" i="5"/>
  <c r="T153" i="5" s="1"/>
  <c r="S154" i="5"/>
  <c r="T154" i="5" s="1"/>
  <c r="S155" i="5"/>
  <c r="T155" i="5" s="1"/>
  <c r="S156" i="5"/>
  <c r="T156" i="5" s="1"/>
  <c r="S157" i="5"/>
  <c r="T157" i="5" s="1"/>
  <c r="S158" i="5"/>
  <c r="T158" i="5" s="1"/>
  <c r="S159" i="5"/>
  <c r="T159" i="5" s="1"/>
  <c r="S160" i="5"/>
  <c r="T160" i="5" s="1"/>
  <c r="S161" i="5"/>
  <c r="T161" i="5" s="1"/>
  <c r="S162" i="5"/>
  <c r="T162" i="5" s="1"/>
  <c r="S163" i="5"/>
  <c r="T163" i="5" s="1"/>
  <c r="S164" i="5"/>
  <c r="T164" i="5" s="1"/>
  <c r="S165" i="5"/>
  <c r="T165" i="5" s="1"/>
  <c r="S166" i="5"/>
  <c r="T166" i="5" s="1"/>
  <c r="S168" i="5"/>
  <c r="T168" i="5" s="1"/>
  <c r="S169" i="5"/>
  <c r="T169" i="5" s="1"/>
  <c r="S170" i="5"/>
  <c r="T170" i="5" s="1"/>
  <c r="S171" i="5"/>
  <c r="T171" i="5" s="1"/>
  <c r="S172" i="5"/>
  <c r="T172" i="5" s="1"/>
  <c r="S173" i="5"/>
  <c r="T173" i="5" s="1"/>
  <c r="S174" i="5"/>
  <c r="T174" i="5" s="1"/>
  <c r="S175" i="5"/>
  <c r="T175" i="5" s="1"/>
  <c r="S176" i="5"/>
  <c r="T176" i="5" s="1"/>
  <c r="S177" i="5"/>
  <c r="T177" i="5" s="1"/>
  <c r="S178" i="5"/>
  <c r="T178" i="5" s="1"/>
  <c r="S179" i="5"/>
  <c r="T179" i="5" s="1"/>
  <c r="S180" i="5"/>
  <c r="T180" i="5" s="1"/>
  <c r="S181" i="5"/>
  <c r="T181" i="5" s="1"/>
  <c r="S182" i="5"/>
  <c r="T182" i="5" s="1"/>
  <c r="S183" i="5"/>
  <c r="T183" i="5" s="1"/>
  <c r="S184" i="5"/>
  <c r="T184" i="5" s="1"/>
  <c r="S185" i="5"/>
  <c r="T185" i="5" s="1"/>
  <c r="S186" i="5"/>
  <c r="T186" i="5" s="1"/>
  <c r="S187" i="5"/>
  <c r="T187" i="5" s="1"/>
  <c r="S188" i="5"/>
  <c r="T188" i="5" s="1"/>
  <c r="S189" i="5"/>
  <c r="T189" i="5" s="1"/>
  <c r="S190" i="5"/>
  <c r="T190" i="5" s="1"/>
  <c r="S191" i="5"/>
  <c r="T191" i="5" s="1"/>
  <c r="S192" i="5"/>
  <c r="T192" i="5" s="1"/>
  <c r="S193" i="5"/>
  <c r="T193" i="5" s="1"/>
  <c r="S194" i="5"/>
  <c r="T194" i="5" s="1"/>
  <c r="S195" i="5"/>
  <c r="T195" i="5" s="1"/>
  <c r="S196" i="5"/>
  <c r="T196" i="5" s="1"/>
  <c r="S197" i="5"/>
  <c r="T197" i="5" s="1"/>
  <c r="S198" i="5"/>
  <c r="T198" i="5" s="1"/>
  <c r="S199" i="5"/>
  <c r="T199" i="5" s="1"/>
  <c r="S200" i="5"/>
  <c r="T200" i="5" s="1"/>
  <c r="S201" i="5"/>
  <c r="T201" i="5" s="1"/>
  <c r="S202" i="5"/>
  <c r="T202" i="5" s="1"/>
  <c r="S203" i="5"/>
  <c r="T203" i="5" s="1"/>
  <c r="S204" i="5"/>
  <c r="T204" i="5" s="1"/>
  <c r="S205" i="5"/>
  <c r="T205" i="5" s="1"/>
  <c r="S206" i="5"/>
  <c r="T206" i="5" s="1"/>
  <c r="S207" i="5"/>
  <c r="T207" i="5" s="1"/>
  <c r="S208" i="5"/>
  <c r="T208" i="5" s="1"/>
  <c r="S209" i="5"/>
  <c r="T209" i="5" s="1"/>
  <c r="S210" i="5"/>
  <c r="T210" i="5" s="1"/>
  <c r="S211" i="5"/>
  <c r="T211" i="5" s="1"/>
  <c r="S212" i="5"/>
  <c r="T212" i="5" s="1"/>
  <c r="S213" i="5"/>
  <c r="T213" i="5" s="1"/>
  <c r="S214" i="5"/>
  <c r="T214" i="5" s="1"/>
  <c r="S215" i="5"/>
  <c r="T215" i="5" s="1"/>
  <c r="S216" i="5"/>
  <c r="T216" i="5" s="1"/>
  <c r="S217" i="5"/>
  <c r="T217" i="5" s="1"/>
  <c r="S218" i="5"/>
  <c r="T218" i="5" s="1"/>
  <c r="S219" i="5"/>
  <c r="T219" i="5" s="1"/>
  <c r="S220" i="5"/>
  <c r="T220" i="5" s="1"/>
  <c r="S221" i="5"/>
  <c r="T221" i="5" s="1"/>
  <c r="S222" i="5"/>
  <c r="T222" i="5" s="1"/>
  <c r="S223" i="5"/>
  <c r="T223" i="5" s="1"/>
  <c r="S224" i="5"/>
  <c r="T224" i="5" s="1"/>
  <c r="S225" i="5"/>
  <c r="T225" i="5" s="1"/>
  <c r="S226" i="5"/>
  <c r="T226" i="5" s="1"/>
  <c r="S227" i="5"/>
  <c r="T227" i="5" s="1"/>
  <c r="S228" i="5"/>
  <c r="T228" i="5" s="1"/>
  <c r="S229" i="5"/>
  <c r="T229" i="5" s="1"/>
  <c r="S230" i="5"/>
  <c r="T230" i="5" s="1"/>
  <c r="S231" i="5"/>
  <c r="T231" i="5" s="1"/>
  <c r="S232" i="5"/>
  <c r="T232" i="5" s="1"/>
  <c r="S233" i="5"/>
  <c r="T233" i="5" s="1"/>
  <c r="S234" i="5"/>
  <c r="T234" i="5" s="1"/>
  <c r="S235" i="5"/>
  <c r="T235" i="5" s="1"/>
  <c r="S236" i="5"/>
  <c r="T236" i="5" s="1"/>
  <c r="S237" i="5"/>
  <c r="T237" i="5" s="1"/>
  <c r="S238" i="5"/>
  <c r="T238" i="5" s="1"/>
  <c r="S239" i="5"/>
  <c r="T239" i="5" s="1"/>
  <c r="S240" i="5"/>
  <c r="T240" i="5" s="1"/>
  <c r="S241" i="5"/>
  <c r="T241" i="5" s="1"/>
  <c r="S242" i="5"/>
  <c r="T242" i="5" s="1"/>
  <c r="S243" i="5"/>
  <c r="T243" i="5" s="1"/>
  <c r="S244" i="5"/>
  <c r="T244" i="5" s="1"/>
  <c r="S245" i="5"/>
  <c r="T245" i="5" s="1"/>
  <c r="S246" i="5"/>
  <c r="T246" i="5" s="1"/>
  <c r="S247" i="5"/>
  <c r="T247" i="5" s="1"/>
  <c r="S248" i="5"/>
  <c r="T248" i="5" s="1"/>
  <c r="S249" i="5"/>
  <c r="T249" i="5" s="1"/>
  <c r="S250" i="5"/>
  <c r="T250" i="5" s="1"/>
  <c r="S251" i="5"/>
  <c r="T251" i="5" s="1"/>
  <c r="S252" i="5"/>
  <c r="T252" i="5" s="1"/>
  <c r="S253" i="5"/>
  <c r="T253" i="5" s="1"/>
  <c r="S254" i="5"/>
  <c r="T254" i="5" s="1"/>
  <c r="S255" i="5"/>
  <c r="T255" i="5" s="1"/>
  <c r="S256" i="5"/>
  <c r="T256" i="5" s="1"/>
  <c r="S257" i="5"/>
  <c r="T257" i="5" s="1"/>
  <c r="S258" i="5"/>
  <c r="T258" i="5" s="1"/>
  <c r="S259" i="5"/>
  <c r="T259" i="5" s="1"/>
  <c r="S260" i="5"/>
  <c r="T260" i="5" s="1"/>
  <c r="S261" i="5"/>
  <c r="T261" i="5" s="1"/>
  <c r="S262" i="5"/>
  <c r="T262" i="5" s="1"/>
  <c r="S263" i="5"/>
  <c r="T263" i="5" s="1"/>
  <c r="S264" i="5"/>
  <c r="T264" i="5" s="1"/>
  <c r="S265" i="5"/>
  <c r="T265" i="5" s="1"/>
  <c r="S266" i="5"/>
  <c r="T266" i="5" s="1"/>
  <c r="S267" i="5"/>
  <c r="T267" i="5" s="1"/>
  <c r="S268" i="5"/>
  <c r="T268" i="5" s="1"/>
  <c r="S269" i="5"/>
  <c r="T269" i="5" s="1"/>
  <c r="S270" i="5"/>
  <c r="T270" i="5" s="1"/>
  <c r="S271" i="5"/>
  <c r="T271" i="5" s="1"/>
  <c r="S272" i="5"/>
  <c r="T272" i="5" s="1"/>
  <c r="S273" i="5"/>
  <c r="T273" i="5" s="1"/>
  <c r="S274" i="5"/>
  <c r="T274" i="5" s="1"/>
  <c r="S275" i="5"/>
  <c r="T275" i="5" s="1"/>
  <c r="S276" i="5"/>
  <c r="T276" i="5" s="1"/>
  <c r="S277" i="5"/>
  <c r="T277" i="5" s="1"/>
  <c r="S278" i="5"/>
  <c r="T278" i="5" s="1"/>
  <c r="S279" i="5"/>
  <c r="T279" i="5" s="1"/>
  <c r="S280" i="5"/>
  <c r="T280" i="5" s="1"/>
  <c r="S281" i="5"/>
  <c r="T281" i="5" s="1"/>
  <c r="S282" i="5"/>
  <c r="T282" i="5" s="1"/>
  <c r="S283" i="5"/>
  <c r="T283" i="5" s="1"/>
  <c r="S284" i="5"/>
  <c r="T284" i="5" s="1"/>
  <c r="S285" i="5"/>
  <c r="T285" i="5" s="1"/>
  <c r="S286" i="5"/>
  <c r="T286" i="5" s="1"/>
  <c r="S287" i="5"/>
  <c r="T287" i="5" s="1"/>
  <c r="S288" i="5"/>
  <c r="T288" i="5" s="1"/>
  <c r="S289" i="5"/>
  <c r="T289" i="5" s="1"/>
  <c r="S290" i="5"/>
  <c r="T290" i="5" s="1"/>
  <c r="S291" i="5"/>
  <c r="T291" i="5" s="1"/>
  <c r="S292" i="5"/>
  <c r="T292" i="5" s="1"/>
  <c r="S293" i="5"/>
  <c r="T293" i="5" s="1"/>
  <c r="S294" i="5"/>
  <c r="T294" i="5" s="1"/>
  <c r="S295" i="5"/>
  <c r="T295" i="5" s="1"/>
  <c r="S296" i="5"/>
  <c r="T296" i="5" s="1"/>
  <c r="S297" i="5"/>
  <c r="T297" i="5" s="1"/>
  <c r="S298" i="5"/>
  <c r="T298" i="5" s="1"/>
  <c r="S299" i="5"/>
  <c r="T299" i="5" s="1"/>
  <c r="S300" i="5"/>
  <c r="T300" i="5" s="1"/>
  <c r="S301" i="5"/>
  <c r="T301" i="5" s="1"/>
  <c r="S302" i="5"/>
  <c r="T302" i="5" s="1"/>
  <c r="S303" i="5"/>
  <c r="T303" i="5" s="1"/>
  <c r="S304" i="5"/>
  <c r="T304" i="5" s="1"/>
  <c r="S305" i="5"/>
  <c r="T305" i="5" s="1"/>
  <c r="S306" i="5"/>
  <c r="T306" i="5" s="1"/>
  <c r="S307" i="5"/>
  <c r="T307" i="5" s="1"/>
  <c r="S308" i="5"/>
  <c r="T308" i="5" s="1"/>
  <c r="S309" i="5"/>
  <c r="T309" i="5" s="1"/>
  <c r="S310" i="5"/>
  <c r="T310" i="5" s="1"/>
  <c r="S311" i="5"/>
  <c r="T311" i="5" s="1"/>
  <c r="S312" i="5"/>
  <c r="T312" i="5" s="1"/>
  <c r="S313" i="5"/>
  <c r="T313" i="5" s="1"/>
  <c r="S314" i="5"/>
  <c r="T314" i="5" s="1"/>
  <c r="S315" i="5"/>
  <c r="T315" i="5" s="1"/>
  <c r="S316" i="5"/>
  <c r="T316" i="5" s="1"/>
  <c r="S317" i="5"/>
  <c r="T317" i="5" s="1"/>
  <c r="S318" i="5"/>
  <c r="T318" i="5" s="1"/>
  <c r="S319" i="5"/>
  <c r="T319" i="5" s="1"/>
  <c r="S320" i="5"/>
  <c r="T320" i="5" s="1"/>
  <c r="S321" i="5"/>
  <c r="T321" i="5" s="1"/>
  <c r="S322" i="5"/>
  <c r="T322" i="5" s="1"/>
  <c r="S323" i="5"/>
  <c r="T323" i="5" s="1"/>
  <c r="S324" i="5"/>
  <c r="T324" i="5" s="1"/>
  <c r="S325" i="5"/>
  <c r="T325" i="5" s="1"/>
  <c r="S326" i="5"/>
  <c r="T326" i="5" s="1"/>
  <c r="S327" i="5"/>
  <c r="T327" i="5" s="1"/>
  <c r="S328" i="5"/>
  <c r="T328" i="5" s="1"/>
  <c r="S329" i="5"/>
  <c r="T329" i="5" s="1"/>
  <c r="S330" i="5"/>
  <c r="T330" i="5" s="1"/>
  <c r="S331" i="5"/>
  <c r="T331" i="5" s="1"/>
  <c r="S332" i="5"/>
  <c r="T332" i="5" s="1"/>
  <c r="S333" i="5"/>
  <c r="T333" i="5" s="1"/>
  <c r="S334" i="5"/>
  <c r="T334" i="5" s="1"/>
  <c r="S335" i="5"/>
  <c r="T335" i="5" s="1"/>
  <c r="S336" i="5"/>
  <c r="T336" i="5" s="1"/>
  <c r="S337" i="5"/>
  <c r="T337" i="5" s="1"/>
  <c r="S338" i="5"/>
  <c r="T338" i="5" s="1"/>
  <c r="S339" i="5"/>
  <c r="T339" i="5" s="1"/>
  <c r="S340" i="5"/>
  <c r="T340" i="5" s="1"/>
  <c r="S341" i="5"/>
  <c r="T341" i="5" s="1"/>
  <c r="S342" i="5"/>
  <c r="T342" i="5" s="1"/>
  <c r="S343" i="5"/>
  <c r="T343" i="5" s="1"/>
  <c r="S344" i="5"/>
  <c r="T344" i="5" s="1"/>
  <c r="S345" i="5"/>
  <c r="T345" i="5" s="1"/>
  <c r="S346" i="5"/>
  <c r="T346" i="5" s="1"/>
  <c r="S347" i="5"/>
  <c r="T347" i="5" s="1"/>
  <c r="S348" i="5"/>
  <c r="T348" i="5" s="1"/>
  <c r="S349" i="5"/>
  <c r="T349" i="5" s="1"/>
  <c r="S350" i="5"/>
  <c r="T350" i="5" s="1"/>
  <c r="S351" i="5"/>
  <c r="T351" i="5" s="1"/>
  <c r="S352" i="5"/>
  <c r="T352" i="5" s="1"/>
  <c r="S353" i="5"/>
  <c r="T353" i="5" s="1"/>
  <c r="S354" i="5"/>
  <c r="T354" i="5" s="1"/>
  <c r="S355" i="5"/>
  <c r="T355" i="5" s="1"/>
  <c r="S356" i="5"/>
  <c r="T356" i="5" s="1"/>
  <c r="S357" i="5"/>
  <c r="T357" i="5" s="1"/>
  <c r="S358" i="5"/>
  <c r="T358" i="5" s="1"/>
  <c r="S359" i="5"/>
  <c r="T359" i="5" s="1"/>
  <c r="S360" i="5"/>
  <c r="T360" i="5" s="1"/>
  <c r="S361" i="5"/>
  <c r="T361" i="5" s="1"/>
  <c r="S362" i="5"/>
  <c r="T362" i="5" s="1"/>
  <c r="S363" i="5"/>
  <c r="T363" i="5" s="1"/>
  <c r="S364" i="5"/>
  <c r="T364" i="5" s="1"/>
  <c r="S365" i="5"/>
  <c r="T365" i="5" s="1"/>
  <c r="S366" i="5"/>
  <c r="T366" i="5" s="1"/>
  <c r="S367" i="5"/>
  <c r="T367" i="5" s="1"/>
  <c r="S368" i="5"/>
  <c r="T368" i="5" s="1"/>
  <c r="S369" i="5"/>
  <c r="T369" i="5" s="1"/>
  <c r="S370" i="5"/>
  <c r="T370" i="5" s="1"/>
  <c r="S371" i="5"/>
  <c r="T371" i="5" s="1"/>
  <c r="S372" i="5"/>
  <c r="T372" i="5" s="1"/>
  <c r="S373" i="5"/>
  <c r="T373" i="5" s="1"/>
  <c r="S374" i="5"/>
  <c r="T374" i="5" s="1"/>
  <c r="S375" i="5"/>
  <c r="T375" i="5" s="1"/>
  <c r="S376" i="5"/>
  <c r="T376" i="5" s="1"/>
  <c r="S377" i="5"/>
  <c r="T377" i="5" s="1"/>
  <c r="S378" i="5"/>
  <c r="T378" i="5" s="1"/>
  <c r="S379" i="5"/>
  <c r="T379" i="5" s="1"/>
  <c r="S380" i="5"/>
  <c r="T380" i="5" s="1"/>
  <c r="S381" i="5"/>
  <c r="T381" i="5" s="1"/>
  <c r="S382" i="5"/>
  <c r="T382" i="5" s="1"/>
  <c r="S383" i="5"/>
  <c r="T383" i="5" s="1"/>
  <c r="S384" i="5"/>
  <c r="T384" i="5" s="1"/>
  <c r="S385" i="5"/>
  <c r="T385" i="5" s="1"/>
  <c r="S386" i="5"/>
  <c r="T386" i="5" s="1"/>
  <c r="S387" i="5"/>
  <c r="T387" i="5" s="1"/>
  <c r="S388" i="5"/>
  <c r="T388" i="5" s="1"/>
  <c r="S389" i="5"/>
  <c r="T389" i="5" s="1"/>
  <c r="S390" i="5"/>
  <c r="T390" i="5" s="1"/>
  <c r="S391" i="5"/>
  <c r="T391" i="5" s="1"/>
  <c r="S392" i="5"/>
  <c r="T392" i="5" s="1"/>
  <c r="S393" i="5"/>
  <c r="T393" i="5" s="1"/>
  <c r="S394" i="5"/>
  <c r="T394" i="5" s="1"/>
  <c r="S395" i="5"/>
  <c r="T395" i="5" s="1"/>
  <c r="S396" i="5"/>
  <c r="T396" i="5" s="1"/>
  <c r="S397" i="5"/>
  <c r="T397" i="5" s="1"/>
  <c r="S398" i="5"/>
  <c r="T398" i="5" s="1"/>
  <c r="S399" i="5"/>
  <c r="T399" i="5" s="1"/>
  <c r="S400" i="5"/>
  <c r="T400" i="5" s="1"/>
  <c r="S401" i="5"/>
  <c r="T401" i="5" s="1"/>
  <c r="S402" i="5"/>
  <c r="T402" i="5" s="1"/>
  <c r="S403" i="5"/>
  <c r="T403" i="5" s="1"/>
  <c r="S404" i="5"/>
  <c r="T404" i="5" s="1"/>
  <c r="S405" i="5"/>
  <c r="T405" i="5" s="1"/>
  <c r="S406" i="5"/>
  <c r="T406" i="5" s="1"/>
  <c r="S407" i="5"/>
  <c r="T407" i="5" s="1"/>
  <c r="S408" i="5"/>
  <c r="T408" i="5" s="1"/>
  <c r="S409" i="5"/>
  <c r="T409" i="5" s="1"/>
  <c r="S410" i="5"/>
  <c r="T410" i="5" s="1"/>
  <c r="S411" i="5"/>
  <c r="T411" i="5" s="1"/>
  <c r="S412" i="5"/>
  <c r="T412" i="5" s="1"/>
  <c r="S413" i="5"/>
  <c r="T413" i="5" s="1"/>
  <c r="S414" i="5"/>
  <c r="T414" i="5" s="1"/>
  <c r="S415" i="5"/>
  <c r="T415" i="5" s="1"/>
  <c r="S416" i="5"/>
  <c r="T416" i="5" s="1"/>
  <c r="S417" i="5"/>
  <c r="T417" i="5" s="1"/>
  <c r="S418" i="5"/>
  <c r="T418" i="5" s="1"/>
  <c r="S419" i="5"/>
  <c r="T419" i="5" s="1"/>
  <c r="S420" i="5"/>
  <c r="T420" i="5" s="1"/>
  <c r="S421" i="5"/>
  <c r="T421" i="5" s="1"/>
  <c r="S422" i="5"/>
  <c r="T422" i="5" s="1"/>
  <c r="S423" i="5"/>
  <c r="T423" i="5" s="1"/>
  <c r="S424" i="5"/>
  <c r="T424" i="5" s="1"/>
  <c r="S425" i="5"/>
  <c r="T425" i="5" s="1"/>
  <c r="S426" i="5"/>
  <c r="T426" i="5" s="1"/>
  <c r="S427" i="5"/>
  <c r="T427" i="5" s="1"/>
  <c r="S428" i="5"/>
  <c r="T428" i="5" s="1"/>
  <c r="S429" i="5"/>
  <c r="T429" i="5" s="1"/>
  <c r="S430" i="5"/>
  <c r="T430" i="5" s="1"/>
  <c r="S431" i="5"/>
  <c r="T431" i="5" s="1"/>
  <c r="S432" i="5"/>
  <c r="T432" i="5" s="1"/>
  <c r="S433" i="5"/>
  <c r="T433" i="5" s="1"/>
  <c r="S434" i="5"/>
  <c r="T434" i="5" s="1"/>
  <c r="S435" i="5"/>
  <c r="T435" i="5" s="1"/>
  <c r="S436" i="5"/>
  <c r="T436" i="5" s="1"/>
  <c r="S437" i="5"/>
  <c r="T437" i="5" s="1"/>
  <c r="S438" i="5"/>
  <c r="T438" i="5" s="1"/>
  <c r="S439" i="5"/>
  <c r="T439" i="5" s="1"/>
  <c r="S440" i="5"/>
  <c r="T440" i="5" s="1"/>
  <c r="S441" i="5"/>
  <c r="T441" i="5" s="1"/>
  <c r="S442" i="5"/>
  <c r="T442" i="5" s="1"/>
  <c r="S443" i="5"/>
  <c r="T443" i="5" s="1"/>
  <c r="S444" i="5"/>
  <c r="T444" i="5" s="1"/>
  <c r="S445" i="5"/>
  <c r="T445" i="5" s="1"/>
  <c r="F45" i="3"/>
  <c r="T446" i="5" l="1"/>
  <c r="F44" i="3"/>
  <c r="F43" i="3"/>
  <c r="F42" i="3"/>
  <c r="F41" i="3"/>
  <c r="F40" i="3"/>
  <c r="F39" i="3"/>
  <c r="F46" i="3" s="1"/>
  <c r="M105" i="1" l="1"/>
  <c r="M103" i="1"/>
  <c r="P98" i="1"/>
  <c r="D31" i="3" l="1"/>
  <c r="D30" i="3"/>
  <c r="F32" i="3" l="1"/>
  <c r="F31" i="3"/>
  <c r="F30" i="3"/>
  <c r="F29" i="3"/>
  <c r="F33" i="3" s="1"/>
  <c r="P95" i="1" l="1"/>
  <c r="M91" i="1"/>
  <c r="M84" i="1"/>
  <c r="N77" i="1"/>
  <c r="Q77" i="1"/>
  <c r="K16" i="1"/>
  <c r="K23" i="1"/>
  <c r="K60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6" i="3"/>
  <c r="D17" i="3"/>
  <c r="D18" i="3"/>
  <c r="J57" i="1"/>
  <c r="J59" i="1"/>
  <c r="J62" i="1"/>
  <c r="J64" i="1"/>
  <c r="J65" i="1"/>
  <c r="J66" i="1"/>
  <c r="J68" i="1"/>
  <c r="J69" i="1"/>
  <c r="J71" i="1"/>
  <c r="J72" i="1"/>
  <c r="J73" i="1"/>
  <c r="J75" i="1"/>
  <c r="J76" i="1"/>
  <c r="J77" i="1"/>
  <c r="J78" i="1"/>
  <c r="F17" i="3"/>
  <c r="F18" i="3"/>
  <c r="F21" i="3"/>
  <c r="F22" i="3"/>
  <c r="J61" i="1"/>
  <c r="J58" i="1"/>
  <c r="J63" i="1"/>
  <c r="J67" i="1"/>
  <c r="J70" i="1"/>
  <c r="J74" i="1"/>
  <c r="J79" i="1"/>
  <c r="J80" i="1"/>
  <c r="J81" i="1"/>
  <c r="J82" i="1"/>
  <c r="M76" i="1"/>
  <c r="P75" i="1"/>
  <c r="M66" i="1"/>
  <c r="P66" i="1"/>
  <c r="M65" i="1"/>
  <c r="P65" i="1"/>
  <c r="M63" i="1"/>
  <c r="E67" i="4"/>
  <c r="B67" i="4"/>
  <c r="G38" i="4"/>
  <c r="J446" i="1" l="1"/>
  <c r="K82" i="1"/>
  <c r="K81" i="1"/>
  <c r="K80" i="1"/>
  <c r="K79" i="1"/>
  <c r="K74" i="1"/>
  <c r="K70" i="1"/>
  <c r="K67" i="1"/>
  <c r="K63" i="1"/>
  <c r="K58" i="1"/>
  <c r="K61" i="1"/>
  <c r="K78" i="1"/>
  <c r="K77" i="1"/>
  <c r="K76" i="1"/>
  <c r="K75" i="1"/>
  <c r="K73" i="1"/>
  <c r="K72" i="1"/>
  <c r="K71" i="1"/>
  <c r="K69" i="1"/>
  <c r="K68" i="1"/>
  <c r="K66" i="1"/>
  <c r="K65" i="1"/>
  <c r="K64" i="1"/>
  <c r="K62" i="1"/>
  <c r="K59" i="1"/>
  <c r="K57" i="1"/>
  <c r="K3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K4" i="1"/>
  <c r="F23" i="3"/>
  <c r="M29" i="1"/>
  <c r="M56" i="1"/>
  <c r="D5" i="3"/>
  <c r="D4" i="3"/>
  <c r="F3" i="3"/>
  <c r="B30" i="4"/>
  <c r="E30" i="4"/>
  <c r="J31" i="4"/>
  <c r="O2" i="4" s="1"/>
  <c r="M31" i="4"/>
  <c r="F6" i="3"/>
  <c r="F5" i="3"/>
  <c r="F4" i="3"/>
  <c r="K83" i="1" l="1"/>
  <c r="F8" i="3"/>
  <c r="F11" i="3" s="1"/>
  <c r="G2" i="4"/>
  <c r="K84" i="1" l="1"/>
  <c r="N20" i="1"/>
  <c r="O20" i="1"/>
  <c r="Q20" i="1"/>
  <c r="R20" i="1"/>
  <c r="S20" i="1"/>
  <c r="T20" i="1"/>
  <c r="N29" i="1"/>
  <c r="O29" i="1"/>
  <c r="Q29" i="1"/>
  <c r="R29" i="1"/>
  <c r="S29" i="1"/>
  <c r="T29" i="1"/>
  <c r="M40" i="1"/>
  <c r="M28" i="1"/>
  <c r="M24" i="1"/>
  <c r="K143" i="1" l="1"/>
  <c r="K142" i="1"/>
  <c r="K141" i="1"/>
  <c r="K139" i="1"/>
  <c r="K137" i="1"/>
  <c r="K136" i="1"/>
  <c r="K135" i="1"/>
  <c r="K131" i="1"/>
  <c r="K130" i="1"/>
  <c r="K129" i="1"/>
  <c r="K128" i="1"/>
  <c r="K127" i="1"/>
  <c r="K126" i="1"/>
  <c r="K119" i="1"/>
  <c r="K118" i="1"/>
  <c r="K117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M9" i="1"/>
  <c r="M4" i="1"/>
  <c r="N3" i="1"/>
  <c r="O3" i="1"/>
  <c r="Q3" i="1"/>
  <c r="R3" i="1"/>
  <c r="S3" i="1"/>
  <c r="T3" i="1"/>
  <c r="N4" i="1"/>
  <c r="O4" i="1"/>
  <c r="Q4" i="1"/>
  <c r="R4" i="1"/>
  <c r="S4" i="1"/>
  <c r="T4" i="1"/>
  <c r="N5" i="1"/>
  <c r="O5" i="1"/>
  <c r="Q5" i="1"/>
  <c r="R5" i="1"/>
  <c r="S5" i="1"/>
  <c r="T5" i="1"/>
  <c r="N6" i="1"/>
  <c r="O6" i="1"/>
  <c r="Q6" i="1"/>
  <c r="R6" i="1"/>
  <c r="S6" i="1"/>
  <c r="T6" i="1"/>
  <c r="N7" i="1"/>
  <c r="O7" i="1"/>
  <c r="Q7" i="1"/>
  <c r="R7" i="1"/>
  <c r="S7" i="1"/>
  <c r="T7" i="1"/>
  <c r="N8" i="1"/>
  <c r="O8" i="1"/>
  <c r="Q8" i="1"/>
  <c r="R8" i="1"/>
  <c r="S8" i="1"/>
  <c r="T8" i="1"/>
  <c r="O9" i="1"/>
  <c r="R9" i="1"/>
  <c r="S9" i="1"/>
  <c r="T9" i="1"/>
  <c r="N10" i="1"/>
  <c r="O10" i="1"/>
  <c r="Q10" i="1"/>
  <c r="R10" i="1"/>
  <c r="S10" i="1"/>
  <c r="T10" i="1"/>
  <c r="N11" i="1"/>
  <c r="O11" i="1"/>
  <c r="Q11" i="1"/>
  <c r="R11" i="1"/>
  <c r="S11" i="1"/>
  <c r="T11" i="1"/>
  <c r="N12" i="1"/>
  <c r="O12" i="1"/>
  <c r="Q12" i="1"/>
  <c r="R12" i="1"/>
  <c r="S12" i="1"/>
  <c r="T12" i="1"/>
  <c r="N13" i="1"/>
  <c r="O13" i="1"/>
  <c r="Q13" i="1"/>
  <c r="R13" i="1"/>
  <c r="S13" i="1"/>
  <c r="T13" i="1"/>
  <c r="N14" i="1"/>
  <c r="O14" i="1"/>
  <c r="Q14" i="1"/>
  <c r="R14" i="1"/>
  <c r="S14" i="1"/>
  <c r="T14" i="1"/>
  <c r="N15" i="1"/>
  <c r="O15" i="1"/>
  <c r="Q15" i="1"/>
  <c r="R15" i="1"/>
  <c r="S15" i="1"/>
  <c r="T15" i="1"/>
  <c r="N16" i="1"/>
  <c r="O16" i="1"/>
  <c r="Q16" i="1"/>
  <c r="R16" i="1"/>
  <c r="S16" i="1"/>
  <c r="T16" i="1"/>
  <c r="N17" i="1"/>
  <c r="O17" i="1"/>
  <c r="Q17" i="1"/>
  <c r="R17" i="1"/>
  <c r="S17" i="1"/>
  <c r="T17" i="1"/>
  <c r="N18" i="1"/>
  <c r="O18" i="1"/>
  <c r="Q18" i="1"/>
  <c r="R18" i="1"/>
  <c r="S18" i="1"/>
  <c r="T18" i="1"/>
  <c r="N19" i="1"/>
  <c r="O19" i="1"/>
  <c r="Q19" i="1"/>
  <c r="R19" i="1"/>
  <c r="S19" i="1"/>
  <c r="T19" i="1"/>
  <c r="N21" i="1"/>
  <c r="O21" i="1"/>
  <c r="Q21" i="1"/>
  <c r="R21" i="1"/>
  <c r="S21" i="1"/>
  <c r="T21" i="1"/>
  <c r="N22" i="1"/>
  <c r="O22" i="1"/>
  <c r="Q22" i="1"/>
  <c r="R22" i="1"/>
  <c r="S22" i="1"/>
  <c r="T22" i="1"/>
  <c r="N23" i="1"/>
  <c r="O23" i="1"/>
  <c r="Q23" i="1"/>
  <c r="R23" i="1"/>
  <c r="S23" i="1"/>
  <c r="T23" i="1"/>
  <c r="N24" i="1"/>
  <c r="O24" i="1"/>
  <c r="Q24" i="1"/>
  <c r="R24" i="1"/>
  <c r="S24" i="1"/>
  <c r="T24" i="1"/>
  <c r="N25" i="1"/>
  <c r="O25" i="1"/>
  <c r="Q25" i="1"/>
  <c r="R25" i="1"/>
  <c r="S25" i="1"/>
  <c r="T25" i="1"/>
  <c r="N26" i="1"/>
  <c r="O26" i="1"/>
  <c r="Q26" i="1"/>
  <c r="R26" i="1"/>
  <c r="S26" i="1"/>
  <c r="T26" i="1"/>
  <c r="N27" i="1"/>
  <c r="O27" i="1"/>
  <c r="Q27" i="1"/>
  <c r="R27" i="1"/>
  <c r="S27" i="1"/>
  <c r="T27" i="1"/>
  <c r="N28" i="1"/>
  <c r="O28" i="1"/>
  <c r="Q28" i="1"/>
  <c r="R28" i="1"/>
  <c r="S28" i="1"/>
  <c r="T28" i="1"/>
  <c r="N30" i="1"/>
  <c r="O30" i="1"/>
  <c r="Q30" i="1"/>
  <c r="R30" i="1"/>
  <c r="S30" i="1"/>
  <c r="T30" i="1"/>
  <c r="N31" i="1"/>
  <c r="O31" i="1"/>
  <c r="Q31" i="1"/>
  <c r="R31" i="1"/>
  <c r="S31" i="1"/>
  <c r="T31" i="1"/>
  <c r="N32" i="1"/>
  <c r="O32" i="1"/>
  <c r="Q32" i="1"/>
  <c r="R32" i="1"/>
  <c r="S32" i="1"/>
  <c r="T32" i="1"/>
  <c r="N33" i="1"/>
  <c r="O33" i="1"/>
  <c r="Q33" i="1"/>
  <c r="R33" i="1"/>
  <c r="S33" i="1"/>
  <c r="T33" i="1"/>
  <c r="N34" i="1"/>
  <c r="O34" i="1"/>
  <c r="Q34" i="1"/>
  <c r="R34" i="1"/>
  <c r="S34" i="1"/>
  <c r="T34" i="1"/>
  <c r="N35" i="1"/>
  <c r="O35" i="1"/>
  <c r="Q35" i="1"/>
  <c r="R35" i="1"/>
  <c r="S35" i="1"/>
  <c r="T35" i="1"/>
  <c r="N36" i="1"/>
  <c r="O36" i="1"/>
  <c r="Q36" i="1"/>
  <c r="R36" i="1"/>
  <c r="S36" i="1"/>
  <c r="T36" i="1"/>
  <c r="N37" i="1"/>
  <c r="O37" i="1"/>
  <c r="Q37" i="1"/>
  <c r="R37" i="1"/>
  <c r="S37" i="1"/>
  <c r="T37" i="1"/>
  <c r="N38" i="1"/>
  <c r="O38" i="1"/>
  <c r="Q38" i="1"/>
  <c r="R38" i="1"/>
  <c r="S38" i="1"/>
  <c r="T38" i="1"/>
  <c r="N39" i="1"/>
  <c r="O39" i="1"/>
  <c r="Q39" i="1"/>
  <c r="R39" i="1"/>
  <c r="S39" i="1"/>
  <c r="T39" i="1"/>
  <c r="N40" i="1"/>
  <c r="O40" i="1"/>
  <c r="Q40" i="1"/>
  <c r="R40" i="1"/>
  <c r="S40" i="1"/>
  <c r="T40" i="1"/>
  <c r="N41" i="1"/>
  <c r="O41" i="1"/>
  <c r="Q41" i="1"/>
  <c r="R41" i="1"/>
  <c r="S41" i="1"/>
  <c r="T41" i="1"/>
  <c r="N42" i="1"/>
  <c r="O42" i="1"/>
  <c r="Q42" i="1"/>
  <c r="R42" i="1"/>
  <c r="S42" i="1"/>
  <c r="T42" i="1"/>
  <c r="N56" i="1"/>
  <c r="O56" i="1"/>
  <c r="Q56" i="1"/>
  <c r="R56" i="1"/>
  <c r="S56" i="1"/>
  <c r="T56" i="1"/>
  <c r="N43" i="1"/>
  <c r="O43" i="1"/>
  <c r="Q43" i="1"/>
  <c r="R43" i="1"/>
  <c r="S43" i="1"/>
  <c r="T43" i="1"/>
  <c r="N44" i="1"/>
  <c r="O44" i="1"/>
  <c r="Q44" i="1"/>
  <c r="R44" i="1"/>
  <c r="S44" i="1"/>
  <c r="T44" i="1"/>
  <c r="N45" i="1"/>
  <c r="O45" i="1"/>
  <c r="Q45" i="1"/>
  <c r="R45" i="1"/>
  <c r="S45" i="1"/>
  <c r="T45" i="1"/>
  <c r="N46" i="1"/>
  <c r="O46" i="1"/>
  <c r="Q46" i="1"/>
  <c r="R46" i="1"/>
  <c r="S46" i="1"/>
  <c r="T46" i="1"/>
  <c r="N47" i="1"/>
  <c r="O47" i="1"/>
  <c r="Q47" i="1"/>
  <c r="R47" i="1"/>
  <c r="S47" i="1"/>
  <c r="T47" i="1"/>
  <c r="Q48" i="1"/>
  <c r="S48" i="1"/>
  <c r="T48" i="1"/>
  <c r="N49" i="1"/>
  <c r="O49" i="1"/>
  <c r="Q49" i="1"/>
  <c r="R49" i="1"/>
  <c r="S49" i="1"/>
  <c r="T49" i="1"/>
  <c r="N50" i="1"/>
  <c r="O50" i="1"/>
  <c r="Q50" i="1"/>
  <c r="R50" i="1"/>
  <c r="S50" i="1"/>
  <c r="T50" i="1"/>
  <c r="N51" i="1"/>
  <c r="O51" i="1"/>
  <c r="Q51" i="1"/>
  <c r="R51" i="1"/>
  <c r="S51" i="1"/>
  <c r="T51" i="1"/>
  <c r="N52" i="1"/>
  <c r="O52" i="1"/>
  <c r="Q52" i="1"/>
  <c r="R52" i="1"/>
  <c r="S52" i="1"/>
  <c r="T52" i="1"/>
  <c r="N53" i="1"/>
  <c r="O53" i="1"/>
  <c r="Q53" i="1"/>
  <c r="R53" i="1"/>
  <c r="S53" i="1"/>
  <c r="T53" i="1"/>
  <c r="N54" i="1"/>
  <c r="O54" i="1"/>
  <c r="Q54" i="1"/>
  <c r="R54" i="1"/>
  <c r="S54" i="1"/>
  <c r="T54" i="1"/>
  <c r="N55" i="1"/>
  <c r="O55" i="1"/>
  <c r="Q55" i="1"/>
  <c r="R55" i="1"/>
  <c r="S55" i="1"/>
  <c r="T55" i="1"/>
  <c r="N57" i="1"/>
  <c r="O57" i="1"/>
  <c r="Q57" i="1"/>
  <c r="R57" i="1"/>
  <c r="S57" i="1"/>
  <c r="T57" i="1"/>
  <c r="N58" i="1"/>
  <c r="O58" i="1"/>
  <c r="Q58" i="1"/>
  <c r="R58" i="1"/>
  <c r="S58" i="1"/>
  <c r="T58" i="1"/>
  <c r="N59" i="1"/>
  <c r="O59" i="1"/>
  <c r="Q59" i="1"/>
  <c r="R59" i="1"/>
  <c r="S59" i="1"/>
  <c r="T59" i="1"/>
  <c r="N60" i="1"/>
  <c r="O60" i="1"/>
  <c r="Q60" i="1"/>
  <c r="R60" i="1"/>
  <c r="S60" i="1"/>
  <c r="T60" i="1"/>
  <c r="N61" i="1"/>
  <c r="O61" i="1"/>
  <c r="Q61" i="1"/>
  <c r="R61" i="1"/>
  <c r="S61" i="1"/>
  <c r="T61" i="1"/>
  <c r="N62" i="1"/>
  <c r="O62" i="1"/>
  <c r="Q62" i="1"/>
  <c r="R62" i="1"/>
  <c r="S62" i="1"/>
  <c r="T62" i="1"/>
  <c r="N63" i="1"/>
  <c r="O63" i="1"/>
  <c r="Q63" i="1"/>
  <c r="R63" i="1"/>
  <c r="S63" i="1"/>
  <c r="T63" i="1"/>
  <c r="N64" i="1"/>
  <c r="O64" i="1"/>
  <c r="Q64" i="1"/>
  <c r="R64" i="1"/>
  <c r="S64" i="1"/>
  <c r="T64" i="1"/>
  <c r="N65" i="1"/>
  <c r="O65" i="1"/>
  <c r="Q65" i="1"/>
  <c r="R65" i="1"/>
  <c r="S65" i="1"/>
  <c r="T65" i="1"/>
  <c r="N66" i="1"/>
  <c r="O66" i="1"/>
  <c r="Q66" i="1"/>
  <c r="R66" i="1"/>
  <c r="S66" i="1"/>
  <c r="T66" i="1"/>
  <c r="N67" i="1"/>
  <c r="O67" i="1"/>
  <c r="Q67" i="1"/>
  <c r="R67" i="1"/>
  <c r="S67" i="1"/>
  <c r="T67" i="1"/>
  <c r="N68" i="1"/>
  <c r="O68" i="1"/>
  <c r="Q68" i="1"/>
  <c r="R68" i="1"/>
  <c r="S68" i="1"/>
  <c r="T68" i="1"/>
  <c r="N69" i="1"/>
  <c r="O69" i="1"/>
  <c r="Q69" i="1"/>
  <c r="R69" i="1"/>
  <c r="S69" i="1"/>
  <c r="T69" i="1"/>
  <c r="N70" i="1"/>
  <c r="O70" i="1"/>
  <c r="Q70" i="1"/>
  <c r="R70" i="1"/>
  <c r="S70" i="1"/>
  <c r="T70" i="1"/>
  <c r="N71" i="1"/>
  <c r="O71" i="1"/>
  <c r="Q71" i="1"/>
  <c r="R71" i="1"/>
  <c r="S71" i="1"/>
  <c r="T71" i="1"/>
  <c r="N72" i="1"/>
  <c r="O72" i="1"/>
  <c r="Q72" i="1"/>
  <c r="R72" i="1"/>
  <c r="S72" i="1"/>
  <c r="T72" i="1"/>
  <c r="N73" i="1"/>
  <c r="O73" i="1"/>
  <c r="Q73" i="1"/>
  <c r="R73" i="1"/>
  <c r="S73" i="1"/>
  <c r="T73" i="1"/>
  <c r="N74" i="1"/>
  <c r="O74" i="1"/>
  <c r="Q74" i="1"/>
  <c r="R74" i="1"/>
  <c r="S74" i="1"/>
  <c r="T74" i="1"/>
  <c r="N75" i="1"/>
  <c r="O75" i="1"/>
  <c r="Q75" i="1"/>
  <c r="R75" i="1"/>
  <c r="S75" i="1"/>
  <c r="T75" i="1"/>
  <c r="N76" i="1"/>
  <c r="O76" i="1"/>
  <c r="Q76" i="1"/>
  <c r="R76" i="1"/>
  <c r="S76" i="1"/>
  <c r="T76" i="1"/>
  <c r="O77" i="1"/>
  <c r="R77" i="1"/>
  <c r="S77" i="1"/>
  <c r="T77" i="1"/>
  <c r="N78" i="1"/>
  <c r="O78" i="1"/>
  <c r="Q78" i="1"/>
  <c r="R78" i="1"/>
  <c r="S78" i="1"/>
  <c r="T78" i="1"/>
  <c r="N79" i="1"/>
  <c r="O79" i="1"/>
  <c r="Q79" i="1"/>
  <c r="R79" i="1"/>
  <c r="S79" i="1"/>
  <c r="T79" i="1"/>
  <c r="N80" i="1"/>
  <c r="O80" i="1"/>
  <c r="Q80" i="1"/>
  <c r="R80" i="1"/>
  <c r="S80" i="1"/>
  <c r="T80" i="1"/>
  <c r="N81" i="1"/>
  <c r="O81" i="1"/>
  <c r="Q81" i="1"/>
  <c r="R81" i="1"/>
  <c r="S81" i="1"/>
  <c r="T81" i="1"/>
  <c r="N82" i="1"/>
  <c r="O82" i="1"/>
  <c r="Q82" i="1"/>
  <c r="R82" i="1"/>
  <c r="S82" i="1"/>
  <c r="T82" i="1"/>
  <c r="O83" i="1"/>
  <c r="R83" i="1"/>
  <c r="S83" i="1"/>
  <c r="T83" i="1"/>
  <c r="N84" i="1"/>
  <c r="O84" i="1"/>
  <c r="Q84" i="1"/>
  <c r="R84" i="1"/>
  <c r="S84" i="1"/>
  <c r="T84" i="1"/>
  <c r="N85" i="1"/>
  <c r="O85" i="1"/>
  <c r="Q85" i="1"/>
  <c r="R85" i="1"/>
  <c r="S85" i="1"/>
  <c r="T85" i="1"/>
  <c r="N86" i="1"/>
  <c r="O86" i="1"/>
  <c r="Q86" i="1"/>
  <c r="R86" i="1"/>
  <c r="S86" i="1"/>
  <c r="T86" i="1"/>
  <c r="N87" i="1"/>
  <c r="O87" i="1"/>
  <c r="Q87" i="1"/>
  <c r="R87" i="1"/>
  <c r="S87" i="1"/>
  <c r="T87" i="1"/>
  <c r="N88" i="1"/>
  <c r="O88" i="1"/>
  <c r="Q88" i="1"/>
  <c r="R88" i="1"/>
  <c r="S88" i="1"/>
  <c r="T88" i="1"/>
  <c r="N89" i="1"/>
  <c r="O89" i="1"/>
  <c r="Q89" i="1"/>
  <c r="R89" i="1"/>
  <c r="S89" i="1"/>
  <c r="T89" i="1"/>
  <c r="N90" i="1"/>
  <c r="O90" i="1"/>
  <c r="Q90" i="1"/>
  <c r="R90" i="1"/>
  <c r="S90" i="1"/>
  <c r="T90" i="1"/>
  <c r="O91" i="1"/>
  <c r="R91" i="1"/>
  <c r="S91" i="1"/>
  <c r="T91" i="1"/>
  <c r="N92" i="1"/>
  <c r="O92" i="1"/>
  <c r="Q92" i="1"/>
  <c r="R92" i="1"/>
  <c r="S92" i="1"/>
  <c r="T92" i="1"/>
  <c r="N93" i="1"/>
  <c r="O93" i="1"/>
  <c r="Q93" i="1"/>
  <c r="R93" i="1"/>
  <c r="S93" i="1"/>
  <c r="T93" i="1"/>
  <c r="N94" i="1"/>
  <c r="O94" i="1"/>
  <c r="Q94" i="1"/>
  <c r="R94" i="1"/>
  <c r="S94" i="1"/>
  <c r="T94" i="1"/>
  <c r="N95" i="1"/>
  <c r="O95" i="1"/>
  <c r="Q95" i="1"/>
  <c r="R95" i="1"/>
  <c r="S95" i="1"/>
  <c r="T95" i="1"/>
  <c r="N96" i="1"/>
  <c r="O96" i="1"/>
  <c r="Q96" i="1"/>
  <c r="R96" i="1"/>
  <c r="S96" i="1"/>
  <c r="T96" i="1"/>
  <c r="N97" i="1"/>
  <c r="O97" i="1"/>
  <c r="Q97" i="1"/>
  <c r="R97" i="1"/>
  <c r="S97" i="1"/>
  <c r="T97" i="1"/>
  <c r="N98" i="1"/>
  <c r="O98" i="1"/>
  <c r="Q98" i="1"/>
  <c r="R98" i="1"/>
  <c r="S98" i="1"/>
  <c r="T98" i="1"/>
  <c r="N99" i="1"/>
  <c r="O99" i="1"/>
  <c r="Q99" i="1"/>
  <c r="R99" i="1"/>
  <c r="S99" i="1"/>
  <c r="T99" i="1"/>
  <c r="N100" i="1"/>
  <c r="O100" i="1"/>
  <c r="Q100" i="1"/>
  <c r="R100" i="1"/>
  <c r="S100" i="1"/>
  <c r="T100" i="1"/>
  <c r="N101" i="1"/>
  <c r="O101" i="1"/>
  <c r="Q101" i="1"/>
  <c r="R101" i="1"/>
  <c r="S101" i="1"/>
  <c r="T101" i="1"/>
  <c r="N102" i="1"/>
  <c r="O102" i="1"/>
  <c r="Q102" i="1"/>
  <c r="R102" i="1"/>
  <c r="S102" i="1"/>
  <c r="T102" i="1"/>
  <c r="N103" i="1"/>
  <c r="O103" i="1"/>
  <c r="Q103" i="1"/>
  <c r="R103" i="1"/>
  <c r="S103" i="1"/>
  <c r="T103" i="1"/>
  <c r="N104" i="1"/>
  <c r="O104" i="1"/>
  <c r="Q104" i="1"/>
  <c r="R104" i="1"/>
  <c r="S104" i="1"/>
  <c r="T104" i="1"/>
  <c r="N105" i="1"/>
  <c r="O105" i="1"/>
  <c r="Q105" i="1"/>
  <c r="R105" i="1"/>
  <c r="S105" i="1"/>
  <c r="T105" i="1"/>
  <c r="N106" i="1"/>
  <c r="O106" i="1"/>
  <c r="Q106" i="1"/>
  <c r="R106" i="1"/>
  <c r="S106" i="1"/>
  <c r="T106" i="1"/>
  <c r="N107" i="1"/>
  <c r="O107" i="1"/>
  <c r="Q107" i="1"/>
  <c r="R107" i="1"/>
  <c r="S107" i="1"/>
  <c r="T107" i="1"/>
  <c r="N108" i="1"/>
  <c r="O108" i="1"/>
  <c r="Q108" i="1"/>
  <c r="R108" i="1"/>
  <c r="S108" i="1"/>
  <c r="T108" i="1"/>
  <c r="N109" i="1"/>
  <c r="O109" i="1"/>
  <c r="R109" i="1"/>
  <c r="S109" i="1"/>
  <c r="T109" i="1"/>
  <c r="N110" i="1"/>
  <c r="O110" i="1"/>
  <c r="Q110" i="1"/>
  <c r="R110" i="1"/>
  <c r="S110" i="1"/>
  <c r="T110" i="1"/>
  <c r="N111" i="1"/>
  <c r="O111" i="1"/>
  <c r="Q111" i="1"/>
  <c r="R111" i="1"/>
  <c r="S111" i="1"/>
  <c r="T111" i="1"/>
  <c r="N112" i="1"/>
  <c r="O112" i="1"/>
  <c r="Q112" i="1"/>
  <c r="R112" i="1"/>
  <c r="S112" i="1"/>
  <c r="T112" i="1"/>
  <c r="N113" i="1"/>
  <c r="O113" i="1"/>
  <c r="Q113" i="1"/>
  <c r="R113" i="1"/>
  <c r="S113" i="1"/>
  <c r="T113" i="1"/>
  <c r="N114" i="1"/>
  <c r="O114" i="1"/>
  <c r="Q114" i="1"/>
  <c r="R114" i="1"/>
  <c r="S114" i="1"/>
  <c r="T114" i="1"/>
  <c r="N115" i="1"/>
  <c r="O115" i="1"/>
  <c r="Q115" i="1"/>
  <c r="R115" i="1"/>
  <c r="S115" i="1"/>
  <c r="T115" i="1"/>
  <c r="N117" i="1"/>
  <c r="O117" i="1"/>
  <c r="Q117" i="1"/>
  <c r="R117" i="1"/>
  <c r="S117" i="1"/>
  <c r="T117" i="1"/>
  <c r="N119" i="1"/>
  <c r="O119" i="1"/>
  <c r="Q119" i="1"/>
  <c r="R119" i="1"/>
  <c r="S119" i="1"/>
  <c r="T119" i="1"/>
  <c r="N120" i="1"/>
  <c r="O120" i="1"/>
  <c r="Q120" i="1"/>
  <c r="R120" i="1"/>
  <c r="S120" i="1"/>
  <c r="T120" i="1"/>
  <c r="N121" i="1"/>
  <c r="O121" i="1"/>
  <c r="Q121" i="1"/>
  <c r="R121" i="1"/>
  <c r="S121" i="1"/>
  <c r="T121" i="1"/>
  <c r="N122" i="1"/>
  <c r="O122" i="1"/>
  <c r="Q122" i="1"/>
  <c r="R122" i="1"/>
  <c r="S122" i="1"/>
  <c r="T122" i="1"/>
  <c r="N124" i="1"/>
  <c r="O124" i="1"/>
  <c r="Q124" i="1"/>
  <c r="R124" i="1"/>
  <c r="S124" i="1"/>
  <c r="T124" i="1"/>
  <c r="N125" i="1"/>
  <c r="O125" i="1"/>
  <c r="Q125" i="1"/>
  <c r="R125" i="1"/>
  <c r="S125" i="1"/>
  <c r="T125" i="1"/>
  <c r="N394" i="1"/>
  <c r="O394" i="1"/>
  <c r="Q394" i="1"/>
  <c r="R394" i="1"/>
  <c r="S394" i="1"/>
  <c r="T394" i="1"/>
  <c r="N395" i="1"/>
  <c r="O395" i="1"/>
  <c r="Q395" i="1"/>
  <c r="R395" i="1"/>
  <c r="S395" i="1"/>
  <c r="T395" i="1"/>
  <c r="N396" i="1"/>
  <c r="O396" i="1"/>
  <c r="Q396" i="1"/>
  <c r="R396" i="1"/>
  <c r="S396" i="1"/>
  <c r="T396" i="1"/>
  <c r="N397" i="1"/>
  <c r="O397" i="1"/>
  <c r="Q397" i="1"/>
  <c r="R397" i="1"/>
  <c r="S397" i="1"/>
  <c r="T397" i="1"/>
  <c r="N398" i="1"/>
  <c r="O398" i="1"/>
  <c r="Q398" i="1"/>
  <c r="R398" i="1"/>
  <c r="S398" i="1"/>
  <c r="T398" i="1"/>
  <c r="N399" i="1"/>
  <c r="O399" i="1"/>
  <c r="Q399" i="1"/>
  <c r="R399" i="1"/>
  <c r="S399" i="1"/>
  <c r="T399" i="1"/>
  <c r="N400" i="1"/>
  <c r="O400" i="1"/>
  <c r="Q400" i="1"/>
  <c r="R400" i="1"/>
  <c r="S400" i="1"/>
  <c r="T400" i="1"/>
  <c r="N401" i="1"/>
  <c r="O401" i="1"/>
  <c r="Q401" i="1"/>
  <c r="R401" i="1"/>
  <c r="S401" i="1"/>
  <c r="T401" i="1"/>
  <c r="N402" i="1"/>
  <c r="O402" i="1"/>
  <c r="Q402" i="1"/>
  <c r="R402" i="1"/>
  <c r="S402" i="1"/>
  <c r="T402" i="1"/>
  <c r="N403" i="1"/>
  <c r="O403" i="1"/>
  <c r="Q403" i="1"/>
  <c r="R403" i="1"/>
  <c r="S403" i="1"/>
  <c r="T403" i="1"/>
  <c r="N404" i="1"/>
  <c r="O404" i="1"/>
  <c r="Q404" i="1"/>
  <c r="R404" i="1"/>
  <c r="S404" i="1"/>
  <c r="T404" i="1"/>
  <c r="N405" i="1"/>
  <c r="O405" i="1"/>
  <c r="Q405" i="1"/>
  <c r="R405" i="1"/>
  <c r="S405" i="1"/>
  <c r="T405" i="1"/>
  <c r="N406" i="1"/>
  <c r="O406" i="1"/>
  <c r="Q406" i="1"/>
  <c r="R406" i="1"/>
  <c r="S406" i="1"/>
  <c r="T406" i="1"/>
  <c r="N407" i="1"/>
  <c r="O407" i="1"/>
  <c r="Q407" i="1"/>
  <c r="R407" i="1"/>
  <c r="S407" i="1"/>
  <c r="T407" i="1"/>
  <c r="N408" i="1"/>
  <c r="O408" i="1"/>
  <c r="Q408" i="1"/>
  <c r="R408" i="1"/>
  <c r="S408" i="1"/>
  <c r="T408" i="1"/>
  <c r="N409" i="1"/>
  <c r="O409" i="1"/>
  <c r="Q409" i="1"/>
  <c r="R409" i="1"/>
  <c r="S409" i="1"/>
  <c r="T409" i="1"/>
  <c r="N410" i="1"/>
  <c r="O410" i="1"/>
  <c r="Q410" i="1"/>
  <c r="R410" i="1"/>
  <c r="S410" i="1"/>
  <c r="T410" i="1"/>
  <c r="N411" i="1"/>
  <c r="O411" i="1"/>
  <c r="Q411" i="1"/>
  <c r="R411" i="1"/>
  <c r="S411" i="1"/>
  <c r="T411" i="1"/>
  <c r="N412" i="1"/>
  <c r="O412" i="1"/>
  <c r="Q412" i="1"/>
  <c r="R412" i="1"/>
  <c r="S412" i="1"/>
  <c r="T412" i="1"/>
  <c r="N413" i="1"/>
  <c r="O413" i="1"/>
  <c r="Q413" i="1"/>
  <c r="R413" i="1"/>
  <c r="S413" i="1"/>
  <c r="T413" i="1"/>
  <c r="N414" i="1"/>
  <c r="O414" i="1"/>
  <c r="Q414" i="1"/>
  <c r="R414" i="1"/>
  <c r="S414" i="1"/>
  <c r="T414" i="1"/>
  <c r="N415" i="1"/>
  <c r="O415" i="1"/>
  <c r="Q415" i="1"/>
  <c r="R415" i="1"/>
  <c r="S415" i="1"/>
  <c r="T415" i="1"/>
  <c r="N416" i="1"/>
  <c r="O416" i="1"/>
  <c r="Q416" i="1"/>
  <c r="R416" i="1"/>
  <c r="S416" i="1"/>
  <c r="T416" i="1"/>
  <c r="N417" i="1"/>
  <c r="O417" i="1"/>
  <c r="Q417" i="1"/>
  <c r="R417" i="1"/>
  <c r="S417" i="1"/>
  <c r="T417" i="1"/>
  <c r="N418" i="1"/>
  <c r="O418" i="1"/>
  <c r="Q418" i="1"/>
  <c r="R418" i="1"/>
  <c r="S418" i="1"/>
  <c r="T418" i="1"/>
  <c r="N419" i="1"/>
  <c r="O419" i="1"/>
  <c r="Q419" i="1"/>
  <c r="R419" i="1"/>
  <c r="S419" i="1"/>
  <c r="T419" i="1"/>
  <c r="N420" i="1"/>
  <c r="O420" i="1"/>
  <c r="Q420" i="1"/>
  <c r="R420" i="1"/>
  <c r="S420" i="1"/>
  <c r="T420" i="1"/>
  <c r="N421" i="1"/>
  <c r="O421" i="1"/>
  <c r="Q421" i="1"/>
  <c r="R421" i="1"/>
  <c r="S421" i="1"/>
  <c r="T421" i="1"/>
  <c r="N422" i="1"/>
  <c r="O422" i="1"/>
  <c r="Q422" i="1"/>
  <c r="R422" i="1"/>
  <c r="S422" i="1"/>
  <c r="T422" i="1"/>
  <c r="N423" i="1"/>
  <c r="O423" i="1"/>
  <c r="Q423" i="1"/>
  <c r="R423" i="1"/>
  <c r="S423" i="1"/>
  <c r="T423" i="1"/>
  <c r="N424" i="1"/>
  <c r="O424" i="1"/>
  <c r="Q424" i="1"/>
  <c r="R424" i="1"/>
  <c r="S424" i="1"/>
  <c r="T424" i="1"/>
  <c r="N425" i="1"/>
  <c r="O425" i="1"/>
  <c r="Q425" i="1"/>
  <c r="R425" i="1"/>
  <c r="S425" i="1"/>
  <c r="T425" i="1"/>
  <c r="N426" i="1"/>
  <c r="O426" i="1"/>
  <c r="Q426" i="1"/>
  <c r="R426" i="1"/>
  <c r="S426" i="1"/>
  <c r="T426" i="1"/>
  <c r="N427" i="1"/>
  <c r="O427" i="1"/>
  <c r="Q427" i="1"/>
  <c r="R427" i="1"/>
  <c r="S427" i="1"/>
  <c r="T427" i="1"/>
  <c r="N428" i="1"/>
  <c r="O428" i="1"/>
  <c r="Q428" i="1"/>
  <c r="R428" i="1"/>
  <c r="S428" i="1"/>
  <c r="T428" i="1"/>
  <c r="N429" i="1"/>
  <c r="O429" i="1"/>
  <c r="Q429" i="1"/>
  <c r="R429" i="1"/>
  <c r="S429" i="1"/>
  <c r="T429" i="1"/>
  <c r="N430" i="1"/>
  <c r="O430" i="1"/>
  <c r="Q430" i="1"/>
  <c r="R430" i="1"/>
  <c r="S430" i="1"/>
  <c r="T430" i="1"/>
  <c r="N431" i="1"/>
  <c r="O431" i="1"/>
  <c r="Q431" i="1"/>
  <c r="R431" i="1"/>
  <c r="S431" i="1"/>
  <c r="T431" i="1"/>
  <c r="N432" i="1"/>
  <c r="O432" i="1"/>
  <c r="Q432" i="1"/>
  <c r="R432" i="1"/>
  <c r="S432" i="1"/>
  <c r="T432" i="1"/>
  <c r="N433" i="1"/>
  <c r="O433" i="1"/>
  <c r="Q433" i="1"/>
  <c r="R433" i="1"/>
  <c r="S433" i="1"/>
  <c r="T433" i="1"/>
  <c r="N434" i="1"/>
  <c r="O434" i="1"/>
  <c r="Q434" i="1"/>
  <c r="R434" i="1"/>
  <c r="S434" i="1"/>
  <c r="T434" i="1"/>
  <c r="N435" i="1"/>
  <c r="O435" i="1"/>
  <c r="Q435" i="1"/>
  <c r="R435" i="1"/>
  <c r="S435" i="1"/>
  <c r="T435" i="1"/>
  <c r="N436" i="1"/>
  <c r="O436" i="1"/>
  <c r="Q436" i="1"/>
  <c r="R436" i="1"/>
  <c r="S436" i="1"/>
  <c r="T436" i="1"/>
  <c r="N437" i="1"/>
  <c r="O437" i="1"/>
  <c r="Q437" i="1"/>
  <c r="R437" i="1"/>
  <c r="S437" i="1"/>
  <c r="T437" i="1"/>
  <c r="N438" i="1"/>
  <c r="O438" i="1"/>
  <c r="Q438" i="1"/>
  <c r="R438" i="1"/>
  <c r="S438" i="1"/>
  <c r="T438" i="1"/>
  <c r="N439" i="1"/>
  <c r="O439" i="1"/>
  <c r="Q439" i="1"/>
  <c r="R439" i="1"/>
  <c r="S439" i="1"/>
  <c r="T439" i="1"/>
  <c r="N440" i="1"/>
  <c r="O440" i="1"/>
  <c r="Q440" i="1"/>
  <c r="R440" i="1"/>
  <c r="S440" i="1"/>
  <c r="T440" i="1"/>
  <c r="N441" i="1"/>
  <c r="O441" i="1"/>
  <c r="Q441" i="1"/>
  <c r="R441" i="1"/>
  <c r="S441" i="1"/>
  <c r="T441" i="1"/>
  <c r="N442" i="1"/>
  <c r="O442" i="1"/>
  <c r="Q442" i="1"/>
  <c r="R442" i="1"/>
  <c r="S442" i="1"/>
  <c r="T442" i="1"/>
  <c r="N443" i="1"/>
  <c r="O443" i="1"/>
  <c r="Q443" i="1"/>
  <c r="R443" i="1"/>
  <c r="S443" i="1"/>
  <c r="T443" i="1"/>
  <c r="N444" i="1"/>
  <c r="O444" i="1"/>
  <c r="Q444" i="1"/>
  <c r="R444" i="1"/>
  <c r="S444" i="1"/>
  <c r="T444" i="1"/>
  <c r="N445" i="1"/>
  <c r="O445" i="1"/>
  <c r="Q445" i="1"/>
  <c r="R445" i="1"/>
  <c r="S445" i="1"/>
  <c r="T445" i="1"/>
  <c r="N2" i="1"/>
  <c r="O2" i="1"/>
  <c r="Q2" i="1"/>
  <c r="R2" i="1"/>
  <c r="S2" i="1"/>
  <c r="T2" i="1"/>
  <c r="T447" i="1" s="1"/>
  <c r="K145" i="1" l="1"/>
  <c r="K144" i="1"/>
  <c r="K120" i="1"/>
  <c r="K121" i="1"/>
  <c r="K122" i="1"/>
  <c r="K124" i="1"/>
  <c r="K125" i="1"/>
  <c r="K115" i="1"/>
  <c r="K114" i="1"/>
  <c r="K113" i="1"/>
  <c r="K112" i="1"/>
  <c r="K111" i="1"/>
  <c r="K110" i="1"/>
  <c r="K150" i="1" l="1"/>
  <c r="K149" i="1"/>
  <c r="K147" i="1"/>
  <c r="K146" i="1"/>
  <c r="K151" i="1" l="1"/>
  <c r="K152" i="1" l="1"/>
  <c r="K153" i="1" l="1"/>
  <c r="K155" i="1" l="1"/>
  <c r="K154" i="1"/>
  <c r="K157" i="1" l="1"/>
  <c r="K156" i="1"/>
  <c r="K158" i="1" l="1"/>
  <c r="K160" i="1" l="1"/>
  <c r="K161" i="1" l="1"/>
  <c r="K163" i="1" l="1"/>
  <c r="K162" i="1"/>
  <c r="K164" i="1" l="1"/>
  <c r="K165" i="1" l="1"/>
  <c r="K168" i="1" l="1"/>
  <c r="K169" i="1" l="1"/>
  <c r="K170" i="1" l="1"/>
  <c r="K171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l="1"/>
  <c r="K299" i="1" l="1"/>
  <c r="K300" i="1" l="1"/>
  <c r="K301" i="1" l="1"/>
  <c r="K302" i="1" l="1"/>
  <c r="K303" i="1" l="1"/>
  <c r="K304" i="1" l="1"/>
  <c r="K305" i="1" l="1"/>
  <c r="K306" i="1" l="1"/>
  <c r="K307" i="1" l="1"/>
  <c r="K308" i="1" l="1"/>
  <c r="K309" i="1" l="1"/>
  <c r="K310" i="1" l="1"/>
  <c r="K311" i="1" l="1"/>
  <c r="K312" i="1" l="1"/>
  <c r="K313" i="1" l="1"/>
  <c r="K314" i="1" l="1"/>
  <c r="K315" i="1" l="1"/>
  <c r="K316" i="1" l="1"/>
  <c r="K317" i="1" l="1"/>
  <c r="K318" i="1" l="1"/>
  <c r="K319" i="1" l="1"/>
  <c r="K320" i="1" l="1"/>
  <c r="K321" i="1" l="1"/>
  <c r="K322" i="1" l="1"/>
  <c r="K323" i="1" l="1"/>
  <c r="K324" i="1" l="1"/>
  <c r="K325" i="1" l="1"/>
  <c r="K326" i="1" l="1"/>
  <c r="K327" i="1" l="1"/>
  <c r="K328" i="1" l="1"/>
  <c r="K329" i="1" l="1"/>
  <c r="K330" i="1" l="1"/>
  <c r="K331" i="1" l="1"/>
  <c r="K332" i="1" l="1"/>
  <c r="K333" i="1" l="1"/>
  <c r="K334" i="1" l="1"/>
  <c r="K335" i="1" l="1"/>
  <c r="K336" i="1" l="1"/>
  <c r="K337" i="1" l="1"/>
  <c r="K338" i="1" l="1"/>
  <c r="K339" i="1" l="1"/>
  <c r="K340" i="1" l="1"/>
  <c r="K341" i="1" l="1"/>
  <c r="K342" i="1" l="1"/>
  <c r="K343" i="1" l="1"/>
  <c r="K344" i="1" l="1"/>
  <c r="K345" i="1" l="1"/>
  <c r="K346" i="1" l="1"/>
  <c r="K347" i="1" l="1"/>
  <c r="K348" i="1" l="1"/>
  <c r="K349" i="1" l="1"/>
  <c r="K350" i="1" l="1"/>
  <c r="K351" i="1" l="1"/>
  <c r="K352" i="1" l="1"/>
  <c r="K353" i="1" l="1"/>
  <c r="K354" i="1" l="1"/>
  <c r="K355" i="1" l="1"/>
  <c r="K356" i="1" l="1"/>
  <c r="K357" i="1" l="1"/>
  <c r="K358" i="1" l="1"/>
  <c r="K359" i="1" l="1"/>
  <c r="K360" i="1" l="1"/>
  <c r="K361" i="1" l="1"/>
  <c r="K362" i="1" l="1"/>
  <c r="K363" i="1" l="1"/>
  <c r="K364" i="1" l="1"/>
  <c r="K365" i="1" l="1"/>
  <c r="K366" i="1" l="1"/>
  <c r="K367" i="1" l="1"/>
  <c r="K368" i="1" l="1"/>
  <c r="K369" i="1" l="1"/>
  <c r="K370" i="1" l="1"/>
  <c r="K371" i="1" l="1"/>
  <c r="K372" i="1" l="1"/>
  <c r="K373" i="1" l="1"/>
  <c r="K374" i="1" l="1"/>
  <c r="K375" i="1" l="1"/>
  <c r="K376" i="1" l="1"/>
  <c r="K377" i="1" l="1"/>
  <c r="K378" i="1" l="1"/>
  <c r="K379" i="1" l="1"/>
  <c r="K380" i="1" l="1"/>
  <c r="K381" i="1" l="1"/>
  <c r="K382" i="1" l="1"/>
  <c r="K383" i="1" l="1"/>
  <c r="K384" i="1" l="1"/>
  <c r="K385" i="1" l="1"/>
  <c r="K386" i="1" l="1"/>
  <c r="K387" i="1" l="1"/>
  <c r="K388" i="1" l="1"/>
  <c r="K389" i="1" l="1"/>
  <c r="K390" i="1" l="1"/>
  <c r="K391" i="1" l="1"/>
  <c r="K392" i="1" l="1"/>
  <c r="K393" i="1" l="1"/>
  <c r="K394" i="1" l="1"/>
  <c r="K395" i="1" l="1"/>
  <c r="K396" i="1" l="1"/>
  <c r="K397" i="1" l="1"/>
  <c r="K398" i="1" l="1"/>
  <c r="K399" i="1" l="1"/>
  <c r="K400" i="1" l="1"/>
  <c r="K401" i="1" l="1"/>
  <c r="K402" i="1" l="1"/>
  <c r="K403" i="1" l="1"/>
  <c r="K404" i="1" l="1"/>
  <c r="K405" i="1" l="1"/>
  <c r="K406" i="1" l="1"/>
  <c r="K407" i="1" l="1"/>
  <c r="K408" i="1" l="1"/>
  <c r="K409" i="1" l="1"/>
  <c r="K410" i="1" l="1"/>
  <c r="K411" i="1" l="1"/>
  <c r="K412" i="1" l="1"/>
  <c r="K413" i="1" l="1"/>
  <c r="K414" i="1" l="1"/>
  <c r="K415" i="1" l="1"/>
  <c r="K416" i="1" l="1"/>
  <c r="K417" i="1" l="1"/>
  <c r="K418" i="1" l="1"/>
  <c r="K419" i="1" l="1"/>
  <c r="K420" i="1" l="1"/>
  <c r="K421" i="1" l="1"/>
  <c r="K422" i="1" l="1"/>
  <c r="K423" i="1" l="1"/>
  <c r="K424" i="1" l="1"/>
  <c r="K425" i="1" l="1"/>
  <c r="K426" i="1" l="1"/>
  <c r="K427" i="1" l="1"/>
  <c r="K428" i="1" l="1"/>
  <c r="K429" i="1" l="1"/>
  <c r="K430" i="1" l="1"/>
  <c r="K431" i="1" l="1"/>
  <c r="K432" i="1" l="1"/>
  <c r="K433" i="1" l="1"/>
  <c r="K434" i="1" l="1"/>
  <c r="K435" i="1" l="1"/>
  <c r="K436" i="1" l="1"/>
  <c r="K437" i="1" l="1"/>
  <c r="K438" i="1" l="1"/>
  <c r="K439" i="1" l="1"/>
  <c r="K440" i="1" l="1"/>
  <c r="K441" i="1" l="1"/>
  <c r="K442" i="1" l="1"/>
  <c r="K443" i="1" l="1"/>
  <c r="K444" i="1" l="1"/>
  <c r="K445" i="1" l="1"/>
</calcChain>
</file>

<file path=xl/sharedStrings.xml><?xml version="1.0" encoding="utf-8"?>
<sst xmlns="http://schemas.openxmlformats.org/spreadsheetml/2006/main" count="2905" uniqueCount="1019">
  <si>
    <t>FECHA</t>
  </si>
  <si>
    <t>NUMERO DE FACTURA</t>
  </si>
  <si>
    <t>CLIENTE</t>
  </si>
  <si>
    <t>PLACA</t>
  </si>
  <si>
    <t>MODELO</t>
  </si>
  <si>
    <t>AREA</t>
  </si>
  <si>
    <t>DETALLES</t>
  </si>
  <si>
    <t>TOTAL FACTURA</t>
  </si>
  <si>
    <t>GANANCIA POR SERVICIOS</t>
  </si>
  <si>
    <t>REPUESTOS USADOS</t>
  </si>
  <si>
    <t>MONTO DE COMPRA</t>
  </si>
  <si>
    <t>Columna1</t>
  </si>
  <si>
    <t>IV COMPRA</t>
  </si>
  <si>
    <t xml:space="preserve">VENTA </t>
  </si>
  <si>
    <t>Columna2</t>
  </si>
  <si>
    <t xml:space="preserve">IVA VENTA </t>
  </si>
  <si>
    <t xml:space="preserve">DIFERENCIA IVA </t>
  </si>
  <si>
    <t>GANACIA  REPUESTOS</t>
  </si>
  <si>
    <t>ESTATUS</t>
  </si>
  <si>
    <t>LUIS BRITO / SAID VASQUEZ</t>
  </si>
  <si>
    <t>GRADUACION DE FRENOS</t>
  </si>
  <si>
    <t>CAMBIO DE PASTILLAS DELANTERAS</t>
  </si>
  <si>
    <t>PASTILLAS DELANTERAS</t>
  </si>
  <si>
    <t>CAMBIO DE PASTILLAS TRASERAS</t>
  </si>
  <si>
    <t>PASTILLAS TRASERAS</t>
  </si>
  <si>
    <t>UFX-880</t>
  </si>
  <si>
    <t>ALEJANDRO DIAZ</t>
  </si>
  <si>
    <t>JMC</t>
  </si>
  <si>
    <t>TWINGO</t>
  </si>
  <si>
    <t>VICENTE PATARROYO</t>
  </si>
  <si>
    <t>MAO-470</t>
  </si>
  <si>
    <t>MEGANE</t>
  </si>
  <si>
    <t>SPARK GT</t>
  </si>
  <si>
    <t>EDWIN (EXOSTO)</t>
  </si>
  <si>
    <t>CHEVROLET</t>
  </si>
  <si>
    <t>ILVAR MORENO</t>
  </si>
  <si>
    <t>JOV-231</t>
  </si>
  <si>
    <t>FE:325/RM:529</t>
  </si>
  <si>
    <t>ANGI PARDO</t>
  </si>
  <si>
    <t>LATONERIA Y PINTURA</t>
  </si>
  <si>
    <t>LUIS BRITO</t>
  </si>
  <si>
    <t>SAID VASQUEZ</t>
  </si>
  <si>
    <t>HAY-383</t>
  </si>
  <si>
    <t>DODGE DURANGO</t>
  </si>
  <si>
    <t>ANDRES ESTRADA</t>
  </si>
  <si>
    <t>BSF-412</t>
  </si>
  <si>
    <t>AJUSTE CORREA ACCESORIO/ CAMBIO BUJE BARRA ESTABILIZADORA</t>
  </si>
  <si>
    <t>JOSE DAVID BERNAL</t>
  </si>
  <si>
    <t>BSZ-571</t>
  </si>
  <si>
    <t>PINTA DE LIQUIDO /CILINDRO DE FRENO</t>
  </si>
  <si>
    <t>REVISION DE RUEDA/CAMBIO DE CILINDRO DE FRENO</t>
  </si>
  <si>
    <t>JOSE MAURICIO GONZALES</t>
  </si>
  <si>
    <t>RM:530</t>
  </si>
  <si>
    <t>DANIEL ARISTIGALES</t>
  </si>
  <si>
    <t>JST-725</t>
  </si>
  <si>
    <t>KIA SOLUTO</t>
  </si>
  <si>
    <t>JAVIER LAGUADO</t>
  </si>
  <si>
    <t>HCX-077</t>
  </si>
  <si>
    <t>CAMBIO DE RODAMIENTO DEL. DERECHO</t>
  </si>
  <si>
    <t>RM:535</t>
  </si>
  <si>
    <t>PABLO CHISABAS</t>
  </si>
  <si>
    <t>LCS-917</t>
  </si>
  <si>
    <t>CESAR DE CARO</t>
  </si>
  <si>
    <t>HSX-075</t>
  </si>
  <si>
    <t>GOLF</t>
  </si>
  <si>
    <t>REVISION DE FRENOS COMPLETO/CAMBIO DE LIQUIDO/CAMBIO DE BUJES DE TIJERA</t>
  </si>
  <si>
    <t>BUJES DE TIJERA PUÑO/LIQUIDO DOT4</t>
  </si>
  <si>
    <t>JUAN PABLO</t>
  </si>
  <si>
    <t>ARREGLO TUBO DE FRENO ACERADO</t>
  </si>
  <si>
    <t>CST-543</t>
  </si>
  <si>
    <t>SCENIC</t>
  </si>
  <si>
    <t>MANTENIMIENTO DELANTERO</t>
  </si>
  <si>
    <t>NICOLAS GARZON</t>
  </si>
  <si>
    <t>FNS-496</t>
  </si>
  <si>
    <t xml:space="preserve">SPARK </t>
  </si>
  <si>
    <t>JUEGO DE PASTILLAS DELANTERAS</t>
  </si>
  <si>
    <t>RM:532</t>
  </si>
  <si>
    <t>DIEGO PINZON</t>
  </si>
  <si>
    <t>GUZ-615</t>
  </si>
  <si>
    <t>SAVEIRO</t>
  </si>
  <si>
    <t xml:space="preserve">CAMBIO DE MUÑECOS BARRA ESTAB. </t>
  </si>
  <si>
    <t>MUÑECOS BARRA ESTABILIZADORA</t>
  </si>
  <si>
    <t>RM:533/FE:2280</t>
  </si>
  <si>
    <t>JAVIER AGUDELO</t>
  </si>
  <si>
    <t>REVISION DE RUEDA TRASERA DERECHA / CAMBIO DE CILINDRO</t>
  </si>
  <si>
    <t xml:space="preserve">1MT DE TUBO </t>
  </si>
  <si>
    <t>SAPARK GT</t>
  </si>
  <si>
    <t>CAMBIO DE BRAZO AXIAL</t>
  </si>
  <si>
    <t>CORREGIR FUGA DE LIQUIDO</t>
  </si>
  <si>
    <t>RM:536</t>
  </si>
  <si>
    <t>RAUL ROJAS</t>
  </si>
  <si>
    <t>HDK-652</t>
  </si>
  <si>
    <t>MG3</t>
  </si>
  <si>
    <t>CAMBIO DE PASTILLAS</t>
  </si>
  <si>
    <t>HSG-157</t>
  </si>
  <si>
    <t>MG5</t>
  </si>
  <si>
    <t>CAMBIO DE RODAMIENTOS DEL/ CAMBIO DE LIQUIDO</t>
  </si>
  <si>
    <t>BAJAR CAJA</t>
  </si>
  <si>
    <t>HYB-315</t>
  </si>
  <si>
    <t>SUZUKI</t>
  </si>
  <si>
    <t>MEDIR CMPRESION MOTOR</t>
  </si>
  <si>
    <t>SOLDADURA</t>
  </si>
  <si>
    <t>COLOCAR CINTURON DE ASIENTO</t>
  </si>
  <si>
    <t>DANIEL CRISTANCHO</t>
  </si>
  <si>
    <t>CYG-479</t>
  </si>
  <si>
    <t>OPTRA</t>
  </si>
  <si>
    <t>SINCRONIZACION/CAMBIO EMPAQUE TAPA VALVULA</t>
  </si>
  <si>
    <t>EMPAQUE TAPA VALVULA/BUJIAS/GASOLINA</t>
  </si>
  <si>
    <t>ZIY-416</t>
  </si>
  <si>
    <t>SANDERO</t>
  </si>
  <si>
    <t>UZC-159</t>
  </si>
  <si>
    <t>FUGA DE AGUA</t>
  </si>
  <si>
    <t>YESSY RODRIGUEZ</t>
  </si>
  <si>
    <t>HXW-468</t>
  </si>
  <si>
    <t>SAIL</t>
  </si>
  <si>
    <t>CAMBIO DE SOPORTE DE AMORTIGUADOR/CAMBIO DE MUÑECOS/GRADUACION DE FRENOS/CAMBIO DE PERNO</t>
  </si>
  <si>
    <t>MUÑECOS/CAMBIO SOPORTE DE AMORTIGUADOR/PERNO/TUERCA</t>
  </si>
  <si>
    <t>FE:332/RM:539</t>
  </si>
  <si>
    <t>FE:334/RM:538</t>
  </si>
  <si>
    <t>JUAN OVALLE</t>
  </si>
  <si>
    <t>RM:540</t>
  </si>
  <si>
    <t>SQA-713</t>
  </si>
  <si>
    <t>TURBO CANTER</t>
  </si>
  <si>
    <t>GRADUACION DE FRENOS/CAMBIO DE DIAFRAGMA</t>
  </si>
  <si>
    <t xml:space="preserve">CAMBIO DE DIAFRAGMA </t>
  </si>
  <si>
    <t>DIAFRAGMA</t>
  </si>
  <si>
    <t>RAUL MENDOZA</t>
  </si>
  <si>
    <t>MTT-421</t>
  </si>
  <si>
    <t>FORD SCAPE</t>
  </si>
  <si>
    <t>CAMBIO DE BUJES DE TEMPLETES</t>
  </si>
  <si>
    <t>RICARDO ROMERO</t>
  </si>
  <si>
    <t>DCN-248</t>
  </si>
  <si>
    <t>KIA RIO</t>
  </si>
  <si>
    <t>SOLDADURA DE TUBO</t>
  </si>
  <si>
    <t>CRISTIAN DIAZ</t>
  </si>
  <si>
    <t>HST-590</t>
  </si>
  <si>
    <t>NISSAN MARCH</t>
  </si>
  <si>
    <t>MANTENIMIENTO COMPLETO</t>
  </si>
  <si>
    <t>SKK-862</t>
  </si>
  <si>
    <t>MT</t>
  </si>
  <si>
    <t>JORGE PEÑA ARIZA</t>
  </si>
  <si>
    <t>GIS-716</t>
  </si>
  <si>
    <t>PEGEOUT</t>
  </si>
  <si>
    <t>CAMBIO DE PUNTA DE EJE LADO RUEDA</t>
  </si>
  <si>
    <t>RODRIGO MONCADA</t>
  </si>
  <si>
    <t>WLQ-529</t>
  </si>
  <si>
    <t>NQR</t>
  </si>
  <si>
    <t>GRADUACION DE FRENO/LIMPIEZA FRENO DE AHOGO</t>
  </si>
  <si>
    <t>JEISON AREVALO</t>
  </si>
  <si>
    <t>BJQ-341</t>
  </si>
  <si>
    <t>MAZDA</t>
  </si>
  <si>
    <t>REVISION DE FRENOS</t>
  </si>
  <si>
    <t>FE:335/RM:543</t>
  </si>
  <si>
    <t>SPARK</t>
  </si>
  <si>
    <t>CAMBIO DE GUAYA DE CLOSH</t>
  </si>
  <si>
    <t>ALEXIS PACHON</t>
  </si>
  <si>
    <t>KKP-119</t>
  </si>
  <si>
    <t>HILUX</t>
  </si>
  <si>
    <t>REVISION DE FRENOS COMPLETO/CAMBIO DE BANDAS TRASERAS</t>
  </si>
  <si>
    <t>BANDAS/PUNTILLAS/GP /CHUPAS</t>
  </si>
  <si>
    <t>YOVANNY AYALA</t>
  </si>
  <si>
    <t>RAT-770</t>
  </si>
  <si>
    <t>FORD</t>
  </si>
  <si>
    <t>HYUNDAI</t>
  </si>
  <si>
    <t>SOS-739</t>
  </si>
  <si>
    <t xml:space="preserve">GRADUACION DE FRENOS </t>
  </si>
  <si>
    <t>CDN-765</t>
  </si>
  <si>
    <t>HENRY DUARTE</t>
  </si>
  <si>
    <t>RM:546/FE:336</t>
  </si>
  <si>
    <t>ZYS-186</t>
  </si>
  <si>
    <t xml:space="preserve">
CAMBIO DE PASTILLAS DELANTERAS / REVISION DE TRASERAS</t>
  </si>
  <si>
    <t>ANDRES BALEN</t>
  </si>
  <si>
    <t>BTJ-094</t>
  </si>
  <si>
    <t>RM:544</t>
  </si>
  <si>
    <t>TTQ-593</t>
  </si>
  <si>
    <t>FOTON</t>
  </si>
  <si>
    <t xml:space="preserve">REVISION DE RUEDAS TRASERAS </t>
  </si>
  <si>
    <t>SOLDAR PLATINA CLOSH</t>
  </si>
  <si>
    <t>JUEGO DE BLOQUES/GASOLINA/GRASAS/RETENEDORES</t>
  </si>
  <si>
    <t>LEIDY ROCIO CORREDOR</t>
  </si>
  <si>
    <t>DNP-494</t>
  </si>
  <si>
    <t>ONIX</t>
  </si>
  <si>
    <t>SINCRONIZACION</t>
  </si>
  <si>
    <t>RM:541</t>
  </si>
  <si>
    <t>FE:338</t>
  </si>
  <si>
    <t>PEDRO RAMIREZ</t>
  </si>
  <si>
    <t>BZE-702</t>
  </si>
  <si>
    <t>MANTENIMIENTO COMPLETO / CAMBIO DE CHUPAS</t>
  </si>
  <si>
    <t>CHUPAS</t>
  </si>
  <si>
    <t>MAURICIO CASTRO</t>
  </si>
  <si>
    <t>BAF-974</t>
  </si>
  <si>
    <t>MIGUEL BONILLA</t>
  </si>
  <si>
    <t>OCH-842</t>
  </si>
  <si>
    <t>RM:547</t>
  </si>
  <si>
    <t>MANTENIMIENTO DE FRENOS COMPLETO</t>
  </si>
  <si>
    <t>CHUPAS PLANAS</t>
  </si>
  <si>
    <t>JAIRO MONTENEGRO</t>
  </si>
  <si>
    <t>JAT-478</t>
  </si>
  <si>
    <t>RAM1500</t>
  </si>
  <si>
    <t>CAMBIO DE BOMBA DE FRENO</t>
  </si>
  <si>
    <t>BDS-667</t>
  </si>
  <si>
    <t>GRADUAR FRENOS</t>
  </si>
  <si>
    <t>GONZALO BARAJAS</t>
  </si>
  <si>
    <t>DDG-276</t>
  </si>
  <si>
    <t>TOYOTA</t>
  </si>
  <si>
    <t>CAMBIO DE BUJES DE AMORTIGUADOR</t>
  </si>
  <si>
    <t>CAMBIO DE BALINERA DE CARDAN</t>
  </si>
  <si>
    <t>CIFUENTES</t>
  </si>
  <si>
    <t>RJQ-903</t>
  </si>
  <si>
    <t>SANYONG</t>
  </si>
  <si>
    <t>BAJAR RUEDAS TRASERAS</t>
  </si>
  <si>
    <t>MANTENIMIENTO DELANTERO / CAMBIO DE PASTILLAS</t>
  </si>
  <si>
    <t>AUTOSTANFORD</t>
  </si>
  <si>
    <t>IIX</t>
  </si>
  <si>
    <t>LOGAN</t>
  </si>
  <si>
    <t>REPARACION DE SUSPENSION/FRENOS</t>
  </si>
  <si>
    <t>RENAULT19</t>
  </si>
  <si>
    <t>IIX-606</t>
  </si>
  <si>
    <t>BAJAR CAJA DE DIRECCION</t>
  </si>
  <si>
    <t>NOMBRE</t>
  </si>
  <si>
    <t>CEDULA</t>
  </si>
  <si>
    <t>ASIGNACION</t>
  </si>
  <si>
    <t>DEDUCCION</t>
  </si>
  <si>
    <t>TOTAL</t>
  </si>
  <si>
    <t>MECANICA</t>
  </si>
  <si>
    <t>FRANCISCO PEREZ</t>
  </si>
  <si>
    <t>FRENOS Y SUPENSION</t>
  </si>
  <si>
    <t>SALDO</t>
  </si>
  <si>
    <t>ABONOS</t>
  </si>
  <si>
    <t>ADELANTOS</t>
  </si>
  <si>
    <t>SEMANA DEL 31/12/2022 AL 06/01/203</t>
  </si>
  <si>
    <t xml:space="preserve">      </t>
  </si>
  <si>
    <t xml:space="preserve">EDWIN </t>
  </si>
  <si>
    <t>EDWIN</t>
  </si>
  <si>
    <t>REVISION DE RUEDA</t>
  </si>
  <si>
    <t xml:space="preserve">CAMBIO DE PUNTA DE EJE </t>
  </si>
  <si>
    <t>CHUPAS/ LIQUIDO DE FRENO/ RODAMIENTOS/AMORTIGUADORES/MUÑECOS/SOPORTE DE AMORTIGUADOR</t>
  </si>
  <si>
    <t>AMORTIGUADORES TRASEROS/SOPORTE CENTRAL / SOPORTE DE AMORTIGUADORES/PITO</t>
  </si>
  <si>
    <t>REVISION DE FRENOS COMPLETO/CAMBIO DE CHUPAS Y LIQUIDO/CAMBIO DE LIQUIDO/CAMBIO DE AMORTIGUADORES/MUÑECOS/SOPORTE DE AMORTIGUADOR</t>
  </si>
  <si>
    <t>JUAN CARLOS UMBARELA</t>
  </si>
  <si>
    <t>SZN-237</t>
  </si>
  <si>
    <t>DIAFRAGMA FRENO DE AHOGO</t>
  </si>
  <si>
    <t>JULIAN PEREZ</t>
  </si>
  <si>
    <t>BDB-308</t>
  </si>
  <si>
    <t>2 CHUPAS/PINTA DE LIQUIDO</t>
  </si>
  <si>
    <t>RM:551</t>
  </si>
  <si>
    <t>CAROLINA OCHOA</t>
  </si>
  <si>
    <t>HBN-909</t>
  </si>
  <si>
    <t>HUMMER</t>
  </si>
  <si>
    <t>REVISION DE SUSPENSION Y ENGRASE</t>
  </si>
  <si>
    <t>PEDRO GUERRERO</t>
  </si>
  <si>
    <t>BHN-112</t>
  </si>
  <si>
    <t xml:space="preserve">JUEGO DE BANDAS Y CILINDRO DE FRENO </t>
  </si>
  <si>
    <t>FE:341/RM:553</t>
  </si>
  <si>
    <t>CAMBIO DE SOPORTE</t>
  </si>
  <si>
    <t>JONATHAN DIAZ</t>
  </si>
  <si>
    <t>CZK-134</t>
  </si>
  <si>
    <t>VOLSWAGEN</t>
  </si>
  <si>
    <t>USE-902</t>
  </si>
  <si>
    <t>NHR</t>
  </si>
  <si>
    <t>CAMBIO EMPAQUETADURA AUXILIAR DE CLOSH/GRADUAR BOMBA PRINCIPAL</t>
  </si>
  <si>
    <t>EMPAQUE AUXILIAR DE CLOSH/ LIQUDO</t>
  </si>
  <si>
    <t>RM:552</t>
  </si>
  <si>
    <t>COORECICLABLE</t>
  </si>
  <si>
    <t>TSM-562</t>
  </si>
  <si>
    <t>JAC</t>
  </si>
  <si>
    <t>BOB-308</t>
  </si>
  <si>
    <t>RECLAZAR BANDAS / CAMBIO DE GUAYA FRENO DE MANO  TRASERA/CAMBIO DE LIQUIDO</t>
  </si>
  <si>
    <t>MARIA LUISA GOMEZ</t>
  </si>
  <si>
    <t>RM:556/FE:343</t>
  </si>
  <si>
    <t>KMS-680</t>
  </si>
  <si>
    <t>REVISION DE FRENOS COMPLETO/CAMBIO DE LIQUID/ BANDAS /PASTILLAS</t>
  </si>
  <si>
    <t>PASTILLAS/BANDAS/LIQUIDOS</t>
  </si>
  <si>
    <t>WNO-408</t>
  </si>
  <si>
    <t>HINO</t>
  </si>
  <si>
    <t>MONGIBELLO</t>
  </si>
  <si>
    <t>GUSTAVO RIERA</t>
  </si>
  <si>
    <t>MSK-362</t>
  </si>
  <si>
    <t>REVISION DE FRENOS COMPLETO</t>
  </si>
  <si>
    <t>RM:558</t>
  </si>
  <si>
    <t>CC&amp;T</t>
  </si>
  <si>
    <t>SQW-830</t>
  </si>
  <si>
    <t>REVISION RUEDAS TROQUE TRASERO</t>
  </si>
  <si>
    <t>RM:559</t>
  </si>
  <si>
    <t>FE:345/RM:561</t>
  </si>
  <si>
    <t>JUAN CAMERO</t>
  </si>
  <si>
    <t xml:space="preserve">CAMBIO DE ROTULA DEL. DERE/ TERMINAL DERECHA/RODAMIENTO DEL </t>
  </si>
  <si>
    <t xml:space="preserve">ROTULA DEL. DERE/ TERMINAL DERECHA/RODAMIENTO DEL </t>
  </si>
  <si>
    <t>REVISION DE FRENOS /CAMBIO DE LIQUIDO</t>
  </si>
  <si>
    <t>BLG-084</t>
  </si>
  <si>
    <t>LIQUIDO DOT3</t>
  </si>
  <si>
    <t>RM:562</t>
  </si>
  <si>
    <t>DURLEY GONZALEZ</t>
  </si>
  <si>
    <t>CAMBIO DE CHUPAS/ REVISION DE RUEDA TRASERA DERECHA</t>
  </si>
  <si>
    <t>REEPARACION PARCIAL DE MOTOR</t>
  </si>
  <si>
    <t>GASOLINA, SILICONA, EMP. MOTOR, CASQUETES DE BIELA, ANILLOS ESTANDAR, CAUCHOS VALVULA, RETENEDORES</t>
  </si>
  <si>
    <t>FE:344/RM:560</t>
  </si>
  <si>
    <t>TRANSPORTE LOGISTICO</t>
  </si>
  <si>
    <t>SPQ-698</t>
  </si>
  <si>
    <t>CAMBIO DE PASTILLAS DELANTERAS/ANTIRUIDOS</t>
  </si>
  <si>
    <t>PASTILLAS DELANTERAS/ANTIRUIDOS</t>
  </si>
  <si>
    <t>ALFREDO GARZON</t>
  </si>
  <si>
    <t>FE:346/RM:564</t>
  </si>
  <si>
    <t>HKR-527</t>
  </si>
  <si>
    <t>TOYOTA TX</t>
  </si>
  <si>
    <t>PASTILLAS TRASERAS/DISCOS DE FRENOS/LIQUIDO</t>
  </si>
  <si>
    <t>JORGE MORALES</t>
  </si>
  <si>
    <t>CJH-276</t>
  </si>
  <si>
    <t>SKODA</t>
  </si>
  <si>
    <t>TIIGO</t>
  </si>
  <si>
    <t>SERVICIO DE ESCANER</t>
  </si>
  <si>
    <t>CAMBIO DE BANDAS Y CILINDRO DE FRENO</t>
  </si>
  <si>
    <t>MTTO DE FRENO DELANTERO</t>
  </si>
  <si>
    <t>CAMBIO DE PASTILLAS TRASERAS/DISCOS DE FRENOS</t>
  </si>
  <si>
    <t>FRENOS</t>
  </si>
  <si>
    <t xml:space="preserve">ELECTRICIDAD </t>
  </si>
  <si>
    <t>EXOSTO</t>
  </si>
  <si>
    <t>MECANICO</t>
  </si>
  <si>
    <t>SEMANA DEL 07/12/2022 AL 13/01/203</t>
  </si>
  <si>
    <t>YERIBETH ANDUEZA</t>
  </si>
  <si>
    <t xml:space="preserve">MARIA ALCANTARA </t>
  </si>
  <si>
    <t>VOLQUETA</t>
  </si>
  <si>
    <t>RM:565</t>
  </si>
  <si>
    <t>DIEGO ALEJANDRO GUTIERRE</t>
  </si>
  <si>
    <t>BOA-010</t>
  </si>
  <si>
    <t>FIAT PALEO</t>
  </si>
  <si>
    <t>CAMBIO SENSOR DE SIGUEÑAL / SERVICIO DE ESCANER</t>
  </si>
  <si>
    <t>FE:348</t>
  </si>
  <si>
    <t>FORD ESCAPE</t>
  </si>
  <si>
    <t>BAJAR AMORTIGUADORES</t>
  </si>
  <si>
    <t>RM:566</t>
  </si>
  <si>
    <t>ANDRES PACHECO</t>
  </si>
  <si>
    <t>BHB:013</t>
  </si>
  <si>
    <t xml:space="preserve">FORD FESTIVA </t>
  </si>
  <si>
    <t>CAMBIO DE BANDAS TRASERAS</t>
  </si>
  <si>
    <t xml:space="preserve">JUEGO DE BANDAS </t>
  </si>
  <si>
    <t>FE:350</t>
  </si>
  <si>
    <t>RENAULT LOGAN</t>
  </si>
  <si>
    <t>CAMBIO DE TIJERA DERECHA</t>
  </si>
  <si>
    <t>JUAN POVEDA</t>
  </si>
  <si>
    <t>LAO-123</t>
  </si>
  <si>
    <t>MAZDA TURBO</t>
  </si>
  <si>
    <t>CAMBIO BOMBA PRINCIPAL DE CLOSH</t>
  </si>
  <si>
    <t>BOMBA DE CLOSH</t>
  </si>
  <si>
    <t>MVO-943</t>
  </si>
  <si>
    <t>CLIO</t>
  </si>
  <si>
    <t>CAMBIO DE PERA DE FRENO/BATERIA</t>
  </si>
  <si>
    <t>BATERIA750/ PERA DE FRENO</t>
  </si>
  <si>
    <t>CAMBIO KIT DE CLOSH/RETEN CIGÜEÑAL</t>
  </si>
  <si>
    <t>KIT DE CLOSH, RETEN CIGÜEÑAL, LIQUIDO</t>
  </si>
  <si>
    <t>FE:353/RM:569</t>
  </si>
  <si>
    <t>AUTOESTANFORD</t>
  </si>
  <si>
    <t>KWR-936</t>
  </si>
  <si>
    <t>HSR-157</t>
  </si>
  <si>
    <t>SINCRONIZACION/CAMBIO DE BUJES</t>
  </si>
  <si>
    <t>BUJIAS/GASOLINA</t>
  </si>
  <si>
    <t>ERL-350</t>
  </si>
  <si>
    <t>JULIAN CARO</t>
  </si>
  <si>
    <t>TZS-344</t>
  </si>
  <si>
    <t>INTER</t>
  </si>
  <si>
    <t>ARREGLO CAMARA TRASERA IZQ</t>
  </si>
  <si>
    <t>LUV2300</t>
  </si>
  <si>
    <t>BAJAR Y REPARAR CAJA</t>
  </si>
  <si>
    <t>BHZ-875</t>
  </si>
  <si>
    <t>HELLY HERNANDEZ</t>
  </si>
  <si>
    <t>SINCRONIZACION/BAJAR Y REPARAR CAJA/CAMBIO DE BRAZO COMENSADOR</t>
  </si>
  <si>
    <t>BUJE DE CAMBIO, RETENEDOR DE CAJA/RESORTE/SILICONA / GASOLINA</t>
  </si>
  <si>
    <t>EVARISTO VALLESTERO</t>
  </si>
  <si>
    <t>COC-491</t>
  </si>
  <si>
    <t>MAHINDRA</t>
  </si>
  <si>
    <t>REVISION DE RUEDA TRASERAS</t>
  </si>
  <si>
    <t>JUSTO DEL TORO</t>
  </si>
  <si>
    <t>MPU-552</t>
  </si>
  <si>
    <t>JORGE ACEVEDO</t>
  </si>
  <si>
    <t>JHJG-727</t>
  </si>
  <si>
    <t>MB</t>
  </si>
  <si>
    <t>STIVEN HERNANDEZ</t>
  </si>
  <si>
    <t>CAMBIO DE AMORTIGUADORES DELANTEROS</t>
  </si>
  <si>
    <t>AMORTIGUADORES DEL/RODAMIENTOS</t>
  </si>
  <si>
    <t>ALEJANDRO ALONZO</t>
  </si>
  <si>
    <t>KNZ-523</t>
  </si>
  <si>
    <t>ALASKA</t>
  </si>
  <si>
    <t>CAMBIO DE BUJES BARRA ESTAB/ CAMBIO DE BUJES DE AMORTIGUADORES</t>
  </si>
  <si>
    <t>AVEO</t>
  </si>
  <si>
    <t>REVISION DE FRENOS TRASEROS/MTTO MORDAZA</t>
  </si>
  <si>
    <t>SEMANA DEL 14/12/2022 AL 20/01/203</t>
  </si>
  <si>
    <t>JUAN CARLOS</t>
  </si>
  <si>
    <t>BIW-262</t>
  </si>
  <si>
    <t>ANILLAR MOTOR</t>
  </si>
  <si>
    <t>TOTAL A PAGAR</t>
  </si>
  <si>
    <t>DAEWWO</t>
  </si>
  <si>
    <t>ARLEY ARENA</t>
  </si>
  <si>
    <t>BWF-974</t>
  </si>
  <si>
    <t>CAMBIO KIT DE REPARTICION-BOMBA DE AGUA</t>
  </si>
  <si>
    <t>KIT DE REPARTICION-BOMBA DE AGUA</t>
  </si>
  <si>
    <t>CCN-593</t>
  </si>
  <si>
    <t>CAMBIO DE SOPORTE DE MOTOR</t>
  </si>
  <si>
    <t>CAMBIO DE SOPORTE FRENO</t>
  </si>
  <si>
    <t>CONTRUCCIONES RICARDO CARO</t>
  </si>
  <si>
    <t>SZU-387</t>
  </si>
  <si>
    <t>ARREGLO MANGUERA DE PISADAS CAMARA TRASERA DERECHA</t>
  </si>
  <si>
    <t>RACOR</t>
  </si>
  <si>
    <t>CARLOS RAMIREZ</t>
  </si>
  <si>
    <t>MSN-763</t>
  </si>
  <si>
    <t>MAZDA BT-750</t>
  </si>
  <si>
    <t>REPARACION ELECTRICA</t>
  </si>
  <si>
    <t>LUIS TORRES</t>
  </si>
  <si>
    <t>FBV-326</t>
  </si>
  <si>
    <t>TOYOTA PRADO</t>
  </si>
  <si>
    <t xml:space="preserve">REVISION FRENO DE MANO/CAMBIO DE BANDAS FRENO DE MANO/PASTILLAS DEL./  </t>
  </si>
  <si>
    <t>CAMBIO DE AMORTIGUADORES/BUJES DE TEMPLETES TROQUE TRASERO</t>
  </si>
  <si>
    <t>FE:359/RM:573</t>
  </si>
  <si>
    <t xml:space="preserve"> BANDAS FRENO DE MANO/PASTILLAS DEL./  PUNTILLAS/</t>
  </si>
  <si>
    <t>AMORTIGUADORES DEL/BUJES DE AMORTIGUADORES</t>
  </si>
  <si>
    <t>FE:358/RM:572</t>
  </si>
  <si>
    <t>ANDRES RODRIGUEZ</t>
  </si>
  <si>
    <t>KOK-228</t>
  </si>
  <si>
    <t>MATTO DE FRENOS COMPLETO/RECALZAR BANDAS</t>
  </si>
  <si>
    <t>BANDAS 20104X/ RODAMIENTO DEL. EXTER/GRASAS/SILICONA/PINES CACHO</t>
  </si>
  <si>
    <t>LUIS SERRATO</t>
  </si>
  <si>
    <t>IIT-653</t>
  </si>
  <si>
    <t>STEEM</t>
  </si>
  <si>
    <t>CAMBIO DE ESPARRAGOS</t>
  </si>
  <si>
    <t>ESPARRAGOS</t>
  </si>
  <si>
    <t>LUIS VARGAS</t>
  </si>
  <si>
    <t>BOP-004</t>
  </si>
  <si>
    <t>CAMBIO DE KIT DE REPARTICION/CAMBIO DE SOPORTE DE CAJA Y MOTOR/ CAMBIO RETEN E CIGÜEÑAL</t>
  </si>
  <si>
    <t xml:space="preserve">CLARA INES </t>
  </si>
  <si>
    <t>WPQ-522</t>
  </si>
  <si>
    <t>HINO 300</t>
  </si>
  <si>
    <t>CAMBIO DE AMORTIGUADORES TRASEROS</t>
  </si>
  <si>
    <t>AMORTIGUADORES TRASEROS GABRIEL</t>
  </si>
  <si>
    <t>RM:574 FE:363</t>
  </si>
  <si>
    <t>RM:575</t>
  </si>
  <si>
    <t>ROSAURA GOMEZ</t>
  </si>
  <si>
    <t>FZN-646</t>
  </si>
  <si>
    <t>FORD ECOSPORT</t>
  </si>
  <si>
    <t>AMORTIGUADORES TRASEROS MONROE</t>
  </si>
  <si>
    <t>SEMANA DEL 21/01/2023 AL  27/01/2023</t>
  </si>
  <si>
    <t>YERIBET ANDUEZA</t>
  </si>
  <si>
    <t>ADMON</t>
  </si>
  <si>
    <t>MARIA ALCANTARA</t>
  </si>
  <si>
    <t>YEDDYS ACUÑA</t>
  </si>
  <si>
    <t>DIEGO DAZA</t>
  </si>
  <si>
    <t>JVF-165</t>
  </si>
  <si>
    <t>DODGE</t>
  </si>
  <si>
    <t>FREDDY RIVERA</t>
  </si>
  <si>
    <t>FBT-451</t>
  </si>
  <si>
    <t>CAMBIO DE CILINDRO TRASERO</t>
  </si>
  <si>
    <t xml:space="preserve">CILINDRO TRASERO DERECHO </t>
  </si>
  <si>
    <t>RM:576</t>
  </si>
  <si>
    <t>FE:365/RM:576</t>
  </si>
  <si>
    <t>BYR-048</t>
  </si>
  <si>
    <t>CATERINE FRANCO</t>
  </si>
  <si>
    <t>REVISION DE FRENOS COMPLETA-CAMBIO DE PASTILLAS DEL</t>
  </si>
  <si>
    <t>RM:577</t>
  </si>
  <si>
    <t>JOSE RODRIGUEZ</t>
  </si>
  <si>
    <t>FJW-763</t>
  </si>
  <si>
    <t>CAMBIO DE PASTILLAS DEL.</t>
  </si>
  <si>
    <t>RM:583</t>
  </si>
  <si>
    <t>CAMBIO SOPOTE DE CAJA</t>
  </si>
  <si>
    <t>RM:582</t>
  </si>
  <si>
    <t>HRS-157</t>
  </si>
  <si>
    <t>CAMBIO CORREA DE ACCESORIO</t>
  </si>
  <si>
    <t>FE:367 - RM:580</t>
  </si>
  <si>
    <t>ANDRES ERAZO</t>
  </si>
  <si>
    <t>BSL-004</t>
  </si>
  <si>
    <t>CORSA</t>
  </si>
  <si>
    <t>CAMBIO DE EMPAQUE TAPA VALVULA</t>
  </si>
  <si>
    <t>EMPAQUE TAPA  VALVULA</t>
  </si>
  <si>
    <t>BRC-044</t>
  </si>
  <si>
    <t>VOLKSWAGEN GOL</t>
  </si>
  <si>
    <t>RM:585</t>
  </si>
  <si>
    <t>CESAR AGRAJALES</t>
  </si>
  <si>
    <t>CABLES DE ALTA,INYECTORES, BUJIAS</t>
  </si>
  <si>
    <t>FE:369 - RM:584</t>
  </si>
  <si>
    <t>FRUTAS Y VERDURAS EL CACIQUE</t>
  </si>
  <si>
    <t>SKM-895</t>
  </si>
  <si>
    <t>LUV DMAX</t>
  </si>
  <si>
    <t>REVISION COMPLETA DE FRENOS, CAMBIO PASTILLAS DELANTERAS, BANDAS</t>
  </si>
  <si>
    <t>BANDAS, PASTILLAS, CHUPAS NISSAN 1 PULGADA</t>
  </si>
  <si>
    <t>JOSE BERLEY</t>
  </si>
  <si>
    <t>FE:370 - RM:586</t>
  </si>
  <si>
    <t>VEN-914</t>
  </si>
  <si>
    <t>CAMBIO BOMBA DE FRENO, CAMBIO DE LIQUIDO</t>
  </si>
  <si>
    <t>BOMBA DE FRENO, LIQUIDO DOT3</t>
  </si>
  <si>
    <t>WILLIAM UNTENGO</t>
  </si>
  <si>
    <t>VKH-540</t>
  </si>
  <si>
    <t>CAMBIO CARTUCHON DE ESPARRAGO</t>
  </si>
  <si>
    <t>FE:372 - RM:588</t>
  </si>
  <si>
    <t>EMEB TECNOLOGIA SAS</t>
  </si>
  <si>
    <t>DBO-059</t>
  </si>
  <si>
    <t>TOYOTA FORTUNER</t>
  </si>
  <si>
    <t>CAMBIO DE PASTILLAS DEL, MANTENIMIENTO COMPLETO, CAMBIO DE LIQUIDO</t>
  </si>
  <si>
    <t>JUEGO DE PASTILLAS, LIQUIDO DE FRENOS</t>
  </si>
  <si>
    <t>FE:374 - RM:590</t>
  </si>
  <si>
    <t>PARROQUIA INMACULADA CONCEPCION</t>
  </si>
  <si>
    <t>HKU-100</t>
  </si>
  <si>
    <t>CAMBIO DE BANDAS</t>
  </si>
  <si>
    <t>JUEGO DE BANDAS</t>
  </si>
  <si>
    <t>FS:371- RM:587</t>
  </si>
  <si>
    <t xml:space="preserve">RYV CONSTRUCCIONES </t>
  </si>
  <si>
    <t>SEA-130</t>
  </si>
  <si>
    <t>LUV 2300</t>
  </si>
  <si>
    <t>CAMBIO DE DISCO PRENSA Y BALINERA</t>
  </si>
  <si>
    <t>DISCO Y BALINERA</t>
  </si>
  <si>
    <t>FE:591</t>
  </si>
  <si>
    <t>GILBERTO MORALES</t>
  </si>
  <si>
    <t>RGK-632</t>
  </si>
  <si>
    <t>DODGE JOURNEY</t>
  </si>
  <si>
    <t>FE:592</t>
  </si>
  <si>
    <t>PASTILLAS DELANTERAS , AMORTIGUADORES DELANTEROS</t>
  </si>
  <si>
    <t>RM:589</t>
  </si>
  <si>
    <t>ERENGUE</t>
  </si>
  <si>
    <t>CHEVROLET TRAVER</t>
  </si>
  <si>
    <t>FE:375</t>
  </si>
  <si>
    <t>INVERSIONES BERMAN SAS</t>
  </si>
  <si>
    <t>WCZ-336</t>
  </si>
  <si>
    <t>EFRAIN MORALES</t>
  </si>
  <si>
    <t>BRU-964</t>
  </si>
  <si>
    <t xml:space="preserve">REPARACION DE MOTOR </t>
  </si>
  <si>
    <t>03/02/2023</t>
  </si>
  <si>
    <t>RM:593</t>
  </si>
  <si>
    <t>BOD-789</t>
  </si>
  <si>
    <t>RANAULT CLIO</t>
  </si>
  <si>
    <t>04/02/2027</t>
  </si>
  <si>
    <t>04/02/2028</t>
  </si>
  <si>
    <t>04/02/2029</t>
  </si>
  <si>
    <t>04/02/2030</t>
  </si>
  <si>
    <t>04/02/2031</t>
  </si>
  <si>
    <t>04/02/2032</t>
  </si>
  <si>
    <t>LUIS ANTONIO VASGAS</t>
  </si>
  <si>
    <t>CAMBIO SOPORTE AMORTIGUADORES, BUJES DE TIJERA, BRAZO AXIAL, GUARPOLVO EJE LADO CAJA</t>
  </si>
  <si>
    <t>AUTOSTANDFORD</t>
  </si>
  <si>
    <t>NRENAULT LOGAN</t>
  </si>
  <si>
    <t>CAMBIO DE AMORTIGUADOR DELANTERO DERECHO</t>
  </si>
  <si>
    <t>FE:379</t>
  </si>
  <si>
    <t>MAQUINA</t>
  </si>
  <si>
    <t>CAMBIO RETENEDOR DE CIGÜEÑAL</t>
  </si>
  <si>
    <t>NPR</t>
  </si>
  <si>
    <t>ANDRES</t>
  </si>
  <si>
    <t>CAMBIO BOMBA DE AGUA Y EMP. DE ADMISION</t>
  </si>
  <si>
    <t>EMP DE ADMISION, BOMBA DE AGUA , SILICONA</t>
  </si>
  <si>
    <t>JOSEB MAURICIO GONZALES</t>
  </si>
  <si>
    <t>JDV-231</t>
  </si>
  <si>
    <t>CAMBIO DE MANGUERA</t>
  </si>
  <si>
    <t>MANGUERA</t>
  </si>
  <si>
    <t>MARCO OVALLE</t>
  </si>
  <si>
    <t>RENAULT 9</t>
  </si>
  <si>
    <t>CAMBIO BUJE DE REVERSA</t>
  </si>
  <si>
    <t xml:space="preserve">BUJE REVERSA </t>
  </si>
  <si>
    <t>GERMAN PARRA</t>
  </si>
  <si>
    <t>RENAULT CLIO</t>
  </si>
  <si>
    <t>CAMBIO DE EMP.</t>
  </si>
  <si>
    <t>SILICONA, GASOLINA , EMP.</t>
  </si>
  <si>
    <t>GRUAS JB</t>
  </si>
  <si>
    <t>SPO-394</t>
  </si>
  <si>
    <t>ARREGLO FRENOS TRASEROS</t>
  </si>
  <si>
    <t>ACOPLE , INSERTO</t>
  </si>
  <si>
    <t>CAMBIO DE CAMPANAS</t>
  </si>
  <si>
    <t>CAMBIO DE RODAMIENTO TRASEROM IZQ</t>
  </si>
  <si>
    <t>HERNANDO YAYA</t>
  </si>
  <si>
    <t>WPQ-630</t>
  </si>
  <si>
    <t>REVISION DE FRENOS DELANTEROS</t>
  </si>
  <si>
    <t>GASOLINA, PINES, GRASA, RETEN MIL3</t>
  </si>
  <si>
    <t>MNT- 961</t>
  </si>
  <si>
    <t>RENAULT</t>
  </si>
  <si>
    <t>CAMBIO DE AMOTIAGUADORES DELANTEROS</t>
  </si>
  <si>
    <t>YOLANDA REYES</t>
  </si>
  <si>
    <t>KCY-472</t>
  </si>
  <si>
    <t>MAZDA 2</t>
  </si>
  <si>
    <t>MANTENIMIENTO DE FRENOS DELANTEROS</t>
  </si>
  <si>
    <t>JAVIER MARTINEZ</t>
  </si>
  <si>
    <t>VSB-807</t>
  </si>
  <si>
    <t>AJUSTE CORREA DE ALTERNADOR</t>
  </si>
  <si>
    <t>CORREA DE ALTERNADOR</t>
  </si>
  <si>
    <t>LUIS CARLOS UMBARILO</t>
  </si>
  <si>
    <t>CST-230</t>
  </si>
  <si>
    <t>REVISION DE FRENOS DELANTEROS, GRADUAR DE MANO, CAMBIO DE LIQUIDO</t>
  </si>
  <si>
    <t>RAFAEL MARTINEZ</t>
  </si>
  <si>
    <t>HCO-769</t>
  </si>
  <si>
    <t>TRACKER</t>
  </si>
  <si>
    <t>TZY-425</t>
  </si>
  <si>
    <t>BAJAR FRENO DE AHOGO</t>
  </si>
  <si>
    <t>BUJIAS 4</t>
  </si>
  <si>
    <t>CARLOS RODRIGUEZ</t>
  </si>
  <si>
    <t>DON PEDRO</t>
  </si>
  <si>
    <t>SZY-796</t>
  </si>
  <si>
    <t>REVISION DE FRENOS, GRADUAR DE MANO CAMBIO DE CHUPAS DELANTERA DERECHA</t>
  </si>
  <si>
    <t>LUIS CARLOS UMBARILA</t>
  </si>
  <si>
    <t xml:space="preserve">BANDAS,3 RETENEDORES,3 GRASAS, SILICONA,2 CHUPAS, GASOLINA </t>
  </si>
  <si>
    <t>BANDAS,, 2 GRASAS, PISTON DE GRADUACION 13/16, 8 CHUPAS, SILICONA</t>
  </si>
  <si>
    <t>ESCANEADA Y CAMBIO BUJIAS</t>
  </si>
  <si>
    <t>FRESKIFRUTA</t>
  </si>
  <si>
    <t>VAX-117</t>
  </si>
  <si>
    <t>REVISION DE FRENOS , MANTENIMIENTO, REVISION FRENO DE MANO</t>
  </si>
  <si>
    <t>NISSAN</t>
  </si>
  <si>
    <t>CAMBIO DE MANGUERA DE LIQUIDO</t>
  </si>
  <si>
    <t>,,,,,,,,</t>
  </si>
  <si>
    <t>SEMANA DEL 28/01/2023 AL 03/02/2023</t>
  </si>
  <si>
    <t>SEMANA DEL 04/02/2023</t>
  </si>
  <si>
    <t>AL 10/02/2023</t>
  </si>
  <si>
    <t>TCM-813</t>
  </si>
  <si>
    <t>YURI DORADO</t>
  </si>
  <si>
    <t>DYM-355</t>
  </si>
  <si>
    <t>CAMBIO SOPORTES DE AMORTIGUADOR</t>
  </si>
  <si>
    <t>2 SOPORTE AMORTIGUADOR</t>
  </si>
  <si>
    <t>USB-614</t>
  </si>
  <si>
    <t>JOSE GARAY</t>
  </si>
  <si>
    <t>BAJAR TUBO</t>
  </si>
  <si>
    <t>CONSTANZA AMAYA</t>
  </si>
  <si>
    <t>FUV-687</t>
  </si>
  <si>
    <t>RENAULT KOLEOS</t>
  </si>
  <si>
    <t>BMK-782</t>
  </si>
  <si>
    <t>CAMBIO RETENEDORES</t>
  </si>
  <si>
    <t>RETENEDOR DE POLEA- RETENEDOR DE REPARTICION- RETENEDOR</t>
  </si>
  <si>
    <t>JSN026</t>
  </si>
  <si>
    <t>VSB903</t>
  </si>
  <si>
    <t>DELTA</t>
  </si>
  <si>
    <t>CAMBIAR CHUPAS</t>
  </si>
  <si>
    <t>JOSE MANUEL AZCARATE</t>
  </si>
  <si>
    <t>CHEVROLET ALTO</t>
  </si>
  <si>
    <t>CAMBIO DE RODAMIENTO</t>
  </si>
  <si>
    <t>MONAR INGENIERIA</t>
  </si>
  <si>
    <t>CHUPAS, PINTA DE LIQUIDO</t>
  </si>
  <si>
    <t>MMS-625</t>
  </si>
  <si>
    <t>SERVICIOS AGRICOLA JB</t>
  </si>
  <si>
    <t>CRL-677</t>
  </si>
  <si>
    <t>CAMBIO LIQUIDO</t>
  </si>
  <si>
    <t>SINCRONIZACION- ENGRASE</t>
  </si>
  <si>
    <t>CABLE DE ALTA, BUJIAS, TAPA TAIMER</t>
  </si>
  <si>
    <t>JOSE CANTOR</t>
  </si>
  <si>
    <t>SNE-756</t>
  </si>
  <si>
    <t>BANDAS</t>
  </si>
  <si>
    <t>WLL-264</t>
  </si>
  <si>
    <t>SUAVIZAR PEDAL CLOSH</t>
  </si>
  <si>
    <t>OLB-058</t>
  </si>
  <si>
    <t>COSAN S.A</t>
  </si>
  <si>
    <t>WNM-202</t>
  </si>
  <si>
    <t>REVISION DE FRENOS COMPLETO- ENGRASE DE RODAMIENTO- CAMBIO DE CILINDRO</t>
  </si>
  <si>
    <t>GRUA</t>
  </si>
  <si>
    <t>BAJAY RUEDA Y GRADUAR</t>
  </si>
  <si>
    <t>MUNAR INGENIERIA</t>
  </si>
  <si>
    <t>BAJAR RUEDAS DELANTERA - CAMBIO DE RODAJAS</t>
  </si>
  <si>
    <t>CAMBIO DE BANDAS RUEDAS TRASERAS</t>
  </si>
  <si>
    <t>TOTAL FACTURA2</t>
  </si>
  <si>
    <t>LUIS ROMERO</t>
  </si>
  <si>
    <t>ARREGLO TORNILLOS DE ARRANQUE</t>
  </si>
  <si>
    <t>CAMBIO CAJA DE CAMBIO</t>
  </si>
  <si>
    <t>TMANGOLF</t>
  </si>
  <si>
    <t>MERCEDEZ</t>
  </si>
  <si>
    <t>KGH-591</t>
  </si>
  <si>
    <t>QUITAR TORNILLO PLANTA ELCTRICA</t>
  </si>
  <si>
    <t>LUCIA ORTIZ</t>
  </si>
  <si>
    <t>297.000 + SALDO</t>
  </si>
  <si>
    <t>587.500+ SALDO</t>
  </si>
  <si>
    <t>SALDO 65.000</t>
  </si>
  <si>
    <t>SEMANA DEL 11/02/2023 AL 17/02/2023</t>
  </si>
  <si>
    <t>ADELANTO WUICK 342.000</t>
  </si>
  <si>
    <t xml:space="preserve">. </t>
  </si>
  <si>
    <t>AL 17/02/2023</t>
  </si>
  <si>
    <t>EFRAIN BRIZUELA</t>
  </si>
  <si>
    <t>BAJAR MUELLES DELANTEROS</t>
  </si>
  <si>
    <t>BNA-934</t>
  </si>
  <si>
    <t>REVISION DE RUEDAS DELANTERAS</t>
  </si>
  <si>
    <t>WILMAN PINILLA</t>
  </si>
  <si>
    <t>BZL-914</t>
  </si>
  <si>
    <t>CAMBIO DE PASTILLAS DELANTERAS/ MANTENIMIENTO TRASERO</t>
  </si>
  <si>
    <t>BDR-121</t>
  </si>
  <si>
    <t>CAMBIO DE TIJERAS DELANTERAS</t>
  </si>
  <si>
    <t>ROCIO VELOZA</t>
  </si>
  <si>
    <t>CIV-349</t>
  </si>
  <si>
    <t>DAEWOO</t>
  </si>
  <si>
    <t>BNC-496</t>
  </si>
  <si>
    <t>MEGANNE</t>
  </si>
  <si>
    <t>REVISION DE FRENOS TRASEROS / COMBIO DE CHUPAS</t>
  </si>
  <si>
    <t>DIEGO MEDINA</t>
  </si>
  <si>
    <t>RLR-493</t>
  </si>
  <si>
    <t>SSANYONG</t>
  </si>
  <si>
    <t>CAMBIO DE PASTILLAS TRASERAS / MANTENIMIENTO DELANTERO</t>
  </si>
  <si>
    <t>JUEGO DE PASTILLAS</t>
  </si>
  <si>
    <t>BHX-773</t>
  </si>
  <si>
    <t>SINCRONIZACION/ MANTENIMIENTO  CARBURADOR</t>
  </si>
  <si>
    <t>BUJIAS, INSTALACION DE ALTA, GASOLINA, LIMPIA CARBURADOR</t>
  </si>
  <si>
    <t>SARA SOLEDAD</t>
  </si>
  <si>
    <t>SPY-016</t>
  </si>
  <si>
    <t>REVISION DE RUEDAS TRASERAS - ENFRASE DE RODAMIENTOS</t>
  </si>
  <si>
    <t>RETENEDOR, GRASA, SILICONA, GASOLINA</t>
  </si>
  <si>
    <t>JHON ESPITIA</t>
  </si>
  <si>
    <t>QFY-962</t>
  </si>
  <si>
    <t>MONTERO</t>
  </si>
  <si>
    <t xml:space="preserve">SERVICIO DE ESCANER </t>
  </si>
  <si>
    <t>NELSON TAMAYO</t>
  </si>
  <si>
    <t>MUQ-265</t>
  </si>
  <si>
    <t>ECOSPORT</t>
  </si>
  <si>
    <t>AJUSTE SUSPENSION / REVISION EJE</t>
  </si>
  <si>
    <t>RM:600</t>
  </si>
  <si>
    <t>JUAN HERRERA</t>
  </si>
  <si>
    <t>CXY-488</t>
  </si>
  <si>
    <t>LAND CRUISER</t>
  </si>
  <si>
    <t xml:space="preserve"> RM:601</t>
  </si>
  <si>
    <t>DXY-355</t>
  </si>
  <si>
    <t>BAJAR PUNTA DE EJE</t>
  </si>
  <si>
    <t>WCX-670</t>
  </si>
  <si>
    <t>BAJAR LOS 4 MUELLES</t>
  </si>
  <si>
    <t xml:space="preserve">12 BUJES </t>
  </si>
  <si>
    <t>PROYECTO INVERSIONES GIRONA</t>
  </si>
  <si>
    <t xml:space="preserve">FS:3 </t>
  </si>
  <si>
    <t>SEBASTIAN JIMENEZ</t>
  </si>
  <si>
    <t>UPO-180</t>
  </si>
  <si>
    <t>SUSPENSION DELANTERA</t>
  </si>
  <si>
    <t>TORNO</t>
  </si>
  <si>
    <t>AL 24/02/2023</t>
  </si>
  <si>
    <t>DESVARE</t>
  </si>
  <si>
    <t>GUAYA</t>
  </si>
  <si>
    <t>WILIAM CONTRERA</t>
  </si>
  <si>
    <t>UFR-525</t>
  </si>
  <si>
    <t>KIA</t>
  </si>
  <si>
    <t>JMS</t>
  </si>
  <si>
    <t>SNR-047</t>
  </si>
  <si>
    <t>JHON JAIRO HERNANDEZ</t>
  </si>
  <si>
    <t>BZQ-441</t>
  </si>
  <si>
    <t>MERQUISEDEL MORALES</t>
  </si>
  <si>
    <t>2 TIJERAS DELANTERAS</t>
  </si>
  <si>
    <t>URS-014</t>
  </si>
  <si>
    <t>CAPTIVA</t>
  </si>
  <si>
    <t>CAMBIO DE PUÑOS</t>
  </si>
  <si>
    <t>PUÑO G, PUÑO P</t>
  </si>
  <si>
    <t>MANUEL GRAVINA</t>
  </si>
  <si>
    <t>HKW-960</t>
  </si>
  <si>
    <t>CAMBIO DE PASTILLAS DELANTERAS Y TRASERAS</t>
  </si>
  <si>
    <t>CAMBIO DE BUJIAS</t>
  </si>
  <si>
    <t>BUJIAS</t>
  </si>
  <si>
    <t>MARIA GARCIA</t>
  </si>
  <si>
    <t>MITSUBISHI</t>
  </si>
  <si>
    <t>PASTILLAS DELANTERAS Y TRASERAS</t>
  </si>
  <si>
    <t>ANGEL CHINCHILLA</t>
  </si>
  <si>
    <t>ARREGLO FRENO DE AHOGO / CAMBIO DE DIAFRAGMA</t>
  </si>
  <si>
    <t>NDU-666</t>
  </si>
  <si>
    <t>GRADUAR FRENO DE MANO</t>
  </si>
  <si>
    <t>FAS-394</t>
  </si>
  <si>
    <t>VERDECERES</t>
  </si>
  <si>
    <t>SPL-963</t>
  </si>
  <si>
    <t>RM:609</t>
  </si>
  <si>
    <t>NNR</t>
  </si>
  <si>
    <t>BAJAR Y MONTAR CARDAN</t>
  </si>
  <si>
    <t>CESAR ISAZA</t>
  </si>
  <si>
    <t>NDC-287</t>
  </si>
  <si>
    <t>CAMBIO EMPAQUETADURA P1</t>
  </si>
  <si>
    <t>EMP. P1</t>
  </si>
  <si>
    <t>FELIPE SIERRA</t>
  </si>
  <si>
    <t>WPS-181</t>
  </si>
  <si>
    <t>CESAR CARO</t>
  </si>
  <si>
    <t>BSA-814</t>
  </si>
  <si>
    <t>CAMBIO DE BANDAS Y CHUPAS</t>
  </si>
  <si>
    <t>BANDAS Y CHUPAS</t>
  </si>
  <si>
    <t>GIMENA HERNANDEZ</t>
  </si>
  <si>
    <t>QFK-152</t>
  </si>
  <si>
    <t>CAMBIO KIT DE CLOSH</t>
  </si>
  <si>
    <t>MAZDA 323</t>
  </si>
  <si>
    <t>CAMBIO EMP. BOMBA</t>
  </si>
  <si>
    <t>EMPAQUETADURA DE BOMBA</t>
  </si>
  <si>
    <t>JULIAN HERRERA</t>
  </si>
  <si>
    <t>BIP-586</t>
  </si>
  <si>
    <t>CAMBIO DE ROTULA DELANTERA DERECHA</t>
  </si>
  <si>
    <t>FERNANDA HERNANDEZ</t>
  </si>
  <si>
    <t>JMQ-012</t>
  </si>
  <si>
    <t>JOSE SALAMANCA</t>
  </si>
  <si>
    <t>BAY-151</t>
  </si>
  <si>
    <t>CAMBIO LIQUIDO DEL CLOSH / CAMBIO GUAYA FRENO DE MANO</t>
  </si>
  <si>
    <t>JAIME MONCADA</t>
  </si>
  <si>
    <t>SNK-862</t>
  </si>
  <si>
    <t>FAS-395</t>
  </si>
  <si>
    <t>CAMBIO BUJES DE TIJERAS DELANTERAS Y ROTULAS</t>
  </si>
  <si>
    <t>BUJES DE TIJERAS - ROTULAS</t>
  </si>
  <si>
    <t>NADIA PINILLA</t>
  </si>
  <si>
    <t>MFT-339</t>
  </si>
  <si>
    <t>CHEVY</t>
  </si>
  <si>
    <t>MANTENIMIENTO COMPLETO/ CAMBIO DE LIQUIDO/ CAMBIO DE PASTILLAS Y DISCOS DELANTEROS</t>
  </si>
  <si>
    <t>PASTILLAS- LIQUIDO</t>
  </si>
  <si>
    <t>RM:615</t>
  </si>
  <si>
    <t>CARLOS SUPELANO</t>
  </si>
  <si>
    <t>BSB-780</t>
  </si>
  <si>
    <t>RM:616</t>
  </si>
  <si>
    <t>KAM-292</t>
  </si>
  <si>
    <t>CAMBIO PALANCA CONTROL DE CAMBIOS</t>
  </si>
  <si>
    <t>JUAN CARDONA</t>
  </si>
  <si>
    <t>ROBINSON REAL</t>
  </si>
  <si>
    <t>CYC-479</t>
  </si>
  <si>
    <t>PULGAR</t>
  </si>
  <si>
    <t>CONALMIN</t>
  </si>
  <si>
    <t>JETTA</t>
  </si>
  <si>
    <t>CAMBIO TENSOR Y VENTA VIOLA</t>
  </si>
  <si>
    <t>KIZ-064</t>
  </si>
  <si>
    <t>CHERY</t>
  </si>
  <si>
    <t>JOSE AREVALO</t>
  </si>
  <si>
    <t>BHB-245</t>
  </si>
  <si>
    <t>PEUGEOT</t>
  </si>
  <si>
    <t>MQH-055</t>
  </si>
  <si>
    <t>NISSAM</t>
  </si>
  <si>
    <t>CHEQUEO ELECTRICO</t>
  </si>
  <si>
    <t>SEMANA DEL 18/02/2023</t>
  </si>
  <si>
    <t>CLAUDIA BEJARANO</t>
  </si>
  <si>
    <t>ZZN-102</t>
  </si>
  <si>
    <t>NISSAN VERSA</t>
  </si>
  <si>
    <t>MANTENIMIENTO COMPLETO / CAMBIO DE LIQUIDO</t>
  </si>
  <si>
    <t>LIQUIDO DOT 3</t>
  </si>
  <si>
    <t>FRANKLIN QUINTERO</t>
  </si>
  <si>
    <t>LMS-187</t>
  </si>
  <si>
    <t>CAMBIO DE RODAMIENTO TRASERO IZQUIERDO</t>
  </si>
  <si>
    <t>RODAMIENTO TRASERO IZQUIERDO</t>
  </si>
  <si>
    <t>MIGUEL BUENO</t>
  </si>
  <si>
    <t>RGN-433</t>
  </si>
  <si>
    <t>CAMBIO DE SOPORTE CENTRAL</t>
  </si>
  <si>
    <t>RM:620</t>
  </si>
  <si>
    <t>CESAR TORREALBA</t>
  </si>
  <si>
    <t>ZXT-342</t>
  </si>
  <si>
    <t>CAMBIO DE RODAMIENTO DELANTERO IZQUIDO</t>
  </si>
  <si>
    <t>RODAMIENTO DELANTERO IZQUIERDO</t>
  </si>
  <si>
    <t>FAS:402</t>
  </si>
  <si>
    <t>SEBANTIAN BRISEÑO</t>
  </si>
  <si>
    <t>CCP-650</t>
  </si>
  <si>
    <t>CAMBIO DE TERMINALES/ TIJERAS/ AXIALES/ BUJES BARRA ESTABILIZADORA</t>
  </si>
  <si>
    <t>RM:622</t>
  </si>
  <si>
    <t>ARREGLO FUGA DE TUBO / GRADUAR FRENOS</t>
  </si>
  <si>
    <t>2 PINTAS DE LIQUIDO DOT 3 / ACOPLE</t>
  </si>
  <si>
    <t>JESUS CHINCHIYA</t>
  </si>
  <si>
    <t>TRL-693</t>
  </si>
  <si>
    <t>ALEXANDER NUÑEZ</t>
  </si>
  <si>
    <t>DFR-841</t>
  </si>
  <si>
    <t>MANUEL RODRIGUEZ</t>
  </si>
  <si>
    <t>BBR-935</t>
  </si>
  <si>
    <t>FAS:400</t>
  </si>
  <si>
    <t>FAS:406  RM:624</t>
  </si>
  <si>
    <t>TATIANA ZAMUDIO</t>
  </si>
  <si>
    <t>BJC-966</t>
  </si>
  <si>
    <t>CAMBIO BUJES DE TIJERA / BUJES BARRA ESTABILIZADORA/ GUAYA DE CLOSH</t>
  </si>
  <si>
    <t>INVERSIONES GIRONAS</t>
  </si>
  <si>
    <t>MANTENIMIENTO DE FRENOS COMPLETO/ CAMBIO BANDAS/ CHUPAS</t>
  </si>
  <si>
    <t>FAS:407  RM:</t>
  </si>
  <si>
    <t>BLR-118</t>
  </si>
  <si>
    <t>CAMBIO SOPORTES DE AMORTIGUADOR / TARRO DE AGUA</t>
  </si>
  <si>
    <t>BLR-119</t>
  </si>
  <si>
    <t>RAFAEL POLO</t>
  </si>
  <si>
    <t>JEEP CHEROKE</t>
  </si>
  <si>
    <t>CAMBIO RADEADOR</t>
  </si>
  <si>
    <t>JORGE PEDRAZA</t>
  </si>
  <si>
    <t>CORREGIR FUGA</t>
  </si>
  <si>
    <t xml:space="preserve"> SEMANA DEL 26/02/2023 AL 03/03/2023</t>
  </si>
  <si>
    <t>SEMANA DEL 04/03/2023 AL 10/03/2023</t>
  </si>
  <si>
    <t>ALVARO VARGAS</t>
  </si>
  <si>
    <t>WNN-834</t>
  </si>
  <si>
    <t>CAMBIO DIAFRAGMA/ GRADUAR FRENOS Y CLOSH</t>
  </si>
  <si>
    <t>1 DIAFRAGMA</t>
  </si>
  <si>
    <t>JAIRO AYALA</t>
  </si>
  <si>
    <t>REN-611</t>
  </si>
  <si>
    <t>SCALA</t>
  </si>
  <si>
    <t>CAMBIO PASTILLAS DELANTERAS</t>
  </si>
  <si>
    <t>SINCRONIZACION/ REPARACION CULATA</t>
  </si>
  <si>
    <t>ALEXANDER AYALA</t>
  </si>
  <si>
    <t>FORD EDGE</t>
  </si>
  <si>
    <t>CAMBIO DE PASTILLAS DELANTERAS Y TRASERAS/ MANTENIMIENTO DE FRENOS</t>
  </si>
  <si>
    <t>PASTILLAS DELANTERAS  Y TRASERAS</t>
  </si>
  <si>
    <t xml:space="preserve"> CAMBIO EMPAQUETADURA AUXILIAR DE CLOSH/ CAMBIO DE LIQUIDO/ GRADUAR FRENO</t>
  </si>
  <si>
    <t>TGK-439</t>
  </si>
  <si>
    <t>ARREGLO DE MUELLES</t>
  </si>
  <si>
    <t>TORNILLO CON TUERCA</t>
  </si>
  <si>
    <t>ORLANDO NIÑO</t>
  </si>
  <si>
    <t>BGK-821</t>
  </si>
  <si>
    <t>REVISION DE RUEDAS DELANTERA DERECHA</t>
  </si>
  <si>
    <t xml:space="preserve">TATIANA ZAMUDIO </t>
  </si>
  <si>
    <t>BAJAR CAJA DE CAMBIOS</t>
  </si>
  <si>
    <t>CFG-298</t>
  </si>
  <si>
    <t>JEEP GRAN CHEROKE</t>
  </si>
  <si>
    <t>BAJAR CARTER- CAJA DE VELOCIDAD- CAJETIN DE DIRECCION</t>
  </si>
  <si>
    <t>SAMIR VASQUEZ</t>
  </si>
  <si>
    <t>ANGEL CHINCHIYA</t>
  </si>
  <si>
    <t>CAMBIO DE DIAFRAGMA / GRADUAR FRENOS</t>
  </si>
  <si>
    <t>KXV-725</t>
  </si>
  <si>
    <t>FSU-557</t>
  </si>
  <si>
    <t>CARLOS ANDRES BENITEZ</t>
  </si>
  <si>
    <t>ZXS-193</t>
  </si>
  <si>
    <t>CAMBIO DE PASTILLAS DEALANTERAS / CAMBIO PLUMILLAS</t>
  </si>
  <si>
    <t>1 JUEGO DE PLUMILLAS / PASTILLAS</t>
  </si>
  <si>
    <t>LUIS ALFONZO PEÑA</t>
  </si>
  <si>
    <t>WPQ-623</t>
  </si>
  <si>
    <t>MANTENIMIENTO DELANTERO / GRADUAR FRENOS</t>
  </si>
  <si>
    <t>JUAN CARLOS MORALES</t>
  </si>
  <si>
    <t>FLK-281</t>
  </si>
  <si>
    <t>PASTILLAS DELANTERAS / PINTA LIQUIDO</t>
  </si>
  <si>
    <t>SWIFT</t>
  </si>
  <si>
    <t>REVISION DE FRENOS / CAMBIO PASTILLAS DELANTERAS/ COMBIO DE RODAMIENTOS TRASEROS</t>
  </si>
  <si>
    <t>JUAN ENRIQUE VALBUENA</t>
  </si>
  <si>
    <t>DQY-305</t>
  </si>
  <si>
    <t xml:space="preserve">CAMBIO EMP. DE CARTER </t>
  </si>
  <si>
    <t>SILICONA</t>
  </si>
  <si>
    <t>MANTENIMIENTO COMPLETO/ CAMBIO DE DISCOS/ PASTILLAS</t>
  </si>
  <si>
    <t>PASTILLAS / DISCOS</t>
  </si>
  <si>
    <t>JUAN DAVID SERRANO</t>
  </si>
  <si>
    <t>BYC-737</t>
  </si>
  <si>
    <t>CAMBIO GUAYA DE CAMBIOS</t>
  </si>
  <si>
    <t>HECTOR PEÑALOZA</t>
  </si>
  <si>
    <t>ZYS-508</t>
  </si>
  <si>
    <t>FAVER JIMENEZ</t>
  </si>
  <si>
    <t>RJO-317</t>
  </si>
  <si>
    <t>NISSAN TIIDA</t>
  </si>
  <si>
    <t>SKN-601</t>
  </si>
  <si>
    <t>RICARDO GAIVAN</t>
  </si>
  <si>
    <t>MKR-637</t>
  </si>
  <si>
    <t>MADAME ROSSE</t>
  </si>
  <si>
    <t>TLN-766</t>
  </si>
  <si>
    <t>BAJAR CARDAN / CAMBIO DE CRUZETA</t>
  </si>
  <si>
    <t>ARREGLO BABERO</t>
  </si>
  <si>
    <t>FAS- 411</t>
  </si>
  <si>
    <t>WILLIAM ALEXANDER</t>
  </si>
  <si>
    <t>BSZ-837</t>
  </si>
  <si>
    <t>REVISION DE BUJIAS / MANTENIMIENTO CUERPO DE ACELERACION</t>
  </si>
  <si>
    <t>OSWALDO RUBIO</t>
  </si>
  <si>
    <t>JKU-566</t>
  </si>
  <si>
    <t>REVISION DE RUEDA TRASERA DERECHA</t>
  </si>
  <si>
    <t xml:space="preserve"> GRASA / RETENES</t>
  </si>
  <si>
    <t>DDQ-630</t>
  </si>
  <si>
    <t>BMW</t>
  </si>
  <si>
    <t>MONTADA EMP.ENFRIADOR DE ACEITE</t>
  </si>
  <si>
    <t>JULIAN URIBE</t>
  </si>
  <si>
    <t>FLH--140</t>
  </si>
  <si>
    <t>VOLKSWAGEN</t>
  </si>
  <si>
    <t>CAMBIO MANGUERA DE FRENO</t>
  </si>
  <si>
    <t>MANGUERA / ABRAZADERAS/ FOSFORO</t>
  </si>
  <si>
    <t>RODRIGO MANTILLA</t>
  </si>
  <si>
    <t>BWP--509</t>
  </si>
  <si>
    <t>SUBARU</t>
  </si>
  <si>
    <t>REPARACION DE MOTOR</t>
  </si>
  <si>
    <t>JORGE FLOREZ</t>
  </si>
  <si>
    <t>BTH-990</t>
  </si>
  <si>
    <t>CHEVROLET CORSA</t>
  </si>
  <si>
    <t>CAMBIO MUÑECOS / AXIALE CORREA REPARTICION</t>
  </si>
  <si>
    <t>MANTENIMIENTO DE FRENOS</t>
  </si>
  <si>
    <t>IJL-688</t>
  </si>
  <si>
    <t>CAMBIO DE TIJERA DELANTERA IZQ / CAMBIO BRAZO AXIAL</t>
  </si>
  <si>
    <t>PEDRO HERNANDEZ</t>
  </si>
  <si>
    <t>ATE- 106</t>
  </si>
  <si>
    <t>SEMANA DEL 11/03/2023 AL 17/03/2023</t>
  </si>
  <si>
    <t>BAJAR AJUSTE PALANCA</t>
  </si>
  <si>
    <t>ALEJANDRO RODRIGUEZ</t>
  </si>
  <si>
    <t>CYC-546</t>
  </si>
  <si>
    <t>JORMAN BERMUDEZ</t>
  </si>
  <si>
    <t>NAM-487</t>
  </si>
  <si>
    <t>CAMBIO BUJES DE TIJERA DELANTERA IZQ</t>
  </si>
  <si>
    <t>OSCAR RUEDA</t>
  </si>
  <si>
    <t>FYT-814</t>
  </si>
  <si>
    <t>MAZDA 3</t>
  </si>
  <si>
    <t>MANTENIMIENTO COMPLETO DE FRENOS</t>
  </si>
  <si>
    <t>WHV-121</t>
  </si>
  <si>
    <t>CHEVROLET TRACKER</t>
  </si>
  <si>
    <t xml:space="preserve">CAMBIO CORREA DE REPARTICION / EMP. DE ENFRIADOR/ RETENEDOR EJE DE ELEVA </t>
  </si>
  <si>
    <t>CORREA REPARTICION, EMP. ENFRIADOR, RETENEDORES, GASOLINA, SILICONA</t>
  </si>
  <si>
    <t>FAS-413</t>
  </si>
  <si>
    <t>FIK-281</t>
  </si>
  <si>
    <t>ALTO</t>
  </si>
  <si>
    <t>KNZ-53</t>
  </si>
  <si>
    <t>RENAULT ALASKA</t>
  </si>
  <si>
    <t>REVISION DE RUEDAS DELANTERAS / GRADUACION DE FRENOS</t>
  </si>
  <si>
    <t>EDY-728</t>
  </si>
  <si>
    <t>REVISION DE FRENOS COMPLETOS</t>
  </si>
  <si>
    <t>FAS-635</t>
  </si>
  <si>
    <t>FAS-636</t>
  </si>
  <si>
    <t>DAVID ROZO</t>
  </si>
  <si>
    <t>RBN-614</t>
  </si>
  <si>
    <t>BWP-890</t>
  </si>
  <si>
    <t>CAMBIO DE RODAMIENTO DELANTERO IZQUIERDO</t>
  </si>
  <si>
    <t>RODAMIENTO</t>
  </si>
  <si>
    <t>CHT-632</t>
  </si>
  <si>
    <t>CAMBIO BOMBA DE GASOLINA</t>
  </si>
  <si>
    <t>JAVIER GALLO</t>
  </si>
  <si>
    <t>TAT-85</t>
  </si>
  <si>
    <t>CHINA</t>
  </si>
  <si>
    <t>PABLO SOTO</t>
  </si>
  <si>
    <t>WNZ-088</t>
  </si>
  <si>
    <t>REVISION DE RUEDA DELANTERA IZQ / CAMBIO DE CHUPAS</t>
  </si>
  <si>
    <t>SIMBOL</t>
  </si>
  <si>
    <t>BAJAR Y MONTAR SOPORTE AMORTIGUADOR</t>
  </si>
  <si>
    <t>GERMAN MARTIN</t>
  </si>
  <si>
    <t>DBU-804</t>
  </si>
  <si>
    <t>REVISION DE FRENOS/ CAMBIO DE PASTILLAS TRASERAS</t>
  </si>
  <si>
    <t>CAMBIO BUJES BARRA ESTABILIZADORA</t>
  </si>
  <si>
    <t>BUJES BARRA ESTAB</t>
  </si>
  <si>
    <t>OSCAR VARGAS</t>
  </si>
  <si>
    <t>CDU-153</t>
  </si>
  <si>
    <t>CAMBIO BUJES DE TIJERA DELANTERO IZQ. / TERMINAL Y ESPARRAGO</t>
  </si>
  <si>
    <t>BUJES DE TIJERAS 2/ TERMINAL / PASTILLAS / ESPARRAGOS</t>
  </si>
  <si>
    <t>RM-638</t>
  </si>
  <si>
    <t>CELENE GARCIA</t>
  </si>
  <si>
    <t>RHZ-342</t>
  </si>
  <si>
    <t>REVISION DE RUEDAS TRASERAS / CAMBIO DE CILINDRO IZQ.</t>
  </si>
  <si>
    <t>CILINDRO , LIQUIDO</t>
  </si>
  <si>
    <t>BIL-530</t>
  </si>
  <si>
    <t>CAMBIO CAJA DE CAMBIOS</t>
  </si>
  <si>
    <t xml:space="preserve">CAJA DE CAMBIOS </t>
  </si>
  <si>
    <t>REVISION DE RUEDAS TRASERAS / CAMBIO DE BANDAS Y CHUPAS</t>
  </si>
  <si>
    <t>BANDAS, CHUPAS , LIQUIDO</t>
  </si>
  <si>
    <t>LUIS CARLOS MONTAÑO</t>
  </si>
  <si>
    <t>GPM-921</t>
  </si>
  <si>
    <t>RM:640</t>
  </si>
  <si>
    <t>RM:639</t>
  </si>
  <si>
    <t>MARLON VASQUEZ</t>
  </si>
  <si>
    <t>SOI-409</t>
  </si>
  <si>
    <t>BAJAR RUEDA DELANTERA DERECHA / BAJAR Y MONTAR CAMARA DE RUEDA DELANTERA DERECHA</t>
  </si>
  <si>
    <t>CESAR CARDENAS</t>
  </si>
  <si>
    <t>GRADUAR FRENOS/ BAJAR FRENOS DE AHOGO</t>
  </si>
  <si>
    <t>CAMBIO DE BRAZOS AXIALES/ TERMINALES</t>
  </si>
  <si>
    <t>RM:642 - FAS:418</t>
  </si>
  <si>
    <t>LUISA ESPINO</t>
  </si>
  <si>
    <t>WCK-131</t>
  </si>
  <si>
    <t>DHO-101</t>
  </si>
  <si>
    <t>FORD FIESTA</t>
  </si>
  <si>
    <t>CAMBIO DE PASTILLAS DELANTERAS / BANDAS TRASERAS</t>
  </si>
  <si>
    <t>PASTILLAS , BANDAS</t>
  </si>
  <si>
    <t>SEMANA DEL 18/03/2023 AL 24/03/2023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</si>
</sst>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dd/mm/yyyy"/>
    <numFmt numFmtId="166" formatCode="_-[$$-240A]* #,##0.00_-;\-[$$-240A]* #,##0.00_-;_-[$$-240A]* &quot;-&quot;??_-;_-@_-"/>
    <numFmt numFmtId="167" formatCode="#,##0;[Red]#,##0"/>
    <numFmt numFmtId="168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>
      <alignment vertical="center" wrapText="1"/>
    </xf>
    <xf numFmtId="0" fontId="1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Font="1" applyFill="1" applyAlignment="1">
      <alignment horizontal="center"/>
    </xf>
    <xf numFmtId="164" fontId="0" fillId="0" borderId="0" xfId="1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1" applyNumberFormat="1" applyFont="1" applyFill="1" applyAlignment="1">
      <alignment horizontal="center" wrapText="1"/>
    </xf>
    <xf numFmtId="164" fontId="1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NumberFormat="1" applyFont="1" applyFill="1" applyAlignment="1">
      <alignment horizontal="center" wrapText="1"/>
    </xf>
    <xf numFmtId="164" fontId="4" fillId="0" borderId="0" xfId="1" applyFont="1" applyFill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4" fillId="0" borderId="0" xfId="1" applyFont="1" applyFill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Font="1" applyFill="1" applyAlignment="1">
      <alignment horizontal="center" vertical="center" wrapText="1"/>
    </xf>
    <xf numFmtId="0" fontId="6" fillId="0" borderId="0" xfId="2" applyAlignment="1">
      <alignment horizontal="center" vertical="center" wrapText="1"/>
    </xf>
    <xf numFmtId="0" fontId="6" fillId="0" borderId="0" xfId="2">
      <alignment vertical="center" wrapText="1"/>
    </xf>
    <xf numFmtId="164" fontId="7" fillId="0" borderId="0" xfId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/>
    </xf>
    <xf numFmtId="166" fontId="8" fillId="0" borderId="3" xfId="0" applyNumberFormat="1" applyFont="1" applyBorder="1"/>
    <xf numFmtId="0" fontId="8" fillId="0" borderId="3" xfId="0" applyFont="1" applyBorder="1"/>
    <xf numFmtId="167" fontId="9" fillId="0" borderId="3" xfId="0" applyNumberFormat="1" applyFont="1" applyBorder="1" applyAlignment="1">
      <alignment horizontal="center"/>
    </xf>
    <xf numFmtId="166" fontId="9" fillId="0" borderId="3" xfId="1" applyNumberFormat="1" applyFont="1" applyBorder="1"/>
    <xf numFmtId="166" fontId="9" fillId="0" borderId="0" xfId="0" applyNumberFormat="1" applyFont="1"/>
    <xf numFmtId="168" fontId="9" fillId="0" borderId="0" xfId="0" applyNumberFormat="1" applyFont="1"/>
    <xf numFmtId="0" fontId="1" fillId="0" borderId="0" xfId="3"/>
    <xf numFmtId="166" fontId="1" fillId="0" borderId="3" xfId="3" applyNumberFormat="1" applyBorder="1"/>
    <xf numFmtId="0" fontId="1" fillId="0" borderId="3" xfId="3" applyBorder="1"/>
    <xf numFmtId="0" fontId="2" fillId="0" borderId="3" xfId="3" applyFont="1" applyBorder="1" applyAlignment="1">
      <alignment horizontal="right"/>
    </xf>
    <xf numFmtId="166" fontId="1" fillId="0" borderId="0" xfId="3" applyNumberFormat="1"/>
    <xf numFmtId="166" fontId="0" fillId="0" borderId="3" xfId="4" applyNumberFormat="1" applyFont="1" applyFill="1" applyBorder="1"/>
    <xf numFmtId="14" fontId="2" fillId="0" borderId="3" xfId="3" applyNumberFormat="1" applyFont="1" applyBorder="1" applyAlignment="1">
      <alignment horizontal="center"/>
    </xf>
    <xf numFmtId="168" fontId="1" fillId="0" borderId="0" xfId="3" applyNumberFormat="1"/>
    <xf numFmtId="166" fontId="0" fillId="0" borderId="3" xfId="4" applyNumberFormat="1" applyFont="1" applyBorder="1"/>
    <xf numFmtId="0" fontId="1" fillId="0" borderId="3" xfId="3" applyBorder="1" applyAlignment="1">
      <alignment horizontal="center"/>
    </xf>
    <xf numFmtId="14" fontId="1" fillId="0" borderId="3" xfId="3" applyNumberFormat="1" applyBorder="1" applyAlignment="1">
      <alignment horizontal="center"/>
    </xf>
    <xf numFmtId="166" fontId="0" fillId="0" borderId="4" xfId="4" applyNumberFormat="1" applyFont="1" applyFill="1" applyBorder="1"/>
    <xf numFmtId="14" fontId="1" fillId="0" borderId="0" xfId="3" applyNumberFormat="1"/>
    <xf numFmtId="14" fontId="1" fillId="0" borderId="3" xfId="3" applyNumberFormat="1" applyBorder="1"/>
    <xf numFmtId="0" fontId="2" fillId="0" borderId="0" xfId="3" applyFont="1" applyAlignment="1">
      <alignment horizontal="right"/>
    </xf>
    <xf numFmtId="166" fontId="0" fillId="0" borderId="0" xfId="4" applyNumberFormat="1" applyFont="1" applyFill="1" applyBorder="1"/>
    <xf numFmtId="14" fontId="2" fillId="0" borderId="0" xfId="3" applyNumberFormat="1" applyFont="1" applyAlignment="1">
      <alignment horizontal="center"/>
    </xf>
    <xf numFmtId="0" fontId="2" fillId="2" borderId="3" xfId="3" applyFont="1" applyFill="1" applyBorder="1" applyAlignment="1">
      <alignment horizontal="center"/>
    </xf>
    <xf numFmtId="0" fontId="2" fillId="0" borderId="0" xfId="3" applyFont="1" applyAlignment="1">
      <alignment horizontal="center"/>
    </xf>
    <xf numFmtId="0" fontId="10" fillId="0" borderId="0" xfId="3" applyFont="1"/>
    <xf numFmtId="0" fontId="4" fillId="0" borderId="0" xfId="1" applyNumberFormat="1" applyFont="1" applyFill="1" applyAlignment="1">
      <alignment horizontal="center"/>
    </xf>
    <xf numFmtId="164" fontId="0" fillId="0" borderId="0" xfId="1" applyFont="1"/>
    <xf numFmtId="0" fontId="11" fillId="0" borderId="2" xfId="2" applyFont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8" fillId="0" borderId="5" xfId="0" applyFont="1" applyBorder="1"/>
    <xf numFmtId="167" fontId="9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9" fillId="0" borderId="5" xfId="1" applyNumberFormat="1" applyFont="1" applyBorder="1"/>
    <xf numFmtId="166" fontId="8" fillId="0" borderId="5" xfId="0" applyNumberFormat="1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6" fontId="8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64" fontId="4" fillId="4" borderId="0" xfId="1" applyFont="1" applyFill="1" applyAlignment="1">
      <alignment horizontal="center"/>
    </xf>
    <xf numFmtId="164" fontId="4" fillId="4" borderId="0" xfId="1" applyFont="1" applyFill="1" applyAlignment="1">
      <alignment horizontal="center" wrapText="1"/>
    </xf>
    <xf numFmtId="165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4" fillId="4" borderId="0" xfId="1" applyNumberFormat="1" applyFont="1" applyFill="1" applyAlignment="1">
      <alignment horizontal="center" wrapText="1"/>
    </xf>
    <xf numFmtId="164" fontId="7" fillId="4" borderId="0" xfId="1" applyFont="1" applyFill="1" applyAlignment="1">
      <alignment horizontal="center"/>
    </xf>
    <xf numFmtId="0" fontId="0" fillId="4" borderId="0" xfId="0" applyFill="1" applyAlignment="1">
      <alignment horizontal="center" wrapText="1"/>
    </xf>
    <xf numFmtId="164" fontId="0" fillId="4" borderId="0" xfId="0" applyNumberFormat="1" applyFill="1" applyAlignment="1">
      <alignment horizontal="center"/>
    </xf>
    <xf numFmtId="164" fontId="1" fillId="4" borderId="0" xfId="1" applyFont="1" applyFill="1" applyAlignment="1">
      <alignment horizontal="center"/>
    </xf>
    <xf numFmtId="164" fontId="0" fillId="4" borderId="0" xfId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1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164" fontId="4" fillId="5" borderId="0" xfId="1" applyFont="1" applyFill="1" applyAlignment="1">
      <alignment horizontal="center"/>
    </xf>
    <xf numFmtId="0" fontId="14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15" fillId="0" borderId="3" xfId="0" applyNumberFormat="1" applyFont="1" applyBorder="1"/>
  </cellXfs>
  <cellStyles count="5">
    <cellStyle name="Moneda" xfId="1" builtinId="4"/>
    <cellStyle name="Moneda 2" xfId="4" xr:uid="{7C17DCCA-697A-404C-B0FE-1499620BA711}"/>
    <cellStyle name="Normal" xfId="0" builtinId="0"/>
    <cellStyle name="Normal 2" xfId="2" xr:uid="{2E9CE0D9-2547-44FD-9216-A0CF9B9FA6D5}"/>
    <cellStyle name="Normal 2 2" xfId="3" xr:uid="{06F30684-00BD-473E-B2F2-0F61A8B49C58}"/>
  </cellStyles>
  <dxfs count="89">
    <dxf>
      <alignment horizontal="center" vertical="center" textRotation="0" wrapText="1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65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auto="1"/>
      </font>
      <numFmt numFmtId="165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%20en%20Excel%20Parte%202%20&#8211;%20Guardar%20detalle%20de%20facturas%20-%20EXCELeINF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eINFO1"/>
      <sheetName val="Factura"/>
      <sheetName val="Detalle de facturas"/>
      <sheetName val="Clientes"/>
      <sheetName val="Producto"/>
      <sheetName val="Factura en Excel Parte 2 – Guar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Detalle de facturas"/>
      <sheetName val="Clientes"/>
      <sheetName val="AREA"/>
      <sheetName val="Factura (2)"/>
      <sheetName val="FACTURACION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4B7FE-2C2C-4EAB-B46C-322D8BBDF0E3}" name="Tabla2456789" displayName="Tabla2456789" ref="A1:U446" totalsRowCount="1" headerRowDxfId="88" dataDxfId="87" totalsRowDxfId="86">
  <autoFilter ref="A1:U445" xr:uid="{00000000-0009-0000-0100-000003000000}"/>
  <tableColumns count="21">
    <tableColumn id="1" xr3:uid="{EED816B2-B9A4-4FEF-869D-DE36B3587CAF}" name="FECHA" dataDxfId="85" totalsRowDxfId="84"/>
    <tableColumn id="2" xr3:uid="{7A3029D3-FBCE-43AB-8E8C-D3F3C84A6555}" name="NUMERO DE FACTURA" dataDxfId="83" totalsRowDxfId="82"/>
    <tableColumn id="15" xr3:uid="{AA7DE328-8D41-4B96-924E-C71232A10CEE}" name="CLIENTE" dataDxfId="81" totalsRowDxfId="80"/>
    <tableColumn id="4" xr3:uid="{B06881C5-9D3F-436D-945E-2062FBB667FD}" name="PLACA" dataDxfId="79" totalsRowDxfId="78"/>
    <tableColumn id="3" xr3:uid="{B07190C3-B3C6-4EC8-8EA8-24ABED7BB8D1}" name="MODELO" dataDxfId="77"/>
    <tableColumn id="12" xr3:uid="{364D5597-0E79-49B1-AC9C-5ECA901AC39A}" name="MECANICO" dataDxfId="76" totalsRowDxfId="75"/>
    <tableColumn id="25" xr3:uid="{D72DD436-5E55-4F28-B6DC-5ACD339743CD}" name="AREA" dataDxfId="74"/>
    <tableColumn id="5" xr3:uid="{FE35B25E-7CE6-4DF8-822A-8CEF59FAF336}" name="DETALLES" dataDxfId="73" totalsRowDxfId="72" dataCellStyle="Moneda"/>
    <tableColumn id="6" xr3:uid="{FA1ADCA6-61AF-44CA-8315-8A289599043F}" name="TOTAL FACTURA" totalsRowFunction="custom" dataDxfId="71" totalsRowDxfId="70" dataCellStyle="Moneda">
      <totalsRowFormula>SUBTOTAL(9,I1:I444)</totalsRowFormula>
    </tableColumn>
    <tableColumn id="23" xr3:uid="{235C0378-4ABC-4A17-A2FD-CAC6BEF34CEE}" name="TOTAL FACTURA2" totalsRowFunction="custom" dataDxfId="69" totalsRowDxfId="68" dataCellStyle="Moneda">
      <calculatedColumnFormula>IF(G:G="FRENOS",(Tabla2456789[[#This Row],[TOTAL FACTURA]]*0.8),(Tabla2456789[[#This Row],[TOTAL FACTURA]]*0.5))</calculatedColumnFormula>
      <totalsRowFormula>SUBTOTAL(9,J1:J444)</totalsRowFormula>
    </tableColumn>
    <tableColumn id="14" xr3:uid="{E340CD73-210A-4D55-AF16-16C91B5CFCF3}" name="GANANCIA POR SERVICIOS" dataDxfId="67" totalsRowDxfId="66" dataCellStyle="Moneda">
      <calculatedColumnFormula>I2-J2</calculatedColumnFormula>
    </tableColumn>
    <tableColumn id="8" xr3:uid="{631F8251-037D-40DA-8719-511A70528501}" name="REPUESTOS USADOS" dataDxfId="65" totalsRowDxfId="64"/>
    <tableColumn id="9" xr3:uid="{C236A321-7F45-4E9E-A0FA-B2F8B35B6C5F}" name="MONTO DE COMPRA" totalsRowLabel="04/02/2027" dataDxfId="63" totalsRowDxfId="62"/>
    <tableColumn id="16" xr3:uid="{2B798E25-C51A-4097-AAC0-5877C44AC9A3}" name="Columna1" totalsRowLabel="04/02/2028" dataDxfId="61" totalsRowDxfId="60">
      <calculatedColumnFormula>Tabla2456789[[#This Row],[MONTO DE COMPRA]]/1.19</calculatedColumnFormula>
    </tableColumn>
    <tableColumn id="20" xr3:uid="{A2AF610F-87AE-409D-8CB9-C778A937B876}" name="IV COMPRA" totalsRowLabel="04/02/2029" dataDxfId="59" totalsRowDxfId="58">
      <calculatedColumnFormula>Tabla2456789[[#This Row],[Columna1]]*19%</calculatedColumnFormula>
    </tableColumn>
    <tableColumn id="17" xr3:uid="{95B7905B-9356-43A4-8609-182D0585E87F}" name="VENTA " totalsRowLabel="04/02/2030" dataDxfId="57" totalsRowDxfId="56"/>
    <tableColumn id="21" xr3:uid="{0E46C92F-4548-4135-88E5-BF2E9D22551A}" name="Columna2" totalsRowLabel="04/02/2031" dataDxfId="55" totalsRowDxfId="54">
      <calculatedColumnFormula>Tabla2456789[[#This Row],[VENTA ]]/1.19</calculatedColumnFormula>
    </tableColumn>
    <tableColumn id="13" xr3:uid="{F2FEB9B8-C4CC-4D17-87F8-021396CB5373}" name="IVA VENTA " totalsRowLabel="04/02/2032" dataDxfId="53" totalsRowDxfId="52">
      <calculatedColumnFormula>Tabla2456789[[#This Row],[Columna2]]*19%</calculatedColumnFormula>
    </tableColumn>
    <tableColumn id="18" xr3:uid="{F5277C9A-916C-4F99-B347-E72344C487FB}" name="DIFERENCIA IVA " dataDxfId="51" totalsRowDxfId="50">
      <calculatedColumnFormula>Tabla2456789[[#This Row],[IVA VENTA ]]-Tabla2456789[[#This Row],[IV COMPRA]]</calculatedColumnFormula>
    </tableColumn>
    <tableColumn id="19" xr3:uid="{250F85A2-7E77-4053-A1DA-FFE39A32667A}" name="GANACIA  REPUESTOS" dataDxfId="49" totalsRowDxfId="48">
      <calculatedColumnFormula>(Tabla2456789[[#This Row],[VENTA ]]-(Tabla2456789[[#This Row],[MONTO DE COMPRA]]+Tabla2456789[[#This Row],[DIFERENCIA IVA ]]))</calculatedColumnFormula>
    </tableColumn>
    <tableColumn id="11" xr3:uid="{04888A3E-7109-47D4-9812-41E6C5467420}" name="ESTATUS" dataDxfId="47" totalsRow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1A4CC2-277F-4A17-A323-C8579AE49E54}" name="Tabla24567894" displayName="Tabla24567894" ref="A1:U446" totalsRowCount="1" headerRowDxfId="45" dataDxfId="44" totalsRowDxfId="43">
  <autoFilter ref="A1:U445" xr:uid="{00000000-0009-0000-0100-000003000000}">
    <filterColumn colId="0">
      <filters>
        <dateGroupItem year="2023" month="3" day="18" dateTimeGrouping="day"/>
        <dateGroupItem year="2023" month="3" day="21" dateTimeGrouping="day"/>
        <dateGroupItem year="2023" month="3" day="22" dateTimeGrouping="day"/>
        <dateGroupItem year="2023" month="3" day="23" dateTimeGrouping="day"/>
        <dateGroupItem year="2023" month="3" day="24" dateTimeGrouping="day"/>
      </filters>
    </filterColumn>
    <filterColumn colId="5">
      <filters>
        <filter val="SAID VASQUEZ"/>
      </filters>
    </filterColumn>
  </autoFilter>
  <tableColumns count="21">
    <tableColumn id="1" xr3:uid="{EAA3F443-28F7-4774-A40B-6AFED96D93EC}" name="FECHA" dataDxfId="42" totalsRowDxfId="41"/>
    <tableColumn id="2" xr3:uid="{A195DACA-22E8-45D1-92C5-14887111D153}" name="NUMERO DE FACTURA" dataDxfId="40" totalsRowDxfId="39"/>
    <tableColumn id="15" xr3:uid="{6443F160-8554-4E95-A6CF-F77E75A5C920}" name="CLIENTE" dataDxfId="38" totalsRowDxfId="37"/>
    <tableColumn id="4" xr3:uid="{5BD3D4D9-8B79-408A-BE10-5BAC8756287C}" name="PLACA" dataDxfId="36" totalsRowDxfId="35"/>
    <tableColumn id="3" xr3:uid="{27DD8688-0138-4EBD-A02B-9C1FF72F3D39}" name="MODELO" dataDxfId="34" totalsRowDxfId="33"/>
    <tableColumn id="12" xr3:uid="{90DBE628-ABBA-48DD-8CF5-1192E89C4E60}" name="MECANICO" dataDxfId="32" totalsRowDxfId="31"/>
    <tableColumn id="25" xr3:uid="{CDFBD099-A812-4CF4-9A53-240237602BA6}" name="AREA" dataDxfId="30" totalsRowDxfId="29"/>
    <tableColumn id="5" xr3:uid="{9108E0B5-0F03-4998-8CA8-B390B5032A5F}" name="DETALLES" dataDxfId="28" totalsRowDxfId="27" dataCellStyle="Moneda"/>
    <tableColumn id="6" xr3:uid="{952AB366-CAF7-4BBB-9BB9-984AE41B757A}" name="TOTAL FACTURA" totalsRowFunction="sum" dataDxfId="26" totalsRowDxfId="25" dataCellStyle="Moneda"/>
    <tableColumn id="23" xr3:uid="{05DA7C94-BDC8-45B7-919A-9D797029C435}" name="TOTAL A PAGAR" totalsRowFunction="sum" dataDxfId="24" totalsRowDxfId="23" dataCellStyle="Moneda">
      <calculatedColumnFormula>IF(G:G="FRENOS",(Tabla24567894[[#This Row],[TOTAL FACTURA]]*0.8),(Tabla24567894[[#This Row],[TOTAL FACTURA]]*0.5))</calculatedColumnFormula>
    </tableColumn>
    <tableColumn id="14" xr3:uid="{15835D5D-186B-42AA-8E34-EBAEF01671F0}" name="GANANCIA POR SERVICIOS" totalsRowFunction="sum" dataDxfId="22" totalsRowDxfId="21" dataCellStyle="Moneda">
      <calculatedColumnFormula>I2-J2</calculatedColumnFormula>
    </tableColumn>
    <tableColumn id="8" xr3:uid="{F2641249-1736-4538-A3B0-5EF6FFB3B5B9}" name="REPUESTOS USADOS" dataDxfId="20" totalsRowDxfId="19"/>
    <tableColumn id="9" xr3:uid="{27B3448B-BC5D-4DB8-A020-F1DF67743780}" name="MONTO DE COMPRA" dataDxfId="18" totalsRowDxfId="17"/>
    <tableColumn id="16" xr3:uid="{44CD8147-4568-462E-B033-7AA4858411D7}" name="Columna1" dataDxfId="16" totalsRowDxfId="15">
      <calculatedColumnFormula>Tabla24567894[[#This Row],[MONTO DE COMPRA]]/1.19</calculatedColumnFormula>
    </tableColumn>
    <tableColumn id="20" xr3:uid="{7068D9D2-85A4-42CF-B61D-EBCD2910838A}" name="IV COMPRA" dataDxfId="14" totalsRowDxfId="13">
      <calculatedColumnFormula>Tabla24567894[[#This Row],[Columna1]]*19%</calculatedColumnFormula>
    </tableColumn>
    <tableColumn id="17" xr3:uid="{312B4517-F0C0-4696-816F-F1ADF92DF744}" name="VENTA " dataDxfId="12" totalsRowDxfId="11"/>
    <tableColumn id="21" xr3:uid="{6F89C8D8-AAD1-420C-8132-F59489AC13A2}" name="Columna2" dataDxfId="10" totalsRowDxfId="9">
      <calculatedColumnFormula>Tabla24567894[[#This Row],[VENTA ]]/1.19</calculatedColumnFormula>
    </tableColumn>
    <tableColumn id="13" xr3:uid="{791980DC-7FF8-4926-8BB9-268D9B552120}" name="IVA VENTA " dataDxfId="8" totalsRowDxfId="7">
      <calculatedColumnFormula>Tabla24567894[[#This Row],[Columna2]]*19%</calculatedColumnFormula>
    </tableColumn>
    <tableColumn id="18" xr3:uid="{9773DD8E-A1C1-4FF3-9D67-35D8EB0B08C2}" name="DIFERENCIA IVA " dataDxfId="6" totalsRowDxfId="5">
      <calculatedColumnFormula>Tabla24567894[[#This Row],[IVA VENTA ]]-Tabla24567894[[#This Row],[IV COMPRA]]</calculatedColumnFormula>
    </tableColumn>
    <tableColumn id="19" xr3:uid="{3B50E60E-CF83-47B0-9AB7-B7BD08A24240}" name="GANACIA  REPUESTOS" totalsRowFunction="custom" dataDxfId="4" totalsRowDxfId="3">
      <calculatedColumnFormula>(Tabla24567894[[#This Row],[VENTA ]]-(Tabla24567894[[#This Row],[MONTO DE COMPRA]]+Tabla24567894[[#This Row],[DIFERENCIA IVA ]]))</calculatedColumnFormula>
      <totalsRowFormula>SUBTOTAL(9,T2:T445)</totalsRowFormula>
    </tableColumn>
    <tableColumn id="11" xr3:uid="{362541AC-49F6-4992-B860-C52BC449EFEA}" name="ESTATUS" dataDxfId="2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F4F39-9A94-4F5A-BD35-01EF917268A3}" name="Tabla7" displayName="Tabla7" ref="A1:A12" totalsRowShown="0" headerRowDxfId="0">
  <autoFilter ref="A1:A12" xr:uid="{00000000-0009-0000-0100-000002000000}"/>
  <sortState xmlns:xlrd2="http://schemas.microsoft.com/office/spreadsheetml/2017/richdata2" ref="A2:A12">
    <sortCondition ref="A2:A12"/>
  </sortState>
  <tableColumns count="1">
    <tableColumn id="1" xr3:uid="{97550354-3B23-4320-A2F7-870E69610ABB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997C-2F44-4034-ACE2-CF238F915B5A}">
  <sheetPr>
    <tabColor theme="9" tint="0.39997558519241921"/>
  </sheetPr>
  <dimension ref="A1:W709"/>
  <sheetViews>
    <sheetView topLeftCell="A188" zoomScale="93" zoomScaleNormal="93" workbookViewId="0">
      <selection activeCell="I192" sqref="I192"/>
    </sheetView>
  </sheetViews>
  <sheetFormatPr baseColWidth="10" defaultRowHeight="20.100000000000001" customHeight="1" x14ac:dyDescent="0.25"/>
  <cols>
    <col min="1" max="1" width="14" style="1" customWidth="1"/>
    <col min="2" max="2" width="17" style="2" customWidth="1"/>
    <col min="3" max="3" width="32.85546875" style="3" customWidth="1"/>
    <col min="4" max="4" width="16.140625" style="3" customWidth="1"/>
    <col min="5" max="5" width="21.42578125" customWidth="1"/>
    <col min="6" max="6" width="36.7109375" style="3" customWidth="1"/>
    <col min="7" max="7" width="39.28515625" customWidth="1"/>
    <col min="8" max="8" width="60.42578125" style="3" customWidth="1"/>
    <col min="9" max="9" width="24.5703125" style="4" customWidth="1"/>
    <col min="10" max="10" width="19.5703125" style="6" customWidth="1"/>
    <col min="11" max="11" width="17" style="5" customWidth="1"/>
    <col min="12" max="12" width="91.42578125" style="5" customWidth="1"/>
    <col min="13" max="13" width="31" style="3" customWidth="1"/>
    <col min="14" max="14" width="21.5703125" style="3" customWidth="1"/>
    <col min="15" max="15" width="15.42578125" style="3" customWidth="1"/>
    <col min="16" max="17" width="23.7109375" style="3" customWidth="1"/>
    <col min="18" max="18" width="18.140625" style="3" customWidth="1"/>
    <col min="19" max="19" width="23.7109375" style="3" customWidth="1"/>
    <col min="20" max="21" width="22.5703125" style="3" customWidth="1"/>
    <col min="22" max="22" width="15.7109375" style="3" customWidth="1"/>
    <col min="23" max="23" width="25.140625" style="5" customWidth="1"/>
    <col min="24" max="16384" width="11.42578125" style="3"/>
  </cols>
  <sheetData>
    <row r="1" spans="1:23" s="26" customFormat="1" ht="30" customHeight="1" x14ac:dyDescent="0.25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317</v>
      </c>
      <c r="G1" s="26" t="s">
        <v>5</v>
      </c>
      <c r="H1" s="26" t="s">
        <v>6</v>
      </c>
      <c r="I1" s="27" t="s">
        <v>7</v>
      </c>
      <c r="J1" s="27" t="s">
        <v>645</v>
      </c>
      <c r="K1" s="27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7" t="s">
        <v>17</v>
      </c>
      <c r="U1" s="26" t="s">
        <v>18</v>
      </c>
    </row>
    <row r="2" spans="1:23" ht="20.100000000000001" customHeight="1" x14ac:dyDescent="0.25">
      <c r="A2" s="86">
        <v>44926</v>
      </c>
      <c r="B2" s="79" t="s">
        <v>37</v>
      </c>
      <c r="C2" s="79" t="s">
        <v>38</v>
      </c>
      <c r="D2" s="79" t="s">
        <v>42</v>
      </c>
      <c r="E2" s="87" t="s">
        <v>43</v>
      </c>
      <c r="F2" s="87" t="s">
        <v>19</v>
      </c>
      <c r="G2" s="79"/>
      <c r="H2" s="88" t="s">
        <v>23</v>
      </c>
      <c r="I2" s="85">
        <v>40000</v>
      </c>
      <c r="J2" s="85">
        <f>Tabla2456789[[#This Row],[TOTAL FACTURA]]*0.7</f>
        <v>28000</v>
      </c>
      <c r="K2" s="84">
        <f t="shared" ref="K2:K65" si="0">I2-J2</f>
        <v>12000</v>
      </c>
      <c r="L2" s="82" t="s">
        <v>24</v>
      </c>
      <c r="M2" s="83">
        <v>150000</v>
      </c>
      <c r="N2" s="83">
        <f>Tabla2456789[[#This Row],[MONTO DE COMPRA]]/1.19</f>
        <v>126050.42016806723</v>
      </c>
      <c r="O2" s="83">
        <f>Tabla2456789[[#This Row],[Columna1]]*19%</f>
        <v>23949.579831932773</v>
      </c>
      <c r="P2" s="83">
        <v>180000</v>
      </c>
      <c r="Q2" s="83">
        <f>Tabla2456789[[#This Row],[VENTA ]]/1.19</f>
        <v>151260.50420168068</v>
      </c>
      <c r="R2" s="83">
        <f>Tabla2456789[[#This Row],[Columna2]]*19%</f>
        <v>28739.495798319331</v>
      </c>
      <c r="S2" s="83">
        <f>Tabla2456789[[#This Row],[IVA VENTA ]]-Tabla2456789[[#This Row],[IV COMPRA]]</f>
        <v>4789.9159663865576</v>
      </c>
      <c r="T2" s="83">
        <f>(Tabla2456789[[#This Row],[VENTA ]]-(Tabla2456789[[#This Row],[MONTO DE COMPRA]]+Tabla2456789[[#This Row],[DIFERENCIA IVA ]]))</f>
        <v>25210.084033613442</v>
      </c>
      <c r="U2" s="87"/>
      <c r="W2" s="3"/>
    </row>
    <row r="3" spans="1:23" s="15" customFormat="1" ht="20.100000000000001" customHeight="1" x14ac:dyDescent="0.25">
      <c r="A3" s="86">
        <v>44926</v>
      </c>
      <c r="B3" s="76"/>
      <c r="C3" s="76" t="s">
        <v>44</v>
      </c>
      <c r="D3" s="76" t="s">
        <v>45</v>
      </c>
      <c r="E3" s="77" t="s">
        <v>31</v>
      </c>
      <c r="F3" s="77" t="s">
        <v>19</v>
      </c>
      <c r="G3" s="76"/>
      <c r="H3" s="80" t="s">
        <v>46</v>
      </c>
      <c r="I3" s="73">
        <v>40000</v>
      </c>
      <c r="J3" s="85">
        <f>Tabla2456789[[#This Row],[TOTAL FACTURA]]*0.7</f>
        <v>28000</v>
      </c>
      <c r="K3" s="84">
        <f t="shared" si="0"/>
        <v>12000</v>
      </c>
      <c r="L3" s="82"/>
      <c r="M3" s="83"/>
      <c r="N3" s="83">
        <f>Tabla2456789[[#This Row],[MONTO DE COMPRA]]/1.19</f>
        <v>0</v>
      </c>
      <c r="O3" s="83">
        <f>Tabla2456789[[#This Row],[Columna1]]*19%</f>
        <v>0</v>
      </c>
      <c r="P3" s="83"/>
      <c r="Q3" s="83">
        <f>Tabla2456789[[#This Row],[VENTA ]]/1.19</f>
        <v>0</v>
      </c>
      <c r="R3" s="83">
        <f>Tabla2456789[[#This Row],[Columna2]]*19%</f>
        <v>0</v>
      </c>
      <c r="S3" s="83">
        <f>Tabla2456789[[#This Row],[IVA VENTA ]]-Tabla2456789[[#This Row],[IV COMPRA]]</f>
        <v>0</v>
      </c>
      <c r="T3" s="83">
        <f>(Tabla2456789[[#This Row],[VENTA ]]-(Tabla2456789[[#This Row],[MONTO DE COMPRA]]+Tabla2456789[[#This Row],[DIFERENCIA IVA ]]))</f>
        <v>0</v>
      </c>
      <c r="U3" s="73"/>
    </row>
    <row r="4" spans="1:23" s="15" customFormat="1" ht="20.100000000000001" customHeight="1" x14ac:dyDescent="0.25">
      <c r="A4" s="13">
        <v>44928</v>
      </c>
      <c r="B4" s="14"/>
      <c r="C4" s="14" t="s">
        <v>47</v>
      </c>
      <c r="D4" s="14" t="s">
        <v>48</v>
      </c>
      <c r="E4" s="15" t="s">
        <v>28</v>
      </c>
      <c r="F4" s="15" t="s">
        <v>19</v>
      </c>
      <c r="G4" s="14"/>
      <c r="H4" s="16" t="s">
        <v>50</v>
      </c>
      <c r="I4" s="17">
        <v>25000</v>
      </c>
      <c r="J4" s="5">
        <f>Tabla2456789[[#This Row],[TOTAL FACTURA]]*0.7</f>
        <v>17500</v>
      </c>
      <c r="K4" s="9">
        <f t="shared" si="0"/>
        <v>7500</v>
      </c>
      <c r="L4" s="4" t="s">
        <v>49</v>
      </c>
      <c r="M4" s="10">
        <f>66000+8000</f>
        <v>74000</v>
      </c>
      <c r="N4" s="10">
        <f>Tabla2456789[[#This Row],[MONTO DE COMPRA]]/1.19</f>
        <v>62184.873949579836</v>
      </c>
      <c r="O4" s="10">
        <f>Tabla2456789[[#This Row],[Columna1]]*19%</f>
        <v>11815.126050420169</v>
      </c>
      <c r="P4" s="10">
        <v>90000</v>
      </c>
      <c r="Q4" s="10">
        <f>Tabla2456789[[#This Row],[VENTA ]]/1.19</f>
        <v>75630.252100840342</v>
      </c>
      <c r="R4" s="10">
        <f>Tabla2456789[[#This Row],[Columna2]]*19%</f>
        <v>14369.747899159665</v>
      </c>
      <c r="S4" s="10">
        <f>Tabla2456789[[#This Row],[IVA VENTA ]]-Tabla2456789[[#This Row],[IV COMPRA]]</f>
        <v>2554.6218487394963</v>
      </c>
      <c r="T4" s="10">
        <f>(Tabla2456789[[#This Row],[VENTA ]]-(Tabla2456789[[#This Row],[MONTO DE COMPRA]]+Tabla2456789[[#This Row],[DIFERENCIA IVA ]]))</f>
        <v>13445.378151260506</v>
      </c>
      <c r="U4" s="17"/>
    </row>
    <row r="5" spans="1:23" s="15" customFormat="1" ht="20.100000000000001" customHeight="1" x14ac:dyDescent="0.25">
      <c r="A5" s="13">
        <v>44928</v>
      </c>
      <c r="B5" s="14" t="s">
        <v>52</v>
      </c>
      <c r="C5" s="14" t="s">
        <v>51</v>
      </c>
      <c r="D5" s="14" t="s">
        <v>36</v>
      </c>
      <c r="E5" s="14" t="s">
        <v>27</v>
      </c>
      <c r="F5" s="15" t="s">
        <v>26</v>
      </c>
      <c r="G5" s="14"/>
      <c r="H5" s="16" t="s">
        <v>20</v>
      </c>
      <c r="I5" s="17">
        <v>15000</v>
      </c>
      <c r="J5" s="5">
        <f>Tabla2456789[[#This Row],[TOTAL FACTURA]]*0.6</f>
        <v>9000</v>
      </c>
      <c r="K5" s="9">
        <f t="shared" si="0"/>
        <v>6000</v>
      </c>
      <c r="L5" s="4"/>
      <c r="M5" s="10"/>
      <c r="N5" s="10">
        <f>Tabla2456789[[#This Row],[MONTO DE COMPRA]]/1.19</f>
        <v>0</v>
      </c>
      <c r="O5" s="10">
        <f>Tabla2456789[[#This Row],[Columna1]]*19%</f>
        <v>0</v>
      </c>
      <c r="P5" s="10"/>
      <c r="Q5" s="10">
        <f>Tabla2456789[[#This Row],[VENTA ]]/1.19</f>
        <v>0</v>
      </c>
      <c r="R5" s="10">
        <f>Tabla2456789[[#This Row],[Columna2]]*19%</f>
        <v>0</v>
      </c>
      <c r="S5" s="10">
        <f>Tabla2456789[[#This Row],[IVA VENTA ]]-Tabla2456789[[#This Row],[IV COMPRA]]</f>
        <v>0</v>
      </c>
      <c r="T5" s="10">
        <f>(Tabla2456789[[#This Row],[VENTA ]]-(Tabla2456789[[#This Row],[MONTO DE COMPRA]]+Tabla2456789[[#This Row],[DIFERENCIA IVA ]]))</f>
        <v>0</v>
      </c>
      <c r="U5" s="17"/>
    </row>
    <row r="6" spans="1:23" s="15" customFormat="1" ht="20.100000000000001" customHeight="1" x14ac:dyDescent="0.25">
      <c r="A6" s="13">
        <v>44928</v>
      </c>
      <c r="B6" s="14"/>
      <c r="C6" s="14" t="s">
        <v>53</v>
      </c>
      <c r="D6" s="14" t="s">
        <v>54</v>
      </c>
      <c r="E6" s="15" t="s">
        <v>55</v>
      </c>
      <c r="F6" s="15" t="s">
        <v>26</v>
      </c>
      <c r="G6" s="14"/>
      <c r="H6" s="16" t="s">
        <v>21</v>
      </c>
      <c r="I6" s="17">
        <v>30000</v>
      </c>
      <c r="J6" s="5">
        <f>Tabla2456789[[#This Row],[TOTAL FACTURA]]*0.6</f>
        <v>18000</v>
      </c>
      <c r="K6" s="9">
        <f t="shared" si="0"/>
        <v>12000</v>
      </c>
      <c r="L6" s="4" t="s">
        <v>22</v>
      </c>
      <c r="M6" s="10">
        <v>176000</v>
      </c>
      <c r="N6" s="10">
        <f>Tabla2456789[[#This Row],[MONTO DE COMPRA]]/1.19</f>
        <v>147899.15966386555</v>
      </c>
      <c r="O6" s="10">
        <f>Tabla2456789[[#This Row],[Columna1]]*19%</f>
        <v>28100.840336134454</v>
      </c>
      <c r="P6" s="10">
        <v>230000</v>
      </c>
      <c r="Q6" s="10">
        <f>Tabla2456789[[#This Row],[VENTA ]]/1.19</f>
        <v>193277.31092436975</v>
      </c>
      <c r="R6" s="10">
        <f>Tabla2456789[[#This Row],[Columna2]]*19%</f>
        <v>36722.689075630253</v>
      </c>
      <c r="S6" s="10">
        <f>Tabla2456789[[#This Row],[IVA VENTA ]]-Tabla2456789[[#This Row],[IV COMPRA]]</f>
        <v>8621.8487394957992</v>
      </c>
      <c r="T6" s="10">
        <f>(Tabla2456789[[#This Row],[VENTA ]]-(Tabla2456789[[#This Row],[MONTO DE COMPRA]]+Tabla2456789[[#This Row],[DIFERENCIA IVA ]]))</f>
        <v>45378.151260504208</v>
      </c>
      <c r="U6" s="17"/>
    </row>
    <row r="7" spans="1:23" s="15" customFormat="1" ht="20.100000000000001" customHeight="1" x14ac:dyDescent="0.25">
      <c r="A7" s="13">
        <v>44928</v>
      </c>
      <c r="B7" s="14" t="s">
        <v>59</v>
      </c>
      <c r="C7" s="14" t="s">
        <v>56</v>
      </c>
      <c r="D7" s="14" t="s">
        <v>57</v>
      </c>
      <c r="E7" s="15" t="s">
        <v>32</v>
      </c>
      <c r="F7" s="15" t="s">
        <v>19</v>
      </c>
      <c r="G7" s="14"/>
      <c r="H7" s="16" t="s">
        <v>58</v>
      </c>
      <c r="I7" s="17">
        <v>60000</v>
      </c>
      <c r="J7" s="5">
        <f>Tabla2456789[[#This Row],[TOTAL FACTURA]]*0.7</f>
        <v>42000</v>
      </c>
      <c r="K7" s="9">
        <f t="shared" si="0"/>
        <v>18000</v>
      </c>
      <c r="L7" s="4"/>
      <c r="M7" s="10"/>
      <c r="N7" s="10">
        <f>Tabla2456789[[#This Row],[MONTO DE COMPRA]]/1.19</f>
        <v>0</v>
      </c>
      <c r="O7" s="10">
        <f>Tabla2456789[[#This Row],[Columna1]]*19%</f>
        <v>0</v>
      </c>
      <c r="P7" s="10"/>
      <c r="Q7" s="10">
        <f>Tabla2456789[[#This Row],[VENTA ]]/1.19</f>
        <v>0</v>
      </c>
      <c r="R7" s="10">
        <f>Tabla2456789[[#This Row],[Columna2]]*19%</f>
        <v>0</v>
      </c>
      <c r="S7" s="10">
        <f>Tabla2456789[[#This Row],[IVA VENTA ]]-Tabla2456789[[#This Row],[IV COMPRA]]</f>
        <v>0</v>
      </c>
      <c r="T7" s="10">
        <f>(Tabla2456789[[#This Row],[VENTA ]]-(Tabla2456789[[#This Row],[MONTO DE COMPRA]]+Tabla2456789[[#This Row],[DIFERENCIA IVA ]]))</f>
        <v>0</v>
      </c>
      <c r="U7" s="17"/>
    </row>
    <row r="8" spans="1:23" s="15" customFormat="1" ht="20.100000000000001" customHeight="1" x14ac:dyDescent="0.25">
      <c r="A8" s="13">
        <v>44928</v>
      </c>
      <c r="B8" s="14"/>
      <c r="C8" s="14" t="s">
        <v>60</v>
      </c>
      <c r="D8" s="14" t="s">
        <v>61</v>
      </c>
      <c r="E8" s="15" t="s">
        <v>27</v>
      </c>
      <c r="F8" s="15" t="s">
        <v>26</v>
      </c>
      <c r="G8" s="14"/>
      <c r="H8" s="16" t="s">
        <v>20</v>
      </c>
      <c r="I8" s="17">
        <v>10000</v>
      </c>
      <c r="J8" s="5">
        <f>Tabla2456789[[#This Row],[TOTAL FACTURA]]*0.6</f>
        <v>6000</v>
      </c>
      <c r="K8" s="9">
        <f t="shared" si="0"/>
        <v>4000</v>
      </c>
      <c r="L8" s="4"/>
      <c r="M8" s="10"/>
      <c r="N8" s="10">
        <f>Tabla2456789[[#This Row],[MONTO DE COMPRA]]/1.19</f>
        <v>0</v>
      </c>
      <c r="O8" s="10">
        <f>Tabla2456789[[#This Row],[Columna1]]*19%</f>
        <v>0</v>
      </c>
      <c r="P8" s="10"/>
      <c r="Q8" s="10">
        <f>Tabla2456789[[#This Row],[VENTA ]]/1.19</f>
        <v>0</v>
      </c>
      <c r="R8" s="10">
        <f>Tabla2456789[[#This Row],[Columna2]]*19%</f>
        <v>0</v>
      </c>
      <c r="S8" s="10">
        <f>Tabla2456789[[#This Row],[IVA VENTA ]]-Tabla2456789[[#This Row],[IV COMPRA]]</f>
        <v>0</v>
      </c>
      <c r="T8" s="10">
        <f>(Tabla2456789[[#This Row],[VENTA ]]-(Tabla2456789[[#This Row],[MONTO DE COMPRA]]+Tabla2456789[[#This Row],[DIFERENCIA IVA ]]))</f>
        <v>0</v>
      </c>
      <c r="U8" s="17"/>
    </row>
    <row r="9" spans="1:23" s="15" customFormat="1" ht="35.25" customHeight="1" x14ac:dyDescent="0.25">
      <c r="A9" s="13">
        <v>44928</v>
      </c>
      <c r="B9" s="14"/>
      <c r="C9" s="14" t="s">
        <v>62</v>
      </c>
      <c r="D9" s="14" t="s">
        <v>63</v>
      </c>
      <c r="E9" s="15" t="s">
        <v>64</v>
      </c>
      <c r="F9" s="15" t="s">
        <v>19</v>
      </c>
      <c r="G9" s="14"/>
      <c r="H9" s="16" t="s">
        <v>65</v>
      </c>
      <c r="I9" s="17">
        <v>200000</v>
      </c>
      <c r="J9" s="5">
        <f>Tabla2456789[[#This Row],[TOTAL FACTURA]]*0.7</f>
        <v>140000</v>
      </c>
      <c r="K9" s="9">
        <f t="shared" si="0"/>
        <v>60000</v>
      </c>
      <c r="L9" s="4" t="s">
        <v>66</v>
      </c>
      <c r="M9" s="10">
        <f>108000+40000</f>
        <v>148000</v>
      </c>
      <c r="N9" s="10"/>
      <c r="O9" s="10">
        <f>Tabla2456789[[#This Row],[Columna1]]*19%</f>
        <v>0</v>
      </c>
      <c r="P9" s="10">
        <v>180000</v>
      </c>
      <c r="Q9" s="10"/>
      <c r="R9" s="10">
        <f>Tabla2456789[[#This Row],[Columna2]]*19%</f>
        <v>0</v>
      </c>
      <c r="S9" s="10">
        <f>Tabla2456789[[#This Row],[IVA VENTA ]]-Tabla2456789[[#This Row],[IV COMPRA]]</f>
        <v>0</v>
      </c>
      <c r="T9" s="10">
        <f>(Tabla2456789[[#This Row],[VENTA ]]-(Tabla2456789[[#This Row],[MONTO DE COMPRA]]+Tabla2456789[[#This Row],[DIFERENCIA IVA ]]))</f>
        <v>32000</v>
      </c>
      <c r="U9" s="17"/>
    </row>
    <row r="10" spans="1:23" s="15" customFormat="1" ht="20.100000000000001" customHeight="1" x14ac:dyDescent="0.25">
      <c r="A10" s="13">
        <v>44928</v>
      </c>
      <c r="B10" s="14"/>
      <c r="C10" s="14" t="s">
        <v>67</v>
      </c>
      <c r="D10" s="14" t="s">
        <v>30</v>
      </c>
      <c r="E10" s="15" t="s">
        <v>34</v>
      </c>
      <c r="F10" s="15" t="s">
        <v>26</v>
      </c>
      <c r="G10" s="14"/>
      <c r="H10" s="16" t="s">
        <v>68</v>
      </c>
      <c r="I10" s="17">
        <v>30000</v>
      </c>
      <c r="J10" s="5">
        <f>Tabla2456789[[#This Row],[TOTAL FACTURA]]*0.6</f>
        <v>18000</v>
      </c>
      <c r="K10" s="9">
        <f t="shared" si="0"/>
        <v>12000</v>
      </c>
      <c r="L10" s="4"/>
      <c r="M10" s="10"/>
      <c r="N10" s="10">
        <f>Tabla2456789[[#This Row],[MONTO DE COMPRA]]/1.19</f>
        <v>0</v>
      </c>
      <c r="O10" s="10">
        <f>Tabla2456789[[#This Row],[Columna1]]*19%</f>
        <v>0</v>
      </c>
      <c r="P10" s="10"/>
      <c r="Q10" s="10">
        <f>Tabla2456789[[#This Row],[VENTA ]]/1.19</f>
        <v>0</v>
      </c>
      <c r="R10" s="10">
        <f>Tabla2456789[[#This Row],[Columna2]]*19%</f>
        <v>0</v>
      </c>
      <c r="S10" s="10">
        <f>Tabla2456789[[#This Row],[IVA VENTA ]]-Tabla2456789[[#This Row],[IV COMPRA]]</f>
        <v>0</v>
      </c>
      <c r="T10" s="10">
        <f>(Tabla2456789[[#This Row],[VENTA ]]-(Tabla2456789[[#This Row],[MONTO DE COMPRA]]+Tabla2456789[[#This Row],[DIFERENCIA IVA ]]))</f>
        <v>0</v>
      </c>
      <c r="U10" s="17"/>
    </row>
    <row r="11" spans="1:23" s="15" customFormat="1" ht="20.100000000000001" customHeight="1" x14ac:dyDescent="0.25">
      <c r="A11" s="13">
        <v>44929</v>
      </c>
      <c r="B11" s="14"/>
      <c r="C11" s="14"/>
      <c r="D11" s="14" t="s">
        <v>69</v>
      </c>
      <c r="E11" s="15" t="s">
        <v>70</v>
      </c>
      <c r="F11" s="15" t="s">
        <v>19</v>
      </c>
      <c r="G11" s="14"/>
      <c r="H11" s="16" t="s">
        <v>71</v>
      </c>
      <c r="I11" s="17">
        <v>30000</v>
      </c>
      <c r="J11" s="5">
        <f>Tabla2456789[[#This Row],[TOTAL FACTURA]]*0.7</f>
        <v>21000</v>
      </c>
      <c r="K11" s="9">
        <f t="shared" si="0"/>
        <v>9000</v>
      </c>
      <c r="L11" s="4"/>
      <c r="M11" s="10"/>
      <c r="N11" s="10">
        <f>Tabla2456789[[#This Row],[MONTO DE COMPRA]]/1.19</f>
        <v>0</v>
      </c>
      <c r="O11" s="10">
        <f>Tabla2456789[[#This Row],[Columna1]]*19%</f>
        <v>0</v>
      </c>
      <c r="P11" s="10"/>
      <c r="Q11" s="10">
        <f>Tabla2456789[[#This Row],[VENTA ]]/1.19</f>
        <v>0</v>
      </c>
      <c r="R11" s="10">
        <f>Tabla2456789[[#This Row],[Columna2]]*19%</f>
        <v>0</v>
      </c>
      <c r="S11" s="10">
        <f>Tabla2456789[[#This Row],[IVA VENTA ]]-Tabla2456789[[#This Row],[IV COMPRA]]</f>
        <v>0</v>
      </c>
      <c r="T11" s="10">
        <f>(Tabla2456789[[#This Row],[VENTA ]]-(Tabla2456789[[#This Row],[MONTO DE COMPRA]]+Tabla2456789[[#This Row],[DIFERENCIA IVA ]]))</f>
        <v>0</v>
      </c>
      <c r="U11" s="17"/>
    </row>
    <row r="12" spans="1:23" s="15" customFormat="1" ht="20.100000000000001" customHeight="1" x14ac:dyDescent="0.25">
      <c r="A12" s="13">
        <v>44929</v>
      </c>
      <c r="B12" s="14" t="s">
        <v>76</v>
      </c>
      <c r="C12" s="14" t="s">
        <v>72</v>
      </c>
      <c r="D12" s="14" t="s">
        <v>73</v>
      </c>
      <c r="E12" s="15" t="s">
        <v>74</v>
      </c>
      <c r="F12" s="15" t="s">
        <v>19</v>
      </c>
      <c r="G12" s="14"/>
      <c r="H12" s="16" t="s">
        <v>211</v>
      </c>
      <c r="I12" s="17">
        <v>30000</v>
      </c>
      <c r="J12" s="5">
        <f>Tabla2456789[[#This Row],[TOTAL FACTURA]]*0.7</f>
        <v>21000</v>
      </c>
      <c r="K12" s="9">
        <f t="shared" si="0"/>
        <v>9000</v>
      </c>
      <c r="L12" s="4" t="s">
        <v>75</v>
      </c>
      <c r="M12" s="10">
        <v>95000</v>
      </c>
      <c r="N12" s="10">
        <f>Tabla2456789[[#This Row],[MONTO DE COMPRA]]/1.19</f>
        <v>79831.932773109249</v>
      </c>
      <c r="O12" s="10">
        <f>Tabla2456789[[#This Row],[Columna1]]*19%</f>
        <v>15168.067226890758</v>
      </c>
      <c r="P12" s="10">
        <v>136000</v>
      </c>
      <c r="Q12" s="10">
        <f>Tabla2456789[[#This Row],[VENTA ]]/1.19</f>
        <v>114285.71428571429</v>
      </c>
      <c r="R12" s="10">
        <f>Tabla2456789[[#This Row],[Columna2]]*19%</f>
        <v>21714.285714285714</v>
      </c>
      <c r="S12" s="10">
        <f>Tabla2456789[[#This Row],[IVA VENTA ]]-Tabla2456789[[#This Row],[IV COMPRA]]</f>
        <v>6546.2184873949554</v>
      </c>
      <c r="T12" s="10">
        <f>(Tabla2456789[[#This Row],[VENTA ]]-(Tabla2456789[[#This Row],[MONTO DE COMPRA]]+Tabla2456789[[#This Row],[DIFERENCIA IVA ]]))</f>
        <v>34453.781512605041</v>
      </c>
      <c r="U12" s="17"/>
    </row>
    <row r="13" spans="1:23" s="15" customFormat="1" ht="20.100000000000001" customHeight="1" x14ac:dyDescent="0.25">
      <c r="A13" s="13">
        <v>44929</v>
      </c>
      <c r="B13" s="14" t="s">
        <v>82</v>
      </c>
      <c r="C13" s="14" t="s">
        <v>77</v>
      </c>
      <c r="D13" s="14" t="s">
        <v>78</v>
      </c>
      <c r="E13" s="15" t="s">
        <v>79</v>
      </c>
      <c r="F13" s="15" t="s">
        <v>19</v>
      </c>
      <c r="G13" s="14"/>
      <c r="H13" s="16" t="s">
        <v>80</v>
      </c>
      <c r="I13" s="17">
        <v>40000</v>
      </c>
      <c r="J13" s="5">
        <f>Tabla2456789[[#This Row],[TOTAL FACTURA]]*0.7</f>
        <v>28000</v>
      </c>
      <c r="K13" s="9">
        <f t="shared" si="0"/>
        <v>12000</v>
      </c>
      <c r="L13" s="4" t="s">
        <v>81</v>
      </c>
      <c r="M13" s="10">
        <v>140000</v>
      </c>
      <c r="N13" s="10">
        <f>Tabla2456789[[#This Row],[MONTO DE COMPRA]]/1.19</f>
        <v>117647.05882352941</v>
      </c>
      <c r="O13" s="10">
        <f>Tabla2456789[[#This Row],[Columna1]]*19%</f>
        <v>22352.941176470587</v>
      </c>
      <c r="P13" s="10">
        <v>160000</v>
      </c>
      <c r="Q13" s="10">
        <f>Tabla2456789[[#This Row],[VENTA ]]/1.19</f>
        <v>134453.78151260506</v>
      </c>
      <c r="R13" s="10">
        <f>Tabla2456789[[#This Row],[Columna2]]*19%</f>
        <v>25546.218487394959</v>
      </c>
      <c r="S13" s="10">
        <f>Tabla2456789[[#This Row],[IVA VENTA ]]-Tabla2456789[[#This Row],[IV COMPRA]]</f>
        <v>3193.2773109243717</v>
      </c>
      <c r="T13" s="10">
        <f>(Tabla2456789[[#This Row],[VENTA ]]-(Tabla2456789[[#This Row],[MONTO DE COMPRA]]+Tabla2456789[[#This Row],[DIFERENCIA IVA ]]))</f>
        <v>16806.722689075628</v>
      </c>
      <c r="U13" s="17"/>
    </row>
    <row r="14" spans="1:23" s="15" customFormat="1" ht="20.100000000000001" customHeight="1" x14ac:dyDescent="0.25">
      <c r="A14" s="13">
        <v>44929</v>
      </c>
      <c r="B14" s="14"/>
      <c r="C14" s="14"/>
      <c r="D14" s="14" t="s">
        <v>25</v>
      </c>
      <c r="F14" s="15" t="s">
        <v>19</v>
      </c>
      <c r="G14" s="14"/>
      <c r="H14" s="16" t="s">
        <v>84</v>
      </c>
      <c r="I14" s="17">
        <v>90000</v>
      </c>
      <c r="J14" s="5">
        <f>Tabla2456789[[#This Row],[TOTAL FACTURA]]*0.7</f>
        <v>62999.999999999993</v>
      </c>
      <c r="K14" s="9">
        <f t="shared" si="0"/>
        <v>27000.000000000007</v>
      </c>
      <c r="L14" s="4" t="s">
        <v>85</v>
      </c>
      <c r="M14" s="10"/>
      <c r="N14" s="10">
        <f>Tabla2456789[[#This Row],[MONTO DE COMPRA]]/1.19</f>
        <v>0</v>
      </c>
      <c r="O14" s="10">
        <f>Tabla2456789[[#This Row],[Columna1]]*19%</f>
        <v>0</v>
      </c>
      <c r="P14" s="10"/>
      <c r="Q14" s="10">
        <f>Tabla2456789[[#This Row],[VENTA ]]/1.19</f>
        <v>0</v>
      </c>
      <c r="R14" s="10">
        <f>Tabla2456789[[#This Row],[Columna2]]*19%</f>
        <v>0</v>
      </c>
      <c r="S14" s="10">
        <f>Tabla2456789[[#This Row],[IVA VENTA ]]-Tabla2456789[[#This Row],[IV COMPRA]]</f>
        <v>0</v>
      </c>
      <c r="T14" s="10">
        <f>(Tabla2456789[[#This Row],[VENTA ]]-(Tabla2456789[[#This Row],[MONTO DE COMPRA]]+Tabla2456789[[#This Row],[DIFERENCIA IVA ]]))</f>
        <v>0</v>
      </c>
      <c r="U14" s="17"/>
    </row>
    <row r="15" spans="1:23" s="15" customFormat="1" ht="20.100000000000001" customHeight="1" x14ac:dyDescent="0.25">
      <c r="A15" s="13">
        <v>44929</v>
      </c>
      <c r="B15" s="14"/>
      <c r="C15" s="14" t="s">
        <v>83</v>
      </c>
      <c r="D15" s="14" t="s">
        <v>57</v>
      </c>
      <c r="E15" s="15" t="s">
        <v>86</v>
      </c>
      <c r="F15" s="15" t="s">
        <v>19</v>
      </c>
      <c r="G15" s="14"/>
      <c r="H15" s="16" t="s">
        <v>87</v>
      </c>
      <c r="I15" s="17">
        <v>30000</v>
      </c>
      <c r="J15" s="5">
        <f>Tabla2456789[[#This Row],[TOTAL FACTURA]]*0.7</f>
        <v>21000</v>
      </c>
      <c r="K15" s="9">
        <f t="shared" si="0"/>
        <v>9000</v>
      </c>
      <c r="L15" s="4"/>
      <c r="M15" s="10"/>
      <c r="N15" s="10">
        <f>Tabla2456789[[#This Row],[MONTO DE COMPRA]]/1.19</f>
        <v>0</v>
      </c>
      <c r="O15" s="10">
        <f>Tabla2456789[[#This Row],[Columna1]]*19%</f>
        <v>0</v>
      </c>
      <c r="P15" s="10"/>
      <c r="Q15" s="10">
        <f>Tabla2456789[[#This Row],[VENTA ]]/1.19</f>
        <v>0</v>
      </c>
      <c r="R15" s="10">
        <f>Tabla2456789[[#This Row],[Columna2]]*19%</f>
        <v>0</v>
      </c>
      <c r="S15" s="10">
        <f>Tabla2456789[[#This Row],[IVA VENTA ]]-Tabla2456789[[#This Row],[IV COMPRA]]</f>
        <v>0</v>
      </c>
      <c r="T15" s="10">
        <f>(Tabla2456789[[#This Row],[VENTA ]]-(Tabla2456789[[#This Row],[MONTO DE COMPRA]]+Tabla2456789[[#This Row],[DIFERENCIA IVA ]]))</f>
        <v>0</v>
      </c>
      <c r="U15" s="17"/>
    </row>
    <row r="16" spans="1:23" s="15" customFormat="1" ht="20.100000000000001" customHeight="1" x14ac:dyDescent="0.25">
      <c r="A16" s="13">
        <v>44929</v>
      </c>
      <c r="B16" s="14"/>
      <c r="C16" s="14" t="s">
        <v>29</v>
      </c>
      <c r="D16" s="14"/>
      <c r="E16" s="15" t="s">
        <v>34</v>
      </c>
      <c r="F16" s="15" t="s">
        <v>39</v>
      </c>
      <c r="G16" s="14"/>
      <c r="H16" s="16" t="s">
        <v>88</v>
      </c>
      <c r="I16" s="17">
        <v>20000</v>
      </c>
      <c r="J16" s="5">
        <v>20000</v>
      </c>
      <c r="K16" s="9">
        <f t="shared" si="0"/>
        <v>0</v>
      </c>
      <c r="L16" s="4"/>
      <c r="M16" s="10"/>
      <c r="N16" s="10">
        <f>Tabla2456789[[#This Row],[MONTO DE COMPRA]]/1.19</f>
        <v>0</v>
      </c>
      <c r="O16" s="10">
        <f>Tabla2456789[[#This Row],[Columna1]]*19%</f>
        <v>0</v>
      </c>
      <c r="P16" s="10"/>
      <c r="Q16" s="10">
        <f>Tabla2456789[[#This Row],[VENTA ]]/1.19</f>
        <v>0</v>
      </c>
      <c r="R16" s="10">
        <f>Tabla2456789[[#This Row],[Columna2]]*19%</f>
        <v>0</v>
      </c>
      <c r="S16" s="10">
        <f>Tabla2456789[[#This Row],[IVA VENTA ]]-Tabla2456789[[#This Row],[IV COMPRA]]</f>
        <v>0</v>
      </c>
      <c r="T16" s="10">
        <f>(Tabla2456789[[#This Row],[VENTA ]]-(Tabla2456789[[#This Row],[MONTO DE COMPRA]]+Tabla2456789[[#This Row],[DIFERENCIA IVA ]]))</f>
        <v>0</v>
      </c>
      <c r="U16" s="17"/>
    </row>
    <row r="17" spans="1:21" s="15" customFormat="1" ht="20.100000000000001" customHeight="1" x14ac:dyDescent="0.25">
      <c r="A17" s="13">
        <v>44929</v>
      </c>
      <c r="B17" s="14" t="s">
        <v>89</v>
      </c>
      <c r="C17" s="14" t="s">
        <v>90</v>
      </c>
      <c r="D17" s="14" t="s">
        <v>91</v>
      </c>
      <c r="E17" s="15" t="s">
        <v>92</v>
      </c>
      <c r="F17" s="15" t="s">
        <v>19</v>
      </c>
      <c r="G17" s="14"/>
      <c r="H17" s="16" t="s">
        <v>93</v>
      </c>
      <c r="I17" s="17">
        <v>30000</v>
      </c>
      <c r="J17" s="5">
        <f>Tabla2456789[[#This Row],[TOTAL FACTURA]]*0.7</f>
        <v>21000</v>
      </c>
      <c r="K17" s="9">
        <f t="shared" si="0"/>
        <v>9000</v>
      </c>
      <c r="L17" s="4"/>
      <c r="M17" s="10"/>
      <c r="N17" s="10">
        <f>Tabla2456789[[#This Row],[MONTO DE COMPRA]]/1.19</f>
        <v>0</v>
      </c>
      <c r="O17" s="10">
        <f>Tabla2456789[[#This Row],[Columna1]]*19%</f>
        <v>0</v>
      </c>
      <c r="P17" s="10"/>
      <c r="Q17" s="10">
        <f>Tabla2456789[[#This Row],[VENTA ]]/1.19</f>
        <v>0</v>
      </c>
      <c r="R17" s="10">
        <f>Tabla2456789[[#This Row],[Columna2]]*19%</f>
        <v>0</v>
      </c>
      <c r="S17" s="10">
        <f>Tabla2456789[[#This Row],[IVA VENTA ]]-Tabla2456789[[#This Row],[IV COMPRA]]</f>
        <v>0</v>
      </c>
      <c r="T17" s="10">
        <f>(Tabla2456789[[#This Row],[VENTA ]]-(Tabla2456789[[#This Row],[MONTO DE COMPRA]]+Tabla2456789[[#This Row],[DIFERENCIA IVA ]]))</f>
        <v>0</v>
      </c>
      <c r="U17" s="17"/>
    </row>
    <row r="18" spans="1:21" s="15" customFormat="1" ht="20.100000000000001" customHeight="1" x14ac:dyDescent="0.25">
      <c r="A18" s="13">
        <v>44929</v>
      </c>
      <c r="B18" s="14" t="s">
        <v>76</v>
      </c>
      <c r="C18" s="14" t="s">
        <v>90</v>
      </c>
      <c r="D18" s="14" t="s">
        <v>94</v>
      </c>
      <c r="E18" s="18" t="s">
        <v>95</v>
      </c>
      <c r="F18" s="15" t="s">
        <v>19</v>
      </c>
      <c r="G18" s="14"/>
      <c r="H18" s="16" t="s">
        <v>96</v>
      </c>
      <c r="I18" s="17">
        <v>130000</v>
      </c>
      <c r="J18" s="5">
        <f>Tabla2456789[[#This Row],[TOTAL FACTURA]]*0.7</f>
        <v>91000</v>
      </c>
      <c r="K18" s="9">
        <f t="shared" si="0"/>
        <v>39000</v>
      </c>
      <c r="L18" s="4"/>
      <c r="M18" s="10"/>
      <c r="N18" s="10">
        <f>Tabla2456789[[#This Row],[MONTO DE COMPRA]]/1.19</f>
        <v>0</v>
      </c>
      <c r="O18" s="10">
        <f>Tabla2456789[[#This Row],[Columna1]]*19%</f>
        <v>0</v>
      </c>
      <c r="P18" s="10"/>
      <c r="Q18" s="10">
        <f>Tabla2456789[[#This Row],[VENTA ]]/1.19</f>
        <v>0</v>
      </c>
      <c r="R18" s="10">
        <f>Tabla2456789[[#This Row],[Columna2]]*19%</f>
        <v>0</v>
      </c>
      <c r="S18" s="10">
        <f>Tabla2456789[[#This Row],[IVA VENTA ]]-Tabla2456789[[#This Row],[IV COMPRA]]</f>
        <v>0</v>
      </c>
      <c r="T18" s="10">
        <f>(Tabla2456789[[#This Row],[VENTA ]]-(Tabla2456789[[#This Row],[MONTO DE COMPRA]]+Tabla2456789[[#This Row],[DIFERENCIA IVA ]]))</f>
        <v>0</v>
      </c>
      <c r="U18" s="17"/>
    </row>
    <row r="19" spans="1:21" s="15" customFormat="1" ht="20.100000000000001" customHeight="1" x14ac:dyDescent="0.25">
      <c r="A19" s="13">
        <v>44929</v>
      </c>
      <c r="B19" s="14" t="s">
        <v>76</v>
      </c>
      <c r="C19" s="14" t="s">
        <v>90</v>
      </c>
      <c r="D19" s="14" t="s">
        <v>94</v>
      </c>
      <c r="E19" s="18" t="s">
        <v>95</v>
      </c>
      <c r="F19" s="15" t="s">
        <v>35</v>
      </c>
      <c r="G19" s="14"/>
      <c r="H19" s="16" t="s">
        <v>97</v>
      </c>
      <c r="I19" s="17">
        <v>180000</v>
      </c>
      <c r="J19" s="5">
        <f>Tabla2456789[[#This Row],[TOTAL FACTURA]]*0.6</f>
        <v>108000</v>
      </c>
      <c r="K19" s="9">
        <f t="shared" si="0"/>
        <v>72000</v>
      </c>
      <c r="L19" s="4"/>
      <c r="M19" s="10"/>
      <c r="N19" s="10">
        <f>Tabla2456789[[#This Row],[MONTO DE COMPRA]]/1.19</f>
        <v>0</v>
      </c>
      <c r="O19" s="10">
        <f>Tabla2456789[[#This Row],[Columna1]]*19%</f>
        <v>0</v>
      </c>
      <c r="P19" s="10"/>
      <c r="Q19" s="10">
        <f>Tabla2456789[[#This Row],[VENTA ]]/1.19</f>
        <v>0</v>
      </c>
      <c r="R19" s="10">
        <f>Tabla2456789[[#This Row],[Columna2]]*19%</f>
        <v>0</v>
      </c>
      <c r="S19" s="10">
        <f>Tabla2456789[[#This Row],[IVA VENTA ]]-Tabla2456789[[#This Row],[IV COMPRA]]</f>
        <v>0</v>
      </c>
      <c r="T19" s="10">
        <f>(Tabla2456789[[#This Row],[VENTA ]]-(Tabla2456789[[#This Row],[MONTO DE COMPRA]]+Tabla2456789[[#This Row],[DIFERENCIA IVA ]]))</f>
        <v>0</v>
      </c>
      <c r="U19" s="17"/>
    </row>
    <row r="20" spans="1:21" s="15" customFormat="1" ht="20.100000000000001" customHeight="1" x14ac:dyDescent="0.25">
      <c r="A20" s="13">
        <v>44932</v>
      </c>
      <c r="B20" s="14"/>
      <c r="C20" s="2" t="s">
        <v>212</v>
      </c>
      <c r="D20" s="14" t="s">
        <v>217</v>
      </c>
      <c r="E20" s="15" t="s">
        <v>214</v>
      </c>
      <c r="F20" s="15" t="s">
        <v>35</v>
      </c>
      <c r="G20" s="14"/>
      <c r="H20" s="16" t="s">
        <v>218</v>
      </c>
      <c r="I20" s="17">
        <v>180000</v>
      </c>
      <c r="J20" s="5">
        <f>Tabla2456789[[#This Row],[TOTAL FACTURA]]*0.6</f>
        <v>108000</v>
      </c>
      <c r="K20" s="30">
        <f t="shared" si="0"/>
        <v>72000</v>
      </c>
      <c r="L20" s="4"/>
      <c r="M20" s="10"/>
      <c r="N20" s="10">
        <f>Tabla2456789[[#This Row],[MONTO DE COMPRA]]/1.19</f>
        <v>0</v>
      </c>
      <c r="O20" s="10">
        <f>Tabla2456789[[#This Row],[Columna1]]*19%</f>
        <v>0</v>
      </c>
      <c r="P20" s="10"/>
      <c r="Q20" s="10">
        <f>Tabla2456789[[#This Row],[VENTA ]]/1.19</f>
        <v>0</v>
      </c>
      <c r="R20" s="10">
        <f>Tabla2456789[[#This Row],[Columna2]]*19%</f>
        <v>0</v>
      </c>
      <c r="S20" s="10">
        <f>Tabla2456789[[#This Row],[IVA VENTA ]]-Tabla2456789[[#This Row],[IV COMPRA]]</f>
        <v>0</v>
      </c>
      <c r="T20" s="10">
        <f>(Tabla2456789[[#This Row],[VENTA ]]-(Tabla2456789[[#This Row],[MONTO DE COMPRA]]+Tabla2456789[[#This Row],[DIFERENCIA IVA ]]))</f>
        <v>0</v>
      </c>
      <c r="U20" s="17"/>
    </row>
    <row r="21" spans="1:21" s="15" customFormat="1" ht="20.100000000000001" customHeight="1" x14ac:dyDescent="0.25">
      <c r="A21" s="13">
        <v>44930</v>
      </c>
      <c r="B21" s="14"/>
      <c r="C21" s="14"/>
      <c r="D21" s="15" t="s">
        <v>98</v>
      </c>
      <c r="E21" s="15" t="s">
        <v>99</v>
      </c>
      <c r="F21" s="15" t="s">
        <v>35</v>
      </c>
      <c r="H21" s="16" t="s">
        <v>100</v>
      </c>
      <c r="I21" s="17">
        <v>30000</v>
      </c>
      <c r="J21" s="5">
        <f>Tabla2456789[[#This Row],[TOTAL FACTURA]]*0.6</f>
        <v>18000</v>
      </c>
      <c r="K21" s="9">
        <f t="shared" si="0"/>
        <v>12000</v>
      </c>
      <c r="L21" s="4"/>
      <c r="M21" s="10"/>
      <c r="N21" s="10">
        <f>Tabla2456789[[#This Row],[MONTO DE COMPRA]]/1.19</f>
        <v>0</v>
      </c>
      <c r="O21" s="10">
        <f>Tabla2456789[[#This Row],[Columna1]]*19%</f>
        <v>0</v>
      </c>
      <c r="P21" s="10"/>
      <c r="Q21" s="10">
        <f>Tabla2456789[[#This Row],[VENTA ]]/1.19</f>
        <v>0</v>
      </c>
      <c r="R21" s="10">
        <f>Tabla2456789[[#This Row],[Columna2]]*19%</f>
        <v>0</v>
      </c>
      <c r="S21" s="10">
        <f>Tabla2456789[[#This Row],[IVA VENTA ]]-Tabla2456789[[#This Row],[IV COMPRA]]</f>
        <v>0</v>
      </c>
      <c r="T21" s="10">
        <f>(Tabla2456789[[#This Row],[VENTA ]]-(Tabla2456789[[#This Row],[MONTO DE COMPRA]]+Tabla2456789[[#This Row],[DIFERENCIA IVA ]]))</f>
        <v>0</v>
      </c>
      <c r="U21" s="17"/>
    </row>
    <row r="22" spans="1:21" s="15" customFormat="1" ht="20.100000000000001" customHeight="1" x14ac:dyDescent="0.25">
      <c r="A22" s="13">
        <v>44930</v>
      </c>
      <c r="B22" s="14"/>
      <c r="C22" s="14"/>
      <c r="D22" s="15" t="s">
        <v>98</v>
      </c>
      <c r="E22" s="15" t="s">
        <v>99</v>
      </c>
      <c r="F22" s="15" t="s">
        <v>33</v>
      </c>
      <c r="H22" s="16" t="s">
        <v>101</v>
      </c>
      <c r="I22" s="17">
        <v>30000</v>
      </c>
      <c r="J22" s="5">
        <f>Tabla2456789[[#This Row],[TOTAL FACTURA]]*0.5</f>
        <v>15000</v>
      </c>
      <c r="K22" s="9">
        <f t="shared" si="0"/>
        <v>15000</v>
      </c>
      <c r="L22" s="4"/>
      <c r="M22" s="10"/>
      <c r="N22" s="10">
        <f>Tabla2456789[[#This Row],[MONTO DE COMPRA]]/1.19</f>
        <v>0</v>
      </c>
      <c r="O22" s="10">
        <f>Tabla2456789[[#This Row],[Columna1]]*19%</f>
        <v>0</v>
      </c>
      <c r="P22" s="10"/>
      <c r="Q22" s="10">
        <f>Tabla2456789[[#This Row],[VENTA ]]/1.19</f>
        <v>0</v>
      </c>
      <c r="R22" s="10">
        <f>Tabla2456789[[#This Row],[Columna2]]*19%</f>
        <v>0</v>
      </c>
      <c r="S22" s="10">
        <f>Tabla2456789[[#This Row],[IVA VENTA ]]-Tabla2456789[[#This Row],[IV COMPRA]]</f>
        <v>0</v>
      </c>
      <c r="T22" s="10">
        <f>(Tabla2456789[[#This Row],[VENTA ]]-(Tabla2456789[[#This Row],[MONTO DE COMPRA]]+Tabla2456789[[#This Row],[DIFERENCIA IVA ]]))</f>
        <v>0</v>
      </c>
      <c r="U22" s="17"/>
    </row>
    <row r="23" spans="1:21" s="15" customFormat="1" ht="20.100000000000001" customHeight="1" x14ac:dyDescent="0.25">
      <c r="A23" s="13">
        <v>44930</v>
      </c>
      <c r="B23" s="14"/>
      <c r="C23" s="14"/>
      <c r="D23" s="15" t="s">
        <v>98</v>
      </c>
      <c r="E23" s="15" t="s">
        <v>99</v>
      </c>
      <c r="F23" s="15" t="s">
        <v>39</v>
      </c>
      <c r="H23" s="16" t="s">
        <v>102</v>
      </c>
      <c r="I23" s="17">
        <v>40000</v>
      </c>
      <c r="J23" s="5">
        <v>30000</v>
      </c>
      <c r="K23" s="9">
        <f t="shared" si="0"/>
        <v>10000</v>
      </c>
      <c r="L23" s="4"/>
      <c r="M23" s="10"/>
      <c r="N23" s="10">
        <f>Tabla2456789[[#This Row],[MONTO DE COMPRA]]/1.19</f>
        <v>0</v>
      </c>
      <c r="O23" s="10">
        <f>Tabla2456789[[#This Row],[Columna1]]*19%</f>
        <v>0</v>
      </c>
      <c r="P23" s="10"/>
      <c r="Q23" s="10">
        <f>Tabla2456789[[#This Row],[VENTA ]]/1.19</f>
        <v>0</v>
      </c>
      <c r="R23" s="10">
        <f>Tabla2456789[[#This Row],[Columna2]]*19%</f>
        <v>0</v>
      </c>
      <c r="S23" s="10">
        <f>Tabla2456789[[#This Row],[IVA VENTA ]]-Tabla2456789[[#This Row],[IV COMPRA]]</f>
        <v>0</v>
      </c>
      <c r="T23" s="10">
        <f>(Tabla2456789[[#This Row],[VENTA ]]-(Tabla2456789[[#This Row],[MONTO DE COMPRA]]+Tabla2456789[[#This Row],[DIFERENCIA IVA ]]))</f>
        <v>0</v>
      </c>
      <c r="U23" s="17"/>
    </row>
    <row r="24" spans="1:21" s="15" customFormat="1" ht="20.100000000000001" customHeight="1" x14ac:dyDescent="0.25">
      <c r="A24" s="13">
        <v>44930</v>
      </c>
      <c r="B24" s="14" t="s">
        <v>118</v>
      </c>
      <c r="C24" s="14" t="s">
        <v>103</v>
      </c>
      <c r="D24" s="14" t="s">
        <v>104</v>
      </c>
      <c r="E24" s="15" t="s">
        <v>105</v>
      </c>
      <c r="F24" s="15" t="s">
        <v>19</v>
      </c>
      <c r="G24" s="14"/>
      <c r="H24" s="16" t="s">
        <v>106</v>
      </c>
      <c r="I24" s="17">
        <v>210000</v>
      </c>
      <c r="J24" s="5">
        <f>Tabla2456789[[#This Row],[TOTAL FACTURA]]*0.7</f>
        <v>147000</v>
      </c>
      <c r="K24" s="9">
        <f t="shared" si="0"/>
        <v>63000</v>
      </c>
      <c r="L24" s="4" t="s">
        <v>107</v>
      </c>
      <c r="M24" s="10">
        <f>79000+5000</f>
        <v>84000</v>
      </c>
      <c r="N24" s="10">
        <f>Tabla2456789[[#This Row],[MONTO DE COMPRA]]/1.19</f>
        <v>70588.23529411765</v>
      </c>
      <c r="O24" s="10">
        <f>Tabla2456789[[#This Row],[Columna1]]*19%</f>
        <v>13411.764705882353</v>
      </c>
      <c r="P24" s="10">
        <v>110000</v>
      </c>
      <c r="Q24" s="10">
        <f>Tabla2456789[[#This Row],[VENTA ]]/1.19</f>
        <v>92436.97478991597</v>
      </c>
      <c r="R24" s="10">
        <f>Tabla2456789[[#This Row],[Columna2]]*19%</f>
        <v>17563.025210084033</v>
      </c>
      <c r="S24" s="10">
        <f>Tabla2456789[[#This Row],[IVA VENTA ]]-Tabla2456789[[#This Row],[IV COMPRA]]</f>
        <v>4151.2605042016803</v>
      </c>
      <c r="T24" s="10">
        <f>(Tabla2456789[[#This Row],[VENTA ]]-(Tabla2456789[[#This Row],[MONTO DE COMPRA]]+Tabla2456789[[#This Row],[DIFERENCIA IVA ]]))</f>
        <v>21848.73949579832</v>
      </c>
      <c r="U24" s="17"/>
    </row>
    <row r="25" spans="1:21" s="15" customFormat="1" ht="20.100000000000001" customHeight="1" x14ac:dyDescent="0.25">
      <c r="A25" s="13">
        <v>44930</v>
      </c>
      <c r="B25" s="14"/>
      <c r="C25" s="14"/>
      <c r="D25" s="14" t="s">
        <v>108</v>
      </c>
      <c r="E25" s="15" t="s">
        <v>109</v>
      </c>
      <c r="F25" s="15" t="s">
        <v>19</v>
      </c>
      <c r="G25" s="14"/>
      <c r="H25" s="16" t="s">
        <v>234</v>
      </c>
      <c r="I25" s="17">
        <v>15000</v>
      </c>
      <c r="J25" s="5">
        <f>Tabla2456789[[#This Row],[TOTAL FACTURA]]*0.7</f>
        <v>10500</v>
      </c>
      <c r="K25" s="9">
        <f t="shared" si="0"/>
        <v>4500</v>
      </c>
      <c r="L25" s="4"/>
      <c r="M25" s="10"/>
      <c r="N25" s="10">
        <f>Tabla2456789[[#This Row],[MONTO DE COMPRA]]/1.19</f>
        <v>0</v>
      </c>
      <c r="O25" s="10">
        <f>Tabla2456789[[#This Row],[Columna1]]*19%</f>
        <v>0</v>
      </c>
      <c r="P25" s="10"/>
      <c r="Q25" s="10">
        <f>Tabla2456789[[#This Row],[VENTA ]]/1.19</f>
        <v>0</v>
      </c>
      <c r="R25" s="10">
        <f>Tabla2456789[[#This Row],[Columna2]]*19%</f>
        <v>0</v>
      </c>
      <c r="S25" s="10">
        <f>Tabla2456789[[#This Row],[IVA VENTA ]]-Tabla2456789[[#This Row],[IV COMPRA]]</f>
        <v>0</v>
      </c>
      <c r="T25" s="10">
        <f>(Tabla2456789[[#This Row],[VENTA ]]-(Tabla2456789[[#This Row],[MONTO DE COMPRA]]+Tabla2456789[[#This Row],[DIFERENCIA IVA ]]))</f>
        <v>0</v>
      </c>
      <c r="U25" s="17"/>
    </row>
    <row r="26" spans="1:21" s="15" customFormat="1" ht="20.100000000000001" customHeight="1" x14ac:dyDescent="0.25">
      <c r="A26" s="13">
        <v>44930</v>
      </c>
      <c r="B26" s="14"/>
      <c r="C26" s="14"/>
      <c r="D26" s="14" t="s">
        <v>110</v>
      </c>
      <c r="F26" s="15" t="s">
        <v>35</v>
      </c>
      <c r="G26" s="14"/>
      <c r="H26" s="16" t="s">
        <v>111</v>
      </c>
      <c r="I26" s="17">
        <v>30000</v>
      </c>
      <c r="J26" s="5">
        <f>Tabla2456789[[#This Row],[TOTAL FACTURA]]*0.6</f>
        <v>18000</v>
      </c>
      <c r="K26" s="9">
        <f t="shared" si="0"/>
        <v>12000</v>
      </c>
      <c r="L26" s="4"/>
      <c r="M26" s="10"/>
      <c r="N26" s="10">
        <f>Tabla2456789[[#This Row],[MONTO DE COMPRA]]/1.19</f>
        <v>0</v>
      </c>
      <c r="O26" s="10">
        <f>Tabla2456789[[#This Row],[Columna1]]*19%</f>
        <v>0</v>
      </c>
      <c r="P26" s="10"/>
      <c r="Q26" s="10">
        <f>Tabla2456789[[#This Row],[VENTA ]]/1.19</f>
        <v>0</v>
      </c>
      <c r="R26" s="10">
        <f>Tabla2456789[[#This Row],[Columna2]]*19%</f>
        <v>0</v>
      </c>
      <c r="S26" s="10">
        <f>Tabla2456789[[#This Row],[IVA VENTA ]]-Tabla2456789[[#This Row],[IV COMPRA]]</f>
        <v>0</v>
      </c>
      <c r="T26" s="10">
        <f>(Tabla2456789[[#This Row],[VENTA ]]-(Tabla2456789[[#This Row],[MONTO DE COMPRA]]+Tabla2456789[[#This Row],[DIFERENCIA IVA ]]))</f>
        <v>0</v>
      </c>
      <c r="U26" s="17"/>
    </row>
    <row r="27" spans="1:21" s="15" customFormat="1" ht="20.100000000000001" customHeight="1" x14ac:dyDescent="0.25">
      <c r="A27" s="13">
        <v>44930</v>
      </c>
      <c r="B27" s="14"/>
      <c r="C27" s="14"/>
      <c r="D27" s="14"/>
      <c r="F27" s="15" t="s">
        <v>33</v>
      </c>
      <c r="G27" s="14"/>
      <c r="H27" s="16" t="s">
        <v>101</v>
      </c>
      <c r="I27" s="17">
        <v>25000</v>
      </c>
      <c r="J27" s="5">
        <f>Tabla2456789[[#This Row],[TOTAL FACTURA]]*0.5</f>
        <v>12500</v>
      </c>
      <c r="K27" s="9">
        <f t="shared" si="0"/>
        <v>12500</v>
      </c>
      <c r="L27" s="4"/>
      <c r="M27" s="10"/>
      <c r="N27" s="10">
        <f>Tabla2456789[[#This Row],[MONTO DE COMPRA]]/1.19</f>
        <v>0</v>
      </c>
      <c r="O27" s="10">
        <f>Tabla2456789[[#This Row],[Columna1]]*19%</f>
        <v>0</v>
      </c>
      <c r="P27" s="10"/>
      <c r="Q27" s="10">
        <f>Tabla2456789[[#This Row],[VENTA ]]/1.19</f>
        <v>0</v>
      </c>
      <c r="R27" s="10">
        <f>Tabla2456789[[#This Row],[Columna2]]*19%</f>
        <v>0</v>
      </c>
      <c r="S27" s="10">
        <f>Tabla2456789[[#This Row],[IVA VENTA ]]-Tabla2456789[[#This Row],[IV COMPRA]]</f>
        <v>0</v>
      </c>
      <c r="T27" s="10">
        <f>(Tabla2456789[[#This Row],[VENTA ]]-(Tabla2456789[[#This Row],[MONTO DE COMPRA]]+Tabla2456789[[#This Row],[DIFERENCIA IVA ]]))</f>
        <v>0</v>
      </c>
      <c r="U27" s="17"/>
    </row>
    <row r="28" spans="1:21" s="15" customFormat="1" ht="20.100000000000001" customHeight="1" x14ac:dyDescent="0.25">
      <c r="A28" s="13">
        <v>44930</v>
      </c>
      <c r="B28" s="14" t="s">
        <v>117</v>
      </c>
      <c r="C28" s="14" t="s">
        <v>112</v>
      </c>
      <c r="D28" s="14" t="s">
        <v>113</v>
      </c>
      <c r="E28" s="15" t="s">
        <v>114</v>
      </c>
      <c r="F28" s="15" t="s">
        <v>19</v>
      </c>
      <c r="G28" s="14"/>
      <c r="H28" s="16" t="s">
        <v>115</v>
      </c>
      <c r="I28" s="17">
        <v>150000</v>
      </c>
      <c r="J28" s="5">
        <f>Tabla2456789[[#This Row],[TOTAL FACTURA]]*0.7</f>
        <v>105000</v>
      </c>
      <c r="K28" s="9">
        <f t="shared" si="0"/>
        <v>45000</v>
      </c>
      <c r="L28" s="4" t="s">
        <v>116</v>
      </c>
      <c r="M28" s="10">
        <f>29445+40000+14000</f>
        <v>83445</v>
      </c>
      <c r="N28" s="10">
        <f>Tabla2456789[[#This Row],[MONTO DE COMPRA]]/1.19</f>
        <v>70121.848739495807</v>
      </c>
      <c r="O28" s="10">
        <f>Tabla2456789[[#This Row],[Columna1]]*19%</f>
        <v>13323.151260504203</v>
      </c>
      <c r="P28" s="10">
        <v>224000</v>
      </c>
      <c r="Q28" s="10">
        <f>Tabla2456789[[#This Row],[VENTA ]]/1.19</f>
        <v>188235.29411764708</v>
      </c>
      <c r="R28" s="10">
        <f>Tabla2456789[[#This Row],[Columna2]]*19%</f>
        <v>35764.705882352944</v>
      </c>
      <c r="S28" s="10">
        <f>Tabla2456789[[#This Row],[IVA VENTA ]]-Tabla2456789[[#This Row],[IV COMPRA]]</f>
        <v>22441.554621848743</v>
      </c>
      <c r="T28" s="10">
        <f>(Tabla2456789[[#This Row],[VENTA ]]-(Tabla2456789[[#This Row],[MONTO DE COMPRA]]+Tabla2456789[[#This Row],[DIFERENCIA IVA ]]))</f>
        <v>118113.44537815126</v>
      </c>
      <c r="U28" s="17"/>
    </row>
    <row r="29" spans="1:21" s="15" customFormat="1" ht="45" customHeight="1" x14ac:dyDescent="0.25">
      <c r="A29" s="13">
        <v>44930</v>
      </c>
      <c r="B29" s="14"/>
      <c r="C29" s="2" t="s">
        <v>212</v>
      </c>
      <c r="D29" s="14" t="s">
        <v>213</v>
      </c>
      <c r="E29" s="15" t="s">
        <v>214</v>
      </c>
      <c r="F29" s="15" t="s">
        <v>19</v>
      </c>
      <c r="G29" s="14"/>
      <c r="H29" s="16" t="s">
        <v>215</v>
      </c>
      <c r="I29" s="17">
        <v>540000</v>
      </c>
      <c r="J29" s="5">
        <f>Tabla2456789[[#This Row],[TOTAL FACTURA]]*0.7</f>
        <v>378000</v>
      </c>
      <c r="K29" s="30">
        <f t="shared" si="0"/>
        <v>162000</v>
      </c>
      <c r="L29" s="4" t="s">
        <v>237</v>
      </c>
      <c r="M29" s="10">
        <f>308236+43986+39247+35000</f>
        <v>426469</v>
      </c>
      <c r="N29" s="10">
        <f>Tabla2456789[[#This Row],[MONTO DE COMPRA]]/1.19</f>
        <v>358377.31092436978</v>
      </c>
      <c r="O29" s="10">
        <f>Tabla2456789[[#This Row],[Columna1]]*19%</f>
        <v>68091.68907563026</v>
      </c>
      <c r="P29" s="10">
        <v>650000</v>
      </c>
      <c r="Q29" s="10">
        <f>Tabla2456789[[#This Row],[VENTA ]]/1.19</f>
        <v>546218.48739495804</v>
      </c>
      <c r="R29" s="10">
        <f>Tabla2456789[[#This Row],[Columna2]]*19%</f>
        <v>103781.51260504202</v>
      </c>
      <c r="S29" s="10">
        <f>Tabla2456789[[#This Row],[IVA VENTA ]]-Tabla2456789[[#This Row],[IV COMPRA]]</f>
        <v>35689.823529411762</v>
      </c>
      <c r="T29" s="10">
        <f>(Tabla2456789[[#This Row],[VENTA ]]-(Tabla2456789[[#This Row],[MONTO DE COMPRA]]+Tabla2456789[[#This Row],[DIFERENCIA IVA ]]))</f>
        <v>187841.17647058825</v>
      </c>
      <c r="U29" s="17"/>
    </row>
    <row r="30" spans="1:21" s="15" customFormat="1" ht="20.100000000000001" customHeight="1" x14ac:dyDescent="0.25">
      <c r="A30" s="13">
        <v>44931</v>
      </c>
      <c r="B30" s="14" t="s">
        <v>120</v>
      </c>
      <c r="C30" s="14" t="s">
        <v>119</v>
      </c>
      <c r="D30" s="14" t="s">
        <v>121</v>
      </c>
      <c r="E30" s="15" t="s">
        <v>122</v>
      </c>
      <c r="F30" s="15" t="s">
        <v>19</v>
      </c>
      <c r="G30" s="14"/>
      <c r="H30" s="16" t="s">
        <v>123</v>
      </c>
      <c r="I30" s="17">
        <v>10000</v>
      </c>
      <c r="J30" s="5">
        <f>Tabla2456789[[#This Row],[TOTAL FACTURA]]*0.7</f>
        <v>7000</v>
      </c>
      <c r="K30" s="9">
        <f t="shared" si="0"/>
        <v>3000</v>
      </c>
      <c r="L30" s="4"/>
      <c r="M30" s="10"/>
      <c r="N30" s="10">
        <f>Tabla2456789[[#This Row],[MONTO DE COMPRA]]/1.19</f>
        <v>0</v>
      </c>
      <c r="O30" s="10">
        <f>Tabla2456789[[#This Row],[Columna1]]*19%</f>
        <v>0</v>
      </c>
      <c r="P30" s="10"/>
      <c r="Q30" s="10">
        <f>Tabla2456789[[#This Row],[VENTA ]]/1.19</f>
        <v>0</v>
      </c>
      <c r="R30" s="10">
        <f>Tabla2456789[[#This Row],[Columna2]]*19%</f>
        <v>0</v>
      </c>
      <c r="S30" s="10">
        <f>Tabla2456789[[#This Row],[IVA VENTA ]]-Tabla2456789[[#This Row],[IV COMPRA]]</f>
        <v>0</v>
      </c>
      <c r="T30" s="10">
        <f>(Tabla2456789[[#This Row],[VENTA ]]-(Tabla2456789[[#This Row],[MONTO DE COMPRA]]+Tabla2456789[[#This Row],[DIFERENCIA IVA ]]))</f>
        <v>0</v>
      </c>
      <c r="U30" s="17"/>
    </row>
    <row r="31" spans="1:21" s="15" customFormat="1" ht="20.100000000000001" customHeight="1" x14ac:dyDescent="0.25">
      <c r="A31" s="13">
        <v>44931</v>
      </c>
      <c r="B31" s="14" t="s">
        <v>120</v>
      </c>
      <c r="C31" s="14" t="s">
        <v>119</v>
      </c>
      <c r="D31" s="14" t="s">
        <v>121</v>
      </c>
      <c r="E31" s="15" t="s">
        <v>122</v>
      </c>
      <c r="F31" s="15" t="s">
        <v>26</v>
      </c>
      <c r="G31" s="14"/>
      <c r="H31" s="16" t="s">
        <v>124</v>
      </c>
      <c r="I31" s="17">
        <v>15000</v>
      </c>
      <c r="J31" s="5">
        <f>Tabla2456789[[#This Row],[TOTAL FACTURA]]*0.6</f>
        <v>9000</v>
      </c>
      <c r="K31" s="9">
        <f t="shared" si="0"/>
        <v>6000</v>
      </c>
      <c r="L31" s="4" t="s">
        <v>125</v>
      </c>
      <c r="M31" s="10">
        <v>8000</v>
      </c>
      <c r="N31" s="10">
        <f>Tabla2456789[[#This Row],[MONTO DE COMPRA]]/1.19</f>
        <v>6722.6890756302528</v>
      </c>
      <c r="O31" s="10">
        <f>Tabla2456789[[#This Row],[Columna1]]*19%</f>
        <v>1277.3109243697481</v>
      </c>
      <c r="P31" s="10">
        <v>15000</v>
      </c>
      <c r="Q31" s="10">
        <f>Tabla2456789[[#This Row],[VENTA ]]/1.19</f>
        <v>12605.042016806723</v>
      </c>
      <c r="R31" s="10">
        <f>Tabla2456789[[#This Row],[Columna2]]*19%</f>
        <v>2394.9579831932774</v>
      </c>
      <c r="S31" s="10">
        <f>Tabla2456789[[#This Row],[IVA VENTA ]]-Tabla2456789[[#This Row],[IV COMPRA]]</f>
        <v>1117.6470588235293</v>
      </c>
      <c r="T31" s="10">
        <f>(Tabla2456789[[#This Row],[VENTA ]]-(Tabla2456789[[#This Row],[MONTO DE COMPRA]]+Tabla2456789[[#This Row],[DIFERENCIA IVA ]]))</f>
        <v>5882.3529411764703</v>
      </c>
      <c r="U31" s="17"/>
    </row>
    <row r="32" spans="1:21" s="15" customFormat="1" ht="20.100000000000001" customHeight="1" x14ac:dyDescent="0.25">
      <c r="A32" s="13">
        <v>44931</v>
      </c>
      <c r="B32" s="14"/>
      <c r="C32" s="14" t="s">
        <v>126</v>
      </c>
      <c r="D32" s="14" t="s">
        <v>127</v>
      </c>
      <c r="E32" s="15" t="s">
        <v>128</v>
      </c>
      <c r="F32" s="15" t="s">
        <v>19</v>
      </c>
      <c r="G32" s="14"/>
      <c r="H32" s="16" t="s">
        <v>129</v>
      </c>
      <c r="I32" s="17">
        <v>60000</v>
      </c>
      <c r="J32" s="5">
        <f>Tabla2456789[[#This Row],[TOTAL FACTURA]]*0.7</f>
        <v>42000</v>
      </c>
      <c r="K32" s="9">
        <f t="shared" si="0"/>
        <v>18000</v>
      </c>
      <c r="L32" s="4"/>
      <c r="M32" s="10"/>
      <c r="N32" s="10">
        <f>Tabla2456789[[#This Row],[MONTO DE COMPRA]]/1.19</f>
        <v>0</v>
      </c>
      <c r="O32" s="10">
        <f>Tabla2456789[[#This Row],[Columna1]]*19%</f>
        <v>0</v>
      </c>
      <c r="P32" s="10"/>
      <c r="Q32" s="10">
        <f>Tabla2456789[[#This Row],[VENTA ]]/1.19</f>
        <v>0</v>
      </c>
      <c r="R32" s="10">
        <f>Tabla2456789[[#This Row],[Columna2]]*19%</f>
        <v>0</v>
      </c>
      <c r="S32" s="10">
        <f>Tabla2456789[[#This Row],[IVA VENTA ]]-Tabla2456789[[#This Row],[IV COMPRA]]</f>
        <v>0</v>
      </c>
      <c r="T32" s="10">
        <f>(Tabla2456789[[#This Row],[VENTA ]]-(Tabla2456789[[#This Row],[MONTO DE COMPRA]]+Tabla2456789[[#This Row],[DIFERENCIA IVA ]]))</f>
        <v>0</v>
      </c>
      <c r="U32" s="17"/>
    </row>
    <row r="33" spans="1:21" s="15" customFormat="1" ht="20.100000000000001" customHeight="1" x14ac:dyDescent="0.25">
      <c r="A33" s="13">
        <v>44931</v>
      </c>
      <c r="B33" s="14" t="s">
        <v>131</v>
      </c>
      <c r="C33" s="14" t="s">
        <v>130</v>
      </c>
      <c r="D33" s="14" t="s">
        <v>131</v>
      </c>
      <c r="E33" s="15" t="s">
        <v>132</v>
      </c>
      <c r="F33" s="15" t="s">
        <v>33</v>
      </c>
      <c r="G33" s="14"/>
      <c r="H33" s="16" t="s">
        <v>133</v>
      </c>
      <c r="I33" s="17">
        <v>20000</v>
      </c>
      <c r="J33" s="5">
        <f>Tabla2456789[[#This Row],[TOTAL FACTURA]]*0.5</f>
        <v>10000</v>
      </c>
      <c r="K33" s="9">
        <f t="shared" si="0"/>
        <v>10000</v>
      </c>
      <c r="L33" s="4"/>
      <c r="M33" s="10"/>
      <c r="N33" s="10">
        <f>Tabla2456789[[#This Row],[MONTO DE COMPRA]]/1.19</f>
        <v>0</v>
      </c>
      <c r="O33" s="10">
        <f>Tabla2456789[[#This Row],[Columna1]]*19%</f>
        <v>0</v>
      </c>
      <c r="P33" s="10"/>
      <c r="Q33" s="10">
        <f>Tabla2456789[[#This Row],[VENTA ]]/1.19</f>
        <v>0</v>
      </c>
      <c r="R33" s="10">
        <f>Tabla2456789[[#This Row],[Columna2]]*19%</f>
        <v>0</v>
      </c>
      <c r="S33" s="10">
        <f>Tabla2456789[[#This Row],[IVA VENTA ]]-Tabla2456789[[#This Row],[IV COMPRA]]</f>
        <v>0</v>
      </c>
      <c r="T33" s="10">
        <f>(Tabla2456789[[#This Row],[VENTA ]]-(Tabla2456789[[#This Row],[MONTO DE COMPRA]]+Tabla2456789[[#This Row],[DIFERENCIA IVA ]]))</f>
        <v>0</v>
      </c>
      <c r="U33" s="17"/>
    </row>
    <row r="34" spans="1:21" s="15" customFormat="1" ht="20.100000000000001" customHeight="1" x14ac:dyDescent="0.25">
      <c r="A34" s="13">
        <v>44931</v>
      </c>
      <c r="B34" s="14"/>
      <c r="C34" s="14" t="s">
        <v>134</v>
      </c>
      <c r="D34" s="14" t="s">
        <v>135</v>
      </c>
      <c r="E34" s="15" t="s">
        <v>136</v>
      </c>
      <c r="F34" s="15" t="s">
        <v>19</v>
      </c>
      <c r="G34" s="14"/>
      <c r="H34" s="16" t="s">
        <v>137</v>
      </c>
      <c r="I34" s="17">
        <v>50000</v>
      </c>
      <c r="J34" s="5">
        <f>Tabla2456789[[#This Row],[TOTAL FACTURA]]*0.7</f>
        <v>35000</v>
      </c>
      <c r="K34" s="9">
        <f t="shared" si="0"/>
        <v>15000</v>
      </c>
      <c r="L34" s="4"/>
      <c r="M34" s="10"/>
      <c r="N34" s="10">
        <f>Tabla2456789[[#This Row],[MONTO DE COMPRA]]/1.19</f>
        <v>0</v>
      </c>
      <c r="O34" s="10">
        <f>Tabla2456789[[#This Row],[Columna1]]*19%</f>
        <v>0</v>
      </c>
      <c r="P34" s="10"/>
      <c r="Q34" s="10">
        <f>Tabla2456789[[#This Row],[VENTA ]]/1.19</f>
        <v>0</v>
      </c>
      <c r="R34" s="10">
        <f>Tabla2456789[[#This Row],[Columna2]]*19%</f>
        <v>0</v>
      </c>
      <c r="S34" s="10">
        <f>Tabla2456789[[#This Row],[IVA VENTA ]]-Tabla2456789[[#This Row],[IV COMPRA]]</f>
        <v>0</v>
      </c>
      <c r="T34" s="10">
        <f>(Tabla2456789[[#This Row],[VENTA ]]-(Tabla2456789[[#This Row],[MONTO DE COMPRA]]+Tabla2456789[[#This Row],[DIFERENCIA IVA ]]))</f>
        <v>0</v>
      </c>
      <c r="U34" s="17"/>
    </row>
    <row r="35" spans="1:21" s="15" customFormat="1" ht="20.100000000000001" customHeight="1" x14ac:dyDescent="0.25">
      <c r="A35" s="13">
        <v>44931</v>
      </c>
      <c r="B35" s="14"/>
      <c r="C35" s="14"/>
      <c r="D35" s="14" t="s">
        <v>138</v>
      </c>
      <c r="E35" s="15" t="s">
        <v>139</v>
      </c>
      <c r="F35" s="15" t="s">
        <v>19</v>
      </c>
      <c r="G35" s="14"/>
      <c r="H35" s="16" t="s">
        <v>20</v>
      </c>
      <c r="I35" s="17">
        <v>10000</v>
      </c>
      <c r="J35" s="5">
        <f>Tabla2456789[[#This Row],[TOTAL FACTURA]]*0.7</f>
        <v>7000</v>
      </c>
      <c r="K35" s="9">
        <f t="shared" si="0"/>
        <v>3000</v>
      </c>
      <c r="L35" s="4"/>
      <c r="M35" s="10"/>
      <c r="N35" s="10">
        <f>Tabla2456789[[#This Row],[MONTO DE COMPRA]]/1.19</f>
        <v>0</v>
      </c>
      <c r="O35" s="10">
        <f>Tabla2456789[[#This Row],[Columna1]]*19%</f>
        <v>0</v>
      </c>
      <c r="P35" s="10"/>
      <c r="Q35" s="10">
        <f>Tabla2456789[[#This Row],[VENTA ]]/1.19</f>
        <v>0</v>
      </c>
      <c r="R35" s="10">
        <f>Tabla2456789[[#This Row],[Columna2]]*19%</f>
        <v>0</v>
      </c>
      <c r="S35" s="10">
        <f>Tabla2456789[[#This Row],[IVA VENTA ]]-Tabla2456789[[#This Row],[IV COMPRA]]</f>
        <v>0</v>
      </c>
      <c r="T35" s="10">
        <f>(Tabla2456789[[#This Row],[VENTA ]]-(Tabla2456789[[#This Row],[MONTO DE COMPRA]]+Tabla2456789[[#This Row],[DIFERENCIA IVA ]]))</f>
        <v>0</v>
      </c>
      <c r="U35" s="17"/>
    </row>
    <row r="36" spans="1:21" s="15" customFormat="1" ht="20.100000000000001" customHeight="1" x14ac:dyDescent="0.25">
      <c r="A36" s="13">
        <v>44931</v>
      </c>
      <c r="B36" s="14"/>
      <c r="C36" s="14" t="s">
        <v>140</v>
      </c>
      <c r="D36" s="14" t="s">
        <v>141</v>
      </c>
      <c r="E36" s="15" t="s">
        <v>142</v>
      </c>
      <c r="F36" s="15" t="s">
        <v>19</v>
      </c>
      <c r="G36" s="14"/>
      <c r="H36" s="16" t="s">
        <v>143</v>
      </c>
      <c r="I36" s="17">
        <v>30000</v>
      </c>
      <c r="J36" s="5">
        <f>Tabla2456789[[#This Row],[TOTAL FACTURA]]*0.7</f>
        <v>21000</v>
      </c>
      <c r="K36" s="9">
        <f t="shared" si="0"/>
        <v>9000</v>
      </c>
      <c r="L36" s="4"/>
      <c r="M36" s="10"/>
      <c r="N36" s="10">
        <f>Tabla2456789[[#This Row],[MONTO DE COMPRA]]/1.19</f>
        <v>0</v>
      </c>
      <c r="O36" s="10">
        <f>Tabla2456789[[#This Row],[Columna1]]*19%</f>
        <v>0</v>
      </c>
      <c r="P36" s="10"/>
      <c r="Q36" s="10">
        <f>Tabla2456789[[#This Row],[VENTA ]]/1.19</f>
        <v>0</v>
      </c>
      <c r="R36" s="10">
        <f>Tabla2456789[[#This Row],[Columna2]]*19%</f>
        <v>0</v>
      </c>
      <c r="S36" s="10">
        <f>Tabla2456789[[#This Row],[IVA VENTA ]]-Tabla2456789[[#This Row],[IV COMPRA]]</f>
        <v>0</v>
      </c>
      <c r="T36" s="10">
        <f>(Tabla2456789[[#This Row],[VENTA ]]-(Tabla2456789[[#This Row],[MONTO DE COMPRA]]+Tabla2456789[[#This Row],[DIFERENCIA IVA ]]))</f>
        <v>0</v>
      </c>
      <c r="U36" s="17"/>
    </row>
    <row r="37" spans="1:21" s="15" customFormat="1" ht="20.100000000000001" customHeight="1" x14ac:dyDescent="0.25">
      <c r="A37" s="13">
        <v>44931</v>
      </c>
      <c r="B37" s="14"/>
      <c r="C37" s="14" t="s">
        <v>144</v>
      </c>
      <c r="D37" s="14" t="s">
        <v>145</v>
      </c>
      <c r="E37" s="15" t="s">
        <v>146</v>
      </c>
      <c r="F37" s="15" t="s">
        <v>19</v>
      </c>
      <c r="G37" s="14"/>
      <c r="H37" s="16" t="s">
        <v>147</v>
      </c>
      <c r="I37" s="17">
        <v>15000</v>
      </c>
      <c r="J37" s="5">
        <f>Tabla2456789[[#This Row],[TOTAL FACTURA]]*0.7</f>
        <v>10500</v>
      </c>
      <c r="K37" s="9">
        <f t="shared" si="0"/>
        <v>4500</v>
      </c>
      <c r="L37" s="4"/>
      <c r="M37" s="10"/>
      <c r="N37" s="10">
        <f>Tabla2456789[[#This Row],[MONTO DE COMPRA]]/1.19</f>
        <v>0</v>
      </c>
      <c r="O37" s="10">
        <f>Tabla2456789[[#This Row],[Columna1]]*19%</f>
        <v>0</v>
      </c>
      <c r="P37" s="10"/>
      <c r="Q37" s="10">
        <f>Tabla2456789[[#This Row],[VENTA ]]/1.19</f>
        <v>0</v>
      </c>
      <c r="R37" s="10">
        <f>Tabla2456789[[#This Row],[Columna2]]*19%</f>
        <v>0</v>
      </c>
      <c r="S37" s="10">
        <f>Tabla2456789[[#This Row],[IVA VENTA ]]-Tabla2456789[[#This Row],[IV COMPRA]]</f>
        <v>0</v>
      </c>
      <c r="T37" s="10">
        <f>(Tabla2456789[[#This Row],[VENTA ]]-(Tabla2456789[[#This Row],[MONTO DE COMPRA]]+Tabla2456789[[#This Row],[DIFERENCIA IVA ]]))</f>
        <v>0</v>
      </c>
      <c r="U37" s="17"/>
    </row>
    <row r="38" spans="1:21" s="15" customFormat="1" ht="20.100000000000001" customHeight="1" x14ac:dyDescent="0.25">
      <c r="A38" s="13">
        <v>44931</v>
      </c>
      <c r="B38" s="14" t="s">
        <v>152</v>
      </c>
      <c r="C38" s="14" t="s">
        <v>148</v>
      </c>
      <c r="D38" s="14" t="s">
        <v>149</v>
      </c>
      <c r="E38" s="15" t="s">
        <v>150</v>
      </c>
      <c r="F38" s="15" t="s">
        <v>19</v>
      </c>
      <c r="G38" s="14"/>
      <c r="H38" s="16" t="s">
        <v>151</v>
      </c>
      <c r="I38" s="17">
        <v>60000</v>
      </c>
      <c r="J38" s="5">
        <f>Tabla2456789[[#This Row],[TOTAL FACTURA]]*0.7</f>
        <v>42000</v>
      </c>
      <c r="K38" s="9">
        <f t="shared" si="0"/>
        <v>18000</v>
      </c>
      <c r="L38" s="4" t="s">
        <v>22</v>
      </c>
      <c r="M38" s="10">
        <v>83000</v>
      </c>
      <c r="N38" s="10">
        <f>Tabla2456789[[#This Row],[MONTO DE COMPRA]]/1.19</f>
        <v>69747.899159663866</v>
      </c>
      <c r="O38" s="10">
        <f>Tabla2456789[[#This Row],[Columna1]]*19%</f>
        <v>13252.100840336134</v>
      </c>
      <c r="P38" s="10">
        <v>114000</v>
      </c>
      <c r="Q38" s="10">
        <f>Tabla2456789[[#This Row],[VENTA ]]/1.19</f>
        <v>95798.319327731093</v>
      </c>
      <c r="R38" s="10">
        <f>Tabla2456789[[#This Row],[Columna2]]*19%</f>
        <v>18201.680672268907</v>
      </c>
      <c r="S38" s="10">
        <f>Tabla2456789[[#This Row],[IVA VENTA ]]-Tabla2456789[[#This Row],[IV COMPRA]]</f>
        <v>4949.5798319327732</v>
      </c>
      <c r="T38" s="10">
        <f>(Tabla2456789[[#This Row],[VENTA ]]-(Tabla2456789[[#This Row],[MONTO DE COMPRA]]+Tabla2456789[[#This Row],[DIFERENCIA IVA ]]))</f>
        <v>26050.420168067227</v>
      </c>
      <c r="U38" s="17"/>
    </row>
    <row r="39" spans="1:21" s="15" customFormat="1" ht="20.100000000000001" customHeight="1" x14ac:dyDescent="0.25">
      <c r="A39" s="13">
        <v>44931</v>
      </c>
      <c r="B39" s="14"/>
      <c r="C39" s="11"/>
      <c r="D39" s="14"/>
      <c r="E39" s="15" t="s">
        <v>153</v>
      </c>
      <c r="F39" s="15" t="s">
        <v>19</v>
      </c>
      <c r="G39" s="14"/>
      <c r="H39" s="16" t="s">
        <v>154</v>
      </c>
      <c r="I39" s="17">
        <v>50000</v>
      </c>
      <c r="J39" s="5">
        <f>Tabla2456789[[#This Row],[TOTAL FACTURA]]*0.7</f>
        <v>35000</v>
      </c>
      <c r="K39" s="9">
        <f t="shared" si="0"/>
        <v>15000</v>
      </c>
      <c r="L39" s="4"/>
      <c r="M39" s="10"/>
      <c r="N39" s="10">
        <f>Tabla2456789[[#This Row],[MONTO DE COMPRA]]/1.19</f>
        <v>0</v>
      </c>
      <c r="O39" s="10">
        <f>Tabla2456789[[#This Row],[Columna1]]*19%</f>
        <v>0</v>
      </c>
      <c r="P39" s="10"/>
      <c r="Q39" s="10">
        <f>Tabla2456789[[#This Row],[VENTA ]]/1.19</f>
        <v>0</v>
      </c>
      <c r="R39" s="10">
        <f>Tabla2456789[[#This Row],[Columna2]]*19%</f>
        <v>0</v>
      </c>
      <c r="S39" s="10">
        <f>Tabla2456789[[#This Row],[IVA VENTA ]]-Tabla2456789[[#This Row],[IV COMPRA]]</f>
        <v>0</v>
      </c>
      <c r="T39" s="10">
        <f>(Tabla2456789[[#This Row],[VENTA ]]-(Tabla2456789[[#This Row],[MONTO DE COMPRA]]+Tabla2456789[[#This Row],[DIFERENCIA IVA ]]))</f>
        <v>0</v>
      </c>
      <c r="U39" s="17"/>
    </row>
    <row r="40" spans="1:21" s="15" customFormat="1" ht="20.100000000000001" customHeight="1" x14ac:dyDescent="0.25">
      <c r="A40" s="13">
        <v>44931</v>
      </c>
      <c r="B40" s="14"/>
      <c r="C40" s="14" t="s">
        <v>155</v>
      </c>
      <c r="D40" s="14" t="s">
        <v>156</v>
      </c>
      <c r="E40" s="15" t="s">
        <v>157</v>
      </c>
      <c r="F40" s="15" t="s">
        <v>19</v>
      </c>
      <c r="G40" s="14"/>
      <c r="H40" s="16" t="s">
        <v>158</v>
      </c>
      <c r="I40" s="17">
        <v>100000</v>
      </c>
      <c r="J40" s="5">
        <f>Tabla2456789[[#This Row],[TOTAL FACTURA]]*0.7</f>
        <v>70000</v>
      </c>
      <c r="K40" s="9">
        <f t="shared" si="0"/>
        <v>30000</v>
      </c>
      <c r="L40" s="4" t="s">
        <v>159</v>
      </c>
      <c r="M40" s="10">
        <f>233000+6000</f>
        <v>239000</v>
      </c>
      <c r="N40" s="10">
        <f>Tabla2456789[[#This Row],[MONTO DE COMPRA]]/1.19</f>
        <v>200840.3361344538</v>
      </c>
      <c r="O40" s="10">
        <f>Tabla2456789[[#This Row],[Columna1]]*19%</f>
        <v>38159.663865546223</v>
      </c>
      <c r="P40" s="10">
        <v>315000</v>
      </c>
      <c r="Q40" s="10">
        <f>Tabla2456789[[#This Row],[VENTA ]]/1.19</f>
        <v>264705.8823529412</v>
      </c>
      <c r="R40" s="10">
        <f>Tabla2456789[[#This Row],[Columna2]]*19%</f>
        <v>50294.117647058833</v>
      </c>
      <c r="S40" s="10">
        <f>Tabla2456789[[#This Row],[IVA VENTA ]]-Tabla2456789[[#This Row],[IV COMPRA]]</f>
        <v>12134.45378151261</v>
      </c>
      <c r="T40" s="10">
        <f>(Tabla2456789[[#This Row],[VENTA ]]-(Tabla2456789[[#This Row],[MONTO DE COMPRA]]+Tabla2456789[[#This Row],[DIFERENCIA IVA ]]))</f>
        <v>63865.546218487376</v>
      </c>
      <c r="U40" s="17"/>
    </row>
    <row r="41" spans="1:21" s="15" customFormat="1" ht="20.100000000000001" customHeight="1" x14ac:dyDescent="0.25">
      <c r="A41" s="13">
        <v>44931</v>
      </c>
      <c r="B41" s="14"/>
      <c r="C41" s="14" t="s">
        <v>160</v>
      </c>
      <c r="D41" s="14" t="s">
        <v>161</v>
      </c>
      <c r="E41" s="15" t="s">
        <v>162</v>
      </c>
      <c r="F41" s="15" t="s">
        <v>19</v>
      </c>
      <c r="G41" s="14"/>
      <c r="H41" s="16" t="s">
        <v>151</v>
      </c>
      <c r="I41" s="17">
        <v>40000</v>
      </c>
      <c r="J41" s="5">
        <f>Tabla2456789[[#This Row],[TOTAL FACTURA]]*0.7</f>
        <v>28000</v>
      </c>
      <c r="K41" s="9">
        <f t="shared" si="0"/>
        <v>12000</v>
      </c>
      <c r="L41" s="4"/>
      <c r="M41" s="10"/>
      <c r="N41" s="10">
        <f>Tabla2456789[[#This Row],[MONTO DE COMPRA]]/1.19</f>
        <v>0</v>
      </c>
      <c r="O41" s="10">
        <f>Tabla2456789[[#This Row],[Columna1]]*19%</f>
        <v>0</v>
      </c>
      <c r="P41" s="10"/>
      <c r="Q41" s="10">
        <f>Tabla2456789[[#This Row],[VENTA ]]/1.19</f>
        <v>0</v>
      </c>
      <c r="R41" s="10">
        <f>Tabla2456789[[#This Row],[Columna2]]*19%</f>
        <v>0</v>
      </c>
      <c r="S41" s="10">
        <f>Tabla2456789[[#This Row],[IVA VENTA ]]-Tabla2456789[[#This Row],[IV COMPRA]]</f>
        <v>0</v>
      </c>
      <c r="T41" s="10">
        <f>(Tabla2456789[[#This Row],[VENTA ]]-(Tabla2456789[[#This Row],[MONTO DE COMPRA]]+Tabla2456789[[#This Row],[DIFERENCIA IVA ]]))</f>
        <v>0</v>
      </c>
      <c r="U41" s="17"/>
    </row>
    <row r="42" spans="1:21" s="15" customFormat="1" ht="20.100000000000001" customHeight="1" x14ac:dyDescent="0.25">
      <c r="A42" s="13">
        <v>44931</v>
      </c>
      <c r="B42" s="14"/>
      <c r="C42" s="14"/>
      <c r="D42" s="14" t="s">
        <v>164</v>
      </c>
      <c r="E42" s="15" t="s">
        <v>163</v>
      </c>
      <c r="F42" s="15" t="s">
        <v>19</v>
      </c>
      <c r="G42" s="14"/>
      <c r="H42" s="16" t="s">
        <v>165</v>
      </c>
      <c r="I42" s="17">
        <v>20000</v>
      </c>
      <c r="J42" s="5">
        <f>Tabla2456789[[#This Row],[TOTAL FACTURA]]*0.7</f>
        <v>14000</v>
      </c>
      <c r="K42" s="9">
        <f t="shared" si="0"/>
        <v>6000</v>
      </c>
      <c r="L42" s="4"/>
      <c r="M42" s="10"/>
      <c r="N42" s="10">
        <f>Tabla2456789[[#This Row],[MONTO DE COMPRA]]/1.19</f>
        <v>0</v>
      </c>
      <c r="O42" s="10">
        <f>Tabla2456789[[#This Row],[Columna1]]*19%</f>
        <v>0</v>
      </c>
      <c r="P42" s="10"/>
      <c r="Q42" s="10">
        <f>Tabla2456789[[#This Row],[VENTA ]]/1.19</f>
        <v>0</v>
      </c>
      <c r="R42" s="10">
        <f>Tabla2456789[[#This Row],[Columna2]]*19%</f>
        <v>0</v>
      </c>
      <c r="S42" s="10">
        <f>Tabla2456789[[#This Row],[IVA VENTA ]]-Tabla2456789[[#This Row],[IV COMPRA]]</f>
        <v>0</v>
      </c>
      <c r="T42" s="10">
        <f>(Tabla2456789[[#This Row],[VENTA ]]-(Tabla2456789[[#This Row],[MONTO DE COMPRA]]+Tabla2456789[[#This Row],[DIFERENCIA IVA ]]))</f>
        <v>0</v>
      </c>
      <c r="U42" s="17"/>
    </row>
    <row r="43" spans="1:21" s="15" customFormat="1" ht="20.100000000000001" customHeight="1" x14ac:dyDescent="0.25">
      <c r="A43" s="13">
        <v>44931</v>
      </c>
      <c r="B43" s="14" t="s">
        <v>168</v>
      </c>
      <c r="C43" s="14" t="s">
        <v>167</v>
      </c>
      <c r="D43" s="14" t="s">
        <v>169</v>
      </c>
      <c r="E43" s="15" t="s">
        <v>132</v>
      </c>
      <c r="F43" s="15" t="s">
        <v>19</v>
      </c>
      <c r="G43" s="14"/>
      <c r="H43" s="16" t="s">
        <v>170</v>
      </c>
      <c r="I43" s="17">
        <v>60000</v>
      </c>
      <c r="J43" s="5">
        <f>Tabla2456789[[#This Row],[TOTAL FACTURA]]*0.7</f>
        <v>42000</v>
      </c>
      <c r="K43" s="9">
        <f t="shared" si="0"/>
        <v>18000</v>
      </c>
      <c r="L43" s="4" t="s">
        <v>22</v>
      </c>
      <c r="M43" s="10">
        <v>152000</v>
      </c>
      <c r="N43" s="10">
        <f>Tabla2456789[[#This Row],[MONTO DE COMPRA]]/1.19</f>
        <v>127731.0924369748</v>
      </c>
      <c r="O43" s="10">
        <f>Tabla2456789[[#This Row],[Columna1]]*19%</f>
        <v>24268.907563025212</v>
      </c>
      <c r="P43" s="10">
        <v>200000</v>
      </c>
      <c r="Q43" s="10">
        <f>Tabla2456789[[#This Row],[VENTA ]]/1.19</f>
        <v>168067.22689075631</v>
      </c>
      <c r="R43" s="10">
        <f>Tabla2456789[[#This Row],[Columna2]]*19%</f>
        <v>31932.773109243699</v>
      </c>
      <c r="S43" s="10">
        <f>Tabla2456789[[#This Row],[IVA VENTA ]]-Tabla2456789[[#This Row],[IV COMPRA]]</f>
        <v>7663.865546218487</v>
      </c>
      <c r="T43" s="10">
        <f>(Tabla2456789[[#This Row],[VENTA ]]-(Tabla2456789[[#This Row],[MONTO DE COMPRA]]+Tabla2456789[[#This Row],[DIFERENCIA IVA ]]))</f>
        <v>40336.134453781502</v>
      </c>
      <c r="U43" s="17"/>
    </row>
    <row r="44" spans="1:21" s="15" customFormat="1" ht="20.100000000000001" customHeight="1" x14ac:dyDescent="0.25">
      <c r="A44" s="13">
        <v>44931</v>
      </c>
      <c r="B44" s="14" t="s">
        <v>173</v>
      </c>
      <c r="C44" s="14" t="s">
        <v>171</v>
      </c>
      <c r="D44" s="14" t="s">
        <v>172</v>
      </c>
      <c r="E44" s="15" t="s">
        <v>142</v>
      </c>
      <c r="F44" s="15" t="s">
        <v>19</v>
      </c>
      <c r="G44" s="14"/>
      <c r="H44" s="16" t="s">
        <v>151</v>
      </c>
      <c r="I44" s="17">
        <v>60000</v>
      </c>
      <c r="J44" s="5">
        <f>Tabla2456789[[#This Row],[TOTAL FACTURA]]*0.7</f>
        <v>42000</v>
      </c>
      <c r="K44" s="9">
        <f t="shared" si="0"/>
        <v>18000</v>
      </c>
      <c r="L44" s="4"/>
      <c r="M44" s="10"/>
      <c r="N44" s="10">
        <f>Tabla2456789[[#This Row],[MONTO DE COMPRA]]/1.19</f>
        <v>0</v>
      </c>
      <c r="O44" s="10">
        <f>Tabla2456789[[#This Row],[Columna1]]*19%</f>
        <v>0</v>
      </c>
      <c r="P44" s="10"/>
      <c r="Q44" s="10">
        <f>Tabla2456789[[#This Row],[VENTA ]]/1.19</f>
        <v>0</v>
      </c>
      <c r="R44" s="10">
        <f>Tabla2456789[[#This Row],[Columna2]]*19%</f>
        <v>0</v>
      </c>
      <c r="S44" s="10">
        <f>Tabla2456789[[#This Row],[IVA VENTA ]]-Tabla2456789[[#This Row],[IV COMPRA]]</f>
        <v>0</v>
      </c>
      <c r="T44" s="10">
        <f>(Tabla2456789[[#This Row],[VENTA ]]-(Tabla2456789[[#This Row],[MONTO DE COMPRA]]+Tabla2456789[[#This Row],[DIFERENCIA IVA ]]))</f>
        <v>0</v>
      </c>
      <c r="U44" s="17"/>
    </row>
    <row r="45" spans="1:21" s="15" customFormat="1" ht="20.100000000000001" customHeight="1" x14ac:dyDescent="0.25">
      <c r="A45" s="13">
        <v>44931</v>
      </c>
      <c r="B45" s="14"/>
      <c r="C45" s="14" t="s">
        <v>144</v>
      </c>
      <c r="D45" s="14" t="s">
        <v>174</v>
      </c>
      <c r="E45" s="15" t="s">
        <v>175</v>
      </c>
      <c r="F45" s="15" t="s">
        <v>19</v>
      </c>
      <c r="G45" s="14"/>
      <c r="H45" s="16" t="s">
        <v>176</v>
      </c>
      <c r="I45" s="17">
        <v>80000</v>
      </c>
      <c r="J45" s="5">
        <f>Tabla2456789[[#This Row],[TOTAL FACTURA]]*0.7</f>
        <v>56000</v>
      </c>
      <c r="K45" s="9">
        <f t="shared" si="0"/>
        <v>24000</v>
      </c>
      <c r="L45" s="4" t="s">
        <v>178</v>
      </c>
      <c r="M45" s="10"/>
      <c r="N45" s="10">
        <f>Tabla2456789[[#This Row],[MONTO DE COMPRA]]/1.19</f>
        <v>0</v>
      </c>
      <c r="O45" s="10">
        <f>Tabla2456789[[#This Row],[Columna1]]*19%</f>
        <v>0</v>
      </c>
      <c r="P45" s="10"/>
      <c r="Q45" s="10">
        <f>Tabla2456789[[#This Row],[VENTA ]]/1.19</f>
        <v>0</v>
      </c>
      <c r="R45" s="10">
        <f>Tabla2456789[[#This Row],[Columna2]]*19%</f>
        <v>0</v>
      </c>
      <c r="S45" s="10">
        <f>Tabla2456789[[#This Row],[IVA VENTA ]]-Tabla2456789[[#This Row],[IV COMPRA]]</f>
        <v>0</v>
      </c>
      <c r="T45" s="10">
        <f>(Tabla2456789[[#This Row],[VENTA ]]-(Tabla2456789[[#This Row],[MONTO DE COMPRA]]+Tabla2456789[[#This Row],[DIFERENCIA IVA ]]))</f>
        <v>0</v>
      </c>
      <c r="U45" s="17"/>
    </row>
    <row r="46" spans="1:21" s="15" customFormat="1" ht="20.100000000000001" customHeight="1" x14ac:dyDescent="0.25">
      <c r="A46" s="13">
        <v>44931</v>
      </c>
      <c r="B46" s="14"/>
      <c r="C46" s="14" t="s">
        <v>144</v>
      </c>
      <c r="D46" s="14" t="s">
        <v>174</v>
      </c>
      <c r="E46" s="15" t="s">
        <v>175</v>
      </c>
      <c r="F46" s="15" t="s">
        <v>33</v>
      </c>
      <c r="G46" s="14"/>
      <c r="H46" s="16" t="s">
        <v>177</v>
      </c>
      <c r="I46" s="17">
        <v>30000</v>
      </c>
      <c r="J46" s="5">
        <f>Tabla2456789[[#This Row],[TOTAL FACTURA]]*0.5</f>
        <v>15000</v>
      </c>
      <c r="K46" s="9">
        <f t="shared" si="0"/>
        <v>15000</v>
      </c>
      <c r="L46" s="4"/>
      <c r="M46" s="10"/>
      <c r="N46" s="10">
        <f>Tabla2456789[[#This Row],[MONTO DE COMPRA]]/1.19</f>
        <v>0</v>
      </c>
      <c r="O46" s="10">
        <f>Tabla2456789[[#This Row],[Columna1]]*19%</f>
        <v>0</v>
      </c>
      <c r="P46" s="10"/>
      <c r="Q46" s="10">
        <f>Tabla2456789[[#This Row],[VENTA ]]/1.19</f>
        <v>0</v>
      </c>
      <c r="R46" s="10">
        <f>Tabla2456789[[#This Row],[Columna2]]*19%</f>
        <v>0</v>
      </c>
      <c r="S46" s="10">
        <f>Tabla2456789[[#This Row],[IVA VENTA ]]-Tabla2456789[[#This Row],[IV COMPRA]]</f>
        <v>0</v>
      </c>
      <c r="T46" s="10">
        <f>(Tabla2456789[[#This Row],[VENTA ]]-(Tabla2456789[[#This Row],[MONTO DE COMPRA]]+Tabla2456789[[#This Row],[DIFERENCIA IVA ]]))</f>
        <v>0</v>
      </c>
      <c r="U46" s="17"/>
    </row>
    <row r="47" spans="1:21" s="15" customFormat="1" ht="20.100000000000001" customHeight="1" x14ac:dyDescent="0.25">
      <c r="A47" s="13">
        <v>44931</v>
      </c>
      <c r="B47" s="14" t="s">
        <v>183</v>
      </c>
      <c r="C47" s="14" t="s">
        <v>179</v>
      </c>
      <c r="D47" s="14" t="s">
        <v>180</v>
      </c>
      <c r="E47" s="15" t="s">
        <v>181</v>
      </c>
      <c r="F47" s="15" t="s">
        <v>19</v>
      </c>
      <c r="G47" s="14"/>
      <c r="H47" s="16" t="s">
        <v>182</v>
      </c>
      <c r="I47" s="17">
        <v>160000</v>
      </c>
      <c r="J47" s="5">
        <f>Tabla2456789[[#This Row],[TOTAL FACTURA]]*0.7</f>
        <v>112000</v>
      </c>
      <c r="K47" s="9">
        <f t="shared" si="0"/>
        <v>48000</v>
      </c>
      <c r="L47" s="4"/>
      <c r="M47" s="10"/>
      <c r="N47" s="10">
        <f>Tabla2456789[[#This Row],[MONTO DE COMPRA]]/1.19</f>
        <v>0</v>
      </c>
      <c r="O47" s="10">
        <f>Tabla2456789[[#This Row],[Columna1]]*19%</f>
        <v>0</v>
      </c>
      <c r="P47" s="10"/>
      <c r="Q47" s="10">
        <f>Tabla2456789[[#This Row],[VENTA ]]/1.19</f>
        <v>0</v>
      </c>
      <c r="R47" s="10">
        <f>Tabla2456789[[#This Row],[Columna2]]*19%</f>
        <v>0</v>
      </c>
      <c r="S47" s="10">
        <f>Tabla2456789[[#This Row],[IVA VENTA ]]-Tabla2456789[[#This Row],[IV COMPRA]]</f>
        <v>0</v>
      </c>
      <c r="T47" s="10">
        <f>(Tabla2456789[[#This Row],[VENTA ]]-(Tabla2456789[[#This Row],[MONTO DE COMPRA]]+Tabla2456789[[#This Row],[DIFERENCIA IVA ]]))</f>
        <v>0</v>
      </c>
      <c r="U47" s="17"/>
    </row>
    <row r="48" spans="1:21" s="15" customFormat="1" ht="20.100000000000001" customHeight="1" x14ac:dyDescent="0.25">
      <c r="A48" s="13">
        <v>44932</v>
      </c>
      <c r="B48" s="14"/>
      <c r="C48" s="14" t="s">
        <v>185</v>
      </c>
      <c r="D48" s="14" t="s">
        <v>186</v>
      </c>
      <c r="E48" s="15" t="s">
        <v>34</v>
      </c>
      <c r="F48" s="15" t="s">
        <v>19</v>
      </c>
      <c r="G48" s="14"/>
      <c r="H48" s="16" t="s">
        <v>187</v>
      </c>
      <c r="I48" s="17">
        <v>80000</v>
      </c>
      <c r="J48" s="5">
        <f>Tabla2456789[[#This Row],[TOTAL FACTURA]]*0.7</f>
        <v>56000</v>
      </c>
      <c r="K48" s="9">
        <f t="shared" si="0"/>
        <v>24000</v>
      </c>
      <c r="L48" s="4" t="s">
        <v>188</v>
      </c>
      <c r="M48" s="10">
        <v>10000</v>
      </c>
      <c r="N48" s="10"/>
      <c r="O48" s="10"/>
      <c r="P48" s="10">
        <v>5000</v>
      </c>
      <c r="Q48" s="10">
        <f>Tabla2456789[[#This Row],[VENTA ]]/1.19</f>
        <v>4201.680672268908</v>
      </c>
      <c r="R48" s="10"/>
      <c r="S48" s="10">
        <f>Tabla2456789[[#This Row],[IVA VENTA ]]-Tabla2456789[[#This Row],[IV COMPRA]]</f>
        <v>0</v>
      </c>
      <c r="T48" s="10">
        <f>(Tabla2456789[[#This Row],[VENTA ]]-(Tabla2456789[[#This Row],[MONTO DE COMPRA]]+Tabla2456789[[#This Row],[DIFERENCIA IVA ]]))</f>
        <v>-5000</v>
      </c>
      <c r="U48" s="17"/>
    </row>
    <row r="49" spans="1:21" s="15" customFormat="1" ht="20.100000000000001" customHeight="1" x14ac:dyDescent="0.25">
      <c r="A49" s="13">
        <v>44932</v>
      </c>
      <c r="B49" s="14"/>
      <c r="C49" s="14" t="s">
        <v>189</v>
      </c>
      <c r="D49" s="14" t="s">
        <v>190</v>
      </c>
      <c r="E49" s="15" t="s">
        <v>216</v>
      </c>
      <c r="F49" s="15" t="s">
        <v>19</v>
      </c>
      <c r="G49" s="14"/>
      <c r="H49" s="16" t="s">
        <v>235</v>
      </c>
      <c r="I49" s="17">
        <v>60000</v>
      </c>
      <c r="J49" s="5">
        <f>Tabla2456789[[#This Row],[TOTAL FACTURA]]*0.7</f>
        <v>42000</v>
      </c>
      <c r="K49" s="9">
        <f t="shared" si="0"/>
        <v>18000</v>
      </c>
      <c r="L49" s="4"/>
      <c r="M49" s="10"/>
      <c r="N49" s="10">
        <f>Tabla2456789[[#This Row],[MONTO DE COMPRA]]/1.19</f>
        <v>0</v>
      </c>
      <c r="O49" s="10">
        <f>Tabla2456789[[#This Row],[Columna1]]*19%</f>
        <v>0</v>
      </c>
      <c r="P49" s="10"/>
      <c r="Q49" s="10">
        <f>Tabla2456789[[#This Row],[VENTA ]]/1.19</f>
        <v>0</v>
      </c>
      <c r="R49" s="10">
        <f>Tabla2456789[[#This Row],[Columna2]]*19%</f>
        <v>0</v>
      </c>
      <c r="S49" s="10">
        <f>Tabla2456789[[#This Row],[IVA VENTA ]]-Tabla2456789[[#This Row],[IV COMPRA]]</f>
        <v>0</v>
      </c>
      <c r="T49" s="10">
        <f>(Tabla2456789[[#This Row],[VENTA ]]-(Tabla2456789[[#This Row],[MONTO DE COMPRA]]+Tabla2456789[[#This Row],[DIFERENCIA IVA ]]))</f>
        <v>0</v>
      </c>
      <c r="U49" s="17"/>
    </row>
    <row r="50" spans="1:21" s="15" customFormat="1" ht="20.100000000000001" customHeight="1" x14ac:dyDescent="0.25">
      <c r="A50" s="13">
        <v>44932</v>
      </c>
      <c r="B50" s="14" t="s">
        <v>193</v>
      </c>
      <c r="C50" s="14" t="s">
        <v>191</v>
      </c>
      <c r="D50" s="14" t="s">
        <v>192</v>
      </c>
      <c r="E50" s="15" t="s">
        <v>162</v>
      </c>
      <c r="F50" s="15" t="s">
        <v>19</v>
      </c>
      <c r="G50" s="14"/>
      <c r="H50" s="16" t="s">
        <v>194</v>
      </c>
      <c r="I50" s="17">
        <v>100000</v>
      </c>
      <c r="J50" s="5">
        <f>Tabla2456789[[#This Row],[TOTAL FACTURA]]*0.7</f>
        <v>70000</v>
      </c>
      <c r="K50" s="9">
        <f t="shared" si="0"/>
        <v>30000</v>
      </c>
      <c r="L50" s="4" t="s">
        <v>195</v>
      </c>
      <c r="M50" s="10">
        <v>10000</v>
      </c>
      <c r="N50" s="10">
        <f>Tabla2456789[[#This Row],[MONTO DE COMPRA]]/1.19</f>
        <v>8403.361344537816</v>
      </c>
      <c r="O50" s="10">
        <f>Tabla2456789[[#This Row],[Columna1]]*19%</f>
        <v>1596.6386554621849</v>
      </c>
      <c r="P50" s="10">
        <v>20000</v>
      </c>
      <c r="Q50" s="10">
        <f>Tabla2456789[[#This Row],[VENTA ]]/1.19</f>
        <v>16806.722689075632</v>
      </c>
      <c r="R50" s="10">
        <f>Tabla2456789[[#This Row],[Columna2]]*19%</f>
        <v>3193.2773109243699</v>
      </c>
      <c r="S50" s="10">
        <f>Tabla2456789[[#This Row],[IVA VENTA ]]-Tabla2456789[[#This Row],[IV COMPRA]]</f>
        <v>1596.6386554621849</v>
      </c>
      <c r="T50" s="10">
        <f>(Tabla2456789[[#This Row],[VENTA ]]-(Tabla2456789[[#This Row],[MONTO DE COMPRA]]+Tabla2456789[[#This Row],[DIFERENCIA IVA ]]))</f>
        <v>8403.3613445378141</v>
      </c>
      <c r="U50" s="17"/>
    </row>
    <row r="51" spans="1:21" s="15" customFormat="1" ht="20.100000000000001" customHeight="1" x14ac:dyDescent="0.25">
      <c r="A51" s="13">
        <v>44932</v>
      </c>
      <c r="B51" s="14"/>
      <c r="C51" s="14" t="s">
        <v>196</v>
      </c>
      <c r="D51" s="14" t="s">
        <v>197</v>
      </c>
      <c r="E51" s="15" t="s">
        <v>198</v>
      </c>
      <c r="F51" s="15" t="s">
        <v>26</v>
      </c>
      <c r="G51" s="14"/>
      <c r="H51" s="16" t="s">
        <v>199</v>
      </c>
      <c r="I51" s="17">
        <v>40000</v>
      </c>
      <c r="J51" s="5">
        <f>Tabla2456789[[#This Row],[TOTAL FACTURA]]*0.6</f>
        <v>24000</v>
      </c>
      <c r="K51" s="9">
        <f t="shared" si="0"/>
        <v>16000</v>
      </c>
      <c r="L51" s="4"/>
      <c r="M51" s="10"/>
      <c r="N51" s="10">
        <f>Tabla2456789[[#This Row],[MONTO DE COMPRA]]/1.19</f>
        <v>0</v>
      </c>
      <c r="O51" s="10">
        <f>Tabla2456789[[#This Row],[Columna1]]*19%</f>
        <v>0</v>
      </c>
      <c r="P51" s="10"/>
      <c r="Q51" s="10">
        <f>Tabla2456789[[#This Row],[VENTA ]]/1.19</f>
        <v>0</v>
      </c>
      <c r="R51" s="10">
        <f>Tabla2456789[[#This Row],[Columna2]]*19%</f>
        <v>0</v>
      </c>
      <c r="S51" s="10">
        <f>Tabla2456789[[#This Row],[IVA VENTA ]]-Tabla2456789[[#This Row],[IV COMPRA]]</f>
        <v>0</v>
      </c>
      <c r="T51" s="10">
        <f>(Tabla2456789[[#This Row],[VENTA ]]-(Tabla2456789[[#This Row],[MONTO DE COMPRA]]+Tabla2456789[[#This Row],[DIFERENCIA IVA ]]))</f>
        <v>0</v>
      </c>
      <c r="U51" s="17"/>
    </row>
    <row r="52" spans="1:21" s="15" customFormat="1" ht="20.100000000000001" customHeight="1" x14ac:dyDescent="0.25">
      <c r="A52" s="13">
        <v>44932</v>
      </c>
      <c r="B52" s="14"/>
      <c r="C52" s="14"/>
      <c r="D52" s="14" t="s">
        <v>200</v>
      </c>
      <c r="E52" s="15" t="s">
        <v>34</v>
      </c>
      <c r="F52" s="15" t="s">
        <v>26</v>
      </c>
      <c r="G52" s="14"/>
      <c r="H52" s="16" t="s">
        <v>201</v>
      </c>
      <c r="I52" s="17">
        <v>10000</v>
      </c>
      <c r="J52" s="5">
        <f>Tabla2456789[[#This Row],[TOTAL FACTURA]]*0.6</f>
        <v>6000</v>
      </c>
      <c r="K52" s="9">
        <f t="shared" si="0"/>
        <v>4000</v>
      </c>
      <c r="L52" s="4"/>
      <c r="M52" s="10"/>
      <c r="N52" s="10">
        <f>Tabla2456789[[#This Row],[MONTO DE COMPRA]]/1.19</f>
        <v>0</v>
      </c>
      <c r="O52" s="10">
        <f>Tabla2456789[[#This Row],[Columna1]]*19%</f>
        <v>0</v>
      </c>
      <c r="P52" s="10"/>
      <c r="Q52" s="10">
        <f>Tabla2456789[[#This Row],[VENTA ]]/1.19</f>
        <v>0</v>
      </c>
      <c r="R52" s="10">
        <f>Tabla2456789[[#This Row],[Columna2]]*19%</f>
        <v>0</v>
      </c>
      <c r="S52" s="10">
        <f>Tabla2456789[[#This Row],[IVA VENTA ]]-Tabla2456789[[#This Row],[IV COMPRA]]</f>
        <v>0</v>
      </c>
      <c r="T52" s="10">
        <f>(Tabla2456789[[#This Row],[VENTA ]]-(Tabla2456789[[#This Row],[MONTO DE COMPRA]]+Tabla2456789[[#This Row],[DIFERENCIA IVA ]]))</f>
        <v>0</v>
      </c>
      <c r="U52" s="17"/>
    </row>
    <row r="53" spans="1:21" s="15" customFormat="1" ht="20.100000000000001" customHeight="1" x14ac:dyDescent="0.25">
      <c r="A53" s="13">
        <v>44932</v>
      </c>
      <c r="B53" s="14"/>
      <c r="C53" s="14" t="s">
        <v>202</v>
      </c>
      <c r="D53" s="14" t="s">
        <v>203</v>
      </c>
      <c r="E53" s="15" t="s">
        <v>204</v>
      </c>
      <c r="F53" s="15" t="s">
        <v>19</v>
      </c>
      <c r="G53" s="14"/>
      <c r="H53" s="16" t="s">
        <v>205</v>
      </c>
      <c r="I53" s="17">
        <v>60000</v>
      </c>
      <c r="J53" s="5">
        <f>Tabla2456789[[#This Row],[TOTAL FACTURA]]*0.7</f>
        <v>42000</v>
      </c>
      <c r="K53" s="9">
        <f t="shared" si="0"/>
        <v>18000</v>
      </c>
      <c r="L53" s="4"/>
      <c r="M53" s="10"/>
      <c r="N53" s="10">
        <f>Tabla2456789[[#This Row],[MONTO DE COMPRA]]/1.19</f>
        <v>0</v>
      </c>
      <c r="O53" s="10">
        <f>Tabla2456789[[#This Row],[Columna1]]*19%</f>
        <v>0</v>
      </c>
      <c r="P53" s="10"/>
      <c r="Q53" s="10">
        <f>Tabla2456789[[#This Row],[VENTA ]]/1.19</f>
        <v>0</v>
      </c>
      <c r="R53" s="10">
        <f>Tabla2456789[[#This Row],[Columna2]]*19%</f>
        <v>0</v>
      </c>
      <c r="S53" s="10">
        <f>Tabla2456789[[#This Row],[IVA VENTA ]]-Tabla2456789[[#This Row],[IV COMPRA]]</f>
        <v>0</v>
      </c>
      <c r="T53" s="10">
        <f>(Tabla2456789[[#This Row],[VENTA ]]-(Tabla2456789[[#This Row],[MONTO DE COMPRA]]+Tabla2456789[[#This Row],[DIFERENCIA IVA ]]))</f>
        <v>0</v>
      </c>
      <c r="U53" s="17"/>
    </row>
    <row r="54" spans="1:21" s="15" customFormat="1" ht="20.100000000000001" customHeight="1" x14ac:dyDescent="0.25">
      <c r="A54" s="13">
        <v>44932</v>
      </c>
      <c r="B54" s="14"/>
      <c r="C54" s="14" t="s">
        <v>29</v>
      </c>
      <c r="D54" s="14" t="s">
        <v>30</v>
      </c>
      <c r="F54" s="15" t="s">
        <v>35</v>
      </c>
      <c r="G54" s="14"/>
      <c r="H54" s="16" t="s">
        <v>206</v>
      </c>
      <c r="I54" s="17">
        <v>50000</v>
      </c>
      <c r="J54" s="5">
        <f>Tabla2456789[[#This Row],[TOTAL FACTURA]]*0.6</f>
        <v>30000</v>
      </c>
      <c r="K54" s="9">
        <f t="shared" si="0"/>
        <v>20000</v>
      </c>
      <c r="L54" s="4"/>
      <c r="M54" s="10"/>
      <c r="N54" s="10">
        <f>Tabla2456789[[#This Row],[MONTO DE COMPRA]]/1.19</f>
        <v>0</v>
      </c>
      <c r="O54" s="10">
        <f>Tabla2456789[[#This Row],[Columna1]]*19%</f>
        <v>0</v>
      </c>
      <c r="P54" s="10"/>
      <c r="Q54" s="10">
        <f>Tabla2456789[[#This Row],[VENTA ]]/1.19</f>
        <v>0</v>
      </c>
      <c r="R54" s="10">
        <f>Tabla2456789[[#This Row],[Columna2]]*19%</f>
        <v>0</v>
      </c>
      <c r="S54" s="10">
        <f>Tabla2456789[[#This Row],[IVA VENTA ]]-Tabla2456789[[#This Row],[IV COMPRA]]</f>
        <v>0</v>
      </c>
      <c r="T54" s="10">
        <f>(Tabla2456789[[#This Row],[VENTA ]]-(Tabla2456789[[#This Row],[MONTO DE COMPRA]]+Tabla2456789[[#This Row],[DIFERENCIA IVA ]]))</f>
        <v>0</v>
      </c>
      <c r="U54" s="17"/>
    </row>
    <row r="55" spans="1:21" s="15" customFormat="1" ht="20.100000000000001" customHeight="1" x14ac:dyDescent="0.25">
      <c r="A55" s="13">
        <v>44932</v>
      </c>
      <c r="B55" s="14"/>
      <c r="C55" s="14" t="s">
        <v>207</v>
      </c>
      <c r="D55" s="14" t="s">
        <v>208</v>
      </c>
      <c r="E55" s="15" t="s">
        <v>209</v>
      </c>
      <c r="F55" s="15" t="s">
        <v>19</v>
      </c>
      <c r="G55" s="14"/>
      <c r="H55" s="16" t="s">
        <v>210</v>
      </c>
      <c r="I55" s="17">
        <v>40000</v>
      </c>
      <c r="J55" s="5">
        <f>Tabla2456789[[#This Row],[TOTAL FACTURA]]*0.7</f>
        <v>28000</v>
      </c>
      <c r="K55" s="9">
        <f t="shared" si="0"/>
        <v>12000</v>
      </c>
      <c r="L55" s="4"/>
      <c r="M55" s="10"/>
      <c r="N55" s="10">
        <f>Tabla2456789[[#This Row],[MONTO DE COMPRA]]/1.19</f>
        <v>0</v>
      </c>
      <c r="O55" s="10">
        <f>Tabla2456789[[#This Row],[Columna1]]*19%</f>
        <v>0</v>
      </c>
      <c r="P55" s="10"/>
      <c r="Q55" s="10">
        <f>Tabla2456789[[#This Row],[VENTA ]]/1.19</f>
        <v>0</v>
      </c>
      <c r="R55" s="10">
        <f>Tabla2456789[[#This Row],[Columna2]]*19%</f>
        <v>0</v>
      </c>
      <c r="S55" s="10">
        <f>Tabla2456789[[#This Row],[IVA VENTA ]]-Tabla2456789[[#This Row],[IV COMPRA]]</f>
        <v>0</v>
      </c>
      <c r="T55" s="10">
        <f>(Tabla2456789[[#This Row],[VENTA ]]-(Tabla2456789[[#This Row],[MONTO DE COMPRA]]+Tabla2456789[[#This Row],[DIFERENCIA IVA ]]))</f>
        <v>0</v>
      </c>
      <c r="U55" s="17"/>
    </row>
    <row r="56" spans="1:21" s="15" customFormat="1" ht="57.75" customHeight="1" x14ac:dyDescent="0.25">
      <c r="A56" s="13">
        <v>44933</v>
      </c>
      <c r="B56" s="14" t="s">
        <v>184</v>
      </c>
      <c r="C56" s="14" t="s">
        <v>144</v>
      </c>
      <c r="D56" s="14" t="s">
        <v>166</v>
      </c>
      <c r="E56" s="15" t="s">
        <v>28</v>
      </c>
      <c r="F56" s="15" t="s">
        <v>19</v>
      </c>
      <c r="G56" s="14"/>
      <c r="H56" s="16" t="s">
        <v>238</v>
      </c>
      <c r="I56" s="17">
        <v>290000</v>
      </c>
      <c r="J56" s="5">
        <f>Tabla2456789[[#This Row],[TOTAL FACTURA]]*0.7</f>
        <v>203000</v>
      </c>
      <c r="K56" s="9">
        <f t="shared" si="0"/>
        <v>87000</v>
      </c>
      <c r="L56" s="4" t="s">
        <v>236</v>
      </c>
      <c r="M56" s="10">
        <f>3400+27000+322823+370000</f>
        <v>723223</v>
      </c>
      <c r="N56" s="10">
        <f>Tabla2456789[[#This Row],[MONTO DE COMPRA]]/1.19</f>
        <v>607750.42016806721</v>
      </c>
      <c r="O56" s="10">
        <f>Tabla2456789[[#This Row],[Columna1]]*19%</f>
        <v>115472.57983193277</v>
      </c>
      <c r="P56" s="10">
        <v>985000</v>
      </c>
      <c r="Q56" s="10">
        <f>Tabla2456789[[#This Row],[VENTA ]]/1.19</f>
        <v>827731.09243697487</v>
      </c>
      <c r="R56" s="10">
        <f>Tabla2456789[[#This Row],[Columna2]]*19%</f>
        <v>157268.90756302522</v>
      </c>
      <c r="S56" s="10">
        <f>Tabla2456789[[#This Row],[IVA VENTA ]]-Tabla2456789[[#This Row],[IV COMPRA]]</f>
        <v>41796.327731092446</v>
      </c>
      <c r="T56" s="10">
        <f>(Tabla2456789[[#This Row],[VENTA ]]-(Tabla2456789[[#This Row],[MONTO DE COMPRA]]+Tabla2456789[[#This Row],[DIFERENCIA IVA ]]))</f>
        <v>219980.67226890754</v>
      </c>
      <c r="U56" s="17"/>
    </row>
    <row r="57" spans="1:21" s="15" customFormat="1" ht="20.100000000000001" customHeight="1" x14ac:dyDescent="0.25">
      <c r="A57" s="13">
        <v>44933</v>
      </c>
      <c r="B57" s="14"/>
      <c r="C57" s="14" t="s">
        <v>239</v>
      </c>
      <c r="D57" s="15" t="s">
        <v>240</v>
      </c>
      <c r="E57" s="15" t="s">
        <v>146</v>
      </c>
      <c r="F57" s="15" t="s">
        <v>19</v>
      </c>
      <c r="G57" s="15" t="s">
        <v>314</v>
      </c>
      <c r="H57" s="16" t="s">
        <v>124</v>
      </c>
      <c r="I57" s="17">
        <v>45000</v>
      </c>
      <c r="J57" s="61">
        <f>IF(G:G="FRENOS",(Tabla2456789[[#This Row],[TOTAL FACTURA]]*0.8),(Tabla2456789[[#This Row],[TOTAL FACTURA]]*0.5))</f>
        <v>36000</v>
      </c>
      <c r="K57" s="9">
        <f t="shared" si="0"/>
        <v>9000</v>
      </c>
      <c r="L57" s="4" t="s">
        <v>241</v>
      </c>
      <c r="M57" s="10"/>
      <c r="N57" s="10">
        <f>Tabla2456789[[#This Row],[MONTO DE COMPRA]]/1.19</f>
        <v>0</v>
      </c>
      <c r="O57" s="10">
        <f>Tabla2456789[[#This Row],[Columna1]]*19%</f>
        <v>0</v>
      </c>
      <c r="P57" s="10"/>
      <c r="Q57" s="10">
        <f>Tabla2456789[[#This Row],[VENTA ]]/1.19</f>
        <v>0</v>
      </c>
      <c r="R57" s="10">
        <f>Tabla2456789[[#This Row],[Columna2]]*19%</f>
        <v>0</v>
      </c>
      <c r="S57" s="10">
        <f>Tabla2456789[[#This Row],[IVA VENTA ]]-Tabla2456789[[#This Row],[IV COMPRA]]</f>
        <v>0</v>
      </c>
      <c r="T57" s="10">
        <f>(Tabla2456789[[#This Row],[VENTA ]]-(Tabla2456789[[#This Row],[MONTO DE COMPRA]]+Tabla2456789[[#This Row],[DIFERENCIA IVA ]]))</f>
        <v>0</v>
      </c>
      <c r="U57" s="17"/>
    </row>
    <row r="58" spans="1:21" s="15" customFormat="1" ht="20.100000000000001" customHeight="1" x14ac:dyDescent="0.25">
      <c r="A58" s="13">
        <v>44933</v>
      </c>
      <c r="B58" s="14" t="s">
        <v>245</v>
      </c>
      <c r="C58" s="14" t="s">
        <v>242</v>
      </c>
      <c r="D58" s="14" t="s">
        <v>243</v>
      </c>
      <c r="E58" s="15" t="s">
        <v>34</v>
      </c>
      <c r="F58" s="15" t="s">
        <v>26</v>
      </c>
      <c r="G58" s="14" t="s">
        <v>314</v>
      </c>
      <c r="H58" s="16" t="s">
        <v>176</v>
      </c>
      <c r="I58" s="17">
        <v>30000</v>
      </c>
      <c r="J58" s="17">
        <f>IF(G:G="FRENOS",(Tabla2456789[[#This Row],[TOTAL FACTURA]]*0.8),(Tabla2456789[[#This Row],[TOTAL FACTURA]]*0.5))</f>
        <v>24000</v>
      </c>
      <c r="K58" s="9">
        <f t="shared" si="0"/>
        <v>6000</v>
      </c>
      <c r="L58" s="4" t="s">
        <v>244</v>
      </c>
      <c r="M58" s="10">
        <v>12000</v>
      </c>
      <c r="N58" s="10">
        <f>Tabla2456789[[#This Row],[MONTO DE COMPRA]]/1.19</f>
        <v>10084.033613445379</v>
      </c>
      <c r="O58" s="10">
        <f>Tabla2456789[[#This Row],[Columna1]]*19%</f>
        <v>1915.966386554622</v>
      </c>
      <c r="P58" s="10">
        <v>25000</v>
      </c>
      <c r="Q58" s="10">
        <f>Tabla2456789[[#This Row],[VENTA ]]/1.19</f>
        <v>21008.403361344539</v>
      </c>
      <c r="R58" s="10">
        <f>Tabla2456789[[#This Row],[Columna2]]*19%</f>
        <v>3991.5966386554624</v>
      </c>
      <c r="S58" s="10">
        <f>Tabla2456789[[#This Row],[IVA VENTA ]]-Tabla2456789[[#This Row],[IV COMPRA]]</f>
        <v>2075.6302521008402</v>
      </c>
      <c r="T58" s="10">
        <f>(Tabla2456789[[#This Row],[VENTA ]]-(Tabla2456789[[#This Row],[MONTO DE COMPRA]]+Tabla2456789[[#This Row],[DIFERENCIA IVA ]]))</f>
        <v>10924.36974789916</v>
      </c>
      <c r="U58" s="17"/>
    </row>
    <row r="59" spans="1:21" s="15" customFormat="1" ht="20.100000000000001" customHeight="1" x14ac:dyDescent="0.25">
      <c r="A59" s="13">
        <v>44936</v>
      </c>
      <c r="B59" s="14"/>
      <c r="C59" s="14" t="s">
        <v>246</v>
      </c>
      <c r="D59" s="14" t="s">
        <v>247</v>
      </c>
      <c r="E59" s="15" t="s">
        <v>248</v>
      </c>
      <c r="F59" s="15" t="s">
        <v>19</v>
      </c>
      <c r="G59" s="14" t="s">
        <v>224</v>
      </c>
      <c r="H59" s="16" t="s">
        <v>249</v>
      </c>
      <c r="I59" s="17">
        <v>50000</v>
      </c>
      <c r="J59" s="61">
        <f>IF(G:G="FRENOS",(Tabla2456789[[#This Row],[TOTAL FACTURA]]*0.8),(Tabla2456789[[#This Row],[TOTAL FACTURA]]*0.5))</f>
        <v>25000</v>
      </c>
      <c r="K59" s="9">
        <f t="shared" si="0"/>
        <v>25000</v>
      </c>
      <c r="L59" s="4"/>
      <c r="M59" s="10"/>
      <c r="N59" s="10">
        <f>Tabla2456789[[#This Row],[MONTO DE COMPRA]]/1.19</f>
        <v>0</v>
      </c>
      <c r="O59" s="10">
        <f>Tabla2456789[[#This Row],[Columna1]]*19%</f>
        <v>0</v>
      </c>
      <c r="P59" s="10"/>
      <c r="Q59" s="10">
        <f>Tabla2456789[[#This Row],[VENTA ]]/1.19</f>
        <v>0</v>
      </c>
      <c r="R59" s="10">
        <f>Tabla2456789[[#This Row],[Columna2]]*19%</f>
        <v>0</v>
      </c>
      <c r="S59" s="10">
        <f>Tabla2456789[[#This Row],[IVA VENTA ]]-Tabla2456789[[#This Row],[IV COMPRA]]</f>
        <v>0</v>
      </c>
      <c r="T59" s="10">
        <f>(Tabla2456789[[#This Row],[VENTA ]]-(Tabla2456789[[#This Row],[MONTO DE COMPRA]]+Tabla2456789[[#This Row],[DIFERENCIA IVA ]]))</f>
        <v>0</v>
      </c>
      <c r="U59" s="17"/>
    </row>
    <row r="60" spans="1:21" s="15" customFormat="1" ht="20.100000000000001" customHeight="1" x14ac:dyDescent="0.25">
      <c r="A60" s="13">
        <v>44936</v>
      </c>
      <c r="B60" s="14" t="s">
        <v>253</v>
      </c>
      <c r="C60" s="14" t="s">
        <v>250</v>
      </c>
      <c r="D60" s="14" t="s">
        <v>251</v>
      </c>
      <c r="E60" s="15" t="s">
        <v>142</v>
      </c>
      <c r="F60" s="15" t="s">
        <v>19</v>
      </c>
      <c r="G60" s="14" t="s">
        <v>314</v>
      </c>
      <c r="H60" s="16" t="s">
        <v>311</v>
      </c>
      <c r="I60" s="17">
        <v>30000</v>
      </c>
      <c r="J60" s="61">
        <v>124000</v>
      </c>
      <c r="K60" s="9">
        <f t="shared" si="0"/>
        <v>-94000</v>
      </c>
      <c r="L60" s="4" t="s">
        <v>252</v>
      </c>
      <c r="M60" s="10">
        <v>162000</v>
      </c>
      <c r="N60" s="10">
        <f>Tabla2456789[[#This Row],[MONTO DE COMPRA]]/1.19</f>
        <v>136134.45378151262</v>
      </c>
      <c r="O60" s="10">
        <f>Tabla2456789[[#This Row],[Columna1]]*19%</f>
        <v>25865.546218487398</v>
      </c>
      <c r="P60" s="10">
        <v>210000</v>
      </c>
      <c r="Q60" s="10">
        <f>Tabla2456789[[#This Row],[VENTA ]]/1.19</f>
        <v>176470.58823529413</v>
      </c>
      <c r="R60" s="10">
        <f>Tabla2456789[[#This Row],[Columna2]]*19%</f>
        <v>33529.411764705881</v>
      </c>
      <c r="S60" s="10">
        <f>Tabla2456789[[#This Row],[IVA VENTA ]]-Tabla2456789[[#This Row],[IV COMPRA]]</f>
        <v>7663.8655462184834</v>
      </c>
      <c r="T60" s="10">
        <f>(Tabla2456789[[#This Row],[VENTA ]]-(Tabla2456789[[#This Row],[MONTO DE COMPRA]]+Tabla2456789[[#This Row],[DIFERENCIA IVA ]]))</f>
        <v>40336.134453781531</v>
      </c>
      <c r="U60" s="17"/>
    </row>
    <row r="61" spans="1:21" s="15" customFormat="1" ht="20.100000000000001" customHeight="1" x14ac:dyDescent="0.25">
      <c r="A61" s="13">
        <v>44936</v>
      </c>
      <c r="B61" s="14" t="s">
        <v>253</v>
      </c>
      <c r="C61" s="14" t="s">
        <v>250</v>
      </c>
      <c r="D61" s="14" t="s">
        <v>251</v>
      </c>
      <c r="E61" s="15" t="s">
        <v>142</v>
      </c>
      <c r="F61" s="15" t="s">
        <v>26</v>
      </c>
      <c r="G61" s="14" t="s">
        <v>224</v>
      </c>
      <c r="H61" s="16" t="s">
        <v>254</v>
      </c>
      <c r="I61" s="17">
        <v>200000</v>
      </c>
      <c r="J61" s="61">
        <f>IF(G:G="FRENOS",(Tabla2456789[[#This Row],[TOTAL FACTURA]]*0.8),(Tabla2456789[[#This Row],[TOTAL FACTURA]]*0.5))</f>
        <v>100000</v>
      </c>
      <c r="K61" s="9">
        <f t="shared" si="0"/>
        <v>100000</v>
      </c>
      <c r="L61" s="4"/>
      <c r="M61" s="10"/>
      <c r="N61" s="10">
        <f>Tabla2456789[[#This Row],[MONTO DE COMPRA]]/1.19</f>
        <v>0</v>
      </c>
      <c r="O61" s="10">
        <f>Tabla2456789[[#This Row],[Columna1]]*19%</f>
        <v>0</v>
      </c>
      <c r="P61" s="10"/>
      <c r="Q61" s="10">
        <f>Tabla2456789[[#This Row],[VENTA ]]/1.19</f>
        <v>0</v>
      </c>
      <c r="R61" s="10">
        <f>Tabla2456789[[#This Row],[Columna2]]*19%</f>
        <v>0</v>
      </c>
      <c r="S61" s="10">
        <f>Tabla2456789[[#This Row],[IVA VENTA ]]-Tabla2456789[[#This Row],[IV COMPRA]]</f>
        <v>0</v>
      </c>
      <c r="T61" s="10">
        <f>(Tabla2456789[[#This Row],[VENTA ]]-(Tabla2456789[[#This Row],[MONTO DE COMPRA]]+Tabla2456789[[#This Row],[DIFERENCIA IVA ]]))</f>
        <v>0</v>
      </c>
      <c r="U61" s="17"/>
    </row>
    <row r="62" spans="1:21" s="15" customFormat="1" ht="20.100000000000001" customHeight="1" x14ac:dyDescent="0.25">
      <c r="A62" s="13">
        <v>44936</v>
      </c>
      <c r="B62" s="14"/>
      <c r="C62" s="14" t="s">
        <v>255</v>
      </c>
      <c r="D62" s="14" t="s">
        <v>256</v>
      </c>
      <c r="E62" s="18" t="s">
        <v>257</v>
      </c>
      <c r="F62" s="15" t="s">
        <v>19</v>
      </c>
      <c r="G62" s="14" t="s">
        <v>314</v>
      </c>
      <c r="H62" s="16" t="s">
        <v>23</v>
      </c>
      <c r="I62" s="17">
        <v>30000</v>
      </c>
      <c r="J62" s="61">
        <f>IF(G:G="FRENOS",(Tabla2456789[[#This Row],[TOTAL FACTURA]]*0.8),(Tabla2456789[[#This Row],[TOTAL FACTURA]]*0.5))</f>
        <v>24000</v>
      </c>
      <c r="K62" s="9">
        <f t="shared" si="0"/>
        <v>6000</v>
      </c>
      <c r="L62" s="4"/>
      <c r="M62" s="10"/>
      <c r="N62" s="10">
        <f>Tabla2456789[[#This Row],[MONTO DE COMPRA]]/1.19</f>
        <v>0</v>
      </c>
      <c r="O62" s="10">
        <f>Tabla2456789[[#This Row],[Columna1]]*19%</f>
        <v>0</v>
      </c>
      <c r="P62" s="10"/>
      <c r="Q62" s="10">
        <f>Tabla2456789[[#This Row],[VENTA ]]/1.19</f>
        <v>0</v>
      </c>
      <c r="R62" s="10">
        <f>Tabla2456789[[#This Row],[Columna2]]*19%</f>
        <v>0</v>
      </c>
      <c r="S62" s="10">
        <f>Tabla2456789[[#This Row],[IVA VENTA ]]-Tabla2456789[[#This Row],[IV COMPRA]]</f>
        <v>0</v>
      </c>
      <c r="T62" s="10">
        <f>(Tabla2456789[[#This Row],[VENTA ]]-(Tabla2456789[[#This Row],[MONTO DE COMPRA]]+Tabla2456789[[#This Row],[DIFERENCIA IVA ]]))</f>
        <v>0</v>
      </c>
      <c r="U62" s="17"/>
    </row>
    <row r="63" spans="1:21" s="15" customFormat="1" ht="36" customHeight="1" x14ac:dyDescent="0.25">
      <c r="A63" s="13">
        <v>44936</v>
      </c>
      <c r="B63" s="14" t="s">
        <v>262</v>
      </c>
      <c r="C63" s="14"/>
      <c r="D63" s="14" t="s">
        <v>258</v>
      </c>
      <c r="E63" s="18" t="s">
        <v>259</v>
      </c>
      <c r="F63" s="15" t="s">
        <v>26</v>
      </c>
      <c r="G63" s="14" t="s">
        <v>314</v>
      </c>
      <c r="H63" s="16" t="s">
        <v>260</v>
      </c>
      <c r="I63" s="17">
        <v>40000</v>
      </c>
      <c r="J63" s="61">
        <f>IF(G:G="FRENOS",(Tabla2456789[[#This Row],[TOTAL FACTURA]]*0.8),(Tabla2456789[[#This Row],[TOTAL FACTURA]]*0.5))</f>
        <v>32000</v>
      </c>
      <c r="K63" s="9">
        <f t="shared" si="0"/>
        <v>8000</v>
      </c>
      <c r="L63" s="4" t="s">
        <v>261</v>
      </c>
      <c r="M63" s="10">
        <f>18000+8000</f>
        <v>26000</v>
      </c>
      <c r="N63" s="10">
        <f>Tabla2456789[[#This Row],[MONTO DE COMPRA]]/1.19</f>
        <v>21848.73949579832</v>
      </c>
      <c r="O63" s="10">
        <f>Tabla2456789[[#This Row],[Columna1]]*19%</f>
        <v>4151.2605042016812</v>
      </c>
      <c r="P63" s="10">
        <v>50000</v>
      </c>
      <c r="Q63" s="10">
        <f>Tabla2456789[[#This Row],[VENTA ]]/1.19</f>
        <v>42016.806722689078</v>
      </c>
      <c r="R63" s="10">
        <f>Tabla2456789[[#This Row],[Columna2]]*19%</f>
        <v>7983.1932773109247</v>
      </c>
      <c r="S63" s="10">
        <f>Tabla2456789[[#This Row],[IVA VENTA ]]-Tabla2456789[[#This Row],[IV COMPRA]]</f>
        <v>3831.9327731092435</v>
      </c>
      <c r="T63" s="10">
        <f>(Tabla2456789[[#This Row],[VENTA ]]-(Tabla2456789[[#This Row],[MONTO DE COMPRA]]+Tabla2456789[[#This Row],[DIFERENCIA IVA ]]))</f>
        <v>20168.067226890758</v>
      </c>
      <c r="U63" s="17"/>
    </row>
    <row r="64" spans="1:21" s="15" customFormat="1" ht="20.100000000000001" customHeight="1" x14ac:dyDescent="0.25">
      <c r="A64" s="13">
        <v>44937</v>
      </c>
      <c r="B64" s="14"/>
      <c r="C64" s="14" t="s">
        <v>263</v>
      </c>
      <c r="D64" s="14" t="s">
        <v>264</v>
      </c>
      <c r="E64" s="15" t="s">
        <v>265</v>
      </c>
      <c r="F64" s="15" t="s">
        <v>19</v>
      </c>
      <c r="G64" s="14" t="s">
        <v>314</v>
      </c>
      <c r="H64" s="16" t="s">
        <v>20</v>
      </c>
      <c r="I64" s="17">
        <v>10000</v>
      </c>
      <c r="J64" s="61">
        <f>IF(G:G="FRENOS",(Tabla2456789[[#This Row],[TOTAL FACTURA]]*0.8),(Tabla2456789[[#This Row],[TOTAL FACTURA]]*0.5))</f>
        <v>8000</v>
      </c>
      <c r="K64" s="9">
        <f t="shared" si="0"/>
        <v>2000</v>
      </c>
      <c r="L64" s="4"/>
      <c r="M64" s="10"/>
      <c r="N64" s="10">
        <f>Tabla2456789[[#This Row],[MONTO DE COMPRA]]/1.19</f>
        <v>0</v>
      </c>
      <c r="O64" s="10">
        <f>Tabla2456789[[#This Row],[Columna1]]*19%</f>
        <v>0</v>
      </c>
      <c r="P64" s="10"/>
      <c r="Q64" s="10">
        <f>Tabla2456789[[#This Row],[VENTA ]]/1.19</f>
        <v>0</v>
      </c>
      <c r="R64" s="10">
        <f>Tabla2456789[[#This Row],[Columna2]]*19%</f>
        <v>0</v>
      </c>
      <c r="S64" s="10">
        <f>Tabla2456789[[#This Row],[IVA VENTA ]]-Tabla2456789[[#This Row],[IV COMPRA]]</f>
        <v>0</v>
      </c>
      <c r="T64" s="10">
        <f>(Tabla2456789[[#This Row],[VENTA ]]-(Tabla2456789[[#This Row],[MONTO DE COMPRA]]+Tabla2456789[[#This Row],[DIFERENCIA IVA ]]))</f>
        <v>0</v>
      </c>
      <c r="U64" s="17"/>
    </row>
    <row r="65" spans="1:21" s="15" customFormat="1" ht="39.75" customHeight="1" x14ac:dyDescent="0.25">
      <c r="A65" s="13">
        <v>44937</v>
      </c>
      <c r="B65" s="14"/>
      <c r="C65" s="14" t="s">
        <v>242</v>
      </c>
      <c r="D65" s="14" t="s">
        <v>266</v>
      </c>
      <c r="E65" s="15" t="s">
        <v>34</v>
      </c>
      <c r="F65" s="15" t="s">
        <v>19</v>
      </c>
      <c r="G65" s="14" t="s">
        <v>314</v>
      </c>
      <c r="H65" s="16" t="s">
        <v>267</v>
      </c>
      <c r="I65" s="17">
        <v>110000</v>
      </c>
      <c r="J65" s="61">
        <f>IF(G:G="FRENOS",(Tabla2456789[[#This Row],[TOTAL FACTURA]]*0.8),(Tabla2456789[[#This Row],[TOTAL FACTURA]]*0.5))</f>
        <v>88000</v>
      </c>
      <c r="K65" s="9">
        <f t="shared" si="0"/>
        <v>22000</v>
      </c>
      <c r="L65" s="4" t="s">
        <v>159</v>
      </c>
      <c r="M65" s="10">
        <f>39851.11+4800+50000+27000</f>
        <v>121651.11</v>
      </c>
      <c r="N65" s="10">
        <f>Tabla2456789[[#This Row],[MONTO DE COMPRA]]/1.19</f>
        <v>102227.82352941178</v>
      </c>
      <c r="O65" s="10">
        <f>Tabla2456789[[#This Row],[Columna1]]*19%</f>
        <v>19423.286470588238</v>
      </c>
      <c r="P65" s="10">
        <f>35000+80000+80000</f>
        <v>195000</v>
      </c>
      <c r="Q65" s="10">
        <f>Tabla2456789[[#This Row],[VENTA ]]/1.19</f>
        <v>163865.5462184874</v>
      </c>
      <c r="R65" s="10">
        <f>Tabla2456789[[#This Row],[Columna2]]*19%</f>
        <v>31134.453781512606</v>
      </c>
      <c r="S65" s="10">
        <f>Tabla2456789[[#This Row],[IVA VENTA ]]-Tabla2456789[[#This Row],[IV COMPRA]]</f>
        <v>11711.167310924367</v>
      </c>
      <c r="T65" s="10">
        <f>(Tabla2456789[[#This Row],[VENTA ]]-(Tabla2456789[[#This Row],[MONTO DE COMPRA]]+Tabla2456789[[#This Row],[DIFERENCIA IVA ]]))</f>
        <v>61637.722689075628</v>
      </c>
      <c r="U65" s="17"/>
    </row>
    <row r="66" spans="1:21" s="15" customFormat="1" ht="47.25" customHeight="1" x14ac:dyDescent="0.25">
      <c r="A66" s="13">
        <v>44937</v>
      </c>
      <c r="B66" s="14" t="s">
        <v>269</v>
      </c>
      <c r="C66" s="14" t="s">
        <v>268</v>
      </c>
      <c r="D66" s="14" t="s">
        <v>270</v>
      </c>
      <c r="E66" s="15" t="s">
        <v>163</v>
      </c>
      <c r="F66" s="15" t="s">
        <v>19</v>
      </c>
      <c r="G66" s="14" t="s">
        <v>314</v>
      </c>
      <c r="H66" s="16" t="s">
        <v>271</v>
      </c>
      <c r="I66" s="17">
        <v>130000</v>
      </c>
      <c r="J66" s="61">
        <f>IF(G:G="FRENOS",(Tabla2456789[[#This Row],[TOTAL FACTURA]]*0.8),(Tabla2456789[[#This Row],[TOTAL FACTURA]]*0.5))</f>
        <v>104000</v>
      </c>
      <c r="K66" s="9">
        <f t="shared" ref="K66:K130" si="1">I66-J66</f>
        <v>26000</v>
      </c>
      <c r="L66" s="4" t="s">
        <v>272</v>
      </c>
      <c r="M66" s="10">
        <f>196000+27000+60000</f>
        <v>283000</v>
      </c>
      <c r="N66" s="10">
        <f>Tabla2456789[[#This Row],[MONTO DE COMPRA]]/1.19</f>
        <v>237815.12605042019</v>
      </c>
      <c r="O66" s="10">
        <f>Tabla2456789[[#This Row],[Columna1]]*19%</f>
        <v>45184.873949579836</v>
      </c>
      <c r="P66" s="10">
        <f>110000+210000+50000+80000</f>
        <v>450000</v>
      </c>
      <c r="Q66" s="10">
        <f>Tabla2456789[[#This Row],[VENTA ]]/1.19</f>
        <v>378151.26050420169</v>
      </c>
      <c r="R66" s="10">
        <f>Tabla2456789[[#This Row],[Columna2]]*19%</f>
        <v>71848.73949579832</v>
      </c>
      <c r="S66" s="10">
        <f>Tabla2456789[[#This Row],[IVA VENTA ]]-Tabla2456789[[#This Row],[IV COMPRA]]</f>
        <v>26663.865546218483</v>
      </c>
      <c r="T66" s="10">
        <f>(Tabla2456789[[#This Row],[VENTA ]]-(Tabla2456789[[#This Row],[MONTO DE COMPRA]]+Tabla2456789[[#This Row],[DIFERENCIA IVA ]]))</f>
        <v>140336.13445378153</v>
      </c>
      <c r="U66" s="17"/>
    </row>
    <row r="67" spans="1:21" s="15" customFormat="1" ht="20.100000000000001" customHeight="1" x14ac:dyDescent="0.25">
      <c r="A67" s="13">
        <v>44938</v>
      </c>
      <c r="B67" s="14"/>
      <c r="C67" s="14" t="s">
        <v>275</v>
      </c>
      <c r="D67" s="14" t="s">
        <v>273</v>
      </c>
      <c r="E67" s="15" t="s">
        <v>274</v>
      </c>
      <c r="F67" s="15" t="s">
        <v>26</v>
      </c>
      <c r="G67" s="14" t="s">
        <v>314</v>
      </c>
      <c r="H67" s="16" t="s">
        <v>20</v>
      </c>
      <c r="I67" s="17">
        <v>10000</v>
      </c>
      <c r="J67" s="61">
        <f>IF(G:G="FRENOS",(Tabla2456789[[#This Row],[TOTAL FACTURA]]*0.8),(Tabla2456789[[#This Row],[TOTAL FACTURA]]*0.5))</f>
        <v>8000</v>
      </c>
      <c r="K67" s="9">
        <f t="shared" si="1"/>
        <v>2000</v>
      </c>
      <c r="L67" s="4"/>
      <c r="M67" s="10"/>
      <c r="N67" s="10">
        <f>Tabla2456789[[#This Row],[MONTO DE COMPRA]]/1.19</f>
        <v>0</v>
      </c>
      <c r="O67" s="10">
        <f>Tabla2456789[[#This Row],[Columna1]]*19%</f>
        <v>0</v>
      </c>
      <c r="P67" s="10"/>
      <c r="Q67" s="10">
        <f>Tabla2456789[[#This Row],[VENTA ]]/1.19</f>
        <v>0</v>
      </c>
      <c r="R67" s="10">
        <f>Tabla2456789[[#This Row],[Columna2]]*19%</f>
        <v>0</v>
      </c>
      <c r="S67" s="10">
        <f>Tabla2456789[[#This Row],[IVA VENTA ]]-Tabla2456789[[#This Row],[IV COMPRA]]</f>
        <v>0</v>
      </c>
      <c r="T67" s="10">
        <f>(Tabla2456789[[#This Row],[VENTA ]]-(Tabla2456789[[#This Row],[MONTO DE COMPRA]]+Tabla2456789[[#This Row],[DIFERENCIA IVA ]]))</f>
        <v>0</v>
      </c>
      <c r="U67" s="17"/>
    </row>
    <row r="68" spans="1:21" s="15" customFormat="1" ht="20.100000000000001" customHeight="1" x14ac:dyDescent="0.25">
      <c r="A68" s="13">
        <v>44938</v>
      </c>
      <c r="B68" s="14" t="s">
        <v>279</v>
      </c>
      <c r="C68" s="14" t="s">
        <v>276</v>
      </c>
      <c r="D68" s="14" t="s">
        <v>277</v>
      </c>
      <c r="E68" s="15" t="s">
        <v>162</v>
      </c>
      <c r="F68" s="15" t="s">
        <v>19</v>
      </c>
      <c r="G68" s="14" t="s">
        <v>314</v>
      </c>
      <c r="H68" s="16" t="s">
        <v>278</v>
      </c>
      <c r="I68" s="17">
        <v>60000</v>
      </c>
      <c r="J68" s="61">
        <f>IF(G:G="FRENOS",(Tabla2456789[[#This Row],[TOTAL FACTURA]]*0.8),(Tabla2456789[[#This Row],[TOTAL FACTURA]]*0.5))</f>
        <v>48000</v>
      </c>
      <c r="K68" s="9">
        <f t="shared" si="1"/>
        <v>12000</v>
      </c>
      <c r="L68" s="4"/>
      <c r="M68" s="10"/>
      <c r="N68" s="10">
        <f>Tabla2456789[[#This Row],[MONTO DE COMPRA]]/1.19</f>
        <v>0</v>
      </c>
      <c r="O68" s="10">
        <f>Tabla2456789[[#This Row],[Columna1]]*19%</f>
        <v>0</v>
      </c>
      <c r="P68" s="10"/>
      <c r="Q68" s="10">
        <f>Tabla2456789[[#This Row],[VENTA ]]/1.19</f>
        <v>0</v>
      </c>
      <c r="R68" s="10">
        <f>Tabla2456789[[#This Row],[Columna2]]*19%</f>
        <v>0</v>
      </c>
      <c r="S68" s="10">
        <f>Tabla2456789[[#This Row],[IVA VENTA ]]-Tabla2456789[[#This Row],[IV COMPRA]]</f>
        <v>0</v>
      </c>
      <c r="T68" s="10">
        <f>(Tabla2456789[[#This Row],[VENTA ]]-(Tabla2456789[[#This Row],[MONTO DE COMPRA]]+Tabla2456789[[#This Row],[DIFERENCIA IVA ]]))</f>
        <v>0</v>
      </c>
      <c r="U68" s="17"/>
    </row>
    <row r="69" spans="1:21" s="15" customFormat="1" ht="20.100000000000001" customHeight="1" x14ac:dyDescent="0.25">
      <c r="A69" s="13">
        <v>44938</v>
      </c>
      <c r="B69" s="14" t="s">
        <v>283</v>
      </c>
      <c r="C69" s="14" t="s">
        <v>280</v>
      </c>
      <c r="D69" s="14" t="s">
        <v>281</v>
      </c>
      <c r="E69" s="15" t="s">
        <v>321</v>
      </c>
      <c r="F69" s="15" t="s">
        <v>19</v>
      </c>
      <c r="G69" s="14" t="s">
        <v>314</v>
      </c>
      <c r="H69" s="16" t="s">
        <v>282</v>
      </c>
      <c r="I69" s="17">
        <v>30000</v>
      </c>
      <c r="J69" s="61">
        <f>IF(G:G="FRENOS",(Tabla2456789[[#This Row],[TOTAL FACTURA]]*0.8),(Tabla2456789[[#This Row],[TOTAL FACTURA]]*0.5))</f>
        <v>24000</v>
      </c>
      <c r="K69" s="9">
        <f t="shared" si="1"/>
        <v>6000</v>
      </c>
      <c r="L69" s="4"/>
      <c r="M69" s="10"/>
      <c r="N69" s="10">
        <f>Tabla2456789[[#This Row],[MONTO DE COMPRA]]/1.19</f>
        <v>0</v>
      </c>
      <c r="O69" s="10">
        <f>Tabla2456789[[#This Row],[Columna1]]*19%</f>
        <v>0</v>
      </c>
      <c r="P69" s="10"/>
      <c r="Q69" s="10">
        <f>Tabla2456789[[#This Row],[VENTA ]]/1.19</f>
        <v>0</v>
      </c>
      <c r="R69" s="10">
        <f>Tabla2456789[[#This Row],[Columna2]]*19%</f>
        <v>0</v>
      </c>
      <c r="S69" s="10">
        <f>Tabla2456789[[#This Row],[IVA VENTA ]]-Tabla2456789[[#This Row],[IV COMPRA]]</f>
        <v>0</v>
      </c>
      <c r="T69" s="10">
        <f>(Tabla2456789[[#This Row],[VENTA ]]-(Tabla2456789[[#This Row],[MONTO DE COMPRA]]+Tabla2456789[[#This Row],[DIFERENCIA IVA ]]))</f>
        <v>0</v>
      </c>
      <c r="U69" s="17"/>
    </row>
    <row r="70" spans="1:21" s="15" customFormat="1" ht="20.100000000000001" customHeight="1" x14ac:dyDescent="0.25">
      <c r="A70" s="13">
        <v>44938</v>
      </c>
      <c r="B70" s="14" t="s">
        <v>283</v>
      </c>
      <c r="C70" s="14" t="s">
        <v>280</v>
      </c>
      <c r="D70" s="14" t="s">
        <v>281</v>
      </c>
      <c r="F70" s="15" t="s">
        <v>26</v>
      </c>
      <c r="G70" s="14" t="s">
        <v>314</v>
      </c>
      <c r="H70" s="16" t="s">
        <v>282</v>
      </c>
      <c r="I70" s="17">
        <v>50000</v>
      </c>
      <c r="J70" s="61">
        <f>IF(G:G="FRENOS",(Tabla2456789[[#This Row],[TOTAL FACTURA]]*0.8),(Tabla2456789[[#This Row],[TOTAL FACTURA]]*0.5))</f>
        <v>40000</v>
      </c>
      <c r="K70" s="9">
        <f t="shared" si="1"/>
        <v>10000</v>
      </c>
      <c r="L70" s="4"/>
      <c r="M70" s="10"/>
      <c r="N70" s="10">
        <f>Tabla2456789[[#This Row],[MONTO DE COMPRA]]/1.19</f>
        <v>0</v>
      </c>
      <c r="O70" s="10">
        <f>Tabla2456789[[#This Row],[Columna1]]*19%</f>
        <v>0</v>
      </c>
      <c r="P70" s="10"/>
      <c r="Q70" s="10">
        <f>Tabla2456789[[#This Row],[VENTA ]]/1.19</f>
        <v>0</v>
      </c>
      <c r="R70" s="10">
        <f>Tabla2456789[[#This Row],[Columna2]]*19%</f>
        <v>0</v>
      </c>
      <c r="S70" s="10">
        <f>Tabla2456789[[#This Row],[IVA VENTA ]]-Tabla2456789[[#This Row],[IV COMPRA]]</f>
        <v>0</v>
      </c>
      <c r="T70" s="10">
        <f>(Tabla2456789[[#This Row],[VENTA ]]-(Tabla2456789[[#This Row],[MONTO DE COMPRA]]+Tabla2456789[[#This Row],[DIFERENCIA IVA ]]))</f>
        <v>0</v>
      </c>
      <c r="U70" s="17"/>
    </row>
    <row r="71" spans="1:21" s="15" customFormat="1" ht="43.5" customHeight="1" x14ac:dyDescent="0.25">
      <c r="A71" s="13">
        <v>44938</v>
      </c>
      <c r="B71" s="14" t="s">
        <v>284</v>
      </c>
      <c r="C71" s="14" t="s">
        <v>285</v>
      </c>
      <c r="D71" s="14" t="s">
        <v>289</v>
      </c>
      <c r="E71" s="15" t="s">
        <v>31</v>
      </c>
      <c r="F71" s="15" t="s">
        <v>19</v>
      </c>
      <c r="G71" s="14" t="s">
        <v>224</v>
      </c>
      <c r="H71" s="16" t="s">
        <v>286</v>
      </c>
      <c r="I71" s="17">
        <v>120000</v>
      </c>
      <c r="J71" s="61">
        <f>IF(G:G="FRENOS",(Tabla2456789[[#This Row],[TOTAL FACTURA]]*0.8),(Tabla2456789[[#This Row],[TOTAL FACTURA]]*0.5))</f>
        <v>60000</v>
      </c>
      <c r="K71" s="9">
        <f t="shared" si="1"/>
        <v>60000</v>
      </c>
      <c r="L71" s="4" t="s">
        <v>287</v>
      </c>
      <c r="M71" s="10">
        <v>175000</v>
      </c>
      <c r="N71" s="10">
        <f>Tabla2456789[[#This Row],[MONTO DE COMPRA]]/1.19</f>
        <v>147058.82352941178</v>
      </c>
      <c r="O71" s="10">
        <f>Tabla2456789[[#This Row],[Columna1]]*19%</f>
        <v>27941.176470588238</v>
      </c>
      <c r="P71" s="10">
        <v>220000</v>
      </c>
      <c r="Q71" s="10">
        <f>Tabla2456789[[#This Row],[VENTA ]]/1.19</f>
        <v>184873.94957983194</v>
      </c>
      <c r="R71" s="10">
        <f>Tabla2456789[[#This Row],[Columna2]]*19%</f>
        <v>35126.050420168067</v>
      </c>
      <c r="S71" s="10">
        <f>Tabla2456789[[#This Row],[IVA VENTA ]]-Tabla2456789[[#This Row],[IV COMPRA]]</f>
        <v>7184.8739495798291</v>
      </c>
      <c r="T71" s="10">
        <f>(Tabla2456789[[#This Row],[VENTA ]]-(Tabla2456789[[#This Row],[MONTO DE COMPRA]]+Tabla2456789[[#This Row],[DIFERENCIA IVA ]]))</f>
        <v>37815.126050420164</v>
      </c>
      <c r="U71" s="17"/>
    </row>
    <row r="72" spans="1:21" s="15" customFormat="1" ht="20.100000000000001" customHeight="1" x14ac:dyDescent="0.25">
      <c r="A72" s="13">
        <v>44938</v>
      </c>
      <c r="B72" s="14" t="s">
        <v>284</v>
      </c>
      <c r="C72" s="14" t="s">
        <v>285</v>
      </c>
      <c r="D72" s="14" t="s">
        <v>289</v>
      </c>
      <c r="E72" s="15" t="s">
        <v>31</v>
      </c>
      <c r="F72" s="15" t="s">
        <v>19</v>
      </c>
      <c r="G72" s="14" t="s">
        <v>314</v>
      </c>
      <c r="H72" s="16" t="s">
        <v>288</v>
      </c>
      <c r="I72" s="17">
        <v>100000</v>
      </c>
      <c r="J72" s="61">
        <f>IF(G:G="FRENOS",(Tabla2456789[[#This Row],[TOTAL FACTURA]]*0.8),(Tabla2456789[[#This Row],[TOTAL FACTURA]]*0.5))</f>
        <v>80000</v>
      </c>
      <c r="K72" s="9">
        <f t="shared" si="1"/>
        <v>20000</v>
      </c>
      <c r="L72" s="4" t="s">
        <v>290</v>
      </c>
      <c r="M72" s="10">
        <v>27000</v>
      </c>
      <c r="N72" s="10">
        <f>Tabla2456789[[#This Row],[MONTO DE COMPRA]]/1.19</f>
        <v>22689.0756302521</v>
      </c>
      <c r="O72" s="10">
        <f>Tabla2456789[[#This Row],[Columna1]]*19%</f>
        <v>4310.9243697478987</v>
      </c>
      <c r="P72" s="10">
        <v>35000</v>
      </c>
      <c r="Q72" s="10">
        <f>Tabla2456789[[#This Row],[VENTA ]]/1.19</f>
        <v>29411.764705882353</v>
      </c>
      <c r="R72" s="10">
        <f>Tabla2456789[[#This Row],[Columna2]]*19%</f>
        <v>5588.2352941176468</v>
      </c>
      <c r="S72" s="10">
        <f>Tabla2456789[[#This Row],[IVA VENTA ]]-Tabla2456789[[#This Row],[IV COMPRA]]</f>
        <v>1277.3109243697481</v>
      </c>
      <c r="T72" s="10">
        <f>(Tabla2456789[[#This Row],[VENTA ]]-(Tabla2456789[[#This Row],[MONTO DE COMPRA]]+Tabla2456789[[#This Row],[DIFERENCIA IVA ]]))</f>
        <v>6722.6890756302528</v>
      </c>
      <c r="U72" s="17"/>
    </row>
    <row r="73" spans="1:21" s="15" customFormat="1" ht="41.25" customHeight="1" x14ac:dyDescent="0.25">
      <c r="A73" s="13">
        <v>44938</v>
      </c>
      <c r="B73" s="14" t="s">
        <v>291</v>
      </c>
      <c r="C73" s="14" t="s">
        <v>292</v>
      </c>
      <c r="D73" s="14" t="s">
        <v>98</v>
      </c>
      <c r="E73" s="15" t="s">
        <v>99</v>
      </c>
      <c r="F73" s="15" t="s">
        <v>19</v>
      </c>
      <c r="G73" s="14" t="s">
        <v>314</v>
      </c>
      <c r="H73" s="16" t="s">
        <v>293</v>
      </c>
      <c r="I73" s="17">
        <v>80000</v>
      </c>
      <c r="J73" s="61">
        <f>IF(G:G="FRENOS",(Tabla2456789[[#This Row],[TOTAL FACTURA]]*0.8),(Tabla2456789[[#This Row],[TOTAL FACTURA]]*0.5))</f>
        <v>64000</v>
      </c>
      <c r="K73" s="9">
        <f t="shared" si="1"/>
        <v>16000</v>
      </c>
      <c r="L73" s="4" t="s">
        <v>188</v>
      </c>
      <c r="M73" s="10">
        <v>4800</v>
      </c>
      <c r="N73" s="10">
        <f>Tabla2456789[[#This Row],[MONTO DE COMPRA]]/1.19</f>
        <v>4033.6134453781515</v>
      </c>
      <c r="O73" s="10">
        <f>Tabla2456789[[#This Row],[Columna1]]*19%</f>
        <v>766.38655462184875</v>
      </c>
      <c r="P73" s="10">
        <v>10000</v>
      </c>
      <c r="Q73" s="10">
        <f>Tabla2456789[[#This Row],[VENTA ]]/1.19</f>
        <v>8403.361344537816</v>
      </c>
      <c r="R73" s="10">
        <f>Tabla2456789[[#This Row],[Columna2]]*19%</f>
        <v>1596.6386554621849</v>
      </c>
      <c r="S73" s="10">
        <f>Tabla2456789[[#This Row],[IVA VENTA ]]-Tabla2456789[[#This Row],[IV COMPRA]]</f>
        <v>830.2521008403362</v>
      </c>
      <c r="T73" s="10">
        <f>(Tabla2456789[[#This Row],[VENTA ]]-(Tabla2456789[[#This Row],[MONTO DE COMPRA]]+Tabla2456789[[#This Row],[DIFERENCIA IVA ]]))</f>
        <v>4369.7478991596636</v>
      </c>
      <c r="U73" s="17"/>
    </row>
    <row r="74" spans="1:21" s="15" customFormat="1" ht="20.100000000000001" customHeight="1" x14ac:dyDescent="0.25">
      <c r="A74" s="13">
        <v>44938</v>
      </c>
      <c r="B74" s="14" t="s">
        <v>291</v>
      </c>
      <c r="C74" s="14" t="s">
        <v>292</v>
      </c>
      <c r="D74" s="14" t="s">
        <v>98</v>
      </c>
      <c r="E74" s="15" t="s">
        <v>99</v>
      </c>
      <c r="F74" s="15" t="s">
        <v>35</v>
      </c>
      <c r="G74" s="14" t="s">
        <v>224</v>
      </c>
      <c r="H74" s="16" t="s">
        <v>294</v>
      </c>
      <c r="I74" s="17">
        <v>600000</v>
      </c>
      <c r="J74" s="61">
        <f>IF(G:G="FRENOS",(Tabla2456789[[#This Row],[TOTAL FACTURA]]*0.8),(Tabla2456789[[#This Row],[TOTAL FACTURA]]*0.5))</f>
        <v>300000</v>
      </c>
      <c r="K74" s="9">
        <f t="shared" si="1"/>
        <v>300000</v>
      </c>
      <c r="L74" s="4" t="s">
        <v>295</v>
      </c>
      <c r="M74" s="10">
        <v>560000</v>
      </c>
      <c r="N74" s="10">
        <f>Tabla2456789[[#This Row],[MONTO DE COMPRA]]/1.19</f>
        <v>470588.23529411765</v>
      </c>
      <c r="O74" s="10">
        <f>Tabla2456789[[#This Row],[Columna1]]*19%</f>
        <v>89411.76470588235</v>
      </c>
      <c r="P74" s="10">
        <v>717000</v>
      </c>
      <c r="Q74" s="10">
        <f>Tabla2456789[[#This Row],[VENTA ]]/1.19</f>
        <v>602521.00840336143</v>
      </c>
      <c r="R74" s="10">
        <f>Tabla2456789[[#This Row],[Columna2]]*19%</f>
        <v>114478.99159663868</v>
      </c>
      <c r="S74" s="10">
        <f>Tabla2456789[[#This Row],[IVA VENTA ]]-Tabla2456789[[#This Row],[IV COMPRA]]</f>
        <v>25067.226890756327</v>
      </c>
      <c r="T74" s="10">
        <f>(Tabla2456789[[#This Row],[VENTA ]]-(Tabla2456789[[#This Row],[MONTO DE COMPRA]]+Tabla2456789[[#This Row],[DIFERENCIA IVA ]]))</f>
        <v>131932.77310924372</v>
      </c>
      <c r="U74" s="17"/>
    </row>
    <row r="75" spans="1:21" s="15" customFormat="1" ht="20.100000000000001" customHeight="1" x14ac:dyDescent="0.25">
      <c r="A75" s="13">
        <v>44938</v>
      </c>
      <c r="B75" s="14" t="s">
        <v>296</v>
      </c>
      <c r="C75" s="14" t="s">
        <v>297</v>
      </c>
      <c r="D75" s="14" t="s">
        <v>298</v>
      </c>
      <c r="E75" s="15" t="s">
        <v>163</v>
      </c>
      <c r="F75" s="15" t="s">
        <v>19</v>
      </c>
      <c r="G75" s="14" t="s">
        <v>314</v>
      </c>
      <c r="H75" s="16" t="s">
        <v>299</v>
      </c>
      <c r="I75" s="17">
        <v>50000</v>
      </c>
      <c r="J75" s="61">
        <f>IF(G:G="FRENOS",(Tabla2456789[[#This Row],[TOTAL FACTURA]]*0.8),(Tabla2456789[[#This Row],[TOTAL FACTURA]]*0.5))</f>
        <v>40000</v>
      </c>
      <c r="K75" s="9">
        <f t="shared" si="1"/>
        <v>10000</v>
      </c>
      <c r="L75" s="4" t="s">
        <v>300</v>
      </c>
      <c r="M75" s="10">
        <v>140000</v>
      </c>
      <c r="N75" s="10">
        <f>Tabla2456789[[#This Row],[MONTO DE COMPRA]]/1.19</f>
        <v>117647.05882352941</v>
      </c>
      <c r="O75" s="10">
        <f>Tabla2456789[[#This Row],[Columna1]]*19%</f>
        <v>22352.941176470587</v>
      </c>
      <c r="P75" s="10">
        <f>165000+27000</f>
        <v>192000</v>
      </c>
      <c r="Q75" s="10">
        <f>Tabla2456789[[#This Row],[VENTA ]]/1.19</f>
        <v>161344.53781512607</v>
      </c>
      <c r="R75" s="10">
        <f>Tabla2456789[[#This Row],[Columna2]]*19%</f>
        <v>30655.462184873952</v>
      </c>
      <c r="S75" s="10">
        <f>Tabla2456789[[#This Row],[IVA VENTA ]]-Tabla2456789[[#This Row],[IV COMPRA]]</f>
        <v>8302.5210084033642</v>
      </c>
      <c r="T75" s="10">
        <f>(Tabla2456789[[#This Row],[VENTA ]]-(Tabla2456789[[#This Row],[MONTO DE COMPRA]]+Tabla2456789[[#This Row],[DIFERENCIA IVA ]]))</f>
        <v>43697.478991596639</v>
      </c>
      <c r="U75" s="17"/>
    </row>
    <row r="76" spans="1:21" s="15" customFormat="1" ht="25.5" customHeight="1" x14ac:dyDescent="0.25">
      <c r="A76" s="13">
        <v>44938</v>
      </c>
      <c r="B76" s="14" t="s">
        <v>302</v>
      </c>
      <c r="C76" s="14" t="s">
        <v>301</v>
      </c>
      <c r="D76" s="14" t="s">
        <v>303</v>
      </c>
      <c r="E76" s="15" t="s">
        <v>304</v>
      </c>
      <c r="F76" s="15" t="s">
        <v>19</v>
      </c>
      <c r="G76" s="14" t="s">
        <v>314</v>
      </c>
      <c r="H76" s="60" t="s">
        <v>313</v>
      </c>
      <c r="I76" s="17">
        <v>100000</v>
      </c>
      <c r="J76" s="61">
        <f>IF(G:G="FRENOS",(Tabla2456789[[#This Row],[TOTAL FACTURA]]*0.8),(Tabla2456789[[#This Row],[TOTAL FACTURA]]*0.5))</f>
        <v>80000</v>
      </c>
      <c r="K76" s="9">
        <f t="shared" si="1"/>
        <v>20000</v>
      </c>
      <c r="L76" s="4" t="s">
        <v>305</v>
      </c>
      <c r="M76" s="10">
        <f>622000+27000</f>
        <v>649000</v>
      </c>
      <c r="N76" s="10">
        <f>Tabla2456789[[#This Row],[MONTO DE COMPRA]]/1.19</f>
        <v>545378.15126050427</v>
      </c>
      <c r="O76" s="10">
        <f>Tabla2456789[[#This Row],[Columna1]]*19%</f>
        <v>103621.84873949581</v>
      </c>
      <c r="P76" s="10">
        <v>852000</v>
      </c>
      <c r="Q76" s="10">
        <f>Tabla2456789[[#This Row],[VENTA ]]/1.19</f>
        <v>715966.38655462186</v>
      </c>
      <c r="R76" s="10">
        <f>Tabla2456789[[#This Row],[Columna2]]*19%</f>
        <v>136033.61344537814</v>
      </c>
      <c r="S76" s="10">
        <f>Tabla2456789[[#This Row],[IVA VENTA ]]-Tabla2456789[[#This Row],[IV COMPRA]]</f>
        <v>32411.764705882335</v>
      </c>
      <c r="T76" s="10">
        <f>(Tabla2456789[[#This Row],[VENTA ]]-(Tabla2456789[[#This Row],[MONTO DE COMPRA]]+Tabla2456789[[#This Row],[DIFERENCIA IVA ]]))</f>
        <v>170588.23529411771</v>
      </c>
      <c r="U76" s="17"/>
    </row>
    <row r="77" spans="1:21" s="15" customFormat="1" ht="20.100000000000001" customHeight="1" x14ac:dyDescent="0.25">
      <c r="A77" s="13">
        <v>44939</v>
      </c>
      <c r="B77" s="14"/>
      <c r="C77" s="14" t="s">
        <v>306</v>
      </c>
      <c r="D77" s="14" t="s">
        <v>307</v>
      </c>
      <c r="E77" s="15" t="s">
        <v>308</v>
      </c>
      <c r="F77" s="15" t="s">
        <v>19</v>
      </c>
      <c r="G77" s="14" t="s">
        <v>314</v>
      </c>
      <c r="H77" s="16" t="s">
        <v>312</v>
      </c>
      <c r="I77" s="17">
        <v>40000</v>
      </c>
      <c r="J77" s="61">
        <f>IF(G:G="FRENOS",(Tabla2456789[[#This Row],[TOTAL FACTURA]]*0.8),(Tabla2456789[[#This Row],[TOTAL FACTURA]]*0.5))</f>
        <v>32000</v>
      </c>
      <c r="K77" s="9">
        <f t="shared" si="1"/>
        <v>8000</v>
      </c>
      <c r="L77" s="4"/>
      <c r="M77" s="10"/>
      <c r="N77" s="10">
        <f>Tabla2456789[[#This Row],[MONTO DE COMPRA]]/1.19</f>
        <v>0</v>
      </c>
      <c r="O77" s="10">
        <f>Tabla2456789[[#This Row],[Columna1]]*19%</f>
        <v>0</v>
      </c>
      <c r="P77" s="10"/>
      <c r="Q77" s="10">
        <f>Tabla2456789[[#This Row],[VENTA ]]/1.19</f>
        <v>0</v>
      </c>
      <c r="R77" s="10">
        <f>Tabla2456789[[#This Row],[Columna2]]*19%</f>
        <v>0</v>
      </c>
      <c r="S77" s="10">
        <f>Tabla2456789[[#This Row],[IVA VENTA ]]-Tabla2456789[[#This Row],[IV COMPRA]]</f>
        <v>0</v>
      </c>
      <c r="T77" s="10">
        <f>(Tabla2456789[[#This Row],[VENTA ]]-(Tabla2456789[[#This Row],[MONTO DE COMPRA]]+Tabla2456789[[#This Row],[DIFERENCIA IVA ]]))</f>
        <v>0</v>
      </c>
      <c r="U77" s="17"/>
    </row>
    <row r="78" spans="1:21" s="15" customFormat="1" ht="20.100000000000001" customHeight="1" x14ac:dyDescent="0.25">
      <c r="A78" s="13">
        <v>44939</v>
      </c>
      <c r="B78" s="14"/>
      <c r="C78" s="14"/>
      <c r="D78" s="14"/>
      <c r="E78" s="15" t="s">
        <v>309</v>
      </c>
      <c r="F78" s="15" t="s">
        <v>19</v>
      </c>
      <c r="G78" s="14" t="s">
        <v>224</v>
      </c>
      <c r="H78" s="16" t="s">
        <v>310</v>
      </c>
      <c r="I78" s="17">
        <v>50000</v>
      </c>
      <c r="J78" s="61">
        <f>IF(G:G="FRENOS",(Tabla2456789[[#This Row],[TOTAL FACTURA]]*0.8),(Tabla2456789[[#This Row],[TOTAL FACTURA]]*0.5))</f>
        <v>25000</v>
      </c>
      <c r="K78" s="9">
        <f t="shared" si="1"/>
        <v>25000</v>
      </c>
      <c r="L78" s="4"/>
      <c r="M78" s="10"/>
      <c r="N78" s="10">
        <f>Tabla2456789[[#This Row],[MONTO DE COMPRA]]/1.19</f>
        <v>0</v>
      </c>
      <c r="O78" s="10">
        <f>Tabla2456789[[#This Row],[Columna1]]*19%</f>
        <v>0</v>
      </c>
      <c r="P78" s="10"/>
      <c r="Q78" s="10">
        <f>Tabla2456789[[#This Row],[VENTA ]]/1.19</f>
        <v>0</v>
      </c>
      <c r="R78" s="10">
        <f>Tabla2456789[[#This Row],[Columna2]]*19%</f>
        <v>0</v>
      </c>
      <c r="S78" s="10">
        <f>Tabla2456789[[#This Row],[IVA VENTA ]]-Tabla2456789[[#This Row],[IV COMPRA]]</f>
        <v>0</v>
      </c>
      <c r="T78" s="10">
        <f>(Tabla2456789[[#This Row],[VENTA ]]-(Tabla2456789[[#This Row],[MONTO DE COMPRA]]+Tabla2456789[[#This Row],[DIFERENCIA IVA ]]))</f>
        <v>0</v>
      </c>
      <c r="U78" s="17"/>
    </row>
    <row r="79" spans="1:21" s="15" customFormat="1" ht="20.100000000000001" customHeight="1" x14ac:dyDescent="0.25">
      <c r="A79" s="13">
        <v>44940</v>
      </c>
      <c r="B79" s="14" t="s">
        <v>322</v>
      </c>
      <c r="C79" s="14" t="s">
        <v>323</v>
      </c>
      <c r="D79" s="14" t="s">
        <v>324</v>
      </c>
      <c r="E79" s="15" t="s">
        <v>325</v>
      </c>
      <c r="F79" s="15" t="s">
        <v>19</v>
      </c>
      <c r="G79" s="14" t="s">
        <v>224</v>
      </c>
      <c r="H79" s="16" t="s">
        <v>326</v>
      </c>
      <c r="I79" s="17">
        <v>100000</v>
      </c>
      <c r="J79" s="17">
        <f>IF(G:G="FRENOS",(Tabla2456789[[#This Row],[TOTAL FACTURA]]*0.8),(Tabla2456789[[#This Row],[TOTAL FACTURA]]*0.5))</f>
        <v>50000</v>
      </c>
      <c r="K79" s="9">
        <f t="shared" si="1"/>
        <v>50000</v>
      </c>
      <c r="L79" s="4"/>
      <c r="M79" s="10"/>
      <c r="N79" s="10">
        <f>Tabla2456789[[#This Row],[MONTO DE COMPRA]]/1.19</f>
        <v>0</v>
      </c>
      <c r="O79" s="10">
        <f>Tabla2456789[[#This Row],[Columna1]]*19%</f>
        <v>0</v>
      </c>
      <c r="P79" s="10"/>
      <c r="Q79" s="10">
        <f>Tabla2456789[[#This Row],[VENTA ]]/1.19</f>
        <v>0</v>
      </c>
      <c r="R79" s="10">
        <f>Tabla2456789[[#This Row],[Columna2]]*19%</f>
        <v>0</v>
      </c>
      <c r="S79" s="10">
        <f>Tabla2456789[[#This Row],[IVA VENTA ]]-Tabla2456789[[#This Row],[IV COMPRA]]</f>
        <v>0</v>
      </c>
      <c r="T79" s="10">
        <f>(Tabla2456789[[#This Row],[VENTA ]]-(Tabla2456789[[#This Row],[MONTO DE COMPRA]]+Tabla2456789[[#This Row],[DIFERENCIA IVA ]]))</f>
        <v>0</v>
      </c>
      <c r="U79" s="17"/>
    </row>
    <row r="80" spans="1:21" s="15" customFormat="1" ht="20.100000000000001" customHeight="1" x14ac:dyDescent="0.25">
      <c r="A80" s="13">
        <v>44940</v>
      </c>
      <c r="B80" s="14" t="s">
        <v>327</v>
      </c>
      <c r="C80" s="14" t="s">
        <v>126</v>
      </c>
      <c r="D80" s="14"/>
      <c r="E80" s="15" t="s">
        <v>328</v>
      </c>
      <c r="F80" s="15" t="s">
        <v>19</v>
      </c>
      <c r="G80" s="14" t="s">
        <v>224</v>
      </c>
      <c r="H80" s="18" t="s">
        <v>329</v>
      </c>
      <c r="I80" s="17">
        <v>30000</v>
      </c>
      <c r="J80" s="17">
        <f>IF(G:G="FRENOS",(Tabla2456789[[#This Row],[TOTAL FACTURA]]*0.8),(Tabla2456789[[#This Row],[TOTAL FACTURA]]*0.5))</f>
        <v>15000</v>
      </c>
      <c r="K80" s="9">
        <f t="shared" si="1"/>
        <v>15000</v>
      </c>
      <c r="L80" s="4"/>
      <c r="M80" s="10"/>
      <c r="N80" s="10">
        <f>Tabla2456789[[#This Row],[MONTO DE COMPRA]]/1.19</f>
        <v>0</v>
      </c>
      <c r="O80" s="10">
        <f>Tabla2456789[[#This Row],[Columna1]]*19%</f>
        <v>0</v>
      </c>
      <c r="P80" s="10"/>
      <c r="Q80" s="10">
        <f>Tabla2456789[[#This Row],[VENTA ]]/1.19</f>
        <v>0</v>
      </c>
      <c r="R80" s="10">
        <f>Tabla2456789[[#This Row],[Columna2]]*19%</f>
        <v>0</v>
      </c>
      <c r="S80" s="10">
        <f>Tabla2456789[[#This Row],[IVA VENTA ]]-Tabla2456789[[#This Row],[IV COMPRA]]</f>
        <v>0</v>
      </c>
      <c r="T80" s="10">
        <f>(Tabla2456789[[#This Row],[VENTA ]]-(Tabla2456789[[#This Row],[MONTO DE COMPRA]]+Tabla2456789[[#This Row],[DIFERENCIA IVA ]]))</f>
        <v>0</v>
      </c>
      <c r="U80" s="17"/>
    </row>
    <row r="81" spans="1:21" s="15" customFormat="1" ht="20.100000000000001" customHeight="1" x14ac:dyDescent="0.25">
      <c r="A81" s="13">
        <v>44940</v>
      </c>
      <c r="B81" s="14" t="s">
        <v>330</v>
      </c>
      <c r="C81" s="14" t="s">
        <v>331</v>
      </c>
      <c r="D81" s="14" t="s">
        <v>332</v>
      </c>
      <c r="E81" s="15" t="s">
        <v>333</v>
      </c>
      <c r="F81" s="15" t="s">
        <v>19</v>
      </c>
      <c r="G81" s="14" t="s">
        <v>314</v>
      </c>
      <c r="H81" s="18" t="s">
        <v>334</v>
      </c>
      <c r="I81" s="17">
        <v>30000</v>
      </c>
      <c r="J81" s="17">
        <f>IF(G:G="FRENOS",(Tabla2456789[[#This Row],[TOTAL FACTURA]]*0.8),(Tabla2456789[[#This Row],[TOTAL FACTURA]]*0.5))</f>
        <v>24000</v>
      </c>
      <c r="K81" s="9">
        <f t="shared" si="1"/>
        <v>6000</v>
      </c>
      <c r="L81" s="4" t="s">
        <v>335</v>
      </c>
      <c r="M81" s="10">
        <v>62000</v>
      </c>
      <c r="N81" s="10">
        <f>Tabla2456789[[#This Row],[MONTO DE COMPRA]]/1.19</f>
        <v>52100.840336134454</v>
      </c>
      <c r="O81" s="10">
        <f>Tabla2456789[[#This Row],[Columna1]]*19%</f>
        <v>9899.1596638655465</v>
      </c>
      <c r="P81" s="10">
        <v>120000</v>
      </c>
      <c r="Q81" s="10">
        <f>Tabla2456789[[#This Row],[VENTA ]]/1.19</f>
        <v>100840.33613445378</v>
      </c>
      <c r="R81" s="10">
        <f>Tabla2456789[[#This Row],[Columna2]]*19%</f>
        <v>19159.663865546219</v>
      </c>
      <c r="S81" s="10">
        <f>Tabla2456789[[#This Row],[IVA VENTA ]]-Tabla2456789[[#This Row],[IV COMPRA]]</f>
        <v>9260.5042016806728</v>
      </c>
      <c r="T81" s="10">
        <f>(Tabla2456789[[#This Row],[VENTA ]]-(Tabla2456789[[#This Row],[MONTO DE COMPRA]]+Tabla2456789[[#This Row],[DIFERENCIA IVA ]]))</f>
        <v>48739.495798319331</v>
      </c>
      <c r="U81" s="17"/>
    </row>
    <row r="82" spans="1:21" s="15" customFormat="1" ht="20.100000000000001" customHeight="1" x14ac:dyDescent="0.25">
      <c r="A82" s="13">
        <v>44940</v>
      </c>
      <c r="B82" s="14" t="s">
        <v>336</v>
      </c>
      <c r="C82" s="14" t="s">
        <v>212</v>
      </c>
      <c r="D82" s="14" t="s">
        <v>217</v>
      </c>
      <c r="E82" s="15" t="s">
        <v>337</v>
      </c>
      <c r="F82" s="15" t="s">
        <v>19</v>
      </c>
      <c r="G82" s="14" t="s">
        <v>224</v>
      </c>
      <c r="H82" s="16" t="s">
        <v>338</v>
      </c>
      <c r="I82" s="17">
        <v>60000</v>
      </c>
      <c r="J82" s="17">
        <f>IF(G:G="FRENOS",(Tabla2456789[[#This Row],[TOTAL FACTURA]]*0.8),(Tabla2456789[[#This Row],[TOTAL FACTURA]]*0.5))</f>
        <v>30000</v>
      </c>
      <c r="K82" s="9">
        <f t="shared" si="1"/>
        <v>30000</v>
      </c>
      <c r="L82" s="4"/>
      <c r="M82" s="10"/>
      <c r="N82" s="10">
        <f>Tabla2456789[[#This Row],[MONTO DE COMPRA]]/1.19</f>
        <v>0</v>
      </c>
      <c r="O82" s="10">
        <f>Tabla2456789[[#This Row],[Columna1]]*19%</f>
        <v>0</v>
      </c>
      <c r="P82" s="10"/>
      <c r="Q82" s="10">
        <f>Tabla2456789[[#This Row],[VENTA ]]/1.19</f>
        <v>0</v>
      </c>
      <c r="R82" s="10">
        <f>Tabla2456789[[#This Row],[Columna2]]*19%</f>
        <v>0</v>
      </c>
      <c r="S82" s="10">
        <f>Tabla2456789[[#This Row],[IVA VENTA ]]-Tabla2456789[[#This Row],[IV COMPRA]]</f>
        <v>0</v>
      </c>
      <c r="T82" s="10">
        <f>(Tabla2456789[[#This Row],[VENTA ]]-(Tabla2456789[[#This Row],[MONTO DE COMPRA]]+Tabla2456789[[#This Row],[DIFERENCIA IVA ]]))</f>
        <v>0</v>
      </c>
      <c r="U82" s="17"/>
    </row>
    <row r="83" spans="1:21" s="15" customFormat="1" ht="20.100000000000001" customHeight="1" x14ac:dyDescent="0.25">
      <c r="A83" s="13">
        <v>44942</v>
      </c>
      <c r="B83" s="14"/>
      <c r="C83" s="14" t="s">
        <v>339</v>
      </c>
      <c r="D83" s="14" t="s">
        <v>340</v>
      </c>
      <c r="E83" s="15" t="s">
        <v>341</v>
      </c>
      <c r="F83" s="15" t="s">
        <v>19</v>
      </c>
      <c r="G83" s="14" t="s">
        <v>314</v>
      </c>
      <c r="H83" s="16" t="s">
        <v>342</v>
      </c>
      <c r="I83" s="17">
        <v>40000</v>
      </c>
      <c r="J83" s="17">
        <f>IF(G:G="FRENOS",(Tabla2456789[[#This Row],[TOTAL FACTURA]]*0.8),(Tabla2456789[[#This Row],[TOTAL FACTURA]]*0.5))</f>
        <v>32000</v>
      </c>
      <c r="K83" s="9">
        <f t="shared" si="1"/>
        <v>8000</v>
      </c>
      <c r="L83" s="4" t="s">
        <v>343</v>
      </c>
      <c r="M83" s="10">
        <v>200000</v>
      </c>
      <c r="N83" s="10"/>
      <c r="O83" s="10">
        <f>Tabla2456789[[#This Row],[Columna1]]*19%</f>
        <v>0</v>
      </c>
      <c r="P83" s="10">
        <v>266000</v>
      </c>
      <c r="Q83" s="10"/>
      <c r="R83" s="10">
        <f>Tabla2456789[[#This Row],[Columna2]]*19%</f>
        <v>0</v>
      </c>
      <c r="S83" s="10">
        <f>Tabla2456789[[#This Row],[IVA VENTA ]]-Tabla2456789[[#This Row],[IV COMPRA]]</f>
        <v>0</v>
      </c>
      <c r="T83" s="10">
        <f>(Tabla2456789[[#This Row],[VENTA ]]-(Tabla2456789[[#This Row],[MONTO DE COMPRA]]+Tabla2456789[[#This Row],[DIFERENCIA IVA ]]))</f>
        <v>66000</v>
      </c>
      <c r="U83" s="17"/>
    </row>
    <row r="84" spans="1:21" s="15" customFormat="1" ht="20.100000000000001" customHeight="1" x14ac:dyDescent="0.25">
      <c r="A84" s="13">
        <v>44942</v>
      </c>
      <c r="B84" s="14"/>
      <c r="C84" s="14"/>
      <c r="D84" s="14" t="s">
        <v>344</v>
      </c>
      <c r="E84" s="15" t="s">
        <v>345</v>
      </c>
      <c r="G84" s="14" t="s">
        <v>315</v>
      </c>
      <c r="H84" s="16" t="s">
        <v>346</v>
      </c>
      <c r="I84" s="17">
        <v>250000</v>
      </c>
      <c r="J84" s="17"/>
      <c r="K84" s="9">
        <f t="shared" si="1"/>
        <v>250000</v>
      </c>
      <c r="L84" s="4" t="s">
        <v>347</v>
      </c>
      <c r="M84" s="10">
        <f>260943+2000+32000</f>
        <v>294943</v>
      </c>
      <c r="N84" s="10">
        <f>Tabla2456789[[#This Row],[MONTO DE COMPRA]]/1.19</f>
        <v>247851.26050420169</v>
      </c>
      <c r="O84" s="10">
        <f>Tabla2456789[[#This Row],[Columna1]]*19%</f>
        <v>47091.73949579832</v>
      </c>
      <c r="P84" s="10">
        <v>409000</v>
      </c>
      <c r="Q84" s="10">
        <f>Tabla2456789[[#This Row],[VENTA ]]/1.19</f>
        <v>343697.47899159667</v>
      </c>
      <c r="R84" s="10">
        <f>Tabla2456789[[#This Row],[Columna2]]*19%</f>
        <v>65302.521008403368</v>
      </c>
      <c r="S84" s="10">
        <f>Tabla2456789[[#This Row],[IVA VENTA ]]-Tabla2456789[[#This Row],[IV COMPRA]]</f>
        <v>18210.781512605048</v>
      </c>
      <c r="T84" s="10">
        <f>(Tabla2456789[[#This Row],[VENTA ]]-(Tabla2456789[[#This Row],[MONTO DE COMPRA]]+Tabla2456789[[#This Row],[DIFERENCIA IVA ]]))</f>
        <v>95846.218487394974</v>
      </c>
      <c r="U84" s="17"/>
    </row>
    <row r="85" spans="1:21" s="15" customFormat="1" ht="20.100000000000001" customHeight="1" x14ac:dyDescent="0.25">
      <c r="A85" s="13">
        <v>44942</v>
      </c>
      <c r="B85" s="14" t="s">
        <v>350</v>
      </c>
      <c r="C85" s="14" t="s">
        <v>103</v>
      </c>
      <c r="D85" s="15" t="s">
        <v>104</v>
      </c>
      <c r="E85" s="15" t="s">
        <v>105</v>
      </c>
      <c r="F85" s="15" t="s">
        <v>35</v>
      </c>
      <c r="G85" s="14" t="s">
        <v>224</v>
      </c>
      <c r="H85" s="16" t="s">
        <v>348</v>
      </c>
      <c r="I85" s="17">
        <v>200000</v>
      </c>
      <c r="J85" s="17">
        <f>IF(G:G="FRENOS",(Tabla2456789[[#This Row],[TOTAL FACTURA]]*0.8),(Tabla2456789[[#This Row],[TOTAL FACTURA]]*0.5))</f>
        <v>100000</v>
      </c>
      <c r="K85" s="9">
        <f t="shared" si="1"/>
        <v>100000</v>
      </c>
      <c r="L85" s="4" t="s">
        <v>349</v>
      </c>
      <c r="M85" s="10">
        <v>555000</v>
      </c>
      <c r="N85" s="10">
        <f>Tabla2456789[[#This Row],[MONTO DE COMPRA]]/1.19</f>
        <v>466386.55462184874</v>
      </c>
      <c r="O85" s="10">
        <f>Tabla2456789[[#This Row],[Columna1]]*19%</f>
        <v>88613.445378151257</v>
      </c>
      <c r="P85" s="10">
        <v>672000</v>
      </c>
      <c r="Q85" s="10">
        <f>Tabla2456789[[#This Row],[VENTA ]]/1.19</f>
        <v>564705.8823529412</v>
      </c>
      <c r="R85" s="10">
        <f>Tabla2456789[[#This Row],[Columna2]]*19%</f>
        <v>107294.11764705883</v>
      </c>
      <c r="S85" s="10">
        <f>Tabla2456789[[#This Row],[IVA VENTA ]]-Tabla2456789[[#This Row],[IV COMPRA]]</f>
        <v>18680.672268907569</v>
      </c>
      <c r="T85" s="10">
        <f>(Tabla2456789[[#This Row],[VENTA ]]-(Tabla2456789[[#This Row],[MONTO DE COMPRA]]+Tabla2456789[[#This Row],[DIFERENCIA IVA ]]))</f>
        <v>98319.32773109246</v>
      </c>
      <c r="U85" s="17"/>
    </row>
    <row r="86" spans="1:21" s="15" customFormat="1" ht="20.100000000000001" customHeight="1" x14ac:dyDescent="0.25">
      <c r="A86" s="13">
        <v>44944</v>
      </c>
      <c r="B86" s="14"/>
      <c r="C86" s="14" t="s">
        <v>351</v>
      </c>
      <c r="D86" s="14" t="s">
        <v>352</v>
      </c>
      <c r="E86" s="15" t="s">
        <v>34</v>
      </c>
      <c r="F86" s="15" t="s">
        <v>19</v>
      </c>
      <c r="G86" s="14" t="s">
        <v>314</v>
      </c>
      <c r="H86" s="16" t="s">
        <v>21</v>
      </c>
      <c r="I86" s="17">
        <v>30000</v>
      </c>
      <c r="J86" s="17">
        <f>IF(G:G="FRENOS",(Tabla2456789[[#This Row],[TOTAL FACTURA]]*0.8),(Tabla2456789[[#This Row],[TOTAL FACTURA]]*0.5))</f>
        <v>24000</v>
      </c>
      <c r="K86" s="9">
        <f t="shared" si="1"/>
        <v>6000</v>
      </c>
      <c r="L86" s="4"/>
      <c r="M86" s="10"/>
      <c r="N86" s="10">
        <f>Tabla2456789[[#This Row],[MONTO DE COMPRA]]/1.19</f>
        <v>0</v>
      </c>
      <c r="O86" s="10">
        <f>Tabla2456789[[#This Row],[Columna1]]*19%</f>
        <v>0</v>
      </c>
      <c r="P86" s="10"/>
      <c r="Q86" s="10">
        <f>Tabla2456789[[#This Row],[VENTA ]]/1.19</f>
        <v>0</v>
      </c>
      <c r="R86" s="10">
        <f>Tabla2456789[[#This Row],[Columna2]]*19%</f>
        <v>0</v>
      </c>
      <c r="S86" s="10">
        <f>Tabla2456789[[#This Row],[IVA VENTA ]]-Tabla2456789[[#This Row],[IV COMPRA]]</f>
        <v>0</v>
      </c>
      <c r="T86" s="10">
        <f>(Tabla2456789[[#This Row],[VENTA ]]-(Tabla2456789[[#This Row],[MONTO DE COMPRA]]+Tabla2456789[[#This Row],[DIFERENCIA IVA ]]))</f>
        <v>0</v>
      </c>
      <c r="U86" s="17"/>
    </row>
    <row r="87" spans="1:21" s="15" customFormat="1" ht="20.100000000000001" customHeight="1" x14ac:dyDescent="0.25">
      <c r="A87" s="13">
        <v>44944</v>
      </c>
      <c r="B87" s="14"/>
      <c r="C87" s="14" t="s">
        <v>90</v>
      </c>
      <c r="D87" s="14" t="s">
        <v>353</v>
      </c>
      <c r="E87" s="15" t="s">
        <v>95</v>
      </c>
      <c r="F87" s="15" t="s">
        <v>19</v>
      </c>
      <c r="G87" s="14" t="s">
        <v>224</v>
      </c>
      <c r="H87" s="16" t="s">
        <v>354</v>
      </c>
      <c r="I87" s="17">
        <v>250000</v>
      </c>
      <c r="J87" s="17">
        <f>IF(G:G="FRENOS",(Tabla2456789[[#This Row],[TOTAL FACTURA]]*0.8),(Tabla2456789[[#This Row],[TOTAL FACTURA]]*0.5))</f>
        <v>125000</v>
      </c>
      <c r="K87" s="9">
        <f t="shared" si="1"/>
        <v>125000</v>
      </c>
      <c r="L87" s="4" t="s">
        <v>355</v>
      </c>
      <c r="M87" s="10">
        <v>40000</v>
      </c>
      <c r="N87" s="10">
        <f>Tabla2456789[[#This Row],[MONTO DE COMPRA]]/1.19</f>
        <v>33613.445378151264</v>
      </c>
      <c r="O87" s="10">
        <f>Tabla2456789[[#This Row],[Columna1]]*19%</f>
        <v>6386.5546218487398</v>
      </c>
      <c r="P87" s="10">
        <v>48000</v>
      </c>
      <c r="Q87" s="10">
        <f>Tabla2456789[[#This Row],[VENTA ]]/1.19</f>
        <v>40336.134453781517</v>
      </c>
      <c r="R87" s="10">
        <f>Tabla2456789[[#This Row],[Columna2]]*19%</f>
        <v>7663.8655462184879</v>
      </c>
      <c r="S87" s="10">
        <f>Tabla2456789[[#This Row],[IVA VENTA ]]-Tabla2456789[[#This Row],[IV COMPRA]]</f>
        <v>1277.3109243697481</v>
      </c>
      <c r="T87" s="10">
        <f>(Tabla2456789[[#This Row],[VENTA ]]-(Tabla2456789[[#This Row],[MONTO DE COMPRA]]+Tabla2456789[[#This Row],[DIFERENCIA IVA ]]))</f>
        <v>6722.6890756302528</v>
      </c>
      <c r="U87" s="17"/>
    </row>
    <row r="88" spans="1:21" s="15" customFormat="1" ht="20.100000000000001" customHeight="1" x14ac:dyDescent="0.25">
      <c r="A88" s="13">
        <v>44945</v>
      </c>
      <c r="B88" s="14"/>
      <c r="C88" s="14"/>
      <c r="D88" s="14" t="s">
        <v>356</v>
      </c>
      <c r="E88" s="15" t="s">
        <v>34</v>
      </c>
      <c r="F88" s="15" t="s">
        <v>19</v>
      </c>
      <c r="G88" s="14" t="s">
        <v>314</v>
      </c>
      <c r="H88" s="16" t="s">
        <v>20</v>
      </c>
      <c r="I88" s="17">
        <v>10000</v>
      </c>
      <c r="J88" s="17">
        <f>IF(G:G="FRENOS",(Tabla2456789[[#This Row],[TOTAL FACTURA]]*0.8),(Tabla2456789[[#This Row],[TOTAL FACTURA]]*0.5))</f>
        <v>8000</v>
      </c>
      <c r="K88" s="9">
        <f t="shared" si="1"/>
        <v>2000</v>
      </c>
      <c r="L88" s="4"/>
      <c r="M88" s="10"/>
      <c r="N88" s="10">
        <f>Tabla2456789[[#This Row],[MONTO DE COMPRA]]/1.19</f>
        <v>0</v>
      </c>
      <c r="O88" s="10">
        <f>Tabla2456789[[#This Row],[Columna1]]*19%</f>
        <v>0</v>
      </c>
      <c r="P88" s="10"/>
      <c r="Q88" s="10">
        <f>Tabla2456789[[#This Row],[VENTA ]]/1.19</f>
        <v>0</v>
      </c>
      <c r="R88" s="10">
        <f>Tabla2456789[[#This Row],[Columna2]]*19%</f>
        <v>0</v>
      </c>
      <c r="S88" s="10">
        <f>Tabla2456789[[#This Row],[IVA VENTA ]]-Tabla2456789[[#This Row],[IV COMPRA]]</f>
        <v>0</v>
      </c>
      <c r="T88" s="10">
        <f>(Tabla2456789[[#This Row],[VENTA ]]-(Tabla2456789[[#This Row],[MONTO DE COMPRA]]+Tabla2456789[[#This Row],[DIFERENCIA IVA ]]))</f>
        <v>0</v>
      </c>
      <c r="U88" s="17"/>
    </row>
    <row r="89" spans="1:21" s="15" customFormat="1" ht="20.100000000000001" customHeight="1" x14ac:dyDescent="0.25">
      <c r="A89" s="13">
        <v>44945</v>
      </c>
      <c r="B89" s="14"/>
      <c r="C89" s="14" t="s">
        <v>357</v>
      </c>
      <c r="D89" s="14" t="s">
        <v>358</v>
      </c>
      <c r="E89" s="15" t="s">
        <v>359</v>
      </c>
      <c r="F89" s="15" t="s">
        <v>26</v>
      </c>
      <c r="G89" s="14" t="s">
        <v>314</v>
      </c>
      <c r="H89" s="16" t="s">
        <v>360</v>
      </c>
      <c r="I89" s="17">
        <v>40000</v>
      </c>
      <c r="J89" s="17">
        <f>IF(G:G="FRENOS",(Tabla2456789[[#This Row],[TOTAL FACTURA]]*0.8),(Tabla2456789[[#This Row],[TOTAL FACTURA]]*0.5))</f>
        <v>32000</v>
      </c>
      <c r="K89" s="9">
        <f t="shared" si="1"/>
        <v>8000</v>
      </c>
      <c r="L89" s="4"/>
      <c r="M89" s="10"/>
      <c r="N89" s="10">
        <f>Tabla2456789[[#This Row],[MONTO DE COMPRA]]/1.19</f>
        <v>0</v>
      </c>
      <c r="O89" s="10">
        <f>Tabla2456789[[#This Row],[Columna1]]*19%</f>
        <v>0</v>
      </c>
      <c r="P89" s="10"/>
      <c r="Q89" s="10">
        <f>Tabla2456789[[#This Row],[VENTA ]]/1.19</f>
        <v>0</v>
      </c>
      <c r="R89" s="10">
        <f>Tabla2456789[[#This Row],[Columna2]]*19%</f>
        <v>0</v>
      </c>
      <c r="S89" s="10">
        <f>Tabla2456789[[#This Row],[IVA VENTA ]]-Tabla2456789[[#This Row],[IV COMPRA]]</f>
        <v>0</v>
      </c>
      <c r="T89" s="10">
        <f>(Tabla2456789[[#This Row],[VENTA ]]-(Tabla2456789[[#This Row],[MONTO DE COMPRA]]+Tabla2456789[[#This Row],[DIFERENCIA IVA ]]))</f>
        <v>0</v>
      </c>
      <c r="U89" s="17"/>
    </row>
    <row r="90" spans="1:21" s="15" customFormat="1" ht="20.100000000000001" customHeight="1" x14ac:dyDescent="0.25">
      <c r="A90" s="13">
        <v>44945</v>
      </c>
      <c r="B90" s="14"/>
      <c r="C90" s="14" t="s">
        <v>275</v>
      </c>
      <c r="D90" s="14"/>
      <c r="E90" s="14" t="s">
        <v>361</v>
      </c>
      <c r="F90" s="15" t="s">
        <v>35</v>
      </c>
      <c r="G90" s="14" t="s">
        <v>224</v>
      </c>
      <c r="H90" s="16" t="s">
        <v>362</v>
      </c>
      <c r="I90" s="17">
        <v>220000</v>
      </c>
      <c r="J90" s="17">
        <f>IF(G:G="FRENOS",(Tabla2456789[[#This Row],[TOTAL FACTURA]]*0.8),(Tabla2456789[[#This Row],[TOTAL FACTURA]]*0.5))</f>
        <v>110000</v>
      </c>
      <c r="K90" s="9">
        <f t="shared" si="1"/>
        <v>110000</v>
      </c>
      <c r="L90" s="4"/>
      <c r="M90" s="10"/>
      <c r="N90" s="10">
        <f>Tabla2456789[[#This Row],[MONTO DE COMPRA]]/1.19</f>
        <v>0</v>
      </c>
      <c r="O90" s="10">
        <f>Tabla2456789[[#This Row],[Columna1]]*19%</f>
        <v>0</v>
      </c>
      <c r="P90" s="10"/>
      <c r="Q90" s="10">
        <f>Tabla2456789[[#This Row],[VENTA ]]/1.19</f>
        <v>0</v>
      </c>
      <c r="R90" s="10">
        <f>Tabla2456789[[#This Row],[Columna2]]*19%</f>
        <v>0</v>
      </c>
      <c r="S90" s="10">
        <f>Tabla2456789[[#This Row],[IVA VENTA ]]-Tabla2456789[[#This Row],[IV COMPRA]]</f>
        <v>0</v>
      </c>
      <c r="T90" s="10">
        <f>(Tabla2456789[[#This Row],[VENTA ]]-(Tabla2456789[[#This Row],[MONTO DE COMPRA]]+Tabla2456789[[#This Row],[DIFERENCIA IVA ]]))</f>
        <v>0</v>
      </c>
      <c r="U90" s="17"/>
    </row>
    <row r="91" spans="1:21" s="15" customFormat="1" ht="43.5" customHeight="1" x14ac:dyDescent="0.25">
      <c r="A91" s="13">
        <v>44945</v>
      </c>
      <c r="B91" s="14"/>
      <c r="C91" s="14" t="s">
        <v>364</v>
      </c>
      <c r="D91" s="14" t="s">
        <v>363</v>
      </c>
      <c r="E91" s="15" t="s">
        <v>142</v>
      </c>
      <c r="F91" s="15" t="s">
        <v>35</v>
      </c>
      <c r="G91" s="14" t="s">
        <v>224</v>
      </c>
      <c r="H91" s="16" t="s">
        <v>365</v>
      </c>
      <c r="I91" s="17">
        <v>370000</v>
      </c>
      <c r="J91" s="17">
        <f>IF(G:G="FRENOS",(Tabla2456789[[#This Row],[TOTAL FACTURA]]*0.8),(Tabla2456789[[#This Row],[TOTAL FACTURA]]*0.5))</f>
        <v>185000</v>
      </c>
      <c r="K91" s="9">
        <f t="shared" si="1"/>
        <v>185000</v>
      </c>
      <c r="L91" s="4" t="s">
        <v>366</v>
      </c>
      <c r="M91" s="10">
        <f>190000+95000+10000+17000</f>
        <v>312000</v>
      </c>
      <c r="N91" s="10"/>
      <c r="O91" s="10">
        <f>Tabla2456789[[#This Row],[Columna1]]*19%</f>
        <v>0</v>
      </c>
      <c r="P91" s="10">
        <v>345000</v>
      </c>
      <c r="Q91" s="10"/>
      <c r="R91" s="10">
        <f>Tabla2456789[[#This Row],[Columna2]]*19%</f>
        <v>0</v>
      </c>
      <c r="S91" s="10">
        <f>Tabla2456789[[#This Row],[IVA VENTA ]]-Tabla2456789[[#This Row],[IV COMPRA]]</f>
        <v>0</v>
      </c>
      <c r="T91" s="10">
        <f>(Tabla2456789[[#This Row],[VENTA ]]-(Tabla2456789[[#This Row],[MONTO DE COMPRA]]+Tabla2456789[[#This Row],[DIFERENCIA IVA ]]))</f>
        <v>33000</v>
      </c>
      <c r="U91" s="17"/>
    </row>
    <row r="92" spans="1:21" s="15" customFormat="1" ht="20.100000000000001" customHeight="1" x14ac:dyDescent="0.25">
      <c r="A92" s="13">
        <v>44946</v>
      </c>
      <c r="B92" s="14"/>
      <c r="C92" s="14" t="s">
        <v>367</v>
      </c>
      <c r="D92" s="14" t="s">
        <v>368</v>
      </c>
      <c r="E92" s="15" t="s">
        <v>369</v>
      </c>
      <c r="F92" s="15" t="s">
        <v>19</v>
      </c>
      <c r="G92" s="14" t="s">
        <v>314</v>
      </c>
      <c r="H92" s="16" t="s">
        <v>370</v>
      </c>
      <c r="I92" s="17">
        <v>40000</v>
      </c>
      <c r="J92" s="17">
        <f>IF(G:G="FRENOS",(Tabla2456789[[#This Row],[TOTAL FACTURA]]*0.8),(Tabla2456789[[#This Row],[TOTAL FACTURA]]*0.5))</f>
        <v>32000</v>
      </c>
      <c r="K92" s="9">
        <f t="shared" si="1"/>
        <v>8000</v>
      </c>
      <c r="L92" s="4"/>
      <c r="M92" s="10"/>
      <c r="N92" s="10">
        <f>Tabla2456789[[#This Row],[MONTO DE COMPRA]]/1.19</f>
        <v>0</v>
      </c>
      <c r="O92" s="10">
        <f>Tabla2456789[[#This Row],[Columna1]]*19%</f>
        <v>0</v>
      </c>
      <c r="P92" s="10"/>
      <c r="Q92" s="10">
        <f>Tabla2456789[[#This Row],[VENTA ]]/1.19</f>
        <v>0</v>
      </c>
      <c r="R92" s="10">
        <f>Tabla2456789[[#This Row],[Columna2]]*19%</f>
        <v>0</v>
      </c>
      <c r="S92" s="10">
        <f>Tabla2456789[[#This Row],[IVA VENTA ]]-Tabla2456789[[#This Row],[IV COMPRA]]</f>
        <v>0</v>
      </c>
      <c r="T92" s="10">
        <f>(Tabla2456789[[#This Row],[VENTA ]]-(Tabla2456789[[#This Row],[MONTO DE COMPRA]]+Tabla2456789[[#This Row],[DIFERENCIA IVA ]]))</f>
        <v>0</v>
      </c>
      <c r="U92" s="17"/>
    </row>
    <row r="93" spans="1:21" s="15" customFormat="1" ht="20.100000000000001" customHeight="1" x14ac:dyDescent="0.25">
      <c r="A93" s="13">
        <v>44946</v>
      </c>
      <c r="B93" s="14"/>
      <c r="C93" s="14" t="s">
        <v>371</v>
      </c>
      <c r="D93" s="14" t="s">
        <v>372</v>
      </c>
      <c r="E93" s="15" t="s">
        <v>34</v>
      </c>
      <c r="F93" s="15" t="s">
        <v>19</v>
      </c>
      <c r="G93" s="14" t="s">
        <v>224</v>
      </c>
      <c r="H93" s="16" t="s">
        <v>182</v>
      </c>
      <c r="I93" s="17">
        <v>180000</v>
      </c>
      <c r="J93" s="17">
        <f>IF(G:G="FRENOS",(Tabla2456789[[#This Row],[TOTAL FACTURA]]*0.8),(Tabla2456789[[#This Row],[TOTAL FACTURA]]*0.5))</f>
        <v>90000</v>
      </c>
      <c r="K93" s="9">
        <f t="shared" si="1"/>
        <v>90000</v>
      </c>
      <c r="L93" s="4"/>
      <c r="M93" s="10"/>
      <c r="N93" s="10">
        <f>Tabla2456789[[#This Row],[MONTO DE COMPRA]]/1.19</f>
        <v>0</v>
      </c>
      <c r="O93" s="10">
        <f>Tabla2456789[[#This Row],[Columna1]]*19%</f>
        <v>0</v>
      </c>
      <c r="P93" s="10"/>
      <c r="Q93" s="10">
        <f>Tabla2456789[[#This Row],[VENTA ]]/1.19</f>
        <v>0</v>
      </c>
      <c r="R93" s="10">
        <f>Tabla2456789[[#This Row],[Columna2]]*19%</f>
        <v>0</v>
      </c>
      <c r="S93" s="10">
        <f>Tabla2456789[[#This Row],[IVA VENTA ]]-Tabla2456789[[#This Row],[IV COMPRA]]</f>
        <v>0</v>
      </c>
      <c r="T93" s="10">
        <f>(Tabla2456789[[#This Row],[VENTA ]]-(Tabla2456789[[#This Row],[MONTO DE COMPRA]]+Tabla2456789[[#This Row],[DIFERENCIA IVA ]]))</f>
        <v>0</v>
      </c>
      <c r="U93" s="17"/>
    </row>
    <row r="94" spans="1:21" s="15" customFormat="1" ht="20.100000000000001" customHeight="1" x14ac:dyDescent="0.25">
      <c r="A94" s="13">
        <v>44946</v>
      </c>
      <c r="B94" s="14"/>
      <c r="C94" s="14" t="s">
        <v>373</v>
      </c>
      <c r="D94" s="14" t="s">
        <v>374</v>
      </c>
      <c r="E94" s="15" t="s">
        <v>375</v>
      </c>
      <c r="F94" s="15" t="s">
        <v>19</v>
      </c>
      <c r="G94" s="14" t="s">
        <v>314</v>
      </c>
      <c r="H94" s="16" t="s">
        <v>384</v>
      </c>
      <c r="I94" s="17">
        <v>40000</v>
      </c>
      <c r="J94" s="17">
        <f>IF(G:G="FRENOS",(Tabla2456789[[#This Row],[TOTAL FACTURA]]*0.8),(Tabla2456789[[#This Row],[TOTAL FACTURA]]*0.5))</f>
        <v>32000</v>
      </c>
      <c r="K94" s="9">
        <f t="shared" si="1"/>
        <v>8000</v>
      </c>
      <c r="L94" s="4"/>
      <c r="M94" s="10"/>
      <c r="N94" s="10">
        <f>Tabla2456789[[#This Row],[MONTO DE COMPRA]]/1.19</f>
        <v>0</v>
      </c>
      <c r="O94" s="10">
        <f>Tabla2456789[[#This Row],[Columna1]]*19%</f>
        <v>0</v>
      </c>
      <c r="P94" s="10"/>
      <c r="Q94" s="10">
        <f>Tabla2456789[[#This Row],[VENTA ]]/1.19</f>
        <v>0</v>
      </c>
      <c r="R94" s="10">
        <f>Tabla2456789[[#This Row],[Columna2]]*19%</f>
        <v>0</v>
      </c>
      <c r="S94" s="10">
        <f>Tabla2456789[[#This Row],[IVA VENTA ]]-Tabla2456789[[#This Row],[IV COMPRA]]</f>
        <v>0</v>
      </c>
      <c r="T94" s="10">
        <f>(Tabla2456789[[#This Row],[VENTA ]]-(Tabla2456789[[#This Row],[MONTO DE COMPRA]]+Tabla2456789[[#This Row],[DIFERENCIA IVA ]]))</f>
        <v>0</v>
      </c>
      <c r="U94" s="17"/>
    </row>
    <row r="95" spans="1:21" s="15" customFormat="1" ht="20.100000000000001" customHeight="1" x14ac:dyDescent="0.25">
      <c r="A95" s="13">
        <v>44946</v>
      </c>
      <c r="B95" s="14"/>
      <c r="C95" s="14" t="s">
        <v>376</v>
      </c>
      <c r="D95" s="14"/>
      <c r="E95" s="15" t="s">
        <v>383</v>
      </c>
      <c r="F95" s="15" t="s">
        <v>19</v>
      </c>
      <c r="G95" s="14" t="s">
        <v>224</v>
      </c>
      <c r="H95" s="16" t="s">
        <v>377</v>
      </c>
      <c r="I95" s="17">
        <v>220000</v>
      </c>
      <c r="J95" s="17">
        <f>IF(G:G="FRENOS",(Tabla2456789[[#This Row],[TOTAL FACTURA]]*0.8),(Tabla2456789[[#This Row],[TOTAL FACTURA]]*0.5))</f>
        <v>110000</v>
      </c>
      <c r="K95" s="9">
        <f t="shared" si="1"/>
        <v>110000</v>
      </c>
      <c r="L95" s="4" t="s">
        <v>378</v>
      </c>
      <c r="M95" s="10">
        <v>690000</v>
      </c>
      <c r="N95" s="10">
        <f>Tabla2456789[[#This Row],[MONTO DE COMPRA]]/1.19</f>
        <v>579831.93277310929</v>
      </c>
      <c r="O95" s="10">
        <f>Tabla2456789[[#This Row],[Columna1]]*19%</f>
        <v>110168.06722689077</v>
      </c>
      <c r="P95" s="10">
        <f>480000+300000</f>
        <v>780000</v>
      </c>
      <c r="Q95" s="10">
        <f>Tabla2456789[[#This Row],[VENTA ]]/1.19</f>
        <v>655462.18487394962</v>
      </c>
      <c r="R95" s="10">
        <f>Tabla2456789[[#This Row],[Columna2]]*19%</f>
        <v>124537.81512605042</v>
      </c>
      <c r="S95" s="10">
        <f>Tabla2456789[[#This Row],[IVA VENTA ]]-Tabla2456789[[#This Row],[IV COMPRA]]</f>
        <v>14369.747899159658</v>
      </c>
      <c r="T95" s="10">
        <f>(Tabla2456789[[#This Row],[VENTA ]]-(Tabla2456789[[#This Row],[MONTO DE COMPRA]]+Tabla2456789[[#This Row],[DIFERENCIA IVA ]]))</f>
        <v>75630.252100840327</v>
      </c>
      <c r="U95" s="17"/>
    </row>
    <row r="96" spans="1:21" s="15" customFormat="1" ht="29.25" customHeight="1" x14ac:dyDescent="0.25">
      <c r="A96" s="13">
        <v>44946</v>
      </c>
      <c r="B96" s="14"/>
      <c r="C96" s="14" t="s">
        <v>379</v>
      </c>
      <c r="D96" s="14" t="s">
        <v>380</v>
      </c>
      <c r="E96" s="15" t="s">
        <v>381</v>
      </c>
      <c r="F96" s="15" t="s">
        <v>19</v>
      </c>
      <c r="G96" s="14" t="s">
        <v>224</v>
      </c>
      <c r="H96" s="16" t="s">
        <v>382</v>
      </c>
      <c r="I96" s="17">
        <v>140000</v>
      </c>
      <c r="J96" s="17">
        <f>IF(G:G="FRENOS",(Tabla2456789[[#This Row],[TOTAL FACTURA]]*0.8),(Tabla2456789[[#This Row],[TOTAL FACTURA]]*0.5))</f>
        <v>70000</v>
      </c>
      <c r="K96" s="9">
        <f t="shared" si="1"/>
        <v>70000</v>
      </c>
      <c r="L96" s="4"/>
      <c r="M96" s="10"/>
      <c r="N96" s="10">
        <f>Tabla2456789[[#This Row],[MONTO DE COMPRA]]/1.19</f>
        <v>0</v>
      </c>
      <c r="O96" s="10">
        <f>Tabla2456789[[#This Row],[Columna1]]*19%</f>
        <v>0</v>
      </c>
      <c r="P96" s="10"/>
      <c r="Q96" s="10">
        <f>Tabla2456789[[#This Row],[VENTA ]]/1.19</f>
        <v>0</v>
      </c>
      <c r="R96" s="10">
        <f>Tabla2456789[[#This Row],[Columna2]]*19%</f>
        <v>0</v>
      </c>
      <c r="S96" s="10">
        <f>Tabla2456789[[#This Row],[IVA VENTA ]]-Tabla2456789[[#This Row],[IV COMPRA]]</f>
        <v>0</v>
      </c>
      <c r="T96" s="10">
        <f>(Tabla2456789[[#This Row],[VENTA ]]-(Tabla2456789[[#This Row],[MONTO DE COMPRA]]+Tabla2456789[[#This Row],[DIFERENCIA IVA ]]))</f>
        <v>0</v>
      </c>
      <c r="U96" s="17"/>
    </row>
    <row r="97" spans="1:21" s="15" customFormat="1" ht="20.100000000000001" customHeight="1" x14ac:dyDescent="0.25">
      <c r="A97" s="13">
        <v>44946</v>
      </c>
      <c r="B97" s="14"/>
      <c r="C97" s="14" t="s">
        <v>386</v>
      </c>
      <c r="D97" s="14" t="s">
        <v>387</v>
      </c>
      <c r="E97" s="15" t="s">
        <v>390</v>
      </c>
      <c r="F97" s="15" t="s">
        <v>35</v>
      </c>
      <c r="G97" s="14" t="s">
        <v>224</v>
      </c>
      <c r="H97" s="16" t="s">
        <v>388</v>
      </c>
      <c r="I97" s="17">
        <v>500000</v>
      </c>
      <c r="J97" s="17">
        <f>IF(G:G="FRENOS",(Tabla2456789[[#This Row],[TOTAL FACTURA]]*0.8),(Tabla2456789[[#This Row],[TOTAL FACTURA]]*0.5))</f>
        <v>250000</v>
      </c>
      <c r="K97" s="9">
        <f t="shared" si="1"/>
        <v>250000</v>
      </c>
      <c r="L97" s="4"/>
      <c r="M97" s="10"/>
      <c r="N97" s="10">
        <f>Tabla2456789[[#This Row],[MONTO DE COMPRA]]/1.19</f>
        <v>0</v>
      </c>
      <c r="O97" s="10">
        <f>Tabla2456789[[#This Row],[Columna1]]*19%</f>
        <v>0</v>
      </c>
      <c r="P97" s="10"/>
      <c r="Q97" s="10">
        <f>Tabla2456789[[#This Row],[VENTA ]]/1.19</f>
        <v>0</v>
      </c>
      <c r="R97" s="10">
        <f>Tabla2456789[[#This Row],[Columna2]]*19%</f>
        <v>0</v>
      </c>
      <c r="S97" s="10">
        <f>Tabla2456789[[#This Row],[IVA VENTA ]]-Tabla2456789[[#This Row],[IV COMPRA]]</f>
        <v>0</v>
      </c>
      <c r="T97" s="10">
        <f>(Tabla2456789[[#This Row],[VENTA ]]-(Tabla2456789[[#This Row],[MONTO DE COMPRA]]+Tabla2456789[[#This Row],[DIFERENCIA IVA ]]))</f>
        <v>0</v>
      </c>
      <c r="U97" s="17"/>
    </row>
    <row r="98" spans="1:21" s="15" customFormat="1" ht="20.100000000000001" customHeight="1" x14ac:dyDescent="0.25">
      <c r="A98" s="13">
        <v>44949</v>
      </c>
      <c r="B98" s="14"/>
      <c r="C98" s="14" t="s">
        <v>391</v>
      </c>
      <c r="D98" s="14" t="s">
        <v>392</v>
      </c>
      <c r="E98" s="15" t="s">
        <v>345</v>
      </c>
      <c r="F98" s="15" t="s">
        <v>35</v>
      </c>
      <c r="G98" s="14" t="s">
        <v>224</v>
      </c>
      <c r="H98" s="16" t="s">
        <v>393</v>
      </c>
      <c r="I98" s="17">
        <v>250000</v>
      </c>
      <c r="J98" s="17">
        <f>IF(G:G="FRENOS",(Tabla2456789[[#This Row],[TOTAL FACTURA]]*0.8),(Tabla2456789[[#This Row],[TOTAL FACTURA]]*0.5))</f>
        <v>125000</v>
      </c>
      <c r="K98" s="9">
        <f t="shared" si="1"/>
        <v>125000</v>
      </c>
      <c r="L98" s="4" t="s">
        <v>394</v>
      </c>
      <c r="M98" s="10">
        <v>420000</v>
      </c>
      <c r="N98" s="10">
        <f>Tabla2456789[[#This Row],[MONTO DE COMPRA]]/1.19</f>
        <v>352941.17647058825</v>
      </c>
      <c r="O98" s="10">
        <f>Tabla2456789[[#This Row],[Columna1]]*19%</f>
        <v>67058.823529411762</v>
      </c>
      <c r="P98" s="10">
        <f>280000+175000</f>
        <v>455000</v>
      </c>
      <c r="Q98" s="10">
        <f>Tabla2456789[[#This Row],[VENTA ]]/1.19</f>
        <v>382352.9411764706</v>
      </c>
      <c r="R98" s="10">
        <f>Tabla2456789[[#This Row],[Columna2]]*19%</f>
        <v>72647.058823529413</v>
      </c>
      <c r="S98" s="10">
        <f>Tabla2456789[[#This Row],[IVA VENTA ]]-Tabla2456789[[#This Row],[IV COMPRA]]</f>
        <v>5588.2352941176505</v>
      </c>
      <c r="T98" s="10">
        <f>(Tabla2456789[[#This Row],[VENTA ]]-(Tabla2456789[[#This Row],[MONTO DE COMPRA]]+Tabla2456789[[#This Row],[DIFERENCIA IVA ]]))</f>
        <v>29411.76470588235</v>
      </c>
      <c r="U98" s="17"/>
    </row>
    <row r="99" spans="1:21" s="15" customFormat="1" ht="20.100000000000001" customHeight="1" x14ac:dyDescent="0.25">
      <c r="A99" s="13">
        <v>44949</v>
      </c>
      <c r="B99" s="14"/>
      <c r="C99" s="14"/>
      <c r="D99" s="14" t="s">
        <v>395</v>
      </c>
      <c r="E99" s="15" t="s">
        <v>28</v>
      </c>
      <c r="F99" s="15" t="s">
        <v>19</v>
      </c>
      <c r="G99" s="14" t="s">
        <v>224</v>
      </c>
      <c r="H99" s="16" t="s">
        <v>396</v>
      </c>
      <c r="I99" s="17">
        <v>30000</v>
      </c>
      <c r="J99" s="17">
        <f>IF(G:G="FRENOS",(Tabla2456789[[#This Row],[TOTAL FACTURA]]*0.8),(Tabla2456789[[#This Row],[TOTAL FACTURA]]*0.5))</f>
        <v>15000</v>
      </c>
      <c r="K99" s="9">
        <f t="shared" si="1"/>
        <v>15000</v>
      </c>
      <c r="L99" s="4"/>
      <c r="M99" s="10"/>
      <c r="N99" s="10">
        <f>Tabla2456789[[#This Row],[MONTO DE COMPRA]]/1.19</f>
        <v>0</v>
      </c>
      <c r="O99" s="10">
        <f>Tabla2456789[[#This Row],[Columna1]]*19%</f>
        <v>0</v>
      </c>
      <c r="P99" s="10"/>
      <c r="Q99" s="10">
        <f>Tabla2456789[[#This Row],[VENTA ]]/1.19</f>
        <v>0</v>
      </c>
      <c r="R99" s="10">
        <f>Tabla2456789[[#This Row],[Columna2]]*19%</f>
        <v>0</v>
      </c>
      <c r="S99" s="10">
        <f>Tabla2456789[[#This Row],[IVA VENTA ]]-Tabla2456789[[#This Row],[IV COMPRA]]</f>
        <v>0</v>
      </c>
      <c r="T99" s="10">
        <f>(Tabla2456789[[#This Row],[VENTA ]]-(Tabla2456789[[#This Row],[MONTO DE COMPRA]]+Tabla2456789[[#This Row],[DIFERENCIA IVA ]]))</f>
        <v>0</v>
      </c>
      <c r="U99" s="17"/>
    </row>
    <row r="100" spans="1:21" s="15" customFormat="1" ht="20.100000000000001" customHeight="1" x14ac:dyDescent="0.25">
      <c r="A100" s="13">
        <v>44949</v>
      </c>
      <c r="B100" s="14"/>
      <c r="C100" s="14" t="s">
        <v>144</v>
      </c>
      <c r="D100" s="14" t="s">
        <v>174</v>
      </c>
      <c r="E100" s="15" t="s">
        <v>175</v>
      </c>
      <c r="F100" s="15" t="s">
        <v>19</v>
      </c>
      <c r="G100" s="14" t="s">
        <v>314</v>
      </c>
      <c r="H100" s="16" t="s">
        <v>397</v>
      </c>
      <c r="I100" s="17">
        <v>30000</v>
      </c>
      <c r="J100" s="17">
        <v>30000</v>
      </c>
      <c r="K100" s="9">
        <f t="shared" si="1"/>
        <v>0</v>
      </c>
      <c r="L100" s="4"/>
      <c r="M100" s="10"/>
      <c r="N100" s="10">
        <f>Tabla2456789[[#This Row],[MONTO DE COMPRA]]/1.19</f>
        <v>0</v>
      </c>
      <c r="O100" s="10">
        <f>Tabla2456789[[#This Row],[Columna1]]*19%</f>
        <v>0</v>
      </c>
      <c r="P100" s="10"/>
      <c r="Q100" s="10">
        <f>Tabla2456789[[#This Row],[VENTA ]]/1.19</f>
        <v>0</v>
      </c>
      <c r="R100" s="10">
        <f>Tabla2456789[[#This Row],[Columna2]]*19%</f>
        <v>0</v>
      </c>
      <c r="S100" s="10">
        <f>Tabla2456789[[#This Row],[IVA VENTA ]]-Tabla2456789[[#This Row],[IV COMPRA]]</f>
        <v>0</v>
      </c>
      <c r="T100" s="10">
        <f>(Tabla2456789[[#This Row],[VENTA ]]-(Tabla2456789[[#This Row],[MONTO DE COMPRA]]+Tabla2456789[[#This Row],[DIFERENCIA IVA ]]))</f>
        <v>0</v>
      </c>
      <c r="U100" s="17"/>
    </row>
    <row r="101" spans="1:21" s="15" customFormat="1" ht="20.100000000000001" customHeight="1" x14ac:dyDescent="0.25">
      <c r="A101" s="13">
        <v>44950</v>
      </c>
      <c r="B101" s="14"/>
      <c r="C101" s="14" t="s">
        <v>398</v>
      </c>
      <c r="D101" s="14" t="s">
        <v>399</v>
      </c>
      <c r="E101" s="15" t="s">
        <v>321</v>
      </c>
      <c r="F101" s="15" t="s">
        <v>19</v>
      </c>
      <c r="G101" s="14" t="s">
        <v>314</v>
      </c>
      <c r="H101" s="18" t="s">
        <v>400</v>
      </c>
      <c r="I101" s="17">
        <v>60000</v>
      </c>
      <c r="J101" s="17">
        <f>IF(G:G="FRENOS",(Tabla2456789[[#This Row],[TOTAL FACTURA]]*0.8),(Tabla2456789[[#This Row],[TOTAL FACTURA]]*0.5))</f>
        <v>48000</v>
      </c>
      <c r="K101" s="9">
        <f t="shared" si="1"/>
        <v>12000</v>
      </c>
      <c r="L101" s="4" t="s">
        <v>401</v>
      </c>
      <c r="M101" s="10">
        <v>8000</v>
      </c>
      <c r="N101" s="10">
        <f>Tabla2456789[[#This Row],[MONTO DE COMPRA]]/1.19</f>
        <v>6722.6890756302528</v>
      </c>
      <c r="O101" s="10">
        <f>Tabla2456789[[#This Row],[Columna1]]*19%</f>
        <v>1277.3109243697481</v>
      </c>
      <c r="P101" s="10">
        <v>10000</v>
      </c>
      <c r="Q101" s="10">
        <f>Tabla2456789[[#This Row],[VENTA ]]/1.19</f>
        <v>8403.361344537816</v>
      </c>
      <c r="R101" s="10">
        <f>Tabla2456789[[#This Row],[Columna2]]*19%</f>
        <v>1596.6386554621849</v>
      </c>
      <c r="S101" s="10">
        <f>Tabla2456789[[#This Row],[IVA VENTA ]]-Tabla2456789[[#This Row],[IV COMPRA]]</f>
        <v>319.32773109243681</v>
      </c>
      <c r="T101" s="10">
        <f>(Tabla2456789[[#This Row],[VENTA ]]-(Tabla2456789[[#This Row],[MONTO DE COMPRA]]+Tabla2456789[[#This Row],[DIFERENCIA IVA ]]))</f>
        <v>1680.6722689075632</v>
      </c>
      <c r="U101" s="17"/>
    </row>
    <row r="102" spans="1:21" s="15" customFormat="1" ht="28.5" customHeight="1" x14ac:dyDescent="0.25">
      <c r="A102" s="13">
        <v>44946</v>
      </c>
      <c r="B102" s="14"/>
      <c r="C102" s="14" t="s">
        <v>402</v>
      </c>
      <c r="D102" s="14" t="s">
        <v>403</v>
      </c>
      <c r="E102" s="15" t="s">
        <v>404</v>
      </c>
      <c r="G102" s="14" t="s">
        <v>315</v>
      </c>
      <c r="H102" s="15" t="s">
        <v>405</v>
      </c>
      <c r="I102" s="17"/>
      <c r="J102" s="17">
        <f>IF(G:G="FRENOS",(Tabla2456789[[#This Row],[TOTAL FACTURA]]*0.8),(Tabla2456789[[#This Row],[TOTAL FACTURA]]*0.5))</f>
        <v>0</v>
      </c>
      <c r="K102" s="9">
        <f t="shared" si="1"/>
        <v>0</v>
      </c>
      <c r="L102" s="4"/>
      <c r="M102" s="10"/>
      <c r="N102" s="10">
        <f>Tabla2456789[[#This Row],[MONTO DE COMPRA]]/1.19</f>
        <v>0</v>
      </c>
      <c r="O102" s="10">
        <f>Tabla2456789[[#This Row],[Columna1]]*19%</f>
        <v>0</v>
      </c>
      <c r="P102" s="10"/>
      <c r="Q102" s="10">
        <f>Tabla2456789[[#This Row],[VENTA ]]/1.19</f>
        <v>0</v>
      </c>
      <c r="R102" s="10">
        <f>Tabla2456789[[#This Row],[Columna2]]*19%</f>
        <v>0</v>
      </c>
      <c r="S102" s="10">
        <f>Tabla2456789[[#This Row],[IVA VENTA ]]-Tabla2456789[[#This Row],[IV COMPRA]]</f>
        <v>0</v>
      </c>
      <c r="T102" s="10">
        <f>(Tabla2456789[[#This Row],[VENTA ]]-(Tabla2456789[[#This Row],[MONTO DE COMPRA]]+Tabla2456789[[#This Row],[DIFERENCIA IVA ]]))</f>
        <v>0</v>
      </c>
      <c r="U102" s="17"/>
    </row>
    <row r="103" spans="1:21" s="15" customFormat="1" ht="36.75" customHeight="1" x14ac:dyDescent="0.25">
      <c r="A103" s="13">
        <v>44951</v>
      </c>
      <c r="B103" s="14" t="s">
        <v>411</v>
      </c>
      <c r="C103" s="14" t="s">
        <v>406</v>
      </c>
      <c r="D103" s="14" t="s">
        <v>407</v>
      </c>
      <c r="E103" s="15" t="s">
        <v>408</v>
      </c>
      <c r="F103" s="15" t="s">
        <v>19</v>
      </c>
      <c r="G103" s="14" t="s">
        <v>314</v>
      </c>
      <c r="H103" s="18" t="s">
        <v>409</v>
      </c>
      <c r="I103" s="17">
        <v>120000</v>
      </c>
      <c r="J103" s="17">
        <f>IF(G:G="FRENOS",(Tabla2456789[[#This Row],[TOTAL FACTURA]]*0.8),(Tabla2456789[[#This Row],[TOTAL FACTURA]]*0.5))</f>
        <v>96000</v>
      </c>
      <c r="K103" s="9">
        <f t="shared" si="1"/>
        <v>24000</v>
      </c>
      <c r="L103" s="4" t="s">
        <v>412</v>
      </c>
      <c r="M103" s="10">
        <f>282000+220000+440000</f>
        <v>942000</v>
      </c>
      <c r="N103" s="10">
        <f>Tabla2456789[[#This Row],[MONTO DE COMPRA]]/1.19</f>
        <v>791596.63865546219</v>
      </c>
      <c r="O103" s="10">
        <f>Tabla2456789[[#This Row],[Columna1]]*19%</f>
        <v>150403.36134453781</v>
      </c>
      <c r="P103" s="10">
        <v>1225000</v>
      </c>
      <c r="Q103" s="10">
        <f>Tabla2456789[[#This Row],[VENTA ]]/1.19</f>
        <v>1029411.7647058824</v>
      </c>
      <c r="R103" s="10">
        <f>Tabla2456789[[#This Row],[Columna2]]*19%</f>
        <v>195588.23529411765</v>
      </c>
      <c r="S103" s="10">
        <f>Tabla2456789[[#This Row],[IVA VENTA ]]-Tabla2456789[[#This Row],[IV COMPRA]]</f>
        <v>45184.873949579836</v>
      </c>
      <c r="T103" s="10">
        <f>(Tabla2456789[[#This Row],[VENTA ]]-(Tabla2456789[[#This Row],[MONTO DE COMPRA]]+Tabla2456789[[#This Row],[DIFERENCIA IVA ]]))</f>
        <v>237815.12605042011</v>
      </c>
      <c r="U103" s="17"/>
    </row>
    <row r="104" spans="1:21" s="15" customFormat="1" ht="48" customHeight="1" x14ac:dyDescent="0.25">
      <c r="A104" s="13">
        <v>44951</v>
      </c>
      <c r="B104" s="14" t="s">
        <v>411</v>
      </c>
      <c r="C104" s="14" t="s">
        <v>406</v>
      </c>
      <c r="D104" s="14" t="s">
        <v>407</v>
      </c>
      <c r="E104" s="15" t="s">
        <v>408</v>
      </c>
      <c r="F104" s="15" t="s">
        <v>19</v>
      </c>
      <c r="G104" s="14" t="s">
        <v>224</v>
      </c>
      <c r="H104" s="18" t="s">
        <v>410</v>
      </c>
      <c r="I104" s="17">
        <v>180000</v>
      </c>
      <c r="J104" s="17">
        <f>IF(G:G="FRENOS",(Tabla2456789[[#This Row],[TOTAL FACTURA]]*0.8),(Tabla2456789[[#This Row],[TOTAL FACTURA]]*0.5))</f>
        <v>90000</v>
      </c>
      <c r="K104" s="9">
        <f t="shared" si="1"/>
        <v>90000</v>
      </c>
      <c r="L104" s="4" t="s">
        <v>413</v>
      </c>
      <c r="M104" s="10"/>
      <c r="N104" s="10">
        <f>Tabla2456789[[#This Row],[MONTO DE COMPRA]]/1.19</f>
        <v>0</v>
      </c>
      <c r="O104" s="10">
        <f>Tabla2456789[[#This Row],[Columna1]]*19%</f>
        <v>0</v>
      </c>
      <c r="P104" s="10"/>
      <c r="Q104" s="10">
        <f>Tabla2456789[[#This Row],[VENTA ]]/1.19</f>
        <v>0</v>
      </c>
      <c r="R104" s="10">
        <f>Tabla2456789[[#This Row],[Columna2]]*19%</f>
        <v>0</v>
      </c>
      <c r="S104" s="10">
        <f>Tabla2456789[[#This Row],[IVA VENTA ]]-Tabla2456789[[#This Row],[IV COMPRA]]</f>
        <v>0</v>
      </c>
      <c r="T104" s="10">
        <f>(Tabla2456789[[#This Row],[VENTA ]]-(Tabla2456789[[#This Row],[MONTO DE COMPRA]]+Tabla2456789[[#This Row],[DIFERENCIA IVA ]]))</f>
        <v>0</v>
      </c>
      <c r="U104" s="17"/>
    </row>
    <row r="105" spans="1:21" s="15" customFormat="1" ht="20.100000000000001" customHeight="1" x14ac:dyDescent="0.25">
      <c r="A105" s="13">
        <v>44951</v>
      </c>
      <c r="B105" s="14" t="s">
        <v>414</v>
      </c>
      <c r="C105" s="14" t="s">
        <v>415</v>
      </c>
      <c r="D105" s="15" t="s">
        <v>416</v>
      </c>
      <c r="E105" s="15" t="s">
        <v>175</v>
      </c>
      <c r="F105" s="15" t="s">
        <v>19</v>
      </c>
      <c r="G105" s="14" t="s">
        <v>314</v>
      </c>
      <c r="H105" s="18" t="s">
        <v>417</v>
      </c>
      <c r="I105" s="17">
        <v>140000</v>
      </c>
      <c r="J105" s="17">
        <f>IF(G:G="FRENOS",(Tabla2456789[[#This Row],[TOTAL FACTURA]]*0.8),(Tabla2456789[[#This Row],[TOTAL FACTURA]]*0.5))</f>
        <v>112000</v>
      </c>
      <c r="K105" s="9">
        <f t="shared" si="1"/>
        <v>28000</v>
      </c>
      <c r="L105" s="4" t="s">
        <v>418</v>
      </c>
      <c r="M105" s="10">
        <f>120000+110000+15000+30000+500+5000</f>
        <v>280500</v>
      </c>
      <c r="N105" s="10">
        <f>Tabla2456789[[#This Row],[MONTO DE COMPRA]]/1.19</f>
        <v>235714.28571428574</v>
      </c>
      <c r="O105" s="10">
        <f>Tabla2456789[[#This Row],[Columna1]]*19%</f>
        <v>44785.71428571429</v>
      </c>
      <c r="P105" s="10">
        <v>547000</v>
      </c>
      <c r="Q105" s="10">
        <f>Tabla2456789[[#This Row],[VENTA ]]/1.19</f>
        <v>459663.86554621853</v>
      </c>
      <c r="R105" s="10">
        <f>Tabla2456789[[#This Row],[Columna2]]*19%</f>
        <v>87336.134453781517</v>
      </c>
      <c r="S105" s="10">
        <f>Tabla2456789[[#This Row],[IVA VENTA ]]-Tabla2456789[[#This Row],[IV COMPRA]]</f>
        <v>42550.420168067227</v>
      </c>
      <c r="T105" s="10">
        <f>(Tabla2456789[[#This Row],[VENTA ]]-(Tabla2456789[[#This Row],[MONTO DE COMPRA]]+Tabla2456789[[#This Row],[DIFERENCIA IVA ]]))</f>
        <v>223949.57983193279</v>
      </c>
      <c r="U105" s="17"/>
    </row>
    <row r="106" spans="1:21" s="15" customFormat="1" ht="20.100000000000001" customHeight="1" x14ac:dyDescent="0.25">
      <c r="A106" s="13">
        <v>44951</v>
      </c>
      <c r="B106" s="14"/>
      <c r="C106" s="14" t="s">
        <v>419</v>
      </c>
      <c r="D106" s="14" t="s">
        <v>420</v>
      </c>
      <c r="E106" s="15" t="s">
        <v>421</v>
      </c>
      <c r="F106" s="15" t="s">
        <v>19</v>
      </c>
      <c r="G106" s="14" t="s">
        <v>314</v>
      </c>
      <c r="H106" s="18" t="s">
        <v>422</v>
      </c>
      <c r="I106" s="17">
        <v>100000</v>
      </c>
      <c r="J106" s="17">
        <f>IF(G:G="FRENOS",(Tabla2456789[[#This Row],[TOTAL FACTURA]]*0.8),(Tabla2456789[[#This Row],[TOTAL FACTURA]]*0.5))</f>
        <v>80000</v>
      </c>
      <c r="K106" s="9">
        <f t="shared" si="1"/>
        <v>20000</v>
      </c>
      <c r="L106" s="4" t="s">
        <v>423</v>
      </c>
      <c r="M106" s="10">
        <v>108000</v>
      </c>
      <c r="N106" s="10">
        <f>Tabla2456789[[#This Row],[MONTO DE COMPRA]]/1.19</f>
        <v>90756.302521008402</v>
      </c>
      <c r="O106" s="10">
        <f>Tabla2456789[[#This Row],[Columna1]]*19%</f>
        <v>17243.697478991595</v>
      </c>
      <c r="P106" s="10">
        <v>156000</v>
      </c>
      <c r="Q106" s="10">
        <f>Tabla2456789[[#This Row],[VENTA ]]/1.19</f>
        <v>131092.43697478992</v>
      </c>
      <c r="R106" s="10">
        <f>Tabla2456789[[#This Row],[Columna2]]*19%</f>
        <v>24907.563025210085</v>
      </c>
      <c r="S106" s="10">
        <f>Tabla2456789[[#This Row],[IVA VENTA ]]-Tabla2456789[[#This Row],[IV COMPRA]]</f>
        <v>7663.8655462184906</v>
      </c>
      <c r="T106" s="10">
        <f>(Tabla2456789[[#This Row],[VENTA ]]-(Tabla2456789[[#This Row],[MONTO DE COMPRA]]+Tabla2456789[[#This Row],[DIFERENCIA IVA ]]))</f>
        <v>40336.134453781502</v>
      </c>
      <c r="U106" s="17"/>
    </row>
    <row r="107" spans="1:21" s="15" customFormat="1" ht="40.5" customHeight="1" x14ac:dyDescent="0.25">
      <c r="A107" s="13">
        <v>44951</v>
      </c>
      <c r="B107" s="14"/>
      <c r="C107" s="14" t="s">
        <v>424</v>
      </c>
      <c r="D107" s="14" t="s">
        <v>425</v>
      </c>
      <c r="E107" s="15" t="s">
        <v>150</v>
      </c>
      <c r="F107" s="15" t="s">
        <v>35</v>
      </c>
      <c r="G107" s="14" t="s">
        <v>224</v>
      </c>
      <c r="H107" s="18" t="s">
        <v>426</v>
      </c>
      <c r="I107" s="17">
        <v>250000</v>
      </c>
      <c r="J107" s="17">
        <f>IF(G:G="FRENOS",(Tabla2456789[[#This Row],[TOTAL FACTURA]]*0.8),(Tabla2456789[[#This Row],[TOTAL FACTURA]]*0.5))</f>
        <v>125000</v>
      </c>
      <c r="K107" s="9">
        <f t="shared" si="1"/>
        <v>125000</v>
      </c>
      <c r="L107" s="4"/>
      <c r="M107" s="10"/>
      <c r="N107" s="10">
        <f>Tabla2456789[[#This Row],[MONTO DE COMPRA]]/1.19</f>
        <v>0</v>
      </c>
      <c r="O107" s="10">
        <f>Tabla2456789[[#This Row],[Columna1]]*19%</f>
        <v>0</v>
      </c>
      <c r="P107" s="10"/>
      <c r="Q107" s="10">
        <f>Tabla2456789[[#This Row],[VENTA ]]/1.19</f>
        <v>0</v>
      </c>
      <c r="R107" s="10">
        <f>Tabla2456789[[#This Row],[Columna2]]*19%</f>
        <v>0</v>
      </c>
      <c r="S107" s="10">
        <f>Tabla2456789[[#This Row],[IVA VENTA ]]-Tabla2456789[[#This Row],[IV COMPRA]]</f>
        <v>0</v>
      </c>
      <c r="T107" s="10">
        <f>(Tabla2456789[[#This Row],[VENTA ]]-(Tabla2456789[[#This Row],[MONTO DE COMPRA]]+Tabla2456789[[#This Row],[DIFERENCIA IVA ]]))</f>
        <v>0</v>
      </c>
      <c r="U107" s="17"/>
    </row>
    <row r="108" spans="1:21" s="15" customFormat="1" ht="20.100000000000001" customHeight="1" x14ac:dyDescent="0.25">
      <c r="A108" s="13">
        <v>44953</v>
      </c>
      <c r="B108" s="14" t="s">
        <v>432</v>
      </c>
      <c r="C108" s="14" t="s">
        <v>427</v>
      </c>
      <c r="D108" s="14" t="s">
        <v>428</v>
      </c>
      <c r="E108" s="15" t="s">
        <v>429</v>
      </c>
      <c r="F108" s="15" t="s">
        <v>19</v>
      </c>
      <c r="G108" s="14" t="s">
        <v>224</v>
      </c>
      <c r="H108" s="18" t="s">
        <v>430</v>
      </c>
      <c r="I108" s="17">
        <v>60000</v>
      </c>
      <c r="J108" s="17">
        <v>50000</v>
      </c>
      <c r="K108" s="9">
        <f t="shared" si="1"/>
        <v>10000</v>
      </c>
      <c r="L108" s="4" t="s">
        <v>431</v>
      </c>
      <c r="M108" s="10">
        <v>260000</v>
      </c>
      <c r="N108" s="10">
        <f>Tabla2456789[[#This Row],[MONTO DE COMPRA]]/1.19</f>
        <v>218487.3949579832</v>
      </c>
      <c r="O108" s="10">
        <f>Tabla2456789[[#This Row],[Columna1]]*19%</f>
        <v>41512.60504201681</v>
      </c>
      <c r="P108" s="10">
        <v>500000</v>
      </c>
      <c r="Q108" s="10">
        <f>Tabla2456789[[#This Row],[VENTA ]]/1.19</f>
        <v>420168.06722689077</v>
      </c>
      <c r="R108" s="10">
        <f>Tabla2456789[[#This Row],[Columna2]]*19%</f>
        <v>79831.932773109249</v>
      </c>
      <c r="S108" s="10">
        <f>Tabla2456789[[#This Row],[IVA VENTA ]]-Tabla2456789[[#This Row],[IV COMPRA]]</f>
        <v>38319.327731092439</v>
      </c>
      <c r="T108" s="10">
        <f>(Tabla2456789[[#This Row],[VENTA ]]-(Tabla2456789[[#This Row],[MONTO DE COMPRA]]+Tabla2456789[[#This Row],[DIFERENCIA IVA ]]))</f>
        <v>201680.67226890754</v>
      </c>
      <c r="U108" s="17"/>
    </row>
    <row r="109" spans="1:21" s="15" customFormat="1" ht="20.100000000000001" customHeight="1" x14ac:dyDescent="0.25">
      <c r="A109" s="13">
        <v>44953</v>
      </c>
      <c r="B109" s="14" t="s">
        <v>433</v>
      </c>
      <c r="C109" s="14" t="s">
        <v>434</v>
      </c>
      <c r="D109" s="14" t="s">
        <v>435</v>
      </c>
      <c r="E109" s="15" t="s">
        <v>436</v>
      </c>
      <c r="F109" s="15" t="s">
        <v>19</v>
      </c>
      <c r="G109" s="14" t="s">
        <v>224</v>
      </c>
      <c r="H109" s="18" t="s">
        <v>430</v>
      </c>
      <c r="I109" s="17">
        <v>60000</v>
      </c>
      <c r="J109" s="17">
        <f>IF(G:G="FRENOS",(Tabla2456789[[#This Row],[TOTAL FACTURA]]*0.8),(Tabla2456789[[#This Row],[TOTAL FACTURA]]*0.5))</f>
        <v>30000</v>
      </c>
      <c r="K109" s="9">
        <f t="shared" si="1"/>
        <v>30000</v>
      </c>
      <c r="L109" s="4" t="s">
        <v>437</v>
      </c>
      <c r="M109" s="10">
        <v>480000</v>
      </c>
      <c r="N109" s="10">
        <f>Tabla2456789[[#This Row],[MONTO DE COMPRA]]/1.19</f>
        <v>403361.34453781514</v>
      </c>
      <c r="O109" s="10">
        <f>Tabla2456789[[#This Row],[Columna1]]*19%</f>
        <v>76638.655462184877</v>
      </c>
      <c r="P109" s="10">
        <v>600000</v>
      </c>
      <c r="Q109" s="10"/>
      <c r="R109" s="10">
        <f>Tabla2456789[[#This Row],[Columna2]]*19%</f>
        <v>0</v>
      </c>
      <c r="S109" s="10">
        <f>Tabla2456789[[#This Row],[IVA VENTA ]]-Tabla2456789[[#This Row],[IV COMPRA]]</f>
        <v>-76638.655462184877</v>
      </c>
      <c r="T109" s="10">
        <f>(Tabla2456789[[#This Row],[VENTA ]]-(Tabla2456789[[#This Row],[MONTO DE COMPRA]]+Tabla2456789[[#This Row],[DIFERENCIA IVA ]]))</f>
        <v>196638.65546218486</v>
      </c>
      <c r="U109" s="17"/>
    </row>
    <row r="110" spans="1:21" s="15" customFormat="1" ht="20.100000000000001" customHeight="1" x14ac:dyDescent="0.25">
      <c r="A110" s="75">
        <v>44954</v>
      </c>
      <c r="B110" s="76" t="s">
        <v>451</v>
      </c>
      <c r="C110" s="76" t="s">
        <v>443</v>
      </c>
      <c r="D110" s="76" t="s">
        <v>444</v>
      </c>
      <c r="E110" s="77" t="s">
        <v>445</v>
      </c>
      <c r="F110" s="77" t="s">
        <v>19</v>
      </c>
      <c r="G110" s="76" t="s">
        <v>314</v>
      </c>
      <c r="H110" s="78" t="s">
        <v>422</v>
      </c>
      <c r="I110" s="73">
        <v>100000</v>
      </c>
      <c r="J110" s="73">
        <v>80000</v>
      </c>
      <c r="K110" s="84">
        <f t="shared" si="1"/>
        <v>20000</v>
      </c>
      <c r="L110" s="82"/>
      <c r="M110" s="83"/>
      <c r="N110" s="83">
        <f>Tabla2456789[[#This Row],[MONTO DE COMPRA]]/1.19</f>
        <v>0</v>
      </c>
      <c r="O110" s="83">
        <f>Tabla2456789[[#This Row],[Columna1]]*19%</f>
        <v>0</v>
      </c>
      <c r="P110" s="83"/>
      <c r="Q110" s="83">
        <f>Tabla2456789[[#This Row],[VENTA ]]/1.19</f>
        <v>0</v>
      </c>
      <c r="R110" s="83">
        <f>Tabla2456789[[#This Row],[Columna2]]*19%</f>
        <v>0</v>
      </c>
      <c r="S110" s="83">
        <f>Tabla2456789[[#This Row],[IVA VENTA ]]-Tabla2456789[[#This Row],[IV COMPRA]]</f>
        <v>0</v>
      </c>
      <c r="T110" s="83">
        <f>(Tabla2456789[[#This Row],[VENTA ]]-(Tabla2456789[[#This Row],[MONTO DE COMPRA]]+Tabla2456789[[#This Row],[DIFERENCIA IVA ]]))</f>
        <v>0</v>
      </c>
      <c r="U110" s="73"/>
    </row>
    <row r="111" spans="1:21" s="15" customFormat="1" ht="20.100000000000001" customHeight="1" x14ac:dyDescent="0.25">
      <c r="A111" s="75">
        <v>44954</v>
      </c>
      <c r="B111" s="76" t="s">
        <v>450</v>
      </c>
      <c r="C111" s="76" t="s">
        <v>446</v>
      </c>
      <c r="D111" s="76" t="s">
        <v>447</v>
      </c>
      <c r="E111" s="77" t="s">
        <v>142</v>
      </c>
      <c r="F111" s="77" t="s">
        <v>19</v>
      </c>
      <c r="G111" s="76" t="s">
        <v>224</v>
      </c>
      <c r="H111" s="78" t="s">
        <v>448</v>
      </c>
      <c r="I111" s="73">
        <v>25000</v>
      </c>
      <c r="J111" s="73">
        <v>20000</v>
      </c>
      <c r="K111" s="84">
        <f t="shared" si="1"/>
        <v>5000</v>
      </c>
      <c r="L111" s="82" t="s">
        <v>449</v>
      </c>
      <c r="M111" s="83">
        <v>63000</v>
      </c>
      <c r="N111" s="83">
        <f>Tabla2456789[[#This Row],[MONTO DE COMPRA]]/1.19</f>
        <v>52941.176470588238</v>
      </c>
      <c r="O111" s="83">
        <f>Tabla2456789[[#This Row],[Columna1]]*19%</f>
        <v>10058.823529411766</v>
      </c>
      <c r="P111" s="83">
        <v>75000</v>
      </c>
      <c r="Q111" s="83">
        <f>Tabla2456789[[#This Row],[VENTA ]]/1.19</f>
        <v>63025.210084033613</v>
      </c>
      <c r="R111" s="83">
        <f>Tabla2456789[[#This Row],[Columna2]]*19%</f>
        <v>11974.789915966387</v>
      </c>
      <c r="S111" s="83">
        <f>Tabla2456789[[#This Row],[IVA VENTA ]]-Tabla2456789[[#This Row],[IV COMPRA]]</f>
        <v>1915.9663865546208</v>
      </c>
      <c r="T111" s="83">
        <f>(Tabla2456789[[#This Row],[VENTA ]]-(Tabla2456789[[#This Row],[MONTO DE COMPRA]]+Tabla2456789[[#This Row],[DIFERENCIA IVA ]]))</f>
        <v>10084.033613445383</v>
      </c>
      <c r="U111" s="73"/>
    </row>
    <row r="112" spans="1:21" s="15" customFormat="1" ht="20.100000000000001" customHeight="1" x14ac:dyDescent="0.25">
      <c r="A112" s="75">
        <v>44954</v>
      </c>
      <c r="B112" s="76" t="s">
        <v>455</v>
      </c>
      <c r="C112" s="76" t="s">
        <v>453</v>
      </c>
      <c r="D112" s="76" t="s">
        <v>452</v>
      </c>
      <c r="E112" s="77" t="s">
        <v>163</v>
      </c>
      <c r="F112" s="77" t="s">
        <v>19</v>
      </c>
      <c r="G112" s="76" t="s">
        <v>314</v>
      </c>
      <c r="H112" s="78" t="s">
        <v>454</v>
      </c>
      <c r="I112" s="73">
        <v>80000</v>
      </c>
      <c r="J112" s="73">
        <f>IF(G:G="FRENOS",(Tabla2456789[[#This Row],[TOTAL FACTURA]]*0.8),(Tabla2456789[[#This Row],[TOTAL FACTURA]]*0.5))</f>
        <v>64000</v>
      </c>
      <c r="K112" s="84">
        <f t="shared" si="1"/>
        <v>16000</v>
      </c>
      <c r="L112" s="82"/>
      <c r="M112" s="83"/>
      <c r="N112" s="83">
        <f>Tabla2456789[[#This Row],[MONTO DE COMPRA]]/1.19</f>
        <v>0</v>
      </c>
      <c r="O112" s="83">
        <f>Tabla2456789[[#This Row],[Columna1]]*19%</f>
        <v>0</v>
      </c>
      <c r="P112" s="83"/>
      <c r="Q112" s="83">
        <f>Tabla2456789[[#This Row],[VENTA ]]/1.19</f>
        <v>0</v>
      </c>
      <c r="R112" s="83">
        <f>Tabla2456789[[#This Row],[Columna2]]*19%</f>
        <v>0</v>
      </c>
      <c r="S112" s="83">
        <f>Tabla2456789[[#This Row],[IVA VENTA ]]-Tabla2456789[[#This Row],[IV COMPRA]]</f>
        <v>0</v>
      </c>
      <c r="T112" s="83">
        <f>(Tabla2456789[[#This Row],[VENTA ]]-(Tabla2456789[[#This Row],[MONTO DE COMPRA]]+Tabla2456789[[#This Row],[DIFERENCIA IVA ]]))</f>
        <v>0</v>
      </c>
      <c r="U112" s="73"/>
    </row>
    <row r="113" spans="1:21" s="15" customFormat="1" ht="20.100000000000001" customHeight="1" x14ac:dyDescent="0.25">
      <c r="A113" s="75">
        <v>44954</v>
      </c>
      <c r="B113" s="76"/>
      <c r="C113" s="76" t="s">
        <v>456</v>
      </c>
      <c r="D113" s="76" t="s">
        <v>457</v>
      </c>
      <c r="E113" s="77" t="s">
        <v>214</v>
      </c>
      <c r="F113" s="77" t="s">
        <v>19</v>
      </c>
      <c r="G113" s="76" t="s">
        <v>314</v>
      </c>
      <c r="H113" s="78" t="s">
        <v>458</v>
      </c>
      <c r="I113" s="73">
        <v>30000</v>
      </c>
      <c r="J113" s="73">
        <f>IF(G:G="FRENOS",(Tabla2456789[[#This Row],[TOTAL FACTURA]]*0.8),(Tabla2456789[[#This Row],[TOTAL FACTURA]]*0.5))</f>
        <v>24000</v>
      </c>
      <c r="K113" s="84">
        <f t="shared" si="1"/>
        <v>6000</v>
      </c>
      <c r="L113" s="82" t="s">
        <v>22</v>
      </c>
      <c r="M113" s="83">
        <v>130000</v>
      </c>
      <c r="N113" s="83">
        <f>Tabla2456789[[#This Row],[MONTO DE COMPRA]]/1.19</f>
        <v>109243.6974789916</v>
      </c>
      <c r="O113" s="83">
        <f>Tabla2456789[[#This Row],[Columna1]]*19%</f>
        <v>20756.302521008405</v>
      </c>
      <c r="P113" s="83">
        <v>180000</v>
      </c>
      <c r="Q113" s="83">
        <f>Tabla2456789[[#This Row],[VENTA ]]/1.19</f>
        <v>151260.50420168068</v>
      </c>
      <c r="R113" s="83">
        <f>Tabla2456789[[#This Row],[Columna2]]*19%</f>
        <v>28739.495798319331</v>
      </c>
      <c r="S113" s="83">
        <f>Tabla2456789[[#This Row],[IVA VENTA ]]-Tabla2456789[[#This Row],[IV COMPRA]]</f>
        <v>7983.1932773109256</v>
      </c>
      <c r="T113" s="83">
        <f>(Tabla2456789[[#This Row],[VENTA ]]-(Tabla2456789[[#This Row],[MONTO DE COMPRA]]+Tabla2456789[[#This Row],[DIFERENCIA IVA ]]))</f>
        <v>42016.806722689071</v>
      </c>
      <c r="U113" s="73"/>
    </row>
    <row r="114" spans="1:21" s="15" customFormat="1" ht="20.100000000000001" customHeight="1" x14ac:dyDescent="0.25">
      <c r="A114" s="75">
        <v>44956</v>
      </c>
      <c r="B114" s="76" t="s">
        <v>461</v>
      </c>
      <c r="C114" s="76" t="s">
        <v>90</v>
      </c>
      <c r="D114" s="76" t="s">
        <v>91</v>
      </c>
      <c r="E114" s="77" t="s">
        <v>92</v>
      </c>
      <c r="F114" s="77" t="s">
        <v>19</v>
      </c>
      <c r="G114" s="76" t="s">
        <v>224</v>
      </c>
      <c r="H114" s="78" t="s">
        <v>460</v>
      </c>
      <c r="I114" s="73">
        <v>50000</v>
      </c>
      <c r="J114" s="73">
        <f>IF(G:G="FRENOS",(Tabla2456789[[#This Row],[TOTAL FACTURA]]*0.8),(Tabla2456789[[#This Row],[TOTAL FACTURA]]*0.5))</f>
        <v>25000</v>
      </c>
      <c r="K114" s="84">
        <f t="shared" si="1"/>
        <v>25000</v>
      </c>
      <c r="L114" s="82"/>
      <c r="M114" s="83"/>
      <c r="N114" s="83">
        <f>Tabla2456789[[#This Row],[MONTO DE COMPRA]]/1.19</f>
        <v>0</v>
      </c>
      <c r="O114" s="83">
        <f>Tabla2456789[[#This Row],[Columna1]]*19%</f>
        <v>0</v>
      </c>
      <c r="P114" s="83"/>
      <c r="Q114" s="83">
        <f>Tabla2456789[[#This Row],[VENTA ]]/1.19</f>
        <v>0</v>
      </c>
      <c r="R114" s="83">
        <f>Tabla2456789[[#This Row],[Columna2]]*19%</f>
        <v>0</v>
      </c>
      <c r="S114" s="83">
        <f>Tabla2456789[[#This Row],[IVA VENTA ]]-Tabla2456789[[#This Row],[IV COMPRA]]</f>
        <v>0</v>
      </c>
      <c r="T114" s="83">
        <f>(Tabla2456789[[#This Row],[VENTA ]]-(Tabla2456789[[#This Row],[MONTO DE COMPRA]]+Tabla2456789[[#This Row],[DIFERENCIA IVA ]]))</f>
        <v>0</v>
      </c>
      <c r="U114" s="73"/>
    </row>
    <row r="115" spans="1:21" s="15" customFormat="1" ht="20.100000000000001" customHeight="1" x14ac:dyDescent="0.25">
      <c r="A115" s="75">
        <v>44956</v>
      </c>
      <c r="B115" s="76" t="s">
        <v>459</v>
      </c>
      <c r="C115" s="76" t="s">
        <v>90</v>
      </c>
      <c r="D115" s="76" t="s">
        <v>462</v>
      </c>
      <c r="E115" s="77" t="s">
        <v>95</v>
      </c>
      <c r="F115" s="77" t="s">
        <v>19</v>
      </c>
      <c r="G115" s="76" t="s">
        <v>224</v>
      </c>
      <c r="H115" s="78" t="s">
        <v>463</v>
      </c>
      <c r="I115" s="73">
        <v>70000</v>
      </c>
      <c r="J115" s="73">
        <f>IF(G:G="FRENOS",(Tabla2456789[[#This Row],[TOTAL FACTURA]]*0.8),(Tabla2456789[[#This Row],[TOTAL FACTURA]]*0.5))</f>
        <v>35000</v>
      </c>
      <c r="K115" s="84">
        <f t="shared" si="1"/>
        <v>35000</v>
      </c>
      <c r="L115" s="82"/>
      <c r="M115" s="83"/>
      <c r="N115" s="83">
        <f>Tabla2456789[[#This Row],[MONTO DE COMPRA]]/1.19</f>
        <v>0</v>
      </c>
      <c r="O115" s="83">
        <f>Tabla2456789[[#This Row],[Columna1]]*19%</f>
        <v>0</v>
      </c>
      <c r="P115" s="83"/>
      <c r="Q115" s="83">
        <f>Tabla2456789[[#This Row],[VENTA ]]/1.19</f>
        <v>0</v>
      </c>
      <c r="R115" s="83">
        <f>Tabla2456789[[#This Row],[Columna2]]*19%</f>
        <v>0</v>
      </c>
      <c r="S115" s="83">
        <f>Tabla2456789[[#This Row],[IVA VENTA ]]-Tabla2456789[[#This Row],[IV COMPRA]]</f>
        <v>0</v>
      </c>
      <c r="T115" s="83">
        <f>(Tabla2456789[[#This Row],[VENTA ]]-(Tabla2456789[[#This Row],[MONTO DE COMPRA]]+Tabla2456789[[#This Row],[DIFERENCIA IVA ]]))</f>
        <v>0</v>
      </c>
      <c r="U115" s="73"/>
    </row>
    <row r="116" spans="1:21" s="15" customFormat="1" ht="20.100000000000001" customHeight="1" x14ac:dyDescent="0.25">
      <c r="A116" s="75">
        <v>44957</v>
      </c>
      <c r="B116" s="76"/>
      <c r="C116" s="89"/>
      <c r="D116" s="76"/>
      <c r="E116" s="77" t="s">
        <v>539</v>
      </c>
      <c r="F116" s="77" t="s">
        <v>19</v>
      </c>
      <c r="G116" s="76" t="s">
        <v>314</v>
      </c>
      <c r="H116" s="80" t="s">
        <v>20</v>
      </c>
      <c r="I116" s="74">
        <v>10000</v>
      </c>
      <c r="J116" s="73">
        <f>IF(G:G="FRENOS",(Tabla2456789[[#This Row],[TOTAL FACTURA]]*0.8),(Tabla2456789[[#This Row],[TOTAL FACTURA]]*0.5))</f>
        <v>8000</v>
      </c>
      <c r="K116" s="81">
        <f>I116-J116</f>
        <v>2000</v>
      </c>
      <c r="L116" s="82"/>
      <c r="M116" s="83"/>
      <c r="N116" s="83">
        <f>Tabla2456789[[#This Row],[MONTO DE COMPRA]]/1.19</f>
        <v>0</v>
      </c>
      <c r="O116" s="83">
        <f>Tabla2456789[[#This Row],[Columna1]]*19%</f>
        <v>0</v>
      </c>
      <c r="P116" s="83"/>
      <c r="Q116" s="83">
        <f>Tabla2456789[[#This Row],[VENTA ]]/1.19</f>
        <v>0</v>
      </c>
      <c r="R116" s="83">
        <f>Tabla2456789[[#This Row],[Columna2]]*19%</f>
        <v>0</v>
      </c>
      <c r="S116" s="83">
        <f>Tabla2456789[[#This Row],[IVA VENTA ]]-Tabla2456789[[#This Row],[IV COMPRA]]</f>
        <v>0</v>
      </c>
      <c r="T116" s="83">
        <f>(Tabla2456789[[#This Row],[VENTA ]]-(Tabla2456789[[#This Row],[MONTO DE COMPRA]]+Tabla2456789[[#This Row],[DIFERENCIA IVA ]]))</f>
        <v>0</v>
      </c>
      <c r="U116" s="73"/>
    </row>
    <row r="117" spans="1:21" s="15" customFormat="1" ht="20.100000000000001" customHeight="1" x14ac:dyDescent="0.25">
      <c r="A117" s="75">
        <v>44957</v>
      </c>
      <c r="B117" s="76"/>
      <c r="C117" s="76"/>
      <c r="D117" s="76"/>
      <c r="E117" s="77"/>
      <c r="F117" s="77" t="s">
        <v>26</v>
      </c>
      <c r="G117" s="76" t="s">
        <v>314</v>
      </c>
      <c r="H117" s="78" t="s">
        <v>20</v>
      </c>
      <c r="I117" s="73">
        <v>20000</v>
      </c>
      <c r="J117" s="73">
        <f>IF(G:G="FRENOS",(Tabla2456789[[#This Row],[TOTAL FACTURA]]*0.8),(Tabla2456789[[#This Row],[TOTAL FACTURA]]*0.5))</f>
        <v>16000</v>
      </c>
      <c r="K117" s="84">
        <f t="shared" si="1"/>
        <v>4000</v>
      </c>
      <c r="L117" s="82"/>
      <c r="M117" s="83"/>
      <c r="N117" s="83">
        <f>Tabla2456789[[#This Row],[MONTO DE COMPRA]]/1.19</f>
        <v>0</v>
      </c>
      <c r="O117" s="83">
        <f>Tabla2456789[[#This Row],[Columna1]]*19%</f>
        <v>0</v>
      </c>
      <c r="P117" s="83"/>
      <c r="Q117" s="10">
        <f>Tabla2456789[[#This Row],[VENTA ]]/1.19</f>
        <v>0</v>
      </c>
      <c r="R117" s="10">
        <f>Tabla2456789[[#This Row],[Columna2]]*19%</f>
        <v>0</v>
      </c>
      <c r="S117" s="10">
        <f>Tabla2456789[[#This Row],[IVA VENTA ]]-Tabla2456789[[#This Row],[IV COMPRA]]</f>
        <v>0</v>
      </c>
      <c r="T117" s="10">
        <f>(Tabla2456789[[#This Row],[VENTA ]]-(Tabla2456789[[#This Row],[MONTO DE COMPRA]]+Tabla2456789[[#This Row],[DIFERENCIA IVA ]]))</f>
        <v>0</v>
      </c>
      <c r="U117" s="17"/>
    </row>
    <row r="118" spans="1:21" s="15" customFormat="1" ht="20.100000000000001" customHeight="1" x14ac:dyDescent="0.25">
      <c r="A118" s="75">
        <v>1</v>
      </c>
      <c r="B118" s="76" t="s">
        <v>500</v>
      </c>
      <c r="C118" s="76" t="s">
        <v>501</v>
      </c>
      <c r="D118" s="76" t="s">
        <v>502</v>
      </c>
      <c r="E118" s="77" t="s">
        <v>503</v>
      </c>
      <c r="F118" s="77" t="s">
        <v>35</v>
      </c>
      <c r="G118" s="76" t="s">
        <v>224</v>
      </c>
      <c r="H118" s="78" t="s">
        <v>504</v>
      </c>
      <c r="I118" s="73">
        <v>250000</v>
      </c>
      <c r="J118" s="73">
        <f>IF(G:G="FRENOS",(Tabla2456789[[#This Row],[TOTAL FACTURA]]*0.8),(Tabla2456789[[#This Row],[TOTAL FACTURA]]*0.5))</f>
        <v>125000</v>
      </c>
      <c r="K118" s="81">
        <f>I118-J118</f>
        <v>125000</v>
      </c>
      <c r="L118" s="82"/>
      <c r="M118" s="83"/>
      <c r="N118" s="83">
        <f>Tabla2456789[[#This Row],[MONTO DE COMPRA]]/1.19</f>
        <v>0</v>
      </c>
      <c r="O118" s="83">
        <f>Tabla2456789[[#This Row],[Columna1]]*19%</f>
        <v>0</v>
      </c>
      <c r="P118" s="83"/>
      <c r="Q118" s="83">
        <f>Tabla2456789[[#This Row],[VENTA ]]/1.19</f>
        <v>0</v>
      </c>
      <c r="R118" s="83">
        <f>Tabla2456789[[#This Row],[Columna2]]*19%</f>
        <v>0</v>
      </c>
      <c r="S118" s="10">
        <f>Tabla2456789[[#This Row],[IVA VENTA ]]-Tabla2456789[[#This Row],[IV COMPRA]]</f>
        <v>0</v>
      </c>
      <c r="T118" s="10">
        <f>(Tabla2456789[[#This Row],[VENTA ]]-(Tabla2456789[[#This Row],[MONTO DE COMPRA]]+Tabla2456789[[#This Row],[DIFERENCIA IVA ]]))</f>
        <v>0</v>
      </c>
      <c r="U118" s="17"/>
    </row>
    <row r="119" spans="1:21" s="15" customFormat="1" ht="39.75" customHeight="1" x14ac:dyDescent="0.25">
      <c r="A119" s="75">
        <v>44958</v>
      </c>
      <c r="B119" s="76" t="s">
        <v>464</v>
      </c>
      <c r="C119" s="76" t="s">
        <v>465</v>
      </c>
      <c r="D119" s="76" t="s">
        <v>466</v>
      </c>
      <c r="E119" s="77" t="s">
        <v>467</v>
      </c>
      <c r="F119" s="77" t="s">
        <v>35</v>
      </c>
      <c r="G119" s="76" t="s">
        <v>224</v>
      </c>
      <c r="H119" s="78" t="s">
        <v>468</v>
      </c>
      <c r="I119" s="73">
        <v>30000</v>
      </c>
      <c r="J119" s="73">
        <f>IF(G:G="FRENOS",(Tabla2456789[[#This Row],[TOTAL FACTURA]]*0.8),(Tabla2456789[[#This Row],[TOTAL FACTURA]]*0.5))</f>
        <v>15000</v>
      </c>
      <c r="K119" s="84">
        <f t="shared" si="1"/>
        <v>15000</v>
      </c>
      <c r="L119" s="82" t="s">
        <v>469</v>
      </c>
      <c r="M119" s="83">
        <v>20000</v>
      </c>
      <c r="N119" s="83">
        <f>Tabla2456789[[#This Row],[MONTO DE COMPRA]]/1.19</f>
        <v>16806.722689075632</v>
      </c>
      <c r="O119" s="83">
        <f>Tabla2456789[[#This Row],[Columna1]]*19%</f>
        <v>3193.2773109243699</v>
      </c>
      <c r="P119" s="83">
        <v>20000</v>
      </c>
      <c r="Q119" s="83">
        <f>Tabla2456789[[#This Row],[VENTA ]]/1.19</f>
        <v>16806.722689075632</v>
      </c>
      <c r="R119" s="83">
        <f>Tabla2456789[[#This Row],[Columna2]]*19%</f>
        <v>3193.2773109243699</v>
      </c>
      <c r="S119" s="10">
        <f>Tabla2456789[[#This Row],[IVA VENTA ]]-Tabla2456789[[#This Row],[IV COMPRA]]</f>
        <v>0</v>
      </c>
      <c r="T119" s="10">
        <f>(Tabla2456789[[#This Row],[VENTA ]]-(Tabla2456789[[#This Row],[MONTO DE COMPRA]]+Tabla2456789[[#This Row],[DIFERENCIA IVA ]]))</f>
        <v>0</v>
      </c>
      <c r="U119" s="17"/>
    </row>
    <row r="120" spans="1:21" s="15" customFormat="1" ht="20.100000000000001" customHeight="1" x14ac:dyDescent="0.25">
      <c r="A120" s="75">
        <v>44958</v>
      </c>
      <c r="B120" s="76" t="s">
        <v>472</v>
      </c>
      <c r="C120" s="76" t="s">
        <v>473</v>
      </c>
      <c r="D120" s="76" t="s">
        <v>470</v>
      </c>
      <c r="E120" s="77" t="s">
        <v>471</v>
      </c>
      <c r="F120" s="77" t="s">
        <v>19</v>
      </c>
      <c r="G120" s="76" t="s">
        <v>224</v>
      </c>
      <c r="H120" s="78" t="s">
        <v>182</v>
      </c>
      <c r="I120" s="73">
        <v>140000</v>
      </c>
      <c r="J120" s="73">
        <f>IF(G:G="FRENOS",(Tabla2456789[[#This Row],[TOTAL FACTURA]]*0.8),(Tabla2456789[[#This Row],[TOTAL FACTURA]]*0.5))</f>
        <v>70000</v>
      </c>
      <c r="K120" s="84">
        <f t="shared" si="1"/>
        <v>70000</v>
      </c>
      <c r="L120" s="82" t="s">
        <v>474</v>
      </c>
      <c r="M120" s="83">
        <v>600000</v>
      </c>
      <c r="N120" s="83">
        <f>Tabla2456789[[#This Row],[MONTO DE COMPRA]]/1.19</f>
        <v>504201.68067226891</v>
      </c>
      <c r="O120" s="83">
        <f>Tabla2456789[[#This Row],[Columna1]]*19%</f>
        <v>95798.319327731093</v>
      </c>
      <c r="P120" s="83">
        <v>722000</v>
      </c>
      <c r="Q120" s="83">
        <f>Tabla2456789[[#This Row],[VENTA ]]/1.19</f>
        <v>606722.68907563027</v>
      </c>
      <c r="R120" s="83">
        <f>Tabla2456789[[#This Row],[Columna2]]*19%</f>
        <v>115277.31092436975</v>
      </c>
      <c r="S120" s="83">
        <f>Tabla2456789[[#This Row],[IVA VENTA ]]-Tabla2456789[[#This Row],[IV COMPRA]]</f>
        <v>19478.991596638662</v>
      </c>
      <c r="T120" s="83">
        <f>(Tabla2456789[[#This Row],[VENTA ]]-(Tabla2456789[[#This Row],[MONTO DE COMPRA]]+Tabla2456789[[#This Row],[DIFERENCIA IVA ]]))</f>
        <v>102521.00840336131</v>
      </c>
      <c r="U120" s="73"/>
    </row>
    <row r="121" spans="1:21" s="15" customFormat="1" ht="20.100000000000001" customHeight="1" x14ac:dyDescent="0.25">
      <c r="A121" s="75">
        <v>44958</v>
      </c>
      <c r="B121" s="76" t="s">
        <v>475</v>
      </c>
      <c r="C121" s="76" t="s">
        <v>476</v>
      </c>
      <c r="D121" s="76" t="s">
        <v>477</v>
      </c>
      <c r="E121" s="77" t="s">
        <v>478</v>
      </c>
      <c r="F121" s="77" t="s">
        <v>19</v>
      </c>
      <c r="G121" s="76" t="s">
        <v>314</v>
      </c>
      <c r="H121" s="78" t="s">
        <v>479</v>
      </c>
      <c r="I121" s="73">
        <v>100000</v>
      </c>
      <c r="J121" s="73">
        <f>IF(G:G="FRENOS",(Tabla2456789[[#This Row],[TOTAL FACTURA]]*0.8),(Tabla2456789[[#This Row],[TOTAL FACTURA]]*0.5))</f>
        <v>80000</v>
      </c>
      <c r="K121" s="84">
        <f t="shared" si="1"/>
        <v>20000</v>
      </c>
      <c r="L121" s="82" t="s">
        <v>480</v>
      </c>
      <c r="M121" s="83">
        <v>320000</v>
      </c>
      <c r="N121" s="83">
        <f>Tabla2456789[[#This Row],[MONTO DE COMPRA]]/1.19</f>
        <v>268907.56302521011</v>
      </c>
      <c r="O121" s="83">
        <f>Tabla2456789[[#This Row],[Columna1]]*19%</f>
        <v>51092.436974789918</v>
      </c>
      <c r="P121" s="83">
        <v>422000</v>
      </c>
      <c r="Q121" s="83">
        <f>Tabla2456789[[#This Row],[VENTA ]]/1.19</f>
        <v>354621.84873949579</v>
      </c>
      <c r="R121" s="83">
        <f>Tabla2456789[[#This Row],[Columna2]]*19%</f>
        <v>67378.151260504208</v>
      </c>
      <c r="S121" s="83">
        <f>Tabla2456789[[#This Row],[IVA VENTA ]]-Tabla2456789[[#This Row],[IV COMPRA]]</f>
        <v>16285.71428571429</v>
      </c>
      <c r="T121" s="83">
        <f>(Tabla2456789[[#This Row],[VENTA ]]-(Tabla2456789[[#This Row],[MONTO DE COMPRA]]+Tabla2456789[[#This Row],[DIFERENCIA IVA ]]))</f>
        <v>85714.285714285681</v>
      </c>
      <c r="U121" s="73"/>
    </row>
    <row r="122" spans="1:21" s="15" customFormat="1" ht="36.75" customHeight="1" x14ac:dyDescent="0.25">
      <c r="A122" s="75">
        <v>44958</v>
      </c>
      <c r="B122" s="76" t="s">
        <v>482</v>
      </c>
      <c r="C122" s="76" t="s">
        <v>481</v>
      </c>
      <c r="D122" s="76" t="s">
        <v>483</v>
      </c>
      <c r="E122" s="77" t="s">
        <v>28</v>
      </c>
      <c r="F122" s="77" t="s">
        <v>19</v>
      </c>
      <c r="G122" s="76" t="s">
        <v>314</v>
      </c>
      <c r="H122" s="78" t="s">
        <v>484</v>
      </c>
      <c r="I122" s="73">
        <v>100000</v>
      </c>
      <c r="J122" s="73">
        <f>IF(G:G="FRENOS",(Tabla2456789[[#This Row],[TOTAL FACTURA]]*0.8),(Tabla2456789[[#This Row],[TOTAL FACTURA]]*0.5))</f>
        <v>80000</v>
      </c>
      <c r="K122" s="84">
        <f t="shared" si="1"/>
        <v>20000</v>
      </c>
      <c r="L122" s="82" t="s">
        <v>485</v>
      </c>
      <c r="M122" s="83">
        <v>390000</v>
      </c>
      <c r="N122" s="83">
        <f>Tabla2456789[[#This Row],[MONTO DE COMPRA]]/1.19</f>
        <v>327731.09243697481</v>
      </c>
      <c r="O122" s="83">
        <f>Tabla2456789[[#This Row],[Columna1]]*19%</f>
        <v>62268.907563025212</v>
      </c>
      <c r="P122" s="83">
        <v>390000</v>
      </c>
      <c r="Q122" s="83">
        <f>Tabla2456789[[#This Row],[VENTA ]]/1.19</f>
        <v>327731.09243697481</v>
      </c>
      <c r="R122" s="83">
        <f>Tabla2456789[[#This Row],[Columna2]]*19%</f>
        <v>62268.907563025212</v>
      </c>
      <c r="S122" s="83">
        <f>Tabla2456789[[#This Row],[IVA VENTA ]]-Tabla2456789[[#This Row],[IV COMPRA]]</f>
        <v>0</v>
      </c>
      <c r="T122" s="83">
        <f>(Tabla2456789[[#This Row],[VENTA ]]-(Tabla2456789[[#This Row],[MONTO DE COMPRA]]+Tabla2456789[[#This Row],[DIFERENCIA IVA ]]))</f>
        <v>0</v>
      </c>
      <c r="U122" s="73"/>
    </row>
    <row r="123" spans="1:21" s="15" customFormat="1" ht="28.5" customHeight="1" x14ac:dyDescent="0.25">
      <c r="A123" s="75">
        <v>44959</v>
      </c>
      <c r="B123" s="76"/>
      <c r="C123" s="89"/>
      <c r="D123" s="76"/>
      <c r="E123" s="77" t="s">
        <v>162</v>
      </c>
      <c r="F123" s="77" t="s">
        <v>19</v>
      </c>
      <c r="G123" s="76" t="s">
        <v>314</v>
      </c>
      <c r="H123" s="80" t="s">
        <v>21</v>
      </c>
      <c r="I123" s="74">
        <v>30000</v>
      </c>
      <c r="J123" s="73">
        <f>IF(G:G="FRENOS",(Tabla2456789[[#This Row],[TOTAL FACTURA]]*0.8),(Tabla2456789[[#This Row],[TOTAL FACTURA]]*0.5))</f>
        <v>24000</v>
      </c>
      <c r="K123" s="81">
        <f>I123-J123</f>
        <v>6000</v>
      </c>
      <c r="L123" s="82"/>
      <c r="M123" s="83"/>
      <c r="N123" s="83">
        <f>Tabla2456789[[#This Row],[MONTO DE COMPRA]]/1.19</f>
        <v>0</v>
      </c>
      <c r="O123" s="83">
        <f>Tabla2456789[[#This Row],[Columna1]]*19%</f>
        <v>0</v>
      </c>
      <c r="P123" s="83"/>
      <c r="Q123" s="83">
        <f>Tabla2456789[[#This Row],[VENTA ]]/1.19</f>
        <v>0</v>
      </c>
      <c r="R123" s="83">
        <f>Tabla2456789[[#This Row],[Columna2]]*19%</f>
        <v>0</v>
      </c>
      <c r="S123" s="83">
        <f>Tabla2456789[[#This Row],[IVA VENTA ]]-Tabla2456789[[#This Row],[IV COMPRA]]</f>
        <v>0</v>
      </c>
      <c r="T123" s="83">
        <f>(Tabla2456789[[#This Row],[VENTA ]]-(Tabla2456789[[#This Row],[MONTO DE COMPRA]]+Tabla2456789[[#This Row],[DIFERENCIA IVA ]]))</f>
        <v>0</v>
      </c>
      <c r="U123" s="73"/>
    </row>
    <row r="124" spans="1:21" s="15" customFormat="1" ht="20.100000000000001" customHeight="1" x14ac:dyDescent="0.25">
      <c r="A124" s="75">
        <v>44959</v>
      </c>
      <c r="B124" s="76"/>
      <c r="C124" s="76" t="s">
        <v>486</v>
      </c>
      <c r="D124" s="76" t="s">
        <v>487</v>
      </c>
      <c r="E124" s="76" t="s">
        <v>34</v>
      </c>
      <c r="F124" s="77" t="s">
        <v>19</v>
      </c>
      <c r="G124" s="76" t="s">
        <v>314</v>
      </c>
      <c r="H124" s="78" t="s">
        <v>488</v>
      </c>
      <c r="I124" s="73">
        <v>20000</v>
      </c>
      <c r="J124" s="73">
        <f>IF(G:G="FRENOS",(Tabla2456789[[#This Row],[TOTAL FACTURA]]*0.8),(Tabla2456789[[#This Row],[TOTAL FACTURA]]*0.5))</f>
        <v>16000</v>
      </c>
      <c r="K124" s="84">
        <f t="shared" si="1"/>
        <v>4000</v>
      </c>
      <c r="L124" s="82"/>
      <c r="M124" s="83"/>
      <c r="N124" s="83">
        <f>Tabla2456789[[#This Row],[MONTO DE COMPRA]]/1.19</f>
        <v>0</v>
      </c>
      <c r="O124" s="83">
        <f>Tabla2456789[[#This Row],[Columna1]]*19%</f>
        <v>0</v>
      </c>
      <c r="P124" s="83"/>
      <c r="Q124" s="83">
        <f>Tabla2456789[[#This Row],[VENTA ]]/1.19</f>
        <v>0</v>
      </c>
      <c r="R124" s="83">
        <f>Tabla2456789[[#This Row],[Columna2]]*19%</f>
        <v>0</v>
      </c>
      <c r="S124" s="83">
        <f>Tabla2456789[[#This Row],[IVA VENTA ]]-Tabla2456789[[#This Row],[IV COMPRA]]</f>
        <v>0</v>
      </c>
      <c r="T124" s="83">
        <f>(Tabla2456789[[#This Row],[VENTA ]]-(Tabla2456789[[#This Row],[MONTO DE COMPRA]]+Tabla2456789[[#This Row],[DIFERENCIA IVA ]]))</f>
        <v>0</v>
      </c>
      <c r="U124" s="73"/>
    </row>
    <row r="125" spans="1:21" s="15" customFormat="1" ht="20.100000000000001" customHeight="1" x14ac:dyDescent="0.25">
      <c r="A125" s="75">
        <v>44959</v>
      </c>
      <c r="B125" s="76" t="s">
        <v>489</v>
      </c>
      <c r="C125" s="76" t="s">
        <v>490</v>
      </c>
      <c r="D125" s="76" t="s">
        <v>491</v>
      </c>
      <c r="E125" s="77" t="s">
        <v>492</v>
      </c>
      <c r="F125" s="77" t="s">
        <v>19</v>
      </c>
      <c r="G125" s="76" t="s">
        <v>314</v>
      </c>
      <c r="H125" s="78" t="s">
        <v>493</v>
      </c>
      <c r="I125" s="73">
        <v>140000</v>
      </c>
      <c r="J125" s="73">
        <f>IF(G:G="FRENOS",(Tabla2456789[[#This Row],[TOTAL FACTURA]]*0.8),(Tabla2456789[[#This Row],[TOTAL FACTURA]]*0.5))</f>
        <v>112000</v>
      </c>
      <c r="K125" s="84">
        <f t="shared" si="1"/>
        <v>28000</v>
      </c>
      <c r="L125" s="82" t="s">
        <v>494</v>
      </c>
      <c r="M125" s="83">
        <v>210000</v>
      </c>
      <c r="N125" s="83">
        <f>Tabla2456789[[#This Row],[MONTO DE COMPRA]]/1.19</f>
        <v>176470.58823529413</v>
      </c>
      <c r="O125" s="83">
        <f>Tabla2456789[[#This Row],[Columna1]]*19%</f>
        <v>33529.411764705881</v>
      </c>
      <c r="P125" s="83">
        <v>265000</v>
      </c>
      <c r="Q125" s="83">
        <f>Tabla2456789[[#This Row],[VENTA ]]/1.19</f>
        <v>222689.0756302521</v>
      </c>
      <c r="R125" s="83">
        <f>Tabla2456789[[#This Row],[Columna2]]*19%</f>
        <v>42310.924369747903</v>
      </c>
      <c r="S125" s="83">
        <f>Tabla2456789[[#This Row],[IVA VENTA ]]-Tabla2456789[[#This Row],[IV COMPRA]]</f>
        <v>8781.5126050420222</v>
      </c>
      <c r="T125" s="83">
        <f>(Tabla2456789[[#This Row],[VENTA ]]-(Tabla2456789[[#This Row],[MONTO DE COMPRA]]+Tabla2456789[[#This Row],[DIFERENCIA IVA ]]))</f>
        <v>46218.487394957978</v>
      </c>
      <c r="U125" s="73"/>
    </row>
    <row r="126" spans="1:21" s="15" customFormat="1" ht="20.100000000000001" customHeight="1" x14ac:dyDescent="0.25">
      <c r="A126" s="75">
        <v>44959</v>
      </c>
      <c r="B126" s="76" t="s">
        <v>495</v>
      </c>
      <c r="C126" s="76" t="s">
        <v>496</v>
      </c>
      <c r="D126" s="76" t="s">
        <v>497</v>
      </c>
      <c r="E126" s="77" t="s">
        <v>99</v>
      </c>
      <c r="F126" s="77" t="s">
        <v>19</v>
      </c>
      <c r="G126" s="76" t="s">
        <v>314</v>
      </c>
      <c r="H126" s="80" t="s">
        <v>498</v>
      </c>
      <c r="I126" s="73">
        <v>40000</v>
      </c>
      <c r="J126" s="73">
        <f>IF(G:G="FRENOS",(Tabla2456789[[#This Row],[TOTAL FACTURA]]*0.8),(Tabla2456789[[#This Row],[TOTAL FACTURA]]*0.5))</f>
        <v>32000</v>
      </c>
      <c r="K126" s="84">
        <f t="shared" si="1"/>
        <v>8000</v>
      </c>
      <c r="L126" s="82" t="s">
        <v>499</v>
      </c>
      <c r="M126" s="83">
        <v>160000</v>
      </c>
      <c r="N126" s="83">
        <f>Tabla2456789[[#This Row],[MONTO DE COMPRA]]/1.19</f>
        <v>134453.78151260506</v>
      </c>
      <c r="O126" s="83">
        <f>Tabla2456789[[#This Row],[Columna1]]*19%</f>
        <v>25546.218487394959</v>
      </c>
      <c r="P126" s="83">
        <v>160000</v>
      </c>
      <c r="Q126" s="83">
        <f>Tabla2456789[[#This Row],[VENTA ]]/1.19</f>
        <v>134453.78151260506</v>
      </c>
      <c r="R126" s="83">
        <f>Tabla2456789[[#This Row],[Columna2]]*19%</f>
        <v>25546.218487394959</v>
      </c>
      <c r="S126" s="83">
        <f>Tabla2456789[[#This Row],[IVA VENTA ]]-Tabla2456789[[#This Row],[IV COMPRA]]</f>
        <v>0</v>
      </c>
      <c r="T126" s="83">
        <f>(Tabla2456789[[#This Row],[VENTA ]]-(Tabla2456789[[#This Row],[MONTO DE COMPRA]]+Tabla2456789[[#This Row],[DIFERENCIA IVA ]]))</f>
        <v>0</v>
      </c>
      <c r="U126" s="73"/>
    </row>
    <row r="127" spans="1:21" s="15" customFormat="1" ht="20.100000000000001" customHeight="1" x14ac:dyDescent="0.25">
      <c r="A127" s="75">
        <v>44959</v>
      </c>
      <c r="B127" s="76" t="s">
        <v>506</v>
      </c>
      <c r="C127" s="76" t="s">
        <v>507</v>
      </c>
      <c r="D127" s="76" t="s">
        <v>508</v>
      </c>
      <c r="E127" s="77" t="s">
        <v>509</v>
      </c>
      <c r="F127" s="77" t="s">
        <v>19</v>
      </c>
      <c r="G127" s="76" t="s">
        <v>224</v>
      </c>
      <c r="H127" s="78" t="s">
        <v>377</v>
      </c>
      <c r="I127" s="73">
        <v>120000</v>
      </c>
      <c r="J127" s="73">
        <f>IF(G:G="FRENOS",(Tabla2456789[[#This Row],[TOTAL FACTURA]]*0.8),(Tabla2456789[[#This Row],[TOTAL FACTURA]]*0.5))</f>
        <v>60000</v>
      </c>
      <c r="K127" s="84">
        <f t="shared" si="1"/>
        <v>60000</v>
      </c>
      <c r="L127" s="82" t="s">
        <v>505</v>
      </c>
      <c r="M127" s="83">
        <v>420000</v>
      </c>
      <c r="N127" s="83">
        <f>Tabla2456789[[#This Row],[MONTO DE COMPRA]]/1.19</f>
        <v>352941.17647058825</v>
      </c>
      <c r="O127" s="83">
        <f>Tabla2456789[[#This Row],[Columna1]]*19%</f>
        <v>67058.823529411762</v>
      </c>
      <c r="P127" s="83">
        <v>490000</v>
      </c>
      <c r="Q127" s="83">
        <f>Tabla2456789[[#This Row],[VENTA ]]/1.19</f>
        <v>411764.70588235295</v>
      </c>
      <c r="R127" s="83">
        <f>Tabla2456789[[#This Row],[Columna2]]*19%</f>
        <v>78235.294117647063</v>
      </c>
      <c r="S127" s="83">
        <f>Tabla2456789[[#This Row],[IVA VENTA ]]-Tabla2456789[[#This Row],[IV COMPRA]]</f>
        <v>11176.470588235301</v>
      </c>
      <c r="T127" s="83">
        <f>(Tabla2456789[[#This Row],[VENTA ]]-(Tabla2456789[[#This Row],[MONTO DE COMPRA]]+Tabla2456789[[#This Row],[DIFERENCIA IVA ]]))</f>
        <v>58823.529411764699</v>
      </c>
      <c r="U127" s="73"/>
    </row>
    <row r="128" spans="1:21" s="15" customFormat="1" ht="20.100000000000001" customHeight="1" x14ac:dyDescent="0.25">
      <c r="A128" s="75">
        <v>44959</v>
      </c>
      <c r="B128" s="76" t="s">
        <v>510</v>
      </c>
      <c r="C128" s="79" t="s">
        <v>518</v>
      </c>
      <c r="D128" s="76" t="s">
        <v>519</v>
      </c>
      <c r="E128" s="77" t="s">
        <v>325</v>
      </c>
      <c r="F128" s="77" t="s">
        <v>35</v>
      </c>
      <c r="G128" s="76" t="s">
        <v>224</v>
      </c>
      <c r="H128" s="80" t="s">
        <v>520</v>
      </c>
      <c r="I128" s="73">
        <v>1600000</v>
      </c>
      <c r="J128" s="73">
        <f>IF(G:G="FRENOS",(Tabla2456789[[#This Row],[TOTAL FACTURA]]*0.8),(Tabla2456789[[#This Row],[TOTAL FACTURA]]*0.5))</f>
        <v>800000</v>
      </c>
      <c r="K128" s="81">
        <f>I128-J128</f>
        <v>800000</v>
      </c>
      <c r="L128" s="82"/>
      <c r="M128" s="83"/>
      <c r="N128" s="83">
        <f>Tabla2456789[[#This Row],[MONTO DE COMPRA]]/1.19</f>
        <v>0</v>
      </c>
      <c r="O128" s="83">
        <f>Tabla2456789[[#This Row],[Columna1]]*19%</f>
        <v>0</v>
      </c>
      <c r="P128" s="83"/>
      <c r="Q128" s="83">
        <f>Tabla2456789[[#This Row],[VENTA ]]/1.19</f>
        <v>0</v>
      </c>
      <c r="R128" s="83">
        <f>Tabla2456789[[#This Row],[Columna2]]*19%</f>
        <v>0</v>
      </c>
      <c r="S128" s="10">
        <f>Tabla2456789[[#This Row],[IVA VENTA ]]-Tabla2456789[[#This Row],[IV COMPRA]]</f>
        <v>0</v>
      </c>
      <c r="T128" s="10">
        <f>(Tabla2456789[[#This Row],[VENTA ]]-(Tabla2456789[[#This Row],[MONTO DE COMPRA]]+Tabla2456789[[#This Row],[DIFERENCIA IVA ]]))</f>
        <v>0</v>
      </c>
      <c r="U128" s="17"/>
    </row>
    <row r="129" spans="1:21" s="15" customFormat="1" ht="20.100000000000001" customHeight="1" x14ac:dyDescent="0.25">
      <c r="A129" s="75">
        <v>44959</v>
      </c>
      <c r="B129" s="76" t="s">
        <v>506</v>
      </c>
      <c r="C129" s="76" t="s">
        <v>507</v>
      </c>
      <c r="D129" s="76" t="s">
        <v>508</v>
      </c>
      <c r="E129" s="77" t="s">
        <v>509</v>
      </c>
      <c r="F129" s="77" t="s">
        <v>19</v>
      </c>
      <c r="G129" s="76" t="s">
        <v>314</v>
      </c>
      <c r="H129" s="80" t="s">
        <v>21</v>
      </c>
      <c r="I129" s="73">
        <v>40000</v>
      </c>
      <c r="J129" s="73">
        <f>IF(G:G="FRENOS",(Tabla2456789[[#This Row],[TOTAL FACTURA]]*0.8),(Tabla2456789[[#This Row],[TOTAL FACTURA]]*0.5))</f>
        <v>32000</v>
      </c>
      <c r="K129" s="84">
        <f t="shared" si="1"/>
        <v>8000</v>
      </c>
      <c r="L129" s="82" t="s">
        <v>511</v>
      </c>
      <c r="M129" s="83"/>
      <c r="N129" s="83">
        <f>Tabla2456789[[#This Row],[MONTO DE COMPRA]]/1.19</f>
        <v>0</v>
      </c>
      <c r="O129" s="83">
        <f>Tabla2456789[[#This Row],[Columna1]]*19%</f>
        <v>0</v>
      </c>
      <c r="P129" s="83">
        <v>730000</v>
      </c>
      <c r="Q129" s="83">
        <f>Tabla2456789[[#This Row],[VENTA ]]/1.19</f>
        <v>613445.37815126055</v>
      </c>
      <c r="R129" s="83">
        <f>Tabla2456789[[#This Row],[Columna2]]*19%</f>
        <v>116554.62184873951</v>
      </c>
      <c r="S129" s="83">
        <f>Tabla2456789[[#This Row],[IVA VENTA ]]-Tabla2456789[[#This Row],[IV COMPRA]]</f>
        <v>116554.62184873951</v>
      </c>
      <c r="T129" s="83">
        <f>(Tabla2456789[[#This Row],[VENTA ]]-(Tabla2456789[[#This Row],[MONTO DE COMPRA]]+Tabla2456789[[#This Row],[DIFERENCIA IVA ]]))</f>
        <v>613445.37815126055</v>
      </c>
      <c r="U129" s="73"/>
    </row>
    <row r="130" spans="1:21" s="15" customFormat="1" ht="18" customHeight="1" x14ac:dyDescent="0.25">
      <c r="A130" s="75">
        <v>44959</v>
      </c>
      <c r="B130" s="76" t="s">
        <v>512</v>
      </c>
      <c r="C130" s="76" t="s">
        <v>513</v>
      </c>
      <c r="D130" s="76"/>
      <c r="E130" s="77"/>
      <c r="F130" s="77" t="s">
        <v>26</v>
      </c>
      <c r="G130" s="76" t="s">
        <v>224</v>
      </c>
      <c r="H130" s="80" t="s">
        <v>310</v>
      </c>
      <c r="I130" s="73">
        <v>50000</v>
      </c>
      <c r="J130" s="73">
        <f>IF(G:G="FRENOS",(Tabla2456789[[#This Row],[TOTAL FACTURA]]*0.8),(Tabla2456789[[#This Row],[TOTAL FACTURA]]*0.5))</f>
        <v>25000</v>
      </c>
      <c r="K130" s="84">
        <f t="shared" si="1"/>
        <v>25000</v>
      </c>
      <c r="L130" s="82"/>
      <c r="M130" s="83"/>
      <c r="N130" s="83">
        <f>Tabla2456789[[#This Row],[MONTO DE COMPRA]]/1.19</f>
        <v>0</v>
      </c>
      <c r="O130" s="83">
        <f>Tabla2456789[[#This Row],[Columna1]]*19%</f>
        <v>0</v>
      </c>
      <c r="P130" s="83"/>
      <c r="Q130" s="10">
        <f>Tabla2456789[[#This Row],[VENTA ]]/1.19</f>
        <v>0</v>
      </c>
      <c r="R130" s="10">
        <f>Tabla2456789[[#This Row],[Columna2]]*19%</f>
        <v>0</v>
      </c>
      <c r="S130" s="10">
        <f>Tabla2456789[[#This Row],[IVA VENTA ]]-Tabla2456789[[#This Row],[IV COMPRA]]</f>
        <v>0</v>
      </c>
      <c r="T130" s="10">
        <f>(Tabla2456789[[#This Row],[VENTA ]]-(Tabla2456789[[#This Row],[MONTO DE COMPRA]]+Tabla2456789[[#This Row],[DIFERENCIA IVA ]]))</f>
        <v>0</v>
      </c>
      <c r="U130" s="17"/>
    </row>
    <row r="131" spans="1:21" s="15" customFormat="1" ht="32.25" customHeight="1" x14ac:dyDescent="0.25">
      <c r="A131" s="75">
        <v>44959</v>
      </c>
      <c r="B131" s="76"/>
      <c r="C131" s="76"/>
      <c r="D131" s="76"/>
      <c r="E131" s="77" t="s">
        <v>514</v>
      </c>
      <c r="F131" s="77" t="s">
        <v>19</v>
      </c>
      <c r="G131" s="76" t="s">
        <v>224</v>
      </c>
      <c r="H131" s="80" t="s">
        <v>310</v>
      </c>
      <c r="I131" s="73">
        <v>50000</v>
      </c>
      <c r="J131" s="73">
        <f>IF(G:G="FRENOS",(Tabla2456789[[#This Row],[TOTAL FACTURA]]*0.8),(Tabla2456789[[#This Row],[TOTAL FACTURA]]*0.5))</f>
        <v>25000</v>
      </c>
      <c r="K131" s="84">
        <f>I131-J131</f>
        <v>25000</v>
      </c>
      <c r="L131" s="82"/>
      <c r="M131" s="83"/>
      <c r="N131" s="83">
        <f>Tabla2456789[[#This Row],[MONTO DE COMPRA]]/1.19</f>
        <v>0</v>
      </c>
      <c r="O131" s="83">
        <f>Tabla2456789[[#This Row],[Columna1]]*19%</f>
        <v>0</v>
      </c>
      <c r="P131" s="83"/>
      <c r="Q131" s="83">
        <f>Tabla2456789[[#This Row],[VENTA ]]/1.19</f>
        <v>0</v>
      </c>
      <c r="R131" s="83">
        <f>Tabla2456789[[#This Row],[Columna2]]*19%</f>
        <v>0</v>
      </c>
      <c r="S131" s="83">
        <f>Tabla2456789[[#This Row],[IVA VENTA ]]-Tabla2456789[[#This Row],[IV COMPRA]]</f>
        <v>0</v>
      </c>
      <c r="T131" s="83">
        <f>(Tabla2456789[[#This Row],[VENTA ]]-(Tabla2456789[[#This Row],[MONTO DE COMPRA]]+Tabla2456789[[#This Row],[DIFERENCIA IVA ]]))</f>
        <v>0</v>
      </c>
      <c r="U131" s="73"/>
    </row>
    <row r="132" spans="1:21" s="15" customFormat="1" ht="20.100000000000001" customHeight="1" x14ac:dyDescent="0.25">
      <c r="A132" s="75">
        <v>44960</v>
      </c>
      <c r="B132" s="76" t="s">
        <v>515</v>
      </c>
      <c r="C132" s="76" t="s">
        <v>516</v>
      </c>
      <c r="D132" s="76" t="s">
        <v>517</v>
      </c>
      <c r="E132" s="77" t="s">
        <v>259</v>
      </c>
      <c r="F132" s="77" t="s">
        <v>19</v>
      </c>
      <c r="G132" s="76" t="s">
        <v>314</v>
      </c>
      <c r="H132" s="80" t="s">
        <v>20</v>
      </c>
      <c r="I132" s="73">
        <v>10000</v>
      </c>
      <c r="J132" s="73">
        <f>IF(G:G="FRENOS",(Tabla2456789[[#This Row],[TOTAL FACTURA]]*0.8),(Tabla2456789[[#This Row],[TOTAL FACTURA]]*0.5))</f>
        <v>8000</v>
      </c>
      <c r="K132" s="73">
        <f>IF(G:G="FRENOS",(Tabla2456789[[#This Row],[TOTAL FACTURA]]*0.8),(Tabla2456789[[#This Row],[TOTAL FACTURA]]*0.5))</f>
        <v>8000</v>
      </c>
      <c r="L132" s="82"/>
      <c r="M132" s="83"/>
      <c r="N132" s="83">
        <f>Tabla2456789[[#This Row],[MONTO DE COMPRA]]/1.19</f>
        <v>0</v>
      </c>
      <c r="O132" s="83">
        <f>Tabla2456789[[#This Row],[Columna1]]*19%</f>
        <v>0</v>
      </c>
      <c r="P132" s="83"/>
      <c r="Q132" s="83">
        <f>Tabla2456789[[#This Row],[VENTA ]]/1.19</f>
        <v>0</v>
      </c>
      <c r="R132" s="83">
        <f>Tabla2456789[[#This Row],[Columna2]]*19%</f>
        <v>0</v>
      </c>
      <c r="S132" s="83">
        <f>Tabla2456789[[#This Row],[IVA VENTA ]]-Tabla2456789[[#This Row],[IV COMPRA]]</f>
        <v>0</v>
      </c>
      <c r="T132" s="83">
        <f>(Tabla2456789[[#This Row],[VENTA ]]-(Tabla2456789[[#This Row],[MONTO DE COMPRA]]+Tabla2456789[[#This Row],[DIFERENCIA IVA ]]))</f>
        <v>0</v>
      </c>
      <c r="U132" s="73"/>
    </row>
    <row r="133" spans="1:21" s="15" customFormat="1" ht="20.100000000000001" customHeight="1" x14ac:dyDescent="0.25">
      <c r="A133" s="13">
        <v>44961</v>
      </c>
      <c r="B133" s="14"/>
      <c r="C133" s="90"/>
      <c r="D133" s="14" t="s">
        <v>582</v>
      </c>
      <c r="F133" s="15" t="s">
        <v>19</v>
      </c>
      <c r="G133" s="91" t="s">
        <v>314</v>
      </c>
      <c r="H133" s="16" t="s">
        <v>583</v>
      </c>
      <c r="I133" s="74">
        <v>60000</v>
      </c>
      <c r="J133" s="92">
        <f>IF(G:G="FRENOS",(Tabla2456789[[#This Row],[TOTAL FACTURA]]*0.8),(Tabla2456789[[#This Row],[TOTAL FACTURA]]*0.5))</f>
        <v>48000</v>
      </c>
      <c r="K133" s="30">
        <f>I133-J133</f>
        <v>12000</v>
      </c>
      <c r="L133" s="4"/>
      <c r="M133" s="10"/>
      <c r="N133" s="10">
        <f>Tabla2456789[[#This Row],[MONTO DE COMPRA]]/1.19</f>
        <v>0</v>
      </c>
      <c r="O133" s="10">
        <f>Tabla2456789[[#This Row],[Columna1]]*19%</f>
        <v>0</v>
      </c>
      <c r="P133" s="10"/>
      <c r="Q133" s="10">
        <f>Tabla2456789[[#This Row],[VENTA ]]/1.19</f>
        <v>0</v>
      </c>
      <c r="R133" s="10">
        <f>Tabla2456789[[#This Row],[Columna2]]*19%</f>
        <v>0</v>
      </c>
      <c r="S133" s="10">
        <f>Tabla2456789[[#This Row],[IVA VENTA ]]-Tabla2456789[[#This Row],[IV COMPRA]]</f>
        <v>0</v>
      </c>
      <c r="T133" s="10">
        <f>(Tabla2456789[[#This Row],[VENTA ]]-(Tabla2456789[[#This Row],[MONTO DE COMPRA]]+Tabla2456789[[#This Row],[DIFERENCIA IVA ]]))</f>
        <v>0</v>
      </c>
      <c r="U133" s="17"/>
    </row>
    <row r="134" spans="1:21" s="15" customFormat="1" ht="20.100000000000001" customHeight="1" x14ac:dyDescent="0.25">
      <c r="A134" s="13">
        <v>44961</v>
      </c>
      <c r="B134" s="14" t="s">
        <v>522</v>
      </c>
      <c r="C134" s="14" t="s">
        <v>531</v>
      </c>
      <c r="D134" s="14" t="s">
        <v>523</v>
      </c>
      <c r="E134" s="15" t="s">
        <v>524</v>
      </c>
      <c r="F134" s="15" t="s">
        <v>19</v>
      </c>
      <c r="G134" s="14" t="s">
        <v>224</v>
      </c>
      <c r="H134" s="16" t="s">
        <v>532</v>
      </c>
      <c r="I134" s="73">
        <v>270000</v>
      </c>
      <c r="J134" s="17">
        <f>IF(G:G="FRENOS",(Tabla2456789[[#This Row],[TOTAL FACTURA]]*0.8),(Tabla2456789[[#This Row],[TOTAL FACTURA]]*0.5))</f>
        <v>135000</v>
      </c>
      <c r="K134" s="17">
        <f>IF(H:H="FRENOS",(Tabla2456789[[#This Row],[TOTAL FACTURA]]*0.8),(Tabla2456789[[#This Row],[TOTAL FACTURA]]*0.5))</f>
        <v>135000</v>
      </c>
      <c r="L134" s="4"/>
      <c r="M134" s="10"/>
      <c r="N134" s="10">
        <f>Tabla2456789[[#This Row],[MONTO DE COMPRA]]/1.19</f>
        <v>0</v>
      </c>
      <c r="O134" s="10">
        <f>Tabla2456789[[#This Row],[Columna1]]*19%</f>
        <v>0</v>
      </c>
      <c r="P134" s="10"/>
      <c r="Q134" s="10">
        <f>Tabla2456789[[#This Row],[VENTA ]]/1.19</f>
        <v>0</v>
      </c>
      <c r="R134" s="10">
        <f>Tabla2456789[[#This Row],[Columna2]]*19%</f>
        <v>0</v>
      </c>
      <c r="S134" s="10">
        <f>Tabla2456789[[#This Row],[IVA VENTA ]]-Tabla2456789[[#This Row],[IV COMPRA]]</f>
        <v>0</v>
      </c>
      <c r="T134" s="10">
        <f>(Tabla2456789[[#This Row],[VENTA ]]-(Tabla2456789[[#This Row],[MONTO DE COMPRA]]+Tabla2456789[[#This Row],[DIFERENCIA IVA ]]))</f>
        <v>0</v>
      </c>
      <c r="U134" s="17"/>
    </row>
    <row r="135" spans="1:21" s="15" customFormat="1" ht="20.100000000000001" customHeight="1" x14ac:dyDescent="0.25">
      <c r="A135" s="13">
        <v>44961</v>
      </c>
      <c r="B135" s="14"/>
      <c r="C135" s="14" t="s">
        <v>533</v>
      </c>
      <c r="D135" s="14"/>
      <c r="E135" s="15" t="s">
        <v>534</v>
      </c>
      <c r="F135" s="15" t="s">
        <v>19</v>
      </c>
      <c r="G135" s="14" t="s">
        <v>224</v>
      </c>
      <c r="H135" s="16" t="s">
        <v>535</v>
      </c>
      <c r="I135" s="73">
        <v>50000</v>
      </c>
      <c r="J135" s="17">
        <f>IF(G:G="FRENOS",(Tabla2456789[[#This Row],[TOTAL FACTURA]]*0.8),(Tabla2456789[[#This Row],[TOTAL FACTURA]]*0.5))</f>
        <v>25000</v>
      </c>
      <c r="K135" s="9">
        <f>I448-J135</f>
        <v>-25000</v>
      </c>
      <c r="L135" s="4"/>
      <c r="M135" s="10"/>
      <c r="N135" s="10">
        <f>Tabla2456789[[#This Row],[MONTO DE COMPRA]]/1.19</f>
        <v>0</v>
      </c>
      <c r="O135" s="10">
        <f>Tabla2456789[[#This Row],[Columna1]]*19%</f>
        <v>0</v>
      </c>
      <c r="P135" s="10"/>
      <c r="Q135" s="10">
        <f>Tabla2456789[[#This Row],[VENTA ]]/1.19</f>
        <v>0</v>
      </c>
      <c r="R135" s="10">
        <f>Tabla2456789[[#This Row],[Columna2]]*19%</f>
        <v>0</v>
      </c>
      <c r="S135" s="10">
        <f>Tabla2456789[[#This Row],[IVA VENTA ]]-Tabla2456789[[#This Row],[IV COMPRA]]</f>
        <v>0</v>
      </c>
      <c r="T135" s="10">
        <f>(Tabla2456789[[#This Row],[VENTA ]]-(Tabla2456789[[#This Row],[MONTO DE COMPRA]]+Tabla2456789[[#This Row],[DIFERENCIA IVA ]]))</f>
        <v>0</v>
      </c>
      <c r="U135" s="17"/>
    </row>
    <row r="136" spans="1:21" s="15" customFormat="1" ht="20.100000000000001" customHeight="1" x14ac:dyDescent="0.25">
      <c r="A136" s="75">
        <v>44961</v>
      </c>
      <c r="B136" s="76" t="s">
        <v>536</v>
      </c>
      <c r="C136" s="76" t="s">
        <v>490</v>
      </c>
      <c r="D136" s="76"/>
      <c r="E136" s="77" t="s">
        <v>537</v>
      </c>
      <c r="F136" s="77" t="s">
        <v>35</v>
      </c>
      <c r="G136" s="76" t="s">
        <v>224</v>
      </c>
      <c r="H136" s="80" t="s">
        <v>538</v>
      </c>
      <c r="I136" s="73">
        <v>700000</v>
      </c>
      <c r="J136" s="73">
        <f>IF(G:G="FRENOS",(Tabla2456789[[#This Row],[TOTAL FACTURA]]*0.8),(Tabla2456789[[#This Row],[TOTAL FACTURA]]*0.5))</f>
        <v>350000</v>
      </c>
      <c r="K136" s="9">
        <f>I449-J136</f>
        <v>-350000</v>
      </c>
      <c r="L136" s="4"/>
      <c r="M136" s="10"/>
      <c r="N136" s="10">
        <f>Tabla2456789[[#This Row],[MONTO DE COMPRA]]/1.19</f>
        <v>0</v>
      </c>
      <c r="O136" s="10">
        <f>Tabla2456789[[#This Row],[Columna1]]*19%</f>
        <v>0</v>
      </c>
      <c r="P136" s="10"/>
      <c r="Q136" s="10">
        <f>Tabla2456789[[#This Row],[VENTA ]]/1.19</f>
        <v>0</v>
      </c>
      <c r="R136" s="10">
        <f>Tabla2456789[[#This Row],[Columna2]]*19%</f>
        <v>0</v>
      </c>
      <c r="S136" s="10">
        <f>Tabla2456789[[#This Row],[IVA VENTA ]]-Tabla2456789[[#This Row],[IV COMPRA]]</f>
        <v>0</v>
      </c>
      <c r="T136" s="10">
        <f>(Tabla2456789[[#This Row],[VENTA ]]-(Tabla2456789[[#This Row],[MONTO DE COMPRA]]+Tabla2456789[[#This Row],[DIFERENCIA IVA ]]))</f>
        <v>0</v>
      </c>
      <c r="U136" s="17"/>
    </row>
    <row r="137" spans="1:21" s="15" customFormat="1" ht="20.100000000000001" customHeight="1" x14ac:dyDescent="0.25">
      <c r="A137" s="75">
        <v>44963</v>
      </c>
      <c r="B137" s="76"/>
      <c r="C137" s="76" t="s">
        <v>540</v>
      </c>
      <c r="D137" s="76"/>
      <c r="E137" s="77" t="s">
        <v>214</v>
      </c>
      <c r="F137" s="77" t="s">
        <v>35</v>
      </c>
      <c r="G137" s="76" t="s">
        <v>224</v>
      </c>
      <c r="H137" s="80" t="s">
        <v>541</v>
      </c>
      <c r="I137" s="73">
        <v>260000</v>
      </c>
      <c r="J137" s="73">
        <f>IF(G:G="FRENOS",(Tabla2456789[[#This Row],[TOTAL FACTURA]]*0.8),(Tabla2456789[[#This Row],[TOTAL FACTURA]]*0.5))</f>
        <v>130000</v>
      </c>
      <c r="K137" s="9">
        <f>I450-J137</f>
        <v>-130000</v>
      </c>
      <c r="L137" s="4" t="s">
        <v>542</v>
      </c>
      <c r="M137" s="10">
        <v>160000</v>
      </c>
      <c r="N137" s="10">
        <f>Tabla2456789[[#This Row],[MONTO DE COMPRA]]/1.19</f>
        <v>134453.78151260506</v>
      </c>
      <c r="O137" s="10">
        <f>Tabla2456789[[#This Row],[Columna1]]*19%</f>
        <v>25546.218487394959</v>
      </c>
      <c r="P137" s="10">
        <v>215000</v>
      </c>
      <c r="Q137" s="10">
        <f>Tabla2456789[[#This Row],[VENTA ]]/1.19</f>
        <v>180672.26890756303</v>
      </c>
      <c r="R137" s="10">
        <f>Tabla2456789[[#This Row],[Columna2]]*19%</f>
        <v>34327.731092436974</v>
      </c>
      <c r="S137" s="10">
        <f>Tabla2456789[[#This Row],[IVA VENTA ]]-Tabla2456789[[#This Row],[IV COMPRA]]</f>
        <v>8781.5126050420149</v>
      </c>
      <c r="T137" s="10">
        <f>(Tabla2456789[[#This Row],[VENTA ]]-(Tabla2456789[[#This Row],[MONTO DE COMPRA]]+Tabla2456789[[#This Row],[DIFERENCIA IVA ]]))</f>
        <v>46218.487394957978</v>
      </c>
      <c r="U137" s="17"/>
    </row>
    <row r="138" spans="1:21" s="15" customFormat="1" ht="20.100000000000001" customHeight="1" x14ac:dyDescent="0.25">
      <c r="A138" s="13">
        <v>44963</v>
      </c>
      <c r="B138" s="14"/>
      <c r="C138" s="90"/>
      <c r="D138" s="14"/>
      <c r="E138" s="15" t="s">
        <v>596</v>
      </c>
      <c r="F138" s="15" t="s">
        <v>19</v>
      </c>
      <c r="G138" s="14" t="s">
        <v>314</v>
      </c>
      <c r="H138" s="16" t="s">
        <v>597</v>
      </c>
      <c r="I138" s="74">
        <v>15000</v>
      </c>
      <c r="J138" s="17">
        <f>IF(G:G="FRENOS",(Tabla2456789[[#This Row],[TOTAL FACTURA]]*0.8),(Tabla2456789[[#This Row],[TOTAL FACTURA]]*0.5))</f>
        <v>12000</v>
      </c>
      <c r="K138" s="30">
        <f>I138-J138</f>
        <v>3000</v>
      </c>
      <c r="L138" s="4"/>
      <c r="M138" s="10"/>
      <c r="N138" s="10">
        <f>Tabla2456789[[#This Row],[MONTO DE COMPRA]]/1.19</f>
        <v>0</v>
      </c>
      <c r="O138" s="10">
        <f>Tabla2456789[[#This Row],[Columna1]]*19%</f>
        <v>0</v>
      </c>
      <c r="P138" s="10"/>
      <c r="Q138" s="10">
        <f>Tabla2456789[[#This Row],[VENTA ]]/1.19</f>
        <v>0</v>
      </c>
      <c r="R138" s="10">
        <f>Tabla2456789[[#This Row],[Columna2]]*19%</f>
        <v>0</v>
      </c>
      <c r="S138" s="10">
        <f>Tabla2456789[[#This Row],[IVA VENTA ]]-Tabla2456789[[#This Row],[IV COMPRA]]</f>
        <v>0</v>
      </c>
      <c r="T138" s="10">
        <f>(Tabla2456789[[#This Row],[VENTA ]]-(Tabla2456789[[#This Row],[MONTO DE COMPRA]]+Tabla2456789[[#This Row],[DIFERENCIA IVA ]]))</f>
        <v>0</v>
      </c>
      <c r="U138" s="17"/>
    </row>
    <row r="139" spans="1:21" s="15" customFormat="1" ht="20.100000000000001" customHeight="1" x14ac:dyDescent="0.25">
      <c r="A139" s="13">
        <v>44963</v>
      </c>
      <c r="B139" s="14"/>
      <c r="C139" s="14" t="s">
        <v>543</v>
      </c>
      <c r="D139" s="14" t="s">
        <v>544</v>
      </c>
      <c r="E139" s="15" t="s">
        <v>27</v>
      </c>
      <c r="F139" s="15" t="s">
        <v>19</v>
      </c>
      <c r="G139" s="14" t="s">
        <v>314</v>
      </c>
      <c r="H139" s="16" t="s">
        <v>20</v>
      </c>
      <c r="I139" s="73">
        <v>10000</v>
      </c>
      <c r="J139" s="17">
        <f>IF(G:G="FRENOS",(Tabla2456789[[#This Row],[TOTAL FACTURA]]*0.8),(Tabla2456789[[#This Row],[TOTAL FACTURA]]*0.5))</f>
        <v>8000</v>
      </c>
      <c r="K139" s="9">
        <f>I451-J139</f>
        <v>-8000</v>
      </c>
      <c r="L139" s="4"/>
      <c r="M139" s="10"/>
      <c r="N139" s="10">
        <f>Tabla2456789[[#This Row],[MONTO DE COMPRA]]/1.19</f>
        <v>0</v>
      </c>
      <c r="O139" s="10">
        <f>Tabla2456789[[#This Row],[Columna1]]*19%</f>
        <v>0</v>
      </c>
      <c r="P139" s="10"/>
      <c r="Q139" s="10">
        <f>Tabla2456789[[#This Row],[VENTA ]]/1.19</f>
        <v>0</v>
      </c>
      <c r="R139" s="10">
        <f>Tabla2456789[[#This Row],[Columna2]]*19%</f>
        <v>0</v>
      </c>
      <c r="S139" s="10">
        <f>Tabla2456789[[#This Row],[IVA VENTA ]]-Tabla2456789[[#This Row],[IV COMPRA]]</f>
        <v>0</v>
      </c>
      <c r="T139" s="10">
        <f>(Tabla2456789[[#This Row],[VENTA ]]-(Tabla2456789[[#This Row],[MONTO DE COMPRA]]+Tabla2456789[[#This Row],[DIFERENCIA IVA ]]))</f>
        <v>0</v>
      </c>
      <c r="U139" s="17"/>
    </row>
    <row r="140" spans="1:21" s="15" customFormat="1" ht="20.100000000000001" customHeight="1" x14ac:dyDescent="0.25">
      <c r="A140" s="13">
        <v>44963</v>
      </c>
      <c r="B140" s="14"/>
      <c r="C140" s="90"/>
      <c r="D140" s="14"/>
      <c r="E140" s="15" t="s">
        <v>467</v>
      </c>
      <c r="F140" s="15" t="s">
        <v>19</v>
      </c>
      <c r="G140" s="14" t="s">
        <v>314</v>
      </c>
      <c r="H140" s="16" t="s">
        <v>21</v>
      </c>
      <c r="I140" s="74">
        <v>30000</v>
      </c>
      <c r="J140" s="17">
        <f>IF(G:G="FRENOS",(Tabla2456789[[#This Row],[TOTAL FACTURA]]*0.8),(Tabla2456789[[#This Row],[TOTAL FACTURA]]*0.5))</f>
        <v>24000</v>
      </c>
      <c r="K140" s="30">
        <f>I140-J140</f>
        <v>6000</v>
      </c>
      <c r="L140" s="4"/>
      <c r="M140" s="10"/>
      <c r="N140" s="10">
        <f>Tabla2456789[[#This Row],[MONTO DE COMPRA]]/1.19</f>
        <v>0</v>
      </c>
      <c r="O140" s="10">
        <f>Tabla2456789[[#This Row],[Columna1]]*19%</f>
        <v>0</v>
      </c>
      <c r="P140" s="10"/>
      <c r="Q140" s="10">
        <f>Tabla2456789[[#This Row],[VENTA ]]/1.19</f>
        <v>0</v>
      </c>
      <c r="R140" s="10">
        <f>Tabla2456789[[#This Row],[Columna2]]*19%</f>
        <v>0</v>
      </c>
      <c r="S140" s="10">
        <f>Tabla2456789[[#This Row],[IVA VENTA ]]-Tabla2456789[[#This Row],[IV COMPRA]]</f>
        <v>0</v>
      </c>
      <c r="T140" s="10">
        <f>(Tabla2456789[[#This Row],[VENTA ]]-(Tabla2456789[[#This Row],[MONTO DE COMPRA]]+Tabla2456789[[#This Row],[DIFERENCIA IVA ]]))</f>
        <v>0</v>
      </c>
      <c r="U140" s="17"/>
    </row>
    <row r="141" spans="1:21" s="15" customFormat="1" ht="20.100000000000001" customHeight="1" x14ac:dyDescent="0.25">
      <c r="A141" s="13">
        <v>44963</v>
      </c>
      <c r="B141" s="14"/>
      <c r="C141" s="14" t="s">
        <v>144</v>
      </c>
      <c r="D141" s="14" t="s">
        <v>174</v>
      </c>
      <c r="E141" s="15" t="s">
        <v>175</v>
      </c>
      <c r="F141" s="15" t="s">
        <v>19</v>
      </c>
      <c r="G141" s="14" t="s">
        <v>314</v>
      </c>
      <c r="H141" s="16" t="s">
        <v>545</v>
      </c>
      <c r="I141" s="73">
        <v>30000</v>
      </c>
      <c r="J141" s="17">
        <v>30000</v>
      </c>
      <c r="K141" s="9">
        <f t="shared" ref="K141:K147" si="2">I452-J141</f>
        <v>-30000</v>
      </c>
      <c r="L141" s="4" t="s">
        <v>546</v>
      </c>
      <c r="M141" s="10">
        <v>23500</v>
      </c>
      <c r="N141" s="10">
        <f>Tabla2456789[[#This Row],[MONTO DE COMPRA]]/1.19</f>
        <v>19747.899159663866</v>
      </c>
      <c r="O141" s="10">
        <f>Tabla2456789[[#This Row],[Columna1]]*19%</f>
        <v>3752.1008403361348</v>
      </c>
      <c r="P141" s="10">
        <v>23500</v>
      </c>
      <c r="Q141" s="10">
        <f>Tabla2456789[[#This Row],[VENTA ]]/1.19</f>
        <v>19747.899159663866</v>
      </c>
      <c r="R141" s="10">
        <f>Tabla2456789[[#This Row],[Columna2]]*19%</f>
        <v>3752.1008403361348</v>
      </c>
      <c r="S141" s="10">
        <f>Tabla2456789[[#This Row],[IVA VENTA ]]-Tabla2456789[[#This Row],[IV COMPRA]]</f>
        <v>0</v>
      </c>
      <c r="T141" s="10">
        <f>(Tabla2456789[[#This Row],[VENTA ]]-(Tabla2456789[[#This Row],[MONTO DE COMPRA]]+Tabla2456789[[#This Row],[DIFERENCIA IVA ]]))</f>
        <v>0</v>
      </c>
      <c r="U141" s="17"/>
    </row>
    <row r="142" spans="1:21" s="15" customFormat="1" ht="20.100000000000001" customHeight="1" x14ac:dyDescent="0.25">
      <c r="A142" s="75">
        <v>44963</v>
      </c>
      <c r="B142" s="76"/>
      <c r="C142" s="76" t="s">
        <v>547</v>
      </c>
      <c r="D142" s="76"/>
      <c r="E142" s="77" t="s">
        <v>548</v>
      </c>
      <c r="F142" s="77" t="s">
        <v>35</v>
      </c>
      <c r="G142" s="76" t="s">
        <v>224</v>
      </c>
      <c r="H142" s="80" t="s">
        <v>549</v>
      </c>
      <c r="I142" s="73">
        <v>50000</v>
      </c>
      <c r="J142" s="73">
        <f>IF(G:G="FRENOS",(Tabla2456789[[#This Row],[TOTAL FACTURA]]*0.8),(Tabla2456789[[#This Row],[TOTAL FACTURA]]*0.5))</f>
        <v>25000</v>
      </c>
      <c r="K142" s="9">
        <f t="shared" si="2"/>
        <v>-25000</v>
      </c>
      <c r="L142" s="4" t="s">
        <v>550</v>
      </c>
      <c r="M142" s="10">
        <v>40000</v>
      </c>
      <c r="N142" s="10">
        <f>Tabla2456789[[#This Row],[MONTO DE COMPRA]]/1.19</f>
        <v>33613.445378151264</v>
      </c>
      <c r="O142" s="10">
        <f>Tabla2456789[[#This Row],[Columna1]]*19%</f>
        <v>6386.5546218487398</v>
      </c>
      <c r="P142" s="10">
        <v>50000</v>
      </c>
      <c r="Q142" s="10">
        <f>Tabla2456789[[#This Row],[VENTA ]]/1.19</f>
        <v>42016.806722689078</v>
      </c>
      <c r="R142" s="10">
        <f>Tabla2456789[[#This Row],[Columna2]]*19%</f>
        <v>7983.1932773109247</v>
      </c>
      <c r="S142" s="10">
        <f>Tabla2456789[[#This Row],[IVA VENTA ]]-Tabla2456789[[#This Row],[IV COMPRA]]</f>
        <v>1596.6386554621849</v>
      </c>
      <c r="T142" s="10">
        <f>(Tabla2456789[[#This Row],[VENTA ]]-(Tabla2456789[[#This Row],[MONTO DE COMPRA]]+Tabla2456789[[#This Row],[DIFERENCIA IVA ]]))</f>
        <v>8403.3613445378141</v>
      </c>
      <c r="U142" s="17"/>
    </row>
    <row r="143" spans="1:21" s="15" customFormat="1" ht="20.100000000000001" customHeight="1" x14ac:dyDescent="0.25">
      <c r="A143" s="75">
        <v>44964</v>
      </c>
      <c r="B143" s="76"/>
      <c r="C143" s="76" t="s">
        <v>551</v>
      </c>
      <c r="D143" s="76"/>
      <c r="E143" s="77" t="s">
        <v>552</v>
      </c>
      <c r="F143" s="77" t="s">
        <v>35</v>
      </c>
      <c r="G143" s="76" t="s">
        <v>224</v>
      </c>
      <c r="H143" s="80" t="s">
        <v>553</v>
      </c>
      <c r="I143" s="73">
        <v>100000</v>
      </c>
      <c r="J143" s="73">
        <f>IF(G:G="FRENOS",(Tabla2456789[[#This Row],[TOTAL FACTURA]]*0.8),(Tabla2456789[[#This Row],[TOTAL FACTURA]]*0.5))</f>
        <v>50000</v>
      </c>
      <c r="K143" s="9">
        <f t="shared" si="2"/>
        <v>-50000</v>
      </c>
      <c r="L143" s="4" t="s">
        <v>554</v>
      </c>
      <c r="M143" s="10">
        <v>45000</v>
      </c>
      <c r="N143" s="10">
        <f>Tabla2456789[[#This Row],[MONTO DE COMPRA]]/1.19</f>
        <v>37815.126050420171</v>
      </c>
      <c r="O143" s="10">
        <f>Tabla2456789[[#This Row],[Columna1]]*19%</f>
        <v>7184.8739495798327</v>
      </c>
      <c r="P143" s="10">
        <v>60000</v>
      </c>
      <c r="Q143" s="10">
        <f>Tabla2456789[[#This Row],[VENTA ]]/1.19</f>
        <v>50420.168067226892</v>
      </c>
      <c r="R143" s="10">
        <f>Tabla2456789[[#This Row],[Columna2]]*19%</f>
        <v>9579.8319327731097</v>
      </c>
      <c r="S143" s="10">
        <f>Tabla2456789[[#This Row],[IVA VENTA ]]-Tabla2456789[[#This Row],[IV COMPRA]]</f>
        <v>2394.957983193277</v>
      </c>
      <c r="T143" s="10">
        <f>(Tabla2456789[[#This Row],[VENTA ]]-(Tabla2456789[[#This Row],[MONTO DE COMPRA]]+Tabla2456789[[#This Row],[DIFERENCIA IVA ]]))</f>
        <v>12605.042016806721</v>
      </c>
      <c r="U143" s="17"/>
    </row>
    <row r="144" spans="1:21" s="15" customFormat="1" ht="20.100000000000001" customHeight="1" x14ac:dyDescent="0.25">
      <c r="A144" s="13">
        <v>44964</v>
      </c>
      <c r="B144" s="14"/>
      <c r="C144" s="14" t="s">
        <v>555</v>
      </c>
      <c r="D144" s="14" t="s">
        <v>556</v>
      </c>
      <c r="F144" s="15" t="s">
        <v>19</v>
      </c>
      <c r="G144" s="14" t="s">
        <v>314</v>
      </c>
      <c r="H144" s="16" t="s">
        <v>557</v>
      </c>
      <c r="I144" s="73">
        <v>80000</v>
      </c>
      <c r="J144" s="17">
        <f>IF(G:G="FRENOS",(Tabla2456789[[#This Row],[TOTAL FACTURA]]*0.8),(Tabla2456789[[#This Row],[TOTAL FACTURA]]*0.5))</f>
        <v>64000</v>
      </c>
      <c r="K144" s="9">
        <f t="shared" si="2"/>
        <v>-64000</v>
      </c>
      <c r="L144" s="4" t="s">
        <v>558</v>
      </c>
      <c r="M144" s="10">
        <v>20000</v>
      </c>
      <c r="N144" s="10">
        <f>Tabla2456789[[#This Row],[MONTO DE COMPRA]]/1.19</f>
        <v>16806.722689075632</v>
      </c>
      <c r="O144" s="10">
        <f>Tabla2456789[[#This Row],[Columna1]]*19%</f>
        <v>3193.2773109243699</v>
      </c>
      <c r="P144" s="10"/>
      <c r="Q144" s="10">
        <f>Tabla2456789[[#This Row],[VENTA ]]/1.19</f>
        <v>0</v>
      </c>
      <c r="R144" s="10">
        <f>Tabla2456789[[#This Row],[Columna2]]*19%</f>
        <v>0</v>
      </c>
      <c r="S144" s="10">
        <f>Tabla2456789[[#This Row],[IVA VENTA ]]-Tabla2456789[[#This Row],[IV COMPRA]]</f>
        <v>-3193.2773109243699</v>
      </c>
      <c r="T144" s="10">
        <f>(Tabla2456789[[#This Row],[VENTA ]]-(Tabla2456789[[#This Row],[MONTO DE COMPRA]]+Tabla2456789[[#This Row],[DIFERENCIA IVA ]]))</f>
        <v>-16806.722689075628</v>
      </c>
      <c r="U144" s="17"/>
    </row>
    <row r="145" spans="1:21" s="15" customFormat="1" ht="20.100000000000001" customHeight="1" x14ac:dyDescent="0.25">
      <c r="A145" s="13">
        <v>44964</v>
      </c>
      <c r="B145" s="14"/>
      <c r="C145" s="14" t="s">
        <v>56</v>
      </c>
      <c r="D145" s="14" t="s">
        <v>57</v>
      </c>
      <c r="E145" s="15" t="s">
        <v>153</v>
      </c>
      <c r="F145" s="15" t="s">
        <v>19</v>
      </c>
      <c r="G145" s="14" t="s">
        <v>314</v>
      </c>
      <c r="H145" s="16" t="s">
        <v>559</v>
      </c>
      <c r="I145" s="73">
        <v>35000</v>
      </c>
      <c r="J145" s="17">
        <f>IF(G:G="FRENOS",(Tabla2456789[[#This Row],[TOTAL FACTURA]]*0.8),(Tabla2456789[[#This Row],[TOTAL FACTURA]]*0.5))</f>
        <v>28000</v>
      </c>
      <c r="K145" s="9">
        <f t="shared" si="2"/>
        <v>-28000</v>
      </c>
      <c r="L145" s="4"/>
      <c r="M145" s="10"/>
      <c r="N145" s="10">
        <f>Tabla2456789[[#This Row],[MONTO DE COMPRA]]/1.19</f>
        <v>0</v>
      </c>
      <c r="O145" s="10">
        <f>Tabla2456789[[#This Row],[Columna1]]*19%</f>
        <v>0</v>
      </c>
      <c r="P145" s="10"/>
      <c r="Q145" s="10">
        <f>Tabla2456789[[#This Row],[VENTA ]]/1.19</f>
        <v>0</v>
      </c>
      <c r="R145" s="10">
        <f>Tabla2456789[[#This Row],[Columna2]]*19%</f>
        <v>0</v>
      </c>
      <c r="S145" s="10">
        <f>Tabla2456789[[#This Row],[IVA VENTA ]]-Tabla2456789[[#This Row],[IV COMPRA]]</f>
        <v>0</v>
      </c>
      <c r="T145" s="10">
        <f>(Tabla2456789[[#This Row],[VENTA ]]-(Tabla2456789[[#This Row],[MONTO DE COMPRA]]+Tabla2456789[[#This Row],[DIFERENCIA IVA ]]))</f>
        <v>0</v>
      </c>
      <c r="U145" s="17"/>
    </row>
    <row r="146" spans="1:21" s="15" customFormat="1" ht="30.75" customHeight="1" x14ac:dyDescent="0.25">
      <c r="A146" s="13">
        <v>44964</v>
      </c>
      <c r="B146" s="14"/>
      <c r="C146" s="14" t="s">
        <v>56</v>
      </c>
      <c r="D146" s="14" t="s">
        <v>57</v>
      </c>
      <c r="E146" s="15" t="s">
        <v>153</v>
      </c>
      <c r="F146" s="15" t="s">
        <v>19</v>
      </c>
      <c r="G146" s="14" t="s">
        <v>314</v>
      </c>
      <c r="H146" s="16" t="s">
        <v>560</v>
      </c>
      <c r="I146" s="73">
        <v>35000</v>
      </c>
      <c r="J146" s="17">
        <f>IF(G:G="FRENOS",(Tabla2456789[[#This Row],[TOTAL FACTURA]]*0.8),(Tabla2456789[[#This Row],[TOTAL FACTURA]]*0.5))</f>
        <v>28000</v>
      </c>
      <c r="K146" s="9">
        <f t="shared" si="2"/>
        <v>-28000</v>
      </c>
      <c r="L146" s="4"/>
      <c r="M146" s="10"/>
      <c r="N146" s="10">
        <f>Tabla2456789[[#This Row],[MONTO DE COMPRA]]/1.19</f>
        <v>0</v>
      </c>
      <c r="O146" s="10">
        <f>Tabla2456789[[#This Row],[Columna1]]*19%</f>
        <v>0</v>
      </c>
      <c r="P146" s="10"/>
      <c r="Q146" s="10">
        <f>Tabla2456789[[#This Row],[VENTA ]]/1.19</f>
        <v>0</v>
      </c>
      <c r="R146" s="10">
        <f>Tabla2456789[[#This Row],[Columna2]]*19%</f>
        <v>0</v>
      </c>
      <c r="S146" s="10">
        <f>Tabla2456789[[#This Row],[IVA VENTA ]]-Tabla2456789[[#This Row],[IV COMPRA]]</f>
        <v>0</v>
      </c>
      <c r="T146" s="10">
        <f>(Tabla2456789[[#This Row],[VENTA ]]-(Tabla2456789[[#This Row],[MONTO DE COMPRA]]+Tabla2456789[[#This Row],[DIFERENCIA IVA ]]))</f>
        <v>0</v>
      </c>
      <c r="U146" s="17"/>
    </row>
    <row r="147" spans="1:21" s="15" customFormat="1" ht="20.100000000000001" customHeight="1" x14ac:dyDescent="0.25">
      <c r="A147" s="13">
        <v>44964</v>
      </c>
      <c r="B147" s="14"/>
      <c r="C147" s="14" t="s">
        <v>561</v>
      </c>
      <c r="D147" s="14" t="s">
        <v>562</v>
      </c>
      <c r="E147" s="15" t="s">
        <v>539</v>
      </c>
      <c r="F147" s="15" t="s">
        <v>19</v>
      </c>
      <c r="G147" s="14" t="s">
        <v>314</v>
      </c>
      <c r="H147" s="16" t="s">
        <v>563</v>
      </c>
      <c r="I147" s="73">
        <v>60000</v>
      </c>
      <c r="J147" s="17">
        <f>IF(G:G="FRENOS",(Tabla2456789[[#This Row],[TOTAL FACTURA]]*0.8),(Tabla2456789[[#This Row],[TOTAL FACTURA]]*0.5))</f>
        <v>48000</v>
      </c>
      <c r="K147" s="9">
        <f t="shared" si="2"/>
        <v>-48000</v>
      </c>
      <c r="L147" s="4" t="s">
        <v>564</v>
      </c>
      <c r="M147" s="10">
        <v>70000</v>
      </c>
      <c r="N147" s="10">
        <f>Tabla2456789[[#This Row],[MONTO DE COMPRA]]/1.19</f>
        <v>58823.529411764706</v>
      </c>
      <c r="O147" s="10">
        <f>Tabla2456789[[#This Row],[Columna1]]*19%</f>
        <v>11176.470588235294</v>
      </c>
      <c r="P147" s="10">
        <v>70000</v>
      </c>
      <c r="Q147" s="10">
        <f>Tabla2456789[[#This Row],[VENTA ]]/1.19</f>
        <v>58823.529411764706</v>
      </c>
      <c r="R147" s="10">
        <f>Tabla2456789[[#This Row],[Columna2]]*19%</f>
        <v>11176.470588235294</v>
      </c>
      <c r="S147" s="10">
        <f>Tabla2456789[[#This Row],[IVA VENTA ]]-Tabla2456789[[#This Row],[IV COMPRA]]</f>
        <v>0</v>
      </c>
      <c r="T147" s="10">
        <f>(Tabla2456789[[#This Row],[VENTA ]]-(Tabla2456789[[#This Row],[MONTO DE COMPRA]]+Tabla2456789[[#This Row],[DIFERENCIA IVA ]]))</f>
        <v>0</v>
      </c>
      <c r="U147" s="17"/>
    </row>
    <row r="148" spans="1:21" s="15" customFormat="1" ht="20.100000000000001" customHeight="1" x14ac:dyDescent="0.25">
      <c r="A148" s="13">
        <v>44965</v>
      </c>
      <c r="B148" s="14"/>
      <c r="C148" s="14" t="s">
        <v>593</v>
      </c>
      <c r="D148" s="14" t="s">
        <v>594</v>
      </c>
      <c r="E148" s="15" t="s">
        <v>265</v>
      </c>
      <c r="F148" s="15" t="s">
        <v>19</v>
      </c>
      <c r="G148" s="14" t="s">
        <v>314</v>
      </c>
      <c r="H148" s="16" t="s">
        <v>595</v>
      </c>
      <c r="I148" s="74">
        <v>180000</v>
      </c>
      <c r="J148" s="17">
        <f>IF(G:G="FRENOS",(Tabla2456789[[#This Row],[TOTAL FACTURA]]*0.8),(Tabla2456789[[#This Row],[TOTAL FACTURA]]*0.5))</f>
        <v>144000</v>
      </c>
      <c r="K148" s="30">
        <f>I148-J148</f>
        <v>36000</v>
      </c>
      <c r="L148" s="4"/>
      <c r="M148" s="10"/>
      <c r="N148" s="10">
        <f>Tabla2456789[[#This Row],[MONTO DE COMPRA]]/1.19</f>
        <v>0</v>
      </c>
      <c r="O148" s="10">
        <f>Tabla2456789[[#This Row],[Columna1]]*19%</f>
        <v>0</v>
      </c>
      <c r="P148" s="10"/>
      <c r="Q148" s="10">
        <f>Tabla2456789[[#This Row],[VENTA ]]/1.19</f>
        <v>0</v>
      </c>
      <c r="R148" s="10">
        <f>Tabla2456789[[#This Row],[Columna2]]*19%</f>
        <v>0</v>
      </c>
      <c r="S148" s="10">
        <f>Tabla2456789[[#This Row],[IVA VENTA ]]-Tabla2456789[[#This Row],[IV COMPRA]]</f>
        <v>0</v>
      </c>
      <c r="T148" s="10">
        <f>(Tabla2456789[[#This Row],[VENTA ]]-(Tabla2456789[[#This Row],[MONTO DE COMPRA]]+Tabla2456789[[#This Row],[DIFERENCIA IVA ]]))</f>
        <v>0</v>
      </c>
      <c r="U148" s="17"/>
    </row>
    <row r="149" spans="1:21" s="15" customFormat="1" ht="27.75" customHeight="1" x14ac:dyDescent="0.25">
      <c r="A149" s="13">
        <v>44965</v>
      </c>
      <c r="B149" s="14"/>
      <c r="C149" s="14" t="s">
        <v>160</v>
      </c>
      <c r="D149" s="14" t="s">
        <v>565</v>
      </c>
      <c r="E149" s="15" t="s">
        <v>566</v>
      </c>
      <c r="F149" s="15" t="s">
        <v>19</v>
      </c>
      <c r="G149" s="14" t="s">
        <v>224</v>
      </c>
      <c r="H149" s="16" t="s">
        <v>567</v>
      </c>
      <c r="I149" s="73">
        <v>100000</v>
      </c>
      <c r="J149" s="17">
        <f>IF(G:G="FRENOS",(Tabla2456789[[#This Row],[TOTAL FACTURA]]*0.8),(Tabla2456789[[#This Row],[TOTAL FACTURA]]*0.5))</f>
        <v>50000</v>
      </c>
      <c r="K149" s="9">
        <f t="shared" ref="K149:K158" si="3">I459-J149</f>
        <v>-50000</v>
      </c>
      <c r="L149" s="4"/>
      <c r="M149" s="10"/>
      <c r="N149" s="10">
        <f>Tabla2456789[[#This Row],[MONTO DE COMPRA]]/1.19</f>
        <v>0</v>
      </c>
      <c r="O149" s="10">
        <f>Tabla2456789[[#This Row],[Columna1]]*19%</f>
        <v>0</v>
      </c>
      <c r="P149" s="10"/>
      <c r="Q149" s="10">
        <f>Tabla2456789[[#This Row],[VENTA ]]/1.19</f>
        <v>0</v>
      </c>
      <c r="R149" s="10">
        <f>Tabla2456789[[#This Row],[Columna2]]*19%</f>
        <v>0</v>
      </c>
      <c r="S149" s="10">
        <f>Tabla2456789[[#This Row],[IVA VENTA ]]-Tabla2456789[[#This Row],[IV COMPRA]]</f>
        <v>0</v>
      </c>
      <c r="T149" s="10">
        <f>(Tabla2456789[[#This Row],[VENTA ]]-(Tabla2456789[[#This Row],[MONTO DE COMPRA]]+Tabla2456789[[#This Row],[DIFERENCIA IVA ]]))</f>
        <v>0</v>
      </c>
      <c r="U149" s="17"/>
    </row>
    <row r="150" spans="1:21" s="15" customFormat="1" ht="29.25" customHeight="1" x14ac:dyDescent="0.25">
      <c r="A150" s="13">
        <v>44965</v>
      </c>
      <c r="B150" s="14"/>
      <c r="C150" s="14" t="s">
        <v>568</v>
      </c>
      <c r="D150" s="15" t="s">
        <v>569</v>
      </c>
      <c r="E150" s="15" t="s">
        <v>570</v>
      </c>
      <c r="F150" s="15" t="s">
        <v>19</v>
      </c>
      <c r="G150" s="14" t="s">
        <v>314</v>
      </c>
      <c r="H150" s="20" t="s">
        <v>571</v>
      </c>
      <c r="I150" s="73">
        <v>35000</v>
      </c>
      <c r="J150" s="17">
        <f>IF(G:G="FRENOS",(Tabla2456789[[#This Row],[TOTAL FACTURA]]*0.8),(Tabla2456789[[#This Row],[TOTAL FACTURA]]*0.5))</f>
        <v>28000</v>
      </c>
      <c r="K150" s="9">
        <f t="shared" si="3"/>
        <v>-28000</v>
      </c>
      <c r="L150" s="4"/>
      <c r="M150" s="10"/>
      <c r="N150" s="10">
        <f>Tabla2456789[[#This Row],[MONTO DE COMPRA]]/1.19</f>
        <v>0</v>
      </c>
      <c r="O150" s="10">
        <f>Tabla2456789[[#This Row],[Columna1]]*19%</f>
        <v>0</v>
      </c>
      <c r="P150" s="10"/>
      <c r="Q150" s="10">
        <f>Tabla2456789[[#This Row],[VENTA ]]/1.19</f>
        <v>0</v>
      </c>
      <c r="R150" s="10">
        <f>Tabla2456789[[#This Row],[Columna2]]*19%</f>
        <v>0</v>
      </c>
      <c r="S150" s="10">
        <f>Tabla2456789[[#This Row],[IVA VENTA ]]-Tabla2456789[[#This Row],[IV COMPRA]]</f>
        <v>0</v>
      </c>
      <c r="T150" s="10">
        <f>(Tabla2456789[[#This Row],[VENTA ]]-(Tabla2456789[[#This Row],[MONTO DE COMPRA]]+Tabla2456789[[#This Row],[DIFERENCIA IVA ]]))</f>
        <v>0</v>
      </c>
      <c r="U150" s="17"/>
    </row>
    <row r="151" spans="1:21" s="15" customFormat="1" ht="20.100000000000001" customHeight="1" x14ac:dyDescent="0.25">
      <c r="A151" s="13">
        <v>44966</v>
      </c>
      <c r="B151" s="14"/>
      <c r="C151" s="14" t="s">
        <v>572</v>
      </c>
      <c r="D151" s="14" t="s">
        <v>573</v>
      </c>
      <c r="E151" s="15" t="s">
        <v>259</v>
      </c>
      <c r="F151" s="15" t="s">
        <v>26</v>
      </c>
      <c r="G151" s="14" t="s">
        <v>224</v>
      </c>
      <c r="H151" s="16" t="s">
        <v>574</v>
      </c>
      <c r="I151" s="17">
        <v>20000</v>
      </c>
      <c r="J151" s="17">
        <f>IF(G:G="FRENOS",(Tabla2456789[[#This Row],[TOTAL FACTURA]]*0.8),(Tabla2456789[[#This Row],[TOTAL FACTURA]]*0.5))</f>
        <v>10000</v>
      </c>
      <c r="K151" s="9">
        <f t="shared" si="3"/>
        <v>-10000</v>
      </c>
      <c r="L151" s="4" t="s">
        <v>575</v>
      </c>
      <c r="M151" s="10">
        <v>35000</v>
      </c>
      <c r="N151" s="10">
        <f>Tabla2456789[[#This Row],[MONTO DE COMPRA]]/1.19</f>
        <v>29411.764705882353</v>
      </c>
      <c r="O151" s="10">
        <f>Tabla2456789[[#This Row],[Columna1]]*19%</f>
        <v>5588.2352941176468</v>
      </c>
      <c r="P151" s="10">
        <v>55000</v>
      </c>
      <c r="Q151" s="10">
        <f>Tabla2456789[[#This Row],[VENTA ]]/1.19</f>
        <v>46218.487394957985</v>
      </c>
      <c r="R151" s="10">
        <f>Tabla2456789[[#This Row],[Columna2]]*19%</f>
        <v>8781.5126050420167</v>
      </c>
      <c r="S151" s="10">
        <f>Tabla2456789[[#This Row],[IVA VENTA ]]-Tabla2456789[[#This Row],[IV COMPRA]]</f>
        <v>3193.2773109243699</v>
      </c>
      <c r="T151" s="10">
        <f>(Tabla2456789[[#This Row],[VENTA ]]-(Tabla2456789[[#This Row],[MONTO DE COMPRA]]+Tabla2456789[[#This Row],[DIFERENCIA IVA ]]))</f>
        <v>16806.722689075628</v>
      </c>
      <c r="U151" s="17"/>
    </row>
    <row r="152" spans="1:21" s="15" customFormat="1" ht="20.100000000000001" customHeight="1" x14ac:dyDescent="0.25">
      <c r="A152" s="13">
        <v>44966</v>
      </c>
      <c r="B152" s="14"/>
      <c r="C152" s="14" t="s">
        <v>572</v>
      </c>
      <c r="D152" s="14" t="s">
        <v>573</v>
      </c>
      <c r="E152" s="15" t="s">
        <v>259</v>
      </c>
      <c r="F152" s="15" t="s">
        <v>19</v>
      </c>
      <c r="G152" s="14" t="s">
        <v>314</v>
      </c>
      <c r="H152" s="16" t="s">
        <v>201</v>
      </c>
      <c r="I152" s="73">
        <v>10000</v>
      </c>
      <c r="J152" s="17">
        <f>IF(G:G="FRENOS",(Tabla2456789[[#This Row],[TOTAL FACTURA]]*0.8),(Tabla2456789[[#This Row],[TOTAL FACTURA]]*0.5))</f>
        <v>8000</v>
      </c>
      <c r="K152" s="9">
        <f t="shared" si="3"/>
        <v>-8000</v>
      </c>
      <c r="L152" s="4"/>
      <c r="M152" s="10"/>
      <c r="N152" s="10">
        <f>Tabla2456789[[#This Row],[MONTO DE COMPRA]]/1.19</f>
        <v>0</v>
      </c>
      <c r="O152" s="10">
        <f>Tabla2456789[[#This Row],[Columna1]]*19%</f>
        <v>0</v>
      </c>
      <c r="P152" s="10"/>
      <c r="Q152" s="10">
        <f>Tabla2456789[[#This Row],[VENTA ]]/1.19</f>
        <v>0</v>
      </c>
      <c r="R152" s="10">
        <f>Tabla2456789[[#This Row],[Columna2]]*19%</f>
        <v>0</v>
      </c>
      <c r="S152" s="10">
        <f>Tabla2456789[[#This Row],[IVA VENTA ]]-Tabla2456789[[#This Row],[IV COMPRA]]</f>
        <v>0</v>
      </c>
      <c r="T152" s="10">
        <f>(Tabla2456789[[#This Row],[VENTA ]]-(Tabla2456789[[#This Row],[MONTO DE COMPRA]]+Tabla2456789[[#This Row],[DIFERENCIA IVA ]]))</f>
        <v>0</v>
      </c>
      <c r="U152" s="17"/>
    </row>
    <row r="153" spans="1:21" s="15" customFormat="1" ht="28.5" customHeight="1" x14ac:dyDescent="0.25">
      <c r="A153" s="13">
        <v>44966</v>
      </c>
      <c r="B153" s="14"/>
      <c r="C153" s="14" t="s">
        <v>576</v>
      </c>
      <c r="D153" s="14" t="s">
        <v>577</v>
      </c>
      <c r="E153" s="15" t="s">
        <v>539</v>
      </c>
      <c r="F153" s="15" t="s">
        <v>19</v>
      </c>
      <c r="G153" s="14" t="s">
        <v>314</v>
      </c>
      <c r="H153" s="16" t="s">
        <v>578</v>
      </c>
      <c r="I153" s="73">
        <v>75000</v>
      </c>
      <c r="J153" s="17">
        <f>IF(G:G="FRENOS",(Tabla2456789[[#This Row],[TOTAL FACTURA]]*0.8),(Tabla2456789[[#This Row],[TOTAL FACTURA]]*0.5))</f>
        <v>60000</v>
      </c>
      <c r="K153" s="9">
        <f t="shared" si="3"/>
        <v>-60000</v>
      </c>
      <c r="L153" s="4" t="s">
        <v>290</v>
      </c>
      <c r="M153" s="10">
        <v>35000</v>
      </c>
      <c r="N153" s="10">
        <f>Tabla2456789[[#This Row],[MONTO DE COMPRA]]/1.19</f>
        <v>29411.764705882353</v>
      </c>
      <c r="O153" s="10">
        <f>Tabla2456789[[#This Row],[Columna1]]*19%</f>
        <v>5588.2352941176468</v>
      </c>
      <c r="P153" s="10">
        <v>35000</v>
      </c>
      <c r="Q153" s="10">
        <f>Tabla2456789[[#This Row],[VENTA ]]/1.19</f>
        <v>29411.764705882353</v>
      </c>
      <c r="R153" s="10">
        <f>Tabla2456789[[#This Row],[Columna2]]*19%</f>
        <v>5588.2352941176468</v>
      </c>
      <c r="S153" s="10">
        <f>Tabla2456789[[#This Row],[IVA VENTA ]]-Tabla2456789[[#This Row],[IV COMPRA]]</f>
        <v>0</v>
      </c>
      <c r="T153" s="10">
        <f>(Tabla2456789[[#This Row],[VENTA ]]-(Tabla2456789[[#This Row],[MONTO DE COMPRA]]+Tabla2456789[[#This Row],[DIFERENCIA IVA ]]))</f>
        <v>0</v>
      </c>
      <c r="U153" s="17"/>
    </row>
    <row r="154" spans="1:21" s="15" customFormat="1" ht="20.100000000000001" customHeight="1" x14ac:dyDescent="0.25">
      <c r="A154" s="13">
        <v>44966</v>
      </c>
      <c r="B154" s="14"/>
      <c r="C154" s="14" t="s">
        <v>579</v>
      </c>
      <c r="D154" s="14" t="s">
        <v>580</v>
      </c>
      <c r="E154" s="15" t="s">
        <v>581</v>
      </c>
      <c r="F154" s="15" t="s">
        <v>19</v>
      </c>
      <c r="G154" s="14" t="s">
        <v>224</v>
      </c>
      <c r="H154" s="16" t="s">
        <v>592</v>
      </c>
      <c r="I154" s="73">
        <v>70000</v>
      </c>
      <c r="J154" s="17">
        <f>IF(G:G="FRENOS",(Tabla2456789[[#This Row],[TOTAL FACTURA]]*0.8),(Tabla2456789[[#This Row],[TOTAL FACTURA]]*0.5))</f>
        <v>35000</v>
      </c>
      <c r="K154" s="9">
        <f t="shared" si="3"/>
        <v>-35000</v>
      </c>
      <c r="L154" s="4" t="s">
        <v>584</v>
      </c>
      <c r="M154" s="10">
        <v>120000</v>
      </c>
      <c r="N154" s="10">
        <f>Tabla2456789[[#This Row],[MONTO DE COMPRA]]/1.19</f>
        <v>100840.33613445378</v>
      </c>
      <c r="O154" s="10">
        <f>Tabla2456789[[#This Row],[Columna1]]*19%</f>
        <v>19159.663865546219</v>
      </c>
      <c r="P154" s="10">
        <v>152000</v>
      </c>
      <c r="Q154" s="10">
        <f>Tabla2456789[[#This Row],[VENTA ]]/1.19</f>
        <v>127731.0924369748</v>
      </c>
      <c r="R154" s="10">
        <f>Tabla2456789[[#This Row],[Columna2]]*19%</f>
        <v>24268.907563025212</v>
      </c>
      <c r="S154" s="10">
        <f>Tabla2456789[[#This Row],[IVA VENTA ]]-Tabla2456789[[#This Row],[IV COMPRA]]</f>
        <v>5109.2436974789925</v>
      </c>
      <c r="T154" s="10">
        <f>(Tabla2456789[[#This Row],[VENTA ]]-(Tabla2456789[[#This Row],[MONTO DE COMPRA]]+Tabla2456789[[#This Row],[DIFERENCIA IVA ]]))</f>
        <v>26890.756302521011</v>
      </c>
      <c r="U154" s="17"/>
    </row>
    <row r="155" spans="1:21" s="15" customFormat="1" ht="20.100000000000001" customHeight="1" x14ac:dyDescent="0.25">
      <c r="A155" s="75">
        <v>44966</v>
      </c>
      <c r="B155" s="76"/>
      <c r="C155" s="76" t="s">
        <v>585</v>
      </c>
      <c r="D155" s="76"/>
      <c r="E155" s="77" t="s">
        <v>467</v>
      </c>
      <c r="F155" s="77" t="s">
        <v>35</v>
      </c>
      <c r="G155" s="76" t="s">
        <v>224</v>
      </c>
      <c r="H155" s="80" t="s">
        <v>182</v>
      </c>
      <c r="I155" s="73">
        <v>120000</v>
      </c>
      <c r="J155" s="73">
        <f>IF(G:G="FRENOS",(Tabla2456789[[#This Row],[TOTAL FACTURA]]*0.8),(Tabla2456789[[#This Row],[TOTAL FACTURA]]*0.5))</f>
        <v>60000</v>
      </c>
      <c r="K155" s="9">
        <f t="shared" si="3"/>
        <v>-60000</v>
      </c>
      <c r="L155" s="4"/>
      <c r="M155" s="10"/>
      <c r="N155" s="10">
        <f>Tabla2456789[[#This Row],[MONTO DE COMPRA]]/1.19</f>
        <v>0</v>
      </c>
      <c r="O155" s="10">
        <f>Tabla2456789[[#This Row],[Columna1]]*19%</f>
        <v>0</v>
      </c>
      <c r="P155" s="10"/>
      <c r="Q155" s="10">
        <f>Tabla2456789[[#This Row],[VENTA ]]/1.19</f>
        <v>0</v>
      </c>
      <c r="R155" s="10">
        <f>Tabla2456789[[#This Row],[Columna2]]*19%</f>
        <v>0</v>
      </c>
      <c r="S155" s="10">
        <f>Tabla2456789[[#This Row],[IVA VENTA ]]-Tabla2456789[[#This Row],[IV COMPRA]]</f>
        <v>0</v>
      </c>
      <c r="T155" s="10">
        <f>(Tabla2456789[[#This Row],[VENTA ]]-(Tabla2456789[[#This Row],[MONTO DE COMPRA]]+Tabla2456789[[#This Row],[DIFERENCIA IVA ]]))</f>
        <v>0</v>
      </c>
      <c r="U155" s="17"/>
    </row>
    <row r="156" spans="1:21" s="15" customFormat="1" ht="20.100000000000001" customHeight="1" x14ac:dyDescent="0.25">
      <c r="A156" s="13">
        <v>44966</v>
      </c>
      <c r="B156" s="14"/>
      <c r="C156" s="14" t="s">
        <v>586</v>
      </c>
      <c r="D156" s="14" t="s">
        <v>587</v>
      </c>
      <c r="E156" s="15" t="s">
        <v>598</v>
      </c>
      <c r="F156" s="15" t="s">
        <v>19</v>
      </c>
      <c r="G156" s="14" t="s">
        <v>314</v>
      </c>
      <c r="H156" s="16" t="s">
        <v>588</v>
      </c>
      <c r="I156" s="73">
        <v>140000</v>
      </c>
      <c r="J156" s="17">
        <f>IF(G:G="FRENOS",(Tabla2456789[[#This Row],[TOTAL FACTURA]]*0.8),(Tabla2456789[[#This Row],[TOTAL FACTURA]]*0.5))</f>
        <v>112000</v>
      </c>
      <c r="K156" s="9">
        <f t="shared" si="3"/>
        <v>-112000</v>
      </c>
      <c r="L156" s="4" t="s">
        <v>590</v>
      </c>
      <c r="M156" s="10">
        <v>269000</v>
      </c>
      <c r="N156" s="10">
        <f>Tabla2456789[[#This Row],[MONTO DE COMPRA]]/1.19</f>
        <v>226050.42016806724</v>
      </c>
      <c r="O156" s="10">
        <f>Tabla2456789[[#This Row],[Columna1]]*19%</f>
        <v>42949.579831932773</v>
      </c>
      <c r="P156" s="10">
        <v>315000</v>
      </c>
      <c r="Q156" s="10">
        <f>Tabla2456789[[#This Row],[VENTA ]]/1.19</f>
        <v>264705.8823529412</v>
      </c>
      <c r="R156" s="10">
        <f>Tabla2456789[[#This Row],[Columna2]]*19%</f>
        <v>50294.117647058833</v>
      </c>
      <c r="S156" s="10">
        <f>Tabla2456789[[#This Row],[IVA VENTA ]]-Tabla2456789[[#This Row],[IV COMPRA]]</f>
        <v>7344.5378151260593</v>
      </c>
      <c r="T156" s="10">
        <f>(Tabla2456789[[#This Row],[VENTA ]]-(Tabla2456789[[#This Row],[MONTO DE COMPRA]]+Tabla2456789[[#This Row],[DIFERENCIA IVA ]]))</f>
        <v>38655.462184873933</v>
      </c>
      <c r="U156" s="17"/>
    </row>
    <row r="157" spans="1:21" s="15" customFormat="1" ht="20.100000000000001" customHeight="1" x14ac:dyDescent="0.25">
      <c r="A157" s="13">
        <v>44966</v>
      </c>
      <c r="B157" s="14"/>
      <c r="C157" s="14" t="s">
        <v>589</v>
      </c>
      <c r="D157" s="14" t="s">
        <v>577</v>
      </c>
      <c r="E157" s="15" t="s">
        <v>539</v>
      </c>
      <c r="F157" s="15" t="s">
        <v>19</v>
      </c>
      <c r="G157" s="14" t="s">
        <v>314</v>
      </c>
      <c r="H157" s="16" t="s">
        <v>176</v>
      </c>
      <c r="I157" s="73">
        <v>70000</v>
      </c>
      <c r="J157" s="17">
        <f>IF(G:G="FRENOS",(Tabla2456789[[#This Row],[TOTAL FACTURA]]*0.8),(Tabla2456789[[#This Row],[TOTAL FACTURA]]*0.5))</f>
        <v>56000</v>
      </c>
      <c r="K157" s="9">
        <f t="shared" si="3"/>
        <v>-56000</v>
      </c>
      <c r="L157" s="4" t="s">
        <v>591</v>
      </c>
      <c r="M157" s="10"/>
      <c r="N157" s="10">
        <f>Tabla2456789[[#This Row],[MONTO DE COMPRA]]/1.19</f>
        <v>0</v>
      </c>
      <c r="O157" s="10">
        <f>Tabla2456789[[#This Row],[Columna1]]*19%</f>
        <v>0</v>
      </c>
      <c r="P157" s="10"/>
      <c r="Q157" s="10">
        <f>Tabla2456789[[#This Row],[VENTA ]]/1.19</f>
        <v>0</v>
      </c>
      <c r="R157" s="10">
        <f>Tabla2456789[[#This Row],[Columna2]]*19%</f>
        <v>0</v>
      </c>
      <c r="S157" s="10">
        <f>Tabla2456789[[#This Row],[IVA VENTA ]]-Tabla2456789[[#This Row],[IV COMPRA]]</f>
        <v>0</v>
      </c>
      <c r="T157" s="10">
        <f>(Tabla2456789[[#This Row],[VENTA ]]-(Tabla2456789[[#This Row],[MONTO DE COMPRA]]+Tabla2456789[[#This Row],[DIFERENCIA IVA ]]))</f>
        <v>0</v>
      </c>
      <c r="U157" s="17"/>
    </row>
    <row r="158" spans="1:21" s="15" customFormat="1" ht="20.100000000000001" customHeight="1" x14ac:dyDescent="0.25">
      <c r="A158" s="13">
        <v>44968</v>
      </c>
      <c r="B158" s="14"/>
      <c r="C158" s="14"/>
      <c r="D158" s="14" t="s">
        <v>602</v>
      </c>
      <c r="E158" s="15" t="s">
        <v>265</v>
      </c>
      <c r="F158" s="15" t="s">
        <v>19</v>
      </c>
      <c r="G158" s="14" t="s">
        <v>314</v>
      </c>
      <c r="H158" s="16" t="s">
        <v>20</v>
      </c>
      <c r="I158" s="73">
        <v>10000</v>
      </c>
      <c r="J158" s="17">
        <f>IF(G:G="FRENOS",(Tabla2456789[[#This Row],[TOTAL FACTURA]]*0.8),(Tabla2456789[[#This Row],[TOTAL FACTURA]]*0.5))</f>
        <v>8000</v>
      </c>
      <c r="K158" s="9">
        <f t="shared" si="3"/>
        <v>-8000</v>
      </c>
      <c r="L158" s="4"/>
      <c r="M158" s="10"/>
      <c r="N158" s="10">
        <f>Tabla2456789[[#This Row],[MONTO DE COMPRA]]/1.19</f>
        <v>0</v>
      </c>
      <c r="O158" s="10">
        <f>Tabla2456789[[#This Row],[Columna1]]*19%</f>
        <v>0</v>
      </c>
      <c r="P158" s="10"/>
      <c r="Q158" s="10">
        <f>Tabla2456789[[#This Row],[VENTA ]]/1.19</f>
        <v>0</v>
      </c>
      <c r="R158" s="10">
        <f>Tabla2456789[[#This Row],[Columna2]]*19%</f>
        <v>0</v>
      </c>
      <c r="S158" s="10">
        <f>Tabla2456789[[#This Row],[IVA VENTA ]]-Tabla2456789[[#This Row],[IV COMPRA]]</f>
        <v>0</v>
      </c>
      <c r="T158" s="10">
        <f>(Tabla2456789[[#This Row],[VENTA ]]-(Tabla2456789[[#This Row],[MONTO DE COMPRA]]+Tabla2456789[[#This Row],[DIFERENCIA IVA ]]))</f>
        <v>0</v>
      </c>
      <c r="U158" s="17"/>
    </row>
    <row r="159" spans="1:21" s="15" customFormat="1" ht="20.100000000000001" customHeight="1" x14ac:dyDescent="0.25">
      <c r="A159" s="13">
        <v>44968</v>
      </c>
      <c r="B159" s="14"/>
      <c r="C159" s="14" t="s">
        <v>646</v>
      </c>
      <c r="D159" s="14" t="s">
        <v>502</v>
      </c>
      <c r="E159" s="15" t="s">
        <v>503</v>
      </c>
      <c r="F159" s="15" t="s">
        <v>35</v>
      </c>
      <c r="G159" s="14" t="s">
        <v>224</v>
      </c>
      <c r="H159" s="16" t="s">
        <v>647</v>
      </c>
      <c r="I159" s="20">
        <v>200000</v>
      </c>
      <c r="J159" s="17">
        <f>IF(G:G="FRENOS",(Tabla2456789[[#This Row],[TOTAL FACTURA]]*0.8),(Tabla2456789[[#This Row],[TOTAL FACTURA]]*0.5))</f>
        <v>100000</v>
      </c>
      <c r="K159" s="30">
        <f>I159-J159</f>
        <v>100000</v>
      </c>
      <c r="L159" s="4"/>
      <c r="M159" s="10"/>
      <c r="N159" s="10">
        <f>Tabla2456789[[#This Row],[MONTO DE COMPRA]]/1.19</f>
        <v>0</v>
      </c>
      <c r="O159" s="10">
        <f>Tabla2456789[[#This Row],[Columna1]]*19%</f>
        <v>0</v>
      </c>
      <c r="P159" s="10"/>
      <c r="Q159" s="10">
        <f>Tabla2456789[[#This Row],[VENTA ]]/1.19</f>
        <v>0</v>
      </c>
      <c r="R159" s="10">
        <f>Tabla2456789[[#This Row],[Columna2]]*19%</f>
        <v>0</v>
      </c>
      <c r="S159" s="10">
        <f>Tabla2456789[[#This Row],[IVA VENTA ]]-Tabla2456789[[#This Row],[IV COMPRA]]</f>
        <v>0</v>
      </c>
      <c r="T159" s="10">
        <f>(Tabla2456789[[#This Row],[VENTA ]]-(Tabla2456789[[#This Row],[MONTO DE COMPRA]]+Tabla2456789[[#This Row],[DIFERENCIA IVA ]]))</f>
        <v>0</v>
      </c>
      <c r="U159" s="17"/>
    </row>
    <row r="160" spans="1:21" s="15" customFormat="1" ht="20.100000000000001" customHeight="1" x14ac:dyDescent="0.25">
      <c r="A160" s="13">
        <v>44968</v>
      </c>
      <c r="B160" s="14"/>
      <c r="C160" s="14" t="s">
        <v>603</v>
      </c>
      <c r="D160" s="14" t="s">
        <v>604</v>
      </c>
      <c r="E160" s="15" t="s">
        <v>337</v>
      </c>
      <c r="F160" s="15" t="s">
        <v>19</v>
      </c>
      <c r="G160" s="14" t="s">
        <v>224</v>
      </c>
      <c r="H160" s="16" t="s">
        <v>605</v>
      </c>
      <c r="I160" s="73">
        <v>140000</v>
      </c>
      <c r="J160" s="17">
        <f>IF(G:G="FRENOS",(Tabla2456789[[#This Row],[TOTAL FACTURA]]*0.8),(Tabla2456789[[#This Row],[TOTAL FACTURA]]*0.5))</f>
        <v>70000</v>
      </c>
      <c r="K160" s="9">
        <f t="shared" ref="K160:K165" si="4">I469-J160</f>
        <v>-70000</v>
      </c>
      <c r="L160" s="4" t="s">
        <v>606</v>
      </c>
      <c r="M160" s="10">
        <v>136000</v>
      </c>
      <c r="N160" s="10">
        <f>Tabla2456789[[#This Row],[MONTO DE COMPRA]]/1.19</f>
        <v>114285.71428571429</v>
      </c>
      <c r="O160" s="10">
        <f>Tabla2456789[[#This Row],[Columna1]]*19%</f>
        <v>21714.285714285714</v>
      </c>
      <c r="P160" s="10">
        <v>170000</v>
      </c>
      <c r="Q160" s="10">
        <f>Tabla2456789[[#This Row],[VENTA ]]/1.19</f>
        <v>142857.14285714287</v>
      </c>
      <c r="R160" s="10">
        <f>Tabla2456789[[#This Row],[Columna2]]*19%</f>
        <v>27142.857142857145</v>
      </c>
      <c r="S160" s="10">
        <f>Tabla2456789[[#This Row],[IVA VENTA ]]-Tabla2456789[[#This Row],[IV COMPRA]]</f>
        <v>5428.5714285714312</v>
      </c>
      <c r="T160" s="10">
        <f>(Tabla2456789[[#This Row],[VENTA ]]-(Tabla2456789[[#This Row],[MONTO DE COMPRA]]+Tabla2456789[[#This Row],[DIFERENCIA IVA ]]))</f>
        <v>28571.42857142858</v>
      </c>
      <c r="U160" s="17"/>
    </row>
    <row r="161" spans="1:21" s="15" customFormat="1" ht="20.100000000000001" customHeight="1" x14ac:dyDescent="0.25">
      <c r="A161" s="13">
        <v>44970</v>
      </c>
      <c r="B161" s="14"/>
      <c r="C161" s="14" t="s">
        <v>608</v>
      </c>
      <c r="D161" s="14" t="s">
        <v>607</v>
      </c>
      <c r="E161" s="15" t="s">
        <v>274</v>
      </c>
      <c r="F161" s="15" t="s">
        <v>19</v>
      </c>
      <c r="G161" s="14" t="s">
        <v>314</v>
      </c>
      <c r="H161" s="16" t="s">
        <v>609</v>
      </c>
      <c r="I161" s="73">
        <v>74000</v>
      </c>
      <c r="J161" s="17">
        <v>40000</v>
      </c>
      <c r="K161" s="9">
        <f t="shared" si="4"/>
        <v>-40000</v>
      </c>
      <c r="L161" s="4"/>
      <c r="M161" s="10"/>
      <c r="N161" s="10">
        <f>Tabla2456789[[#This Row],[MONTO DE COMPRA]]/1.19</f>
        <v>0</v>
      </c>
      <c r="O161" s="10">
        <f>Tabla2456789[[#This Row],[Columna1]]*19%</f>
        <v>0</v>
      </c>
      <c r="P161" s="10"/>
      <c r="Q161" s="10">
        <f>Tabla2456789[[#This Row],[VENTA ]]/1.19</f>
        <v>0</v>
      </c>
      <c r="R161" s="10">
        <f>Tabla2456789[[#This Row],[Columna2]]*19%</f>
        <v>0</v>
      </c>
      <c r="S161" s="10">
        <f>Tabla2456789[[#This Row],[IVA VENTA ]]-Tabla2456789[[#This Row],[IV COMPRA]]</f>
        <v>0</v>
      </c>
      <c r="T161" s="10">
        <f>(Tabla2456789[[#This Row],[VENTA ]]-(Tabla2456789[[#This Row],[MONTO DE COMPRA]]+Tabla2456789[[#This Row],[DIFERENCIA IVA ]]))</f>
        <v>0</v>
      </c>
      <c r="U161" s="17"/>
    </row>
    <row r="162" spans="1:21" s="15" customFormat="1" ht="20.100000000000001" customHeight="1" x14ac:dyDescent="0.25">
      <c r="A162" s="13">
        <v>44970</v>
      </c>
      <c r="B162" s="14"/>
      <c r="C162" s="14" t="s">
        <v>610</v>
      </c>
      <c r="D162" s="14" t="s">
        <v>611</v>
      </c>
      <c r="E162" s="15" t="s">
        <v>612</v>
      </c>
      <c r="F162" s="15" t="s">
        <v>19</v>
      </c>
      <c r="G162" s="14" t="s">
        <v>314</v>
      </c>
      <c r="H162" s="16" t="s">
        <v>21</v>
      </c>
      <c r="I162" s="73">
        <v>30000</v>
      </c>
      <c r="J162" s="17">
        <f>IF(G:G="FRENOS",(Tabla2456789[[#This Row],[TOTAL FACTURA]]*0.8),(Tabla2456789[[#This Row],[TOTAL FACTURA]]*0.5))</f>
        <v>24000</v>
      </c>
      <c r="K162" s="9">
        <f t="shared" si="4"/>
        <v>-24000</v>
      </c>
      <c r="L162" s="4" t="s">
        <v>22</v>
      </c>
      <c r="M162" s="10">
        <v>166000</v>
      </c>
      <c r="N162" s="10">
        <f>Tabla2456789[[#This Row],[MONTO DE COMPRA]]/1.19</f>
        <v>139495.79831932773</v>
      </c>
      <c r="O162" s="10">
        <f>Tabla2456789[[#This Row],[Columna1]]*19%</f>
        <v>26504.201680672268</v>
      </c>
      <c r="P162" s="10">
        <v>220000</v>
      </c>
      <c r="Q162" s="10">
        <f>Tabla2456789[[#This Row],[VENTA ]]/1.19</f>
        <v>184873.94957983194</v>
      </c>
      <c r="R162" s="10">
        <f>Tabla2456789[[#This Row],[Columna2]]*19%</f>
        <v>35126.050420168067</v>
      </c>
      <c r="S162" s="10">
        <f>Tabla2456789[[#This Row],[IVA VENTA ]]-Tabla2456789[[#This Row],[IV COMPRA]]</f>
        <v>8621.8487394957992</v>
      </c>
      <c r="T162" s="10">
        <f>(Tabla2456789[[#This Row],[VENTA ]]-(Tabla2456789[[#This Row],[MONTO DE COMPRA]]+Tabla2456789[[#This Row],[DIFERENCIA IVA ]]))</f>
        <v>45378.151260504208</v>
      </c>
      <c r="U162" s="17"/>
    </row>
    <row r="163" spans="1:21" s="15" customFormat="1" ht="20.100000000000001" customHeight="1" x14ac:dyDescent="0.25">
      <c r="A163" s="13">
        <v>44971</v>
      </c>
      <c r="B163" s="14"/>
      <c r="C163" s="14" t="s">
        <v>29</v>
      </c>
      <c r="D163" s="14" t="s">
        <v>30</v>
      </c>
      <c r="E163" s="15" t="s">
        <v>34</v>
      </c>
      <c r="F163" s="15" t="s">
        <v>19</v>
      </c>
      <c r="G163" s="14" t="s">
        <v>314</v>
      </c>
      <c r="H163" s="16" t="s">
        <v>20</v>
      </c>
      <c r="I163" s="73">
        <v>10000</v>
      </c>
      <c r="J163" s="17">
        <f>IF(G:G="FRENOS",(Tabla2456789[[#This Row],[TOTAL FACTURA]]*0.8),(Tabla2456789[[#This Row],[TOTAL FACTURA]]*0.5))</f>
        <v>8000</v>
      </c>
      <c r="K163" s="9">
        <f t="shared" si="4"/>
        <v>-8000</v>
      </c>
      <c r="L163" s="4"/>
      <c r="M163" s="10"/>
      <c r="N163" s="10">
        <f>Tabla2456789[[#This Row],[MONTO DE COMPRA]]/1.19</f>
        <v>0</v>
      </c>
      <c r="O163" s="10">
        <f>Tabla2456789[[#This Row],[Columna1]]*19%</f>
        <v>0</v>
      </c>
      <c r="P163" s="10"/>
      <c r="Q163" s="10">
        <f>Tabla2456789[[#This Row],[VENTA ]]/1.19</f>
        <v>0</v>
      </c>
      <c r="R163" s="10">
        <f>Tabla2456789[[#This Row],[Columna2]]*19%</f>
        <v>0</v>
      </c>
      <c r="S163" s="10">
        <f>Tabla2456789[[#This Row],[IVA VENTA ]]-Tabla2456789[[#This Row],[IV COMPRA]]</f>
        <v>0</v>
      </c>
      <c r="T163" s="10">
        <f>(Tabla2456789[[#This Row],[VENTA ]]-(Tabla2456789[[#This Row],[MONTO DE COMPRA]]+Tabla2456789[[#This Row],[DIFERENCIA IVA ]]))</f>
        <v>0</v>
      </c>
      <c r="U163" s="17"/>
    </row>
    <row r="164" spans="1:21" s="15" customFormat="1" ht="20.100000000000001" customHeight="1" x14ac:dyDescent="0.25">
      <c r="A164" s="13">
        <v>44971</v>
      </c>
      <c r="B164" s="14"/>
      <c r="C164" s="14" t="s">
        <v>551</v>
      </c>
      <c r="D164" s="14" t="s">
        <v>613</v>
      </c>
      <c r="E164" s="15" t="s">
        <v>552</v>
      </c>
      <c r="F164" s="15" t="s">
        <v>35</v>
      </c>
      <c r="G164" s="14" t="s">
        <v>224</v>
      </c>
      <c r="H164" s="16" t="s">
        <v>614</v>
      </c>
      <c r="I164" s="17">
        <v>225000</v>
      </c>
      <c r="J164" s="17">
        <f>IF(G:G="FRENOS",(Tabla2456789[[#This Row],[TOTAL FACTURA]]*0.8),(Tabla2456789[[#This Row],[TOTAL FACTURA]]*0.5))</f>
        <v>112500</v>
      </c>
      <c r="K164" s="9">
        <f t="shared" si="4"/>
        <v>-112500</v>
      </c>
      <c r="L164" s="4" t="s">
        <v>615</v>
      </c>
      <c r="M164" s="10"/>
      <c r="N164" s="10">
        <f>Tabla2456789[[#This Row],[MONTO DE COMPRA]]/1.19</f>
        <v>0</v>
      </c>
      <c r="O164" s="10">
        <f>Tabla2456789[[#This Row],[Columna1]]*19%</f>
        <v>0</v>
      </c>
      <c r="P164" s="10"/>
      <c r="Q164" s="10">
        <f>Tabla2456789[[#This Row],[VENTA ]]/1.19</f>
        <v>0</v>
      </c>
      <c r="R164" s="10">
        <f>Tabla2456789[[#This Row],[Columna2]]*19%</f>
        <v>0</v>
      </c>
      <c r="S164" s="10">
        <f>Tabla2456789[[#This Row],[IVA VENTA ]]-Tabla2456789[[#This Row],[IV COMPRA]]</f>
        <v>0</v>
      </c>
      <c r="T164" s="10">
        <f>(Tabla2456789[[#This Row],[VENTA ]]-(Tabla2456789[[#This Row],[MONTO DE COMPRA]]+Tabla2456789[[#This Row],[DIFERENCIA IVA ]]))</f>
        <v>0</v>
      </c>
      <c r="U164" s="17"/>
    </row>
    <row r="165" spans="1:21" s="15" customFormat="1" ht="20.100000000000001" customHeight="1" x14ac:dyDescent="0.25">
      <c r="A165" s="13">
        <v>44971</v>
      </c>
      <c r="B165" s="14"/>
      <c r="C165" s="14"/>
      <c r="D165" s="14" t="s">
        <v>616</v>
      </c>
      <c r="E165" s="15" t="s">
        <v>265</v>
      </c>
      <c r="F165" s="15" t="s">
        <v>19</v>
      </c>
      <c r="G165" s="14" t="s">
        <v>314</v>
      </c>
      <c r="H165" s="16" t="s">
        <v>20</v>
      </c>
      <c r="I165" s="73">
        <v>10000</v>
      </c>
      <c r="J165" s="17">
        <f>IF(G:G="FRENOS",(Tabla2456789[[#This Row],[TOTAL FACTURA]]*0.8),(Tabla2456789[[#This Row],[TOTAL FACTURA]]*0.5))</f>
        <v>8000</v>
      </c>
      <c r="K165" s="9">
        <f t="shared" si="4"/>
        <v>-8000</v>
      </c>
      <c r="L165" s="4"/>
      <c r="M165" s="10"/>
      <c r="N165" s="10">
        <f>Tabla2456789[[#This Row],[MONTO DE COMPRA]]/1.19</f>
        <v>0</v>
      </c>
      <c r="O165" s="10">
        <f>Tabla2456789[[#This Row],[Columna1]]*19%</f>
        <v>0</v>
      </c>
      <c r="P165" s="10"/>
      <c r="Q165" s="10">
        <f>Tabla2456789[[#This Row],[VENTA ]]/1.19</f>
        <v>0</v>
      </c>
      <c r="R165" s="10">
        <f>Tabla2456789[[#This Row],[Columna2]]*19%</f>
        <v>0</v>
      </c>
      <c r="S165" s="10">
        <f>Tabla2456789[[#This Row],[IVA VENTA ]]-Tabla2456789[[#This Row],[IV COMPRA]]</f>
        <v>0</v>
      </c>
      <c r="T165" s="10">
        <f>(Tabla2456789[[#This Row],[VENTA ]]-(Tabla2456789[[#This Row],[MONTO DE COMPRA]]+Tabla2456789[[#This Row],[DIFERENCIA IVA ]]))</f>
        <v>0</v>
      </c>
      <c r="U165" s="17"/>
    </row>
    <row r="166" spans="1:21" s="15" customFormat="1" ht="20.100000000000001" customHeight="1" x14ac:dyDescent="0.25">
      <c r="A166" s="13">
        <v>44972</v>
      </c>
      <c r="B166" s="14"/>
      <c r="C166" s="14" t="s">
        <v>642</v>
      </c>
      <c r="D166" s="14"/>
      <c r="E166" s="15" t="s">
        <v>640</v>
      </c>
      <c r="F166" s="15" t="s">
        <v>19</v>
      </c>
      <c r="G166" s="14" t="s">
        <v>314</v>
      </c>
      <c r="H166" s="16" t="s">
        <v>641</v>
      </c>
      <c r="I166" s="74">
        <v>40000</v>
      </c>
      <c r="J166" s="17">
        <f>IF(G:G="FRENOS",(Tabla2456789[[#This Row],[TOTAL FACTURA]]*0.8),(Tabla2456789[[#This Row],[TOTAL FACTURA]]*0.5))</f>
        <v>32000</v>
      </c>
      <c r="K166" s="30">
        <f>I166-J166</f>
        <v>8000</v>
      </c>
      <c r="L166" s="4"/>
      <c r="M166" s="10"/>
      <c r="N166" s="10">
        <f>Tabla2456789[[#This Row],[MONTO DE COMPRA]]/1.19</f>
        <v>0</v>
      </c>
      <c r="O166" s="10">
        <f>Tabla2456789[[#This Row],[Columna1]]*19%</f>
        <v>0</v>
      </c>
      <c r="P166" s="10"/>
      <c r="Q166" s="10">
        <f>Tabla2456789[[#This Row],[VENTA ]]/1.19</f>
        <v>0</v>
      </c>
      <c r="R166" s="10">
        <f>Tabla2456789[[#This Row],[Columna2]]*19%</f>
        <v>0</v>
      </c>
      <c r="S166" s="10">
        <f>Tabla2456789[[#This Row],[IVA VENTA ]]-Tabla2456789[[#This Row],[IV COMPRA]]</f>
        <v>0</v>
      </c>
      <c r="T166" s="10">
        <f>(Tabla2456789[[#This Row],[VENTA ]]-(Tabla2456789[[#This Row],[MONTO DE COMPRA]]+Tabla2456789[[#This Row],[DIFERENCIA IVA ]]))</f>
        <v>0</v>
      </c>
      <c r="U166" s="17"/>
    </row>
    <row r="167" spans="1:21" s="15" customFormat="1" ht="20.100000000000001" customHeight="1" x14ac:dyDescent="0.25">
      <c r="A167" s="13">
        <v>44972</v>
      </c>
      <c r="B167" s="14"/>
      <c r="C167" s="90"/>
      <c r="D167" s="14"/>
      <c r="E167" s="15" t="s">
        <v>552</v>
      </c>
      <c r="F167" s="15" t="s">
        <v>35</v>
      </c>
      <c r="G167" s="14" t="s">
        <v>224</v>
      </c>
      <c r="H167" s="16" t="s">
        <v>648</v>
      </c>
      <c r="I167" s="20">
        <v>400000</v>
      </c>
      <c r="J167" s="17">
        <f>IF(G:G="FRENOS",(Tabla2456789[[#This Row],[TOTAL FACTURA]]*0.8),(Tabla2456789[[#This Row],[TOTAL FACTURA]]*0.5))</f>
        <v>200000</v>
      </c>
      <c r="K167" s="30">
        <f>I167-J167</f>
        <v>200000</v>
      </c>
      <c r="L167" s="4"/>
      <c r="M167" s="10"/>
      <c r="N167" s="10">
        <f>Tabla2456789[[#This Row],[MONTO DE COMPRA]]/1.19</f>
        <v>0</v>
      </c>
      <c r="O167" s="10">
        <f>Tabla2456789[[#This Row],[Columna1]]*19%</f>
        <v>0</v>
      </c>
      <c r="P167" s="10"/>
      <c r="Q167" s="10">
        <f>Tabla2456789[[#This Row],[VENTA ]]/1.19</f>
        <v>0</v>
      </c>
      <c r="R167" s="10">
        <f>Tabla2456789[[#This Row],[Columna2]]*19%</f>
        <v>0</v>
      </c>
      <c r="S167" s="10">
        <f>Tabla2456789[[#This Row],[IVA VENTA ]]-Tabla2456789[[#This Row],[IV COMPRA]]</f>
        <v>0</v>
      </c>
      <c r="T167" s="10">
        <f>(Tabla2456789[[#This Row],[VENTA ]]-(Tabla2456789[[#This Row],[MONTO DE COMPRA]]+Tabla2456789[[#This Row],[DIFERENCIA IVA ]]))</f>
        <v>0</v>
      </c>
      <c r="U167" s="17"/>
    </row>
    <row r="168" spans="1:21" s="15" customFormat="1" ht="20.100000000000001" customHeight="1" x14ac:dyDescent="0.25">
      <c r="A168" s="13">
        <v>44972</v>
      </c>
      <c r="B168" s="14"/>
      <c r="C168" s="14" t="s">
        <v>623</v>
      </c>
      <c r="D168" s="14" t="s">
        <v>617</v>
      </c>
      <c r="E168" s="15" t="s">
        <v>618</v>
      </c>
      <c r="F168" s="15" t="s">
        <v>19</v>
      </c>
      <c r="G168" s="14" t="s">
        <v>314</v>
      </c>
      <c r="H168" s="16" t="s">
        <v>619</v>
      </c>
      <c r="I168" s="73">
        <v>35000</v>
      </c>
      <c r="J168" s="17">
        <f>IF(G:G="FRENOS",(Tabla2456789[[#This Row],[TOTAL FACTURA]]*0.8),(Tabla2456789[[#This Row],[TOTAL FACTURA]]*0.5))</f>
        <v>28000</v>
      </c>
      <c r="K168" s="9">
        <f>I475-J168</f>
        <v>-28000</v>
      </c>
      <c r="L168" s="4" t="s">
        <v>624</v>
      </c>
      <c r="M168" s="10">
        <v>25000</v>
      </c>
      <c r="N168" s="10">
        <f>Tabla2456789[[#This Row],[MONTO DE COMPRA]]/1.19</f>
        <v>21008.403361344539</v>
      </c>
      <c r="O168" s="10">
        <f>Tabla2456789[[#This Row],[Columna1]]*19%</f>
        <v>3991.5966386554624</v>
      </c>
      <c r="P168" s="10">
        <v>25000</v>
      </c>
      <c r="Q168" s="10">
        <f>Tabla2456789[[#This Row],[VENTA ]]/1.19</f>
        <v>21008.403361344539</v>
      </c>
      <c r="R168" s="10">
        <f>Tabla2456789[[#This Row],[Columna2]]*19%</f>
        <v>3991.5966386554624</v>
      </c>
      <c r="S168" s="10">
        <f>Tabla2456789[[#This Row],[IVA VENTA ]]-Tabla2456789[[#This Row],[IV COMPRA]]</f>
        <v>0</v>
      </c>
      <c r="T168" s="10">
        <f>(Tabla2456789[[#This Row],[VENTA ]]-(Tabla2456789[[#This Row],[MONTO DE COMPRA]]+Tabla2456789[[#This Row],[DIFERENCIA IVA ]]))</f>
        <v>0</v>
      </c>
      <c r="U168" s="17"/>
    </row>
    <row r="169" spans="1:21" s="15" customFormat="1" ht="20.100000000000001" customHeight="1" x14ac:dyDescent="0.25">
      <c r="A169" s="13">
        <v>44973</v>
      </c>
      <c r="B169" s="14"/>
      <c r="C169" s="14" t="s">
        <v>620</v>
      </c>
      <c r="D169" s="14" t="s">
        <v>625</v>
      </c>
      <c r="E169" s="15" t="s">
        <v>621</v>
      </c>
      <c r="F169" s="15" t="s">
        <v>19</v>
      </c>
      <c r="G169" s="14" t="s">
        <v>314</v>
      </c>
      <c r="H169" s="16" t="s">
        <v>622</v>
      </c>
      <c r="I169" s="73">
        <v>180000</v>
      </c>
      <c r="J169" s="17">
        <f>IF(G:G="FRENOS",(Tabla2456789[[#This Row],[TOTAL FACTURA]]*0.8),(Tabla2456789[[#This Row],[TOTAL FACTURA]]*0.5))</f>
        <v>144000</v>
      </c>
      <c r="K169" s="9">
        <f>I476-J169</f>
        <v>-144000</v>
      </c>
      <c r="L169" s="4"/>
      <c r="M169" s="10"/>
      <c r="N169" s="10">
        <f>Tabla2456789[[#This Row],[MONTO DE COMPRA]]/1.19</f>
        <v>0</v>
      </c>
      <c r="O169" s="10">
        <f>Tabla2456789[[#This Row],[Columna1]]*19%</f>
        <v>0</v>
      </c>
      <c r="P169" s="10"/>
      <c r="Q169" s="10">
        <f>Tabla2456789[[#This Row],[VENTA ]]/1.19</f>
        <v>0</v>
      </c>
      <c r="R169" s="10">
        <f>Tabla2456789[[#This Row],[Columna2]]*19%</f>
        <v>0</v>
      </c>
      <c r="S169" s="10">
        <f>Tabla2456789[[#This Row],[IVA VENTA ]]-Tabla2456789[[#This Row],[IV COMPRA]]</f>
        <v>0</v>
      </c>
      <c r="T169" s="10">
        <f>(Tabla2456789[[#This Row],[VENTA ]]-(Tabla2456789[[#This Row],[MONTO DE COMPRA]]+Tabla2456789[[#This Row],[DIFERENCIA IVA ]]))</f>
        <v>0</v>
      </c>
      <c r="U169" s="17"/>
    </row>
    <row r="170" spans="1:21" s="15" customFormat="1" ht="20.100000000000001" customHeight="1" x14ac:dyDescent="0.25">
      <c r="A170" s="13">
        <v>44974</v>
      </c>
      <c r="B170" s="14"/>
      <c r="C170" s="14" t="s">
        <v>626</v>
      </c>
      <c r="D170" s="14" t="s">
        <v>627</v>
      </c>
      <c r="E170" s="15" t="s">
        <v>596</v>
      </c>
      <c r="F170" s="15" t="s">
        <v>19</v>
      </c>
      <c r="G170" s="14" t="s">
        <v>314</v>
      </c>
      <c r="H170" s="18" t="s">
        <v>628</v>
      </c>
      <c r="I170" s="73">
        <v>50000</v>
      </c>
      <c r="J170" s="17">
        <f>IF(G:G="FRENOS",(Tabla2456789[[#This Row],[TOTAL FACTURA]]*0.8),(Tabla2456789[[#This Row],[TOTAL FACTURA]]*0.5))</f>
        <v>40000</v>
      </c>
      <c r="K170" s="9">
        <f>I477-J170</f>
        <v>-40000</v>
      </c>
      <c r="L170" s="4"/>
      <c r="M170" s="10"/>
      <c r="N170" s="10">
        <f>Tabla2456789[[#This Row],[MONTO DE COMPRA]]/1.19</f>
        <v>0</v>
      </c>
      <c r="O170" s="10">
        <f>Tabla2456789[[#This Row],[Columna1]]*19%</f>
        <v>0</v>
      </c>
      <c r="P170" s="10"/>
      <c r="Q170" s="10">
        <f>Tabla2456789[[#This Row],[VENTA ]]/1.19</f>
        <v>0</v>
      </c>
      <c r="R170" s="10">
        <f>Tabla2456789[[#This Row],[Columna2]]*19%</f>
        <v>0</v>
      </c>
      <c r="S170" s="10">
        <f>Tabla2456789[[#This Row],[IVA VENTA ]]-Tabla2456789[[#This Row],[IV COMPRA]]</f>
        <v>0</v>
      </c>
      <c r="T170" s="10">
        <f>(Tabla2456789[[#This Row],[VENTA ]]-(Tabla2456789[[#This Row],[MONTO DE COMPRA]]+Tabla2456789[[#This Row],[DIFERENCIA IVA ]]))</f>
        <v>0</v>
      </c>
      <c r="U170" s="19"/>
    </row>
    <row r="171" spans="1:21" s="15" customFormat="1" ht="20.100000000000001" customHeight="1" x14ac:dyDescent="0.25">
      <c r="A171" s="13">
        <v>44974</v>
      </c>
      <c r="B171" s="14"/>
      <c r="C171" s="14" t="s">
        <v>637</v>
      </c>
      <c r="D171" s="14" t="s">
        <v>627</v>
      </c>
      <c r="E171" s="15" t="s">
        <v>596</v>
      </c>
      <c r="F171" s="15" t="s">
        <v>35</v>
      </c>
      <c r="G171" s="14" t="s">
        <v>224</v>
      </c>
      <c r="H171" s="18" t="s">
        <v>629</v>
      </c>
      <c r="I171" s="17">
        <v>170000</v>
      </c>
      <c r="J171" s="17">
        <f>IF(G:G="FRENOS",(Tabla2456789[[#This Row],[TOTAL FACTURA]]*0.8),(Tabla2456789[[#This Row],[TOTAL FACTURA]]*0.5))</f>
        <v>85000</v>
      </c>
      <c r="K171" s="9">
        <f>I478-J171</f>
        <v>-85000</v>
      </c>
      <c r="L171" s="4" t="s">
        <v>630</v>
      </c>
      <c r="M171" s="10">
        <v>310000</v>
      </c>
      <c r="N171" s="10">
        <f>Tabla2456789[[#This Row],[MONTO DE COMPRA]]/1.19</f>
        <v>260504.20168067227</v>
      </c>
      <c r="O171" s="10">
        <f>Tabla2456789[[#This Row],[Columna1]]*19%</f>
        <v>49495.798319327732</v>
      </c>
      <c r="P171" s="10">
        <v>380000</v>
      </c>
      <c r="Q171" s="10">
        <f>Tabla2456789[[#This Row],[VENTA ]]/1.19</f>
        <v>319327.731092437</v>
      </c>
      <c r="R171" s="10">
        <f>Tabla2456789[[#This Row],[Columna2]]*19%</f>
        <v>60672.268907563033</v>
      </c>
      <c r="S171" s="10">
        <f>Tabla2456789[[#This Row],[IVA VENTA ]]-Tabla2456789[[#This Row],[IV COMPRA]]</f>
        <v>11176.470588235301</v>
      </c>
      <c r="T171" s="10">
        <f>(Tabla2456789[[#This Row],[VENTA ]]-(Tabla2456789[[#This Row],[MONTO DE COMPRA]]+Tabla2456789[[#This Row],[DIFERENCIA IVA ]]))</f>
        <v>58823.529411764699</v>
      </c>
      <c r="U171" s="19"/>
    </row>
    <row r="172" spans="1:21" s="15" customFormat="1" ht="31.5" customHeight="1" x14ac:dyDescent="0.25">
      <c r="A172" s="13">
        <v>44974</v>
      </c>
      <c r="B172" s="14"/>
      <c r="C172" s="14" t="s">
        <v>649</v>
      </c>
      <c r="D172" s="14" t="s">
        <v>651</v>
      </c>
      <c r="E172" s="15" t="s">
        <v>650</v>
      </c>
      <c r="F172" s="15" t="s">
        <v>35</v>
      </c>
      <c r="G172" s="14" t="s">
        <v>224</v>
      </c>
      <c r="H172" s="16" t="s">
        <v>652</v>
      </c>
      <c r="I172" s="20">
        <v>80000</v>
      </c>
      <c r="J172" s="17">
        <v>80000</v>
      </c>
      <c r="K172" s="30">
        <f>I172-J172</f>
        <v>0</v>
      </c>
      <c r="L172" s="4"/>
      <c r="M172" s="10"/>
      <c r="N172" s="10">
        <f>Tabla2456789[[#This Row],[MONTO DE COMPRA]]/1.19</f>
        <v>0</v>
      </c>
      <c r="O172" s="10">
        <f>Tabla2456789[[#This Row],[Columna1]]*19%</f>
        <v>0</v>
      </c>
      <c r="P172" s="10"/>
      <c r="Q172" s="10">
        <f>Tabla2456789[[#This Row],[VENTA ]]/1.19</f>
        <v>0</v>
      </c>
      <c r="R172" s="10">
        <f>Tabla2456789[[#This Row],[Columna2]]*19%</f>
        <v>0</v>
      </c>
      <c r="S172" s="10">
        <f>Tabla2456789[[#This Row],[IVA VENTA ]]-Tabla2456789[[#This Row],[IV COMPRA]]</f>
        <v>0</v>
      </c>
      <c r="T172" s="10">
        <f>(Tabla2456789[[#This Row],[VENTA ]]-(Tabla2456789[[#This Row],[MONTO DE COMPRA]]+Tabla2456789[[#This Row],[DIFERENCIA IVA ]]))</f>
        <v>0</v>
      </c>
      <c r="U172" s="19"/>
    </row>
    <row r="173" spans="1:21" s="15" customFormat="1" ht="20.100000000000001" customHeight="1" x14ac:dyDescent="0.25">
      <c r="A173" s="13">
        <v>44974</v>
      </c>
      <c r="B173" s="14"/>
      <c r="C173" s="14" t="s">
        <v>631</v>
      </c>
      <c r="D173" s="14" t="s">
        <v>632</v>
      </c>
      <c r="E173" s="15" t="s">
        <v>445</v>
      </c>
      <c r="F173" s="15" t="s">
        <v>19</v>
      </c>
      <c r="G173" s="14" t="s">
        <v>314</v>
      </c>
      <c r="H173" s="18" t="s">
        <v>644</v>
      </c>
      <c r="I173" s="73">
        <v>40000</v>
      </c>
      <c r="J173" s="17">
        <f>IF(G:G="FRENOS",(Tabla2456789[[#This Row],[TOTAL FACTURA]]*0.8),(Tabla2456789[[#This Row],[TOTAL FACTURA]]*0.5))</f>
        <v>32000</v>
      </c>
      <c r="K173" s="9">
        <f t="shared" ref="K173:K192" si="5">I479-J173</f>
        <v>-32000</v>
      </c>
      <c r="L173" s="4" t="s">
        <v>633</v>
      </c>
      <c r="M173" s="10">
        <v>110000</v>
      </c>
      <c r="N173" s="10">
        <f>Tabla2456789[[#This Row],[MONTO DE COMPRA]]/1.19</f>
        <v>92436.97478991597</v>
      </c>
      <c r="O173" s="10">
        <f>Tabla2456789[[#This Row],[Columna1]]*19%</f>
        <v>17563.025210084033</v>
      </c>
      <c r="P173" s="10">
        <v>140000</v>
      </c>
      <c r="Q173" s="10">
        <f>Tabla2456789[[#This Row],[VENTA ]]/1.19</f>
        <v>117647.05882352941</v>
      </c>
      <c r="R173" s="10">
        <f>Tabla2456789[[#This Row],[Columna2]]*19%</f>
        <v>22352.941176470587</v>
      </c>
      <c r="S173" s="10">
        <f>Tabla2456789[[#This Row],[IVA VENTA ]]-Tabla2456789[[#This Row],[IV COMPRA]]</f>
        <v>4789.9159663865539</v>
      </c>
      <c r="T173" s="10">
        <f>(Tabla2456789[[#This Row],[VENTA ]]-(Tabla2456789[[#This Row],[MONTO DE COMPRA]]+Tabla2456789[[#This Row],[DIFERENCIA IVA ]]))</f>
        <v>25210.084033613442</v>
      </c>
      <c r="U173" s="19"/>
    </row>
    <row r="174" spans="1:21" s="15" customFormat="1" ht="20.100000000000001" customHeight="1" x14ac:dyDescent="0.25">
      <c r="A174" s="13">
        <v>44974</v>
      </c>
      <c r="B174" s="14"/>
      <c r="C174" s="14"/>
      <c r="D174" s="14" t="s">
        <v>634</v>
      </c>
      <c r="E174" s="15" t="s">
        <v>274</v>
      </c>
      <c r="F174" s="15" t="s">
        <v>26</v>
      </c>
      <c r="G174" s="14" t="s">
        <v>314</v>
      </c>
      <c r="H174" s="18" t="s">
        <v>635</v>
      </c>
      <c r="I174" s="17">
        <v>10000</v>
      </c>
      <c r="J174" s="19">
        <f>IF(G:G="FRENOS",(Tabla2456789[[#This Row],[TOTAL FACTURA]]*0.8),(Tabla2456789[[#This Row],[TOTAL FACTURA]]*0.5))</f>
        <v>8000</v>
      </c>
      <c r="K174" s="9">
        <f t="shared" si="5"/>
        <v>-8000</v>
      </c>
      <c r="L174" s="4"/>
      <c r="M174" s="10"/>
      <c r="N174" s="10">
        <f>Tabla2456789[[#This Row],[MONTO DE COMPRA]]/1.19</f>
        <v>0</v>
      </c>
      <c r="O174" s="10">
        <f>Tabla2456789[[#This Row],[Columna1]]*19%</f>
        <v>0</v>
      </c>
      <c r="P174" s="10"/>
      <c r="Q174" s="10">
        <f>Tabla2456789[[#This Row],[VENTA ]]/1.19</f>
        <v>0</v>
      </c>
      <c r="R174" s="10">
        <f>Tabla2456789[[#This Row],[Columna2]]*19%</f>
        <v>0</v>
      </c>
      <c r="S174" s="10">
        <f>Tabla2456789[[#This Row],[IVA VENTA ]]-Tabla2456789[[#This Row],[IV COMPRA]]</f>
        <v>0</v>
      </c>
      <c r="T174" s="10">
        <f>(Tabla2456789[[#This Row],[VENTA ]]-(Tabla2456789[[#This Row],[MONTO DE COMPRA]]+Tabla2456789[[#This Row],[DIFERENCIA IVA ]]))</f>
        <v>0</v>
      </c>
      <c r="U174" s="19"/>
    </row>
    <row r="175" spans="1:21" s="15" customFormat="1" ht="20.100000000000001" customHeight="1" x14ac:dyDescent="0.25">
      <c r="A175" s="13">
        <v>44974</v>
      </c>
      <c r="B175" s="14"/>
      <c r="C175" s="14"/>
      <c r="D175" s="14" t="s">
        <v>636</v>
      </c>
      <c r="E175" s="15" t="s">
        <v>359</v>
      </c>
      <c r="F175" s="15" t="s">
        <v>19</v>
      </c>
      <c r="G175" s="14" t="s">
        <v>314</v>
      </c>
      <c r="H175" s="18" t="s">
        <v>643</v>
      </c>
      <c r="I175" s="73">
        <v>40000</v>
      </c>
      <c r="J175" s="17">
        <f>IF(G:G="FRENOS",(Tabla2456789[[#This Row],[TOTAL FACTURA]]*0.8),(Tabla2456789[[#This Row],[TOTAL FACTURA]]*0.5))</f>
        <v>32000</v>
      </c>
      <c r="K175" s="9">
        <f t="shared" si="5"/>
        <v>-32000</v>
      </c>
      <c r="L175" s="4"/>
      <c r="M175" s="10"/>
      <c r="N175" s="10">
        <f>Tabla2456789[[#This Row],[MONTO DE COMPRA]]/1.19</f>
        <v>0</v>
      </c>
      <c r="O175" s="10">
        <f>Tabla2456789[[#This Row],[Columna1]]*19%</f>
        <v>0</v>
      </c>
      <c r="P175" s="10"/>
      <c r="Q175" s="10">
        <f>Tabla2456789[[#This Row],[VENTA ]]/1.19</f>
        <v>0</v>
      </c>
      <c r="R175" s="10">
        <f>Tabla2456789[[#This Row],[Columna2]]*19%</f>
        <v>0</v>
      </c>
      <c r="S175" s="10">
        <f>Tabla2456789[[#This Row],[IVA VENTA ]]-Tabla2456789[[#This Row],[IV COMPRA]]</f>
        <v>0</v>
      </c>
      <c r="T175" s="10">
        <f>(Tabla2456789[[#This Row],[VENTA ]]-(Tabla2456789[[#This Row],[MONTO DE COMPRA]]+Tabla2456789[[#This Row],[DIFERENCIA IVA ]]))</f>
        <v>0</v>
      </c>
      <c r="U175" s="19"/>
    </row>
    <row r="176" spans="1:21" s="15" customFormat="1" ht="20.100000000000001" customHeight="1" x14ac:dyDescent="0.25">
      <c r="A176" s="13">
        <v>44975</v>
      </c>
      <c r="B176" s="14"/>
      <c r="C176" s="14" t="s">
        <v>626</v>
      </c>
      <c r="D176" s="14" t="s">
        <v>638</v>
      </c>
      <c r="E176" s="15" t="s">
        <v>175</v>
      </c>
      <c r="F176" s="15" t="s">
        <v>19</v>
      </c>
      <c r="G176" s="14" t="s">
        <v>314</v>
      </c>
      <c r="H176" s="18" t="s">
        <v>639</v>
      </c>
      <c r="I176" s="73">
        <v>160000</v>
      </c>
      <c r="J176" s="73">
        <f>IF(G:G="FRENOS",(Tabla2456789[[#This Row],[TOTAL FACTURA]]*0.8),(Tabla2456789[[#This Row],[TOTAL FACTURA]]*0.5))</f>
        <v>128000</v>
      </c>
      <c r="K176" s="9">
        <f t="shared" si="5"/>
        <v>-128000</v>
      </c>
      <c r="L176" s="4"/>
      <c r="M176" s="10"/>
      <c r="N176" s="10">
        <f>Tabla2456789[[#This Row],[MONTO DE COMPRA]]/1.19</f>
        <v>0</v>
      </c>
      <c r="O176" s="10">
        <f>Tabla2456789[[#This Row],[Columna1]]*19%</f>
        <v>0</v>
      </c>
      <c r="P176" s="10"/>
      <c r="Q176" s="10">
        <f>Tabla2456789[[#This Row],[VENTA ]]/1.19</f>
        <v>0</v>
      </c>
      <c r="R176" s="10">
        <f>Tabla2456789[[#This Row],[Columna2]]*19%</f>
        <v>0</v>
      </c>
      <c r="S176" s="10">
        <f>Tabla2456789[[#This Row],[IVA VENTA ]]-Tabla2456789[[#This Row],[IV COMPRA]]</f>
        <v>0</v>
      </c>
      <c r="T176" s="10">
        <f>(Tabla2456789[[#This Row],[VENTA ]]-(Tabla2456789[[#This Row],[MONTO DE COMPRA]]+Tabla2456789[[#This Row],[DIFERENCIA IVA ]]))</f>
        <v>0</v>
      </c>
      <c r="U176" s="19"/>
    </row>
    <row r="177" spans="1:21" s="15" customFormat="1" ht="20.100000000000001" customHeight="1" x14ac:dyDescent="0.25">
      <c r="A177" s="13">
        <v>44975</v>
      </c>
      <c r="B177" s="14"/>
      <c r="C177" s="14" t="s">
        <v>626</v>
      </c>
      <c r="D177" s="14" t="s">
        <v>638</v>
      </c>
      <c r="E177" s="15" t="s">
        <v>175</v>
      </c>
      <c r="F177" s="15" t="s">
        <v>35</v>
      </c>
      <c r="G177" s="14" t="s">
        <v>224</v>
      </c>
      <c r="H177" s="18" t="s">
        <v>662</v>
      </c>
      <c r="I177" s="17">
        <v>80000</v>
      </c>
      <c r="J177" s="19">
        <v>160000</v>
      </c>
      <c r="K177" s="9">
        <f t="shared" si="5"/>
        <v>-160000</v>
      </c>
      <c r="L177" s="4"/>
      <c r="M177" s="10"/>
      <c r="N177" s="10">
        <f>Tabla2456789[[#This Row],[MONTO DE COMPRA]]/1.19</f>
        <v>0</v>
      </c>
      <c r="O177" s="10">
        <f>Tabla2456789[[#This Row],[Columna1]]*19%</f>
        <v>0</v>
      </c>
      <c r="P177" s="10"/>
      <c r="Q177" s="10">
        <f>Tabla2456789[[#This Row],[VENTA ]]/1.19</f>
        <v>0</v>
      </c>
      <c r="R177" s="10">
        <f>Tabla2456789[[#This Row],[Columna2]]*19%</f>
        <v>0</v>
      </c>
      <c r="S177" s="10">
        <f>Tabla2456789[[#This Row],[IVA VENTA ]]-Tabla2456789[[#This Row],[IV COMPRA]]</f>
        <v>0</v>
      </c>
      <c r="T177" s="10">
        <f>(Tabla2456789[[#This Row],[VENTA ]]-(Tabla2456789[[#This Row],[MONTO DE COMPRA]]+Tabla2456789[[#This Row],[DIFERENCIA IVA ]]))</f>
        <v>0</v>
      </c>
      <c r="U177" s="19"/>
    </row>
    <row r="178" spans="1:21" s="15" customFormat="1" ht="20.100000000000001" customHeight="1" x14ac:dyDescent="0.25">
      <c r="A178" s="13">
        <v>44977</v>
      </c>
      <c r="B178" s="14"/>
      <c r="C178" s="14"/>
      <c r="D178" s="14" t="s">
        <v>663</v>
      </c>
      <c r="E178" s="15" t="s">
        <v>28</v>
      </c>
      <c r="F178" s="15" t="s">
        <v>19</v>
      </c>
      <c r="G178" s="14" t="s">
        <v>314</v>
      </c>
      <c r="H178" s="16" t="s">
        <v>664</v>
      </c>
      <c r="I178" s="73">
        <v>30000</v>
      </c>
      <c r="J178" s="17">
        <f>IF(G:G="FRENOS",(Tabla2456789[[#This Row],[TOTAL FACTURA]]*0.8),(Tabla2456789[[#This Row],[TOTAL FACTURA]]*0.5))</f>
        <v>24000</v>
      </c>
      <c r="K178" s="9">
        <f t="shared" si="5"/>
        <v>-24000</v>
      </c>
      <c r="L178" s="4"/>
      <c r="M178" s="10"/>
      <c r="N178" s="10">
        <f>Tabla2456789[[#This Row],[MONTO DE COMPRA]]/1.19</f>
        <v>0</v>
      </c>
      <c r="O178" s="10">
        <f>Tabla2456789[[#This Row],[Columna1]]*19%</f>
        <v>0</v>
      </c>
      <c r="P178" s="10"/>
      <c r="Q178" s="10">
        <f>Tabla2456789[[#This Row],[VENTA ]]/1.19</f>
        <v>0</v>
      </c>
      <c r="R178" s="10">
        <f>Tabla2456789[[#This Row],[Columna2]]*19%</f>
        <v>0</v>
      </c>
      <c r="S178" s="10">
        <f>Tabla2456789[[#This Row],[IVA VENTA ]]-Tabla2456789[[#This Row],[IV COMPRA]]</f>
        <v>0</v>
      </c>
      <c r="T178" s="10">
        <f>(Tabla2456789[[#This Row],[VENTA ]]-(Tabla2456789[[#This Row],[MONTO DE COMPRA]]+Tabla2456789[[#This Row],[DIFERENCIA IVA ]]))</f>
        <v>0</v>
      </c>
      <c r="U178" s="19"/>
    </row>
    <row r="179" spans="1:21" s="15" customFormat="1" ht="20.100000000000001" customHeight="1" x14ac:dyDescent="0.25">
      <c r="A179" s="13">
        <v>44977</v>
      </c>
      <c r="B179" s="14"/>
      <c r="C179" s="14" t="s">
        <v>665</v>
      </c>
      <c r="D179" s="14" t="s">
        <v>666</v>
      </c>
      <c r="E179" s="15" t="s">
        <v>383</v>
      </c>
      <c r="F179" s="15" t="s">
        <v>19</v>
      </c>
      <c r="G179" s="14" t="s">
        <v>314</v>
      </c>
      <c r="H179" s="18" t="s">
        <v>667</v>
      </c>
      <c r="I179" s="73">
        <v>60000</v>
      </c>
      <c r="J179" s="19">
        <f>IF(G:G="FRENOS",(Tabla2456789[[#This Row],[TOTAL FACTURA]]*0.8),(Tabla2456789[[#This Row],[TOTAL FACTURA]]*0.5))</f>
        <v>48000</v>
      </c>
      <c r="K179" s="9">
        <f t="shared" si="5"/>
        <v>-48000</v>
      </c>
      <c r="L179" s="4" t="s">
        <v>75</v>
      </c>
      <c r="M179" s="10">
        <v>104000</v>
      </c>
      <c r="N179" s="10">
        <f>Tabla2456789[[#This Row],[MONTO DE COMPRA]]/1.19</f>
        <v>87394.957983193279</v>
      </c>
      <c r="O179" s="10">
        <f>Tabla2456789[[#This Row],[Columna1]]*19%</f>
        <v>16605.042016806725</v>
      </c>
      <c r="P179" s="10">
        <v>140000</v>
      </c>
      <c r="Q179" s="10">
        <f>Tabla2456789[[#This Row],[VENTA ]]/1.19</f>
        <v>117647.05882352941</v>
      </c>
      <c r="R179" s="10">
        <f>Tabla2456789[[#This Row],[Columna2]]*19%</f>
        <v>22352.941176470587</v>
      </c>
      <c r="S179" s="10">
        <f>Tabla2456789[[#This Row],[IVA VENTA ]]-Tabla2456789[[#This Row],[IV COMPRA]]</f>
        <v>5747.8991596638625</v>
      </c>
      <c r="T179" s="10">
        <f>(Tabla2456789[[#This Row],[VENTA ]]-(Tabla2456789[[#This Row],[MONTO DE COMPRA]]+Tabla2456789[[#This Row],[DIFERENCIA IVA ]]))</f>
        <v>30252.100840336134</v>
      </c>
      <c r="U179" s="19"/>
    </row>
    <row r="180" spans="1:21" s="15" customFormat="1" ht="20.100000000000001" customHeight="1" x14ac:dyDescent="0.25">
      <c r="A180" s="13">
        <v>44977</v>
      </c>
      <c r="B180" s="14"/>
      <c r="C180" s="14"/>
      <c r="D180" s="14" t="s">
        <v>668</v>
      </c>
      <c r="E180" s="15" t="s">
        <v>153</v>
      </c>
      <c r="F180" s="15" t="s">
        <v>19</v>
      </c>
      <c r="G180" s="14" t="s">
        <v>224</v>
      </c>
      <c r="H180" s="18" t="s">
        <v>669</v>
      </c>
      <c r="I180" s="73">
        <v>120000</v>
      </c>
      <c r="J180" s="19">
        <f>IF(G:G="FRENOS",(Tabla2456789[[#This Row],[TOTAL FACTURA]]*0.8),(Tabla2456789[[#This Row],[TOTAL FACTURA]]*0.5))</f>
        <v>60000</v>
      </c>
      <c r="K180" s="9">
        <f t="shared" si="5"/>
        <v>-60000</v>
      </c>
      <c r="L180" s="4"/>
      <c r="M180" s="10"/>
      <c r="N180" s="10">
        <f>Tabla2456789[[#This Row],[MONTO DE COMPRA]]/1.19</f>
        <v>0</v>
      </c>
      <c r="O180" s="10">
        <f>Tabla2456789[[#This Row],[Columna1]]*19%</f>
        <v>0</v>
      </c>
      <c r="P180" s="10"/>
      <c r="Q180" s="10">
        <f>Tabla2456789[[#This Row],[VENTA ]]/1.19</f>
        <v>0</v>
      </c>
      <c r="R180" s="10">
        <f>Tabla2456789[[#This Row],[Columna2]]*19%</f>
        <v>0</v>
      </c>
      <c r="S180" s="10">
        <f>Tabla2456789[[#This Row],[IVA VENTA ]]-Tabla2456789[[#This Row],[IV COMPRA]]</f>
        <v>0</v>
      </c>
      <c r="T180" s="10">
        <f>(Tabla2456789[[#This Row],[VENTA ]]-(Tabla2456789[[#This Row],[MONTO DE COMPRA]]+Tabla2456789[[#This Row],[DIFERENCIA IVA ]]))</f>
        <v>0</v>
      </c>
      <c r="U180" s="19"/>
    </row>
    <row r="181" spans="1:21" s="15" customFormat="1" ht="20.100000000000001" customHeight="1" x14ac:dyDescent="0.25">
      <c r="A181" s="13">
        <v>44977</v>
      </c>
      <c r="B181" s="14"/>
      <c r="C181" s="14" t="s">
        <v>670</v>
      </c>
      <c r="D181" s="14" t="s">
        <v>671</v>
      </c>
      <c r="E181" s="15" t="s">
        <v>672</v>
      </c>
      <c r="F181" s="15" t="s">
        <v>19</v>
      </c>
      <c r="G181" s="14" t="s">
        <v>314</v>
      </c>
      <c r="H181" s="18" t="s">
        <v>137</v>
      </c>
      <c r="I181" s="73">
        <v>60000</v>
      </c>
      <c r="J181" s="19">
        <f>IF(G:G="FRENOS",(Tabla2456789[[#This Row],[TOTAL FACTURA]]*0.8),(Tabla2456789[[#This Row],[TOTAL FACTURA]]*0.5))</f>
        <v>48000</v>
      </c>
      <c r="K181" s="9">
        <f t="shared" si="5"/>
        <v>-48000</v>
      </c>
      <c r="L181" s="4"/>
      <c r="M181" s="10"/>
      <c r="N181" s="10">
        <f>Tabla2456789[[#This Row],[MONTO DE COMPRA]]/1.19</f>
        <v>0</v>
      </c>
      <c r="O181" s="10">
        <f>Tabla2456789[[#This Row],[Columna1]]*19%</f>
        <v>0</v>
      </c>
      <c r="P181" s="10"/>
      <c r="Q181" s="10">
        <f>Tabla2456789[[#This Row],[VENTA ]]/1.19</f>
        <v>0</v>
      </c>
      <c r="R181" s="10">
        <f>Tabla2456789[[#This Row],[Columna2]]*19%</f>
        <v>0</v>
      </c>
      <c r="S181" s="10">
        <f>Tabla2456789[[#This Row],[IVA VENTA ]]-Tabla2456789[[#This Row],[IV COMPRA]]</f>
        <v>0</v>
      </c>
      <c r="T181" s="10">
        <f>(Tabla2456789[[#This Row],[VENTA ]]-(Tabla2456789[[#This Row],[MONTO DE COMPRA]]+Tabla2456789[[#This Row],[DIFERENCIA IVA ]]))</f>
        <v>0</v>
      </c>
      <c r="U181" s="19"/>
    </row>
    <row r="182" spans="1:21" s="15" customFormat="1" ht="20.100000000000001" customHeight="1" x14ac:dyDescent="0.25">
      <c r="A182" s="13">
        <v>44977</v>
      </c>
      <c r="B182" s="14"/>
      <c r="C182" s="14"/>
      <c r="D182" s="14" t="s">
        <v>673</v>
      </c>
      <c r="E182" s="15" t="s">
        <v>674</v>
      </c>
      <c r="F182" s="15" t="s">
        <v>19</v>
      </c>
      <c r="G182" s="14" t="s">
        <v>314</v>
      </c>
      <c r="H182" s="18" t="s">
        <v>675</v>
      </c>
      <c r="I182" s="73">
        <v>60000</v>
      </c>
      <c r="J182" s="19">
        <f>IF(G:G="FRENOS",(Tabla2456789[[#This Row],[TOTAL FACTURA]]*0.8),(Tabla2456789[[#This Row],[TOTAL FACTURA]]*0.5))</f>
        <v>48000</v>
      </c>
      <c r="K182" s="9">
        <f t="shared" si="5"/>
        <v>-48000</v>
      </c>
      <c r="L182" s="4" t="s">
        <v>290</v>
      </c>
      <c r="M182" s="10">
        <v>15000</v>
      </c>
      <c r="N182" s="10">
        <f>Tabla2456789[[#This Row],[MONTO DE COMPRA]]/1.19</f>
        <v>12605.042016806723</v>
      </c>
      <c r="O182" s="10">
        <f>Tabla2456789[[#This Row],[Columna1]]*19%</f>
        <v>2394.9579831932774</v>
      </c>
      <c r="P182" s="10">
        <v>15000</v>
      </c>
      <c r="Q182" s="10">
        <f>Tabla2456789[[#This Row],[VENTA ]]/1.19</f>
        <v>12605.042016806723</v>
      </c>
      <c r="R182" s="10">
        <f>Tabla2456789[[#This Row],[Columna2]]*19%</f>
        <v>2394.9579831932774</v>
      </c>
      <c r="S182" s="10">
        <f>Tabla2456789[[#This Row],[IVA VENTA ]]-Tabla2456789[[#This Row],[IV COMPRA]]</f>
        <v>0</v>
      </c>
      <c r="T182" s="10">
        <f>(Tabla2456789[[#This Row],[VENTA ]]-(Tabla2456789[[#This Row],[MONTO DE COMPRA]]+Tabla2456789[[#This Row],[DIFERENCIA IVA ]]))</f>
        <v>0</v>
      </c>
      <c r="U182" s="19"/>
    </row>
    <row r="183" spans="1:21" s="15" customFormat="1" ht="20.100000000000001" customHeight="1" x14ac:dyDescent="0.25">
      <c r="A183" s="13">
        <v>44978</v>
      </c>
      <c r="B183" s="14"/>
      <c r="C183" s="14" t="s">
        <v>676</v>
      </c>
      <c r="D183" s="14" t="s">
        <v>677</v>
      </c>
      <c r="E183" s="15" t="s">
        <v>678</v>
      </c>
      <c r="F183" s="15" t="s">
        <v>19</v>
      </c>
      <c r="G183" s="14" t="s">
        <v>314</v>
      </c>
      <c r="H183" s="18" t="s">
        <v>679</v>
      </c>
      <c r="I183" s="73">
        <v>80000</v>
      </c>
      <c r="J183" s="19">
        <f>IF(G:G="FRENOS",(Tabla2456789[[#This Row],[TOTAL FACTURA]]*0.8),(Tabla2456789[[#This Row],[TOTAL FACTURA]]*0.5))</f>
        <v>64000</v>
      </c>
      <c r="K183" s="9">
        <f t="shared" si="5"/>
        <v>-64000</v>
      </c>
      <c r="L183" s="4" t="s">
        <v>680</v>
      </c>
      <c r="M183" s="10">
        <v>84000</v>
      </c>
      <c r="N183" s="10">
        <f>Tabla2456789[[#This Row],[MONTO DE COMPRA]]/1.19</f>
        <v>70588.23529411765</v>
      </c>
      <c r="O183" s="10">
        <f>Tabla2456789[[#This Row],[Columna1]]*19%</f>
        <v>13411.764705882353</v>
      </c>
      <c r="P183" s="10">
        <v>110000</v>
      </c>
      <c r="Q183" s="10">
        <f>Tabla2456789[[#This Row],[VENTA ]]/1.19</f>
        <v>92436.97478991597</v>
      </c>
      <c r="R183" s="10">
        <f>Tabla2456789[[#This Row],[Columna2]]*19%</f>
        <v>17563.025210084033</v>
      </c>
      <c r="S183" s="10">
        <f>Tabla2456789[[#This Row],[IVA VENTA ]]-Tabla2456789[[#This Row],[IV COMPRA]]</f>
        <v>4151.2605042016803</v>
      </c>
      <c r="T183" s="10">
        <f>(Tabla2456789[[#This Row],[VENTA ]]-(Tabla2456789[[#This Row],[MONTO DE COMPRA]]+Tabla2456789[[#This Row],[DIFERENCIA IVA ]]))</f>
        <v>21848.73949579832</v>
      </c>
      <c r="U183" s="19"/>
    </row>
    <row r="184" spans="1:21" s="15" customFormat="1" ht="20.100000000000001" customHeight="1" x14ac:dyDescent="0.25">
      <c r="A184" s="13">
        <v>44978</v>
      </c>
      <c r="B184" s="14"/>
      <c r="C184" s="14" t="s">
        <v>275</v>
      </c>
      <c r="D184" s="14" t="s">
        <v>681</v>
      </c>
      <c r="E184" s="15" t="s">
        <v>596</v>
      </c>
      <c r="F184" s="15" t="s">
        <v>35</v>
      </c>
      <c r="G184" s="14" t="s">
        <v>224</v>
      </c>
      <c r="H184" s="18" t="s">
        <v>682</v>
      </c>
      <c r="I184" s="17">
        <v>100000</v>
      </c>
      <c r="J184" s="19">
        <f>IF(G:G="FRENOS",(Tabla2456789[[#This Row],[TOTAL FACTURA]]*0.8),(Tabla2456789[[#This Row],[TOTAL FACTURA]]*0.5))</f>
        <v>50000</v>
      </c>
      <c r="K184" s="9">
        <f t="shared" si="5"/>
        <v>-50000</v>
      </c>
      <c r="L184" s="4" t="s">
        <v>683</v>
      </c>
      <c r="M184" s="10"/>
      <c r="N184" s="10">
        <f>Tabla2456789[[#This Row],[MONTO DE COMPRA]]/1.19</f>
        <v>0</v>
      </c>
      <c r="O184" s="10">
        <f>Tabla2456789[[#This Row],[Columna1]]*19%</f>
        <v>0</v>
      </c>
      <c r="P184" s="10"/>
      <c r="Q184" s="10">
        <f>Tabla2456789[[#This Row],[VENTA ]]/1.19</f>
        <v>0</v>
      </c>
      <c r="R184" s="10">
        <f>Tabla2456789[[#This Row],[Columna2]]*19%</f>
        <v>0</v>
      </c>
      <c r="S184" s="10">
        <f>Tabla2456789[[#This Row],[IVA VENTA ]]-Tabla2456789[[#This Row],[IV COMPRA]]</f>
        <v>0</v>
      </c>
      <c r="T184" s="10">
        <f>(Tabla2456789[[#This Row],[VENTA ]]-(Tabla2456789[[#This Row],[MONTO DE COMPRA]]+Tabla2456789[[#This Row],[DIFERENCIA IVA ]]))</f>
        <v>0</v>
      </c>
      <c r="U184" s="19"/>
    </row>
    <row r="185" spans="1:21" s="15" customFormat="1" ht="20.100000000000001" customHeight="1" x14ac:dyDescent="0.25">
      <c r="A185" s="13">
        <v>44978</v>
      </c>
      <c r="B185" s="14"/>
      <c r="C185" s="14" t="s">
        <v>684</v>
      </c>
      <c r="D185" s="14" t="s">
        <v>685</v>
      </c>
      <c r="E185" s="15" t="s">
        <v>175</v>
      </c>
      <c r="F185" s="15" t="s">
        <v>19</v>
      </c>
      <c r="G185" s="14" t="s">
        <v>314</v>
      </c>
      <c r="H185" s="18" t="s">
        <v>686</v>
      </c>
      <c r="I185" s="73">
        <v>70000</v>
      </c>
      <c r="J185" s="19">
        <f>IF(G:G="FRENOS",(Tabla2456789[[#This Row],[TOTAL FACTURA]]*0.8),(Tabla2456789[[#This Row],[TOTAL FACTURA]]*0.5))</f>
        <v>56000</v>
      </c>
      <c r="K185" s="9">
        <f t="shared" si="5"/>
        <v>-56000</v>
      </c>
      <c r="L185" s="4" t="s">
        <v>687</v>
      </c>
      <c r="M185" s="10">
        <v>55000</v>
      </c>
      <c r="N185" s="10">
        <f>Tabla2456789[[#This Row],[MONTO DE COMPRA]]/1.19</f>
        <v>46218.487394957985</v>
      </c>
      <c r="O185" s="10">
        <f>Tabla2456789[[#This Row],[Columna1]]*19%</f>
        <v>8781.5126050420167</v>
      </c>
      <c r="P185" s="10">
        <v>55000</v>
      </c>
      <c r="Q185" s="10">
        <f>Tabla2456789[[#This Row],[VENTA ]]/1.19</f>
        <v>46218.487394957985</v>
      </c>
      <c r="R185" s="10">
        <f>Tabla2456789[[#This Row],[Columna2]]*19%</f>
        <v>8781.5126050420167</v>
      </c>
      <c r="S185" s="10">
        <f>Tabla2456789[[#This Row],[IVA VENTA ]]-Tabla2456789[[#This Row],[IV COMPRA]]</f>
        <v>0</v>
      </c>
      <c r="T185" s="10">
        <f>(Tabla2456789[[#This Row],[VENTA ]]-(Tabla2456789[[#This Row],[MONTO DE COMPRA]]+Tabla2456789[[#This Row],[DIFERENCIA IVA ]]))</f>
        <v>0</v>
      </c>
      <c r="U185" s="19"/>
    </row>
    <row r="186" spans="1:21" s="15" customFormat="1" ht="20.100000000000001" customHeight="1" x14ac:dyDescent="0.25">
      <c r="A186" s="13">
        <v>44979</v>
      </c>
      <c r="B186" s="14"/>
      <c r="C186" s="14" t="s">
        <v>688</v>
      </c>
      <c r="D186" s="14" t="s">
        <v>689</v>
      </c>
      <c r="E186" s="15" t="s">
        <v>690</v>
      </c>
      <c r="F186" s="15" t="s">
        <v>26</v>
      </c>
      <c r="G186" s="14" t="s">
        <v>224</v>
      </c>
      <c r="H186" s="18" t="s">
        <v>691</v>
      </c>
      <c r="I186" s="17">
        <v>50000</v>
      </c>
      <c r="J186" s="19">
        <f>IF(G:G="FRENOS",(Tabla2456789[[#This Row],[TOTAL FACTURA]]*0.8),(Tabla2456789[[#This Row],[TOTAL FACTURA]]*0.5))</f>
        <v>25000</v>
      </c>
      <c r="K186" s="9">
        <f t="shared" si="5"/>
        <v>-25000</v>
      </c>
      <c r="L186" s="4"/>
      <c r="M186" s="10"/>
      <c r="N186" s="10">
        <f>Tabla2456789[[#This Row],[MONTO DE COMPRA]]/1.19</f>
        <v>0</v>
      </c>
      <c r="O186" s="10">
        <f>Tabla2456789[[#This Row],[Columna1]]*19%</f>
        <v>0</v>
      </c>
      <c r="P186" s="10"/>
      <c r="Q186" s="10">
        <f>Tabla2456789[[#This Row],[VENTA ]]/1.19</f>
        <v>0</v>
      </c>
      <c r="R186" s="10">
        <f>Tabla2456789[[#This Row],[Columna2]]*19%</f>
        <v>0</v>
      </c>
      <c r="S186" s="10">
        <f>Tabla2456789[[#This Row],[IVA VENTA ]]-Tabla2456789[[#This Row],[IV COMPRA]]</f>
        <v>0</v>
      </c>
      <c r="T186" s="10">
        <f>(Tabla2456789[[#This Row],[VENTA ]]-(Tabla2456789[[#This Row],[MONTO DE COMPRA]]+Tabla2456789[[#This Row],[DIFERENCIA IVA ]]))</f>
        <v>0</v>
      </c>
      <c r="U186" s="19"/>
    </row>
    <row r="187" spans="1:21" s="15" customFormat="1" ht="20.100000000000001" customHeight="1" x14ac:dyDescent="0.25">
      <c r="A187" s="13">
        <v>44979</v>
      </c>
      <c r="B187" s="14" t="s">
        <v>696</v>
      </c>
      <c r="C187" s="14" t="s">
        <v>692</v>
      </c>
      <c r="D187" s="14" t="s">
        <v>693</v>
      </c>
      <c r="E187" s="15" t="s">
        <v>694</v>
      </c>
      <c r="F187" s="15" t="s">
        <v>19</v>
      </c>
      <c r="G187" s="14" t="s">
        <v>224</v>
      </c>
      <c r="H187" s="18" t="s">
        <v>695</v>
      </c>
      <c r="I187" s="73">
        <v>120000</v>
      </c>
      <c r="J187" s="19">
        <f>IF(G:G="FRENOS",(Tabla2456789[[#This Row],[TOTAL FACTURA]]*0.8),(Tabla2456789[[#This Row],[TOTAL FACTURA]]*0.5))</f>
        <v>60000</v>
      </c>
      <c r="K187" s="9">
        <f t="shared" si="5"/>
        <v>-60000</v>
      </c>
      <c r="L187" s="4"/>
      <c r="M187" s="10"/>
      <c r="N187" s="10">
        <f>Tabla2456789[[#This Row],[MONTO DE COMPRA]]/1.19</f>
        <v>0</v>
      </c>
      <c r="O187" s="10">
        <f>Tabla2456789[[#This Row],[Columna1]]*19%</f>
        <v>0</v>
      </c>
      <c r="P187" s="10"/>
      <c r="Q187" s="10">
        <f>Tabla2456789[[#This Row],[VENTA ]]/1.19</f>
        <v>0</v>
      </c>
      <c r="R187" s="10">
        <f>Tabla2456789[[#This Row],[Columna2]]*19%</f>
        <v>0</v>
      </c>
      <c r="S187" s="10">
        <f>Tabla2456789[[#This Row],[IVA VENTA ]]-Tabla2456789[[#This Row],[IV COMPRA]]</f>
        <v>0</v>
      </c>
      <c r="T187" s="10">
        <f>(Tabla2456789[[#This Row],[VENTA ]]-(Tabla2456789[[#This Row],[MONTO DE COMPRA]]+Tabla2456789[[#This Row],[DIFERENCIA IVA ]]))</f>
        <v>0</v>
      </c>
      <c r="U187" s="19"/>
    </row>
    <row r="188" spans="1:21" s="15" customFormat="1" ht="20.100000000000001" customHeight="1" x14ac:dyDescent="0.25">
      <c r="A188" s="13">
        <v>44980</v>
      </c>
      <c r="B188" s="14" t="s">
        <v>700</v>
      </c>
      <c r="C188" s="14" t="s">
        <v>697</v>
      </c>
      <c r="D188" s="14" t="s">
        <v>698</v>
      </c>
      <c r="E188" s="15" t="s">
        <v>699</v>
      </c>
      <c r="F188" s="15" t="s">
        <v>19</v>
      </c>
      <c r="G188" s="14" t="s">
        <v>314</v>
      </c>
      <c r="H188" s="18" t="s">
        <v>137</v>
      </c>
      <c r="I188" s="73">
        <v>80000</v>
      </c>
      <c r="J188" s="19">
        <f>IF(G:G="FRENOS",(Tabla2456789[[#This Row],[TOTAL FACTURA]]*0.8),(Tabla2456789[[#This Row],[TOTAL FACTURA]]*0.5))</f>
        <v>64000</v>
      </c>
      <c r="K188" s="9">
        <f t="shared" si="5"/>
        <v>-64000</v>
      </c>
      <c r="L188" s="4"/>
      <c r="M188" s="10"/>
      <c r="N188" s="10">
        <f>Tabla2456789[[#This Row],[MONTO DE COMPRA]]/1.19</f>
        <v>0</v>
      </c>
      <c r="O188" s="10">
        <f>Tabla2456789[[#This Row],[Columna1]]*19%</f>
        <v>0</v>
      </c>
      <c r="P188" s="10"/>
      <c r="Q188" s="10">
        <f>Tabla2456789[[#This Row],[VENTA ]]/1.19</f>
        <v>0</v>
      </c>
      <c r="R188" s="10">
        <f>Tabla2456789[[#This Row],[Columna2]]*19%</f>
        <v>0</v>
      </c>
      <c r="S188" s="10">
        <f>Tabla2456789[[#This Row],[IVA VENTA ]]-Tabla2456789[[#This Row],[IV COMPRA]]</f>
        <v>0</v>
      </c>
      <c r="T188" s="10">
        <f>(Tabla2456789[[#This Row],[VENTA ]]-(Tabla2456789[[#This Row],[MONTO DE COMPRA]]+Tabla2456789[[#This Row],[DIFERENCIA IVA ]]))</f>
        <v>0</v>
      </c>
      <c r="U188" s="19"/>
    </row>
    <row r="189" spans="1:21" s="15" customFormat="1" ht="20.100000000000001" customHeight="1" x14ac:dyDescent="0.25">
      <c r="A189" s="13">
        <v>44980</v>
      </c>
      <c r="B189" s="14"/>
      <c r="C189" s="14"/>
      <c r="D189" s="15" t="s">
        <v>701</v>
      </c>
      <c r="E189" s="15" t="s">
        <v>214</v>
      </c>
      <c r="F189" s="15" t="s">
        <v>19</v>
      </c>
      <c r="G189" s="14" t="s">
        <v>224</v>
      </c>
      <c r="H189" s="18" t="s">
        <v>702</v>
      </c>
      <c r="I189" s="73">
        <v>50000</v>
      </c>
      <c r="J189" s="19">
        <f>IF(G:G="FRENOS",(Tabla2456789[[#This Row],[TOTAL FACTURA]]*0.8),(Tabla2456789[[#This Row],[TOTAL FACTURA]]*0.5))</f>
        <v>25000</v>
      </c>
      <c r="K189" s="9">
        <f t="shared" si="5"/>
        <v>-25000</v>
      </c>
      <c r="L189" s="4"/>
      <c r="M189" s="10"/>
      <c r="N189" s="10">
        <f>Tabla2456789[[#This Row],[MONTO DE COMPRA]]/1.19</f>
        <v>0</v>
      </c>
      <c r="O189" s="10">
        <f>Tabla2456789[[#This Row],[Columna1]]*19%</f>
        <v>0</v>
      </c>
      <c r="P189" s="10"/>
      <c r="Q189" s="10">
        <f>Tabla2456789[[#This Row],[VENTA ]]/1.19</f>
        <v>0</v>
      </c>
      <c r="R189" s="10">
        <f>Tabla2456789[[#This Row],[Columna2]]*19%</f>
        <v>0</v>
      </c>
      <c r="S189" s="10">
        <f>Tabla2456789[[#This Row],[IVA VENTA ]]-Tabla2456789[[#This Row],[IV COMPRA]]</f>
        <v>0</v>
      </c>
      <c r="T189" s="10">
        <f>(Tabla2456789[[#This Row],[VENTA ]]-(Tabla2456789[[#This Row],[MONTO DE COMPRA]]+Tabla2456789[[#This Row],[DIFERENCIA IVA ]]))</f>
        <v>0</v>
      </c>
      <c r="U189" s="19"/>
    </row>
    <row r="190" spans="1:21" s="15" customFormat="1" ht="20.100000000000001" customHeight="1" x14ac:dyDescent="0.25">
      <c r="A190" s="13">
        <v>44980</v>
      </c>
      <c r="B190" s="14" t="s">
        <v>707</v>
      </c>
      <c r="C190" s="14" t="s">
        <v>706</v>
      </c>
      <c r="D190" s="14" t="s">
        <v>703</v>
      </c>
      <c r="E190" s="15" t="s">
        <v>34</v>
      </c>
      <c r="F190" s="15" t="s">
        <v>35</v>
      </c>
      <c r="G190" s="14" t="s">
        <v>224</v>
      </c>
      <c r="H190" s="18" t="s">
        <v>704</v>
      </c>
      <c r="I190" s="17">
        <v>240000</v>
      </c>
      <c r="J190" s="19">
        <f>IF(G:G="FRENOS",(Tabla2456789[[#This Row],[TOTAL FACTURA]]*0.8),(Tabla2456789[[#This Row],[TOTAL FACTURA]]*0.5))</f>
        <v>120000</v>
      </c>
      <c r="K190" s="9">
        <f t="shared" si="5"/>
        <v>-120000</v>
      </c>
      <c r="L190" s="4" t="s">
        <v>705</v>
      </c>
      <c r="M190" s="10">
        <v>140000</v>
      </c>
      <c r="N190" s="10">
        <f>Tabla2456789[[#This Row],[MONTO DE COMPRA]]/1.19</f>
        <v>117647.05882352941</v>
      </c>
      <c r="O190" s="10">
        <f>Tabla2456789[[#This Row],[Columna1]]*19%</f>
        <v>22352.941176470587</v>
      </c>
      <c r="P190" s="10">
        <v>180000</v>
      </c>
      <c r="Q190" s="10">
        <f>Tabla2456789[[#This Row],[VENTA ]]/1.19</f>
        <v>151260.50420168068</v>
      </c>
      <c r="R190" s="10">
        <f>Tabla2456789[[#This Row],[Columna2]]*19%</f>
        <v>28739.495798319331</v>
      </c>
      <c r="S190" s="10">
        <f>Tabla2456789[[#This Row],[IVA VENTA ]]-Tabla2456789[[#This Row],[IV COMPRA]]</f>
        <v>6386.5546218487434</v>
      </c>
      <c r="T190" s="10">
        <f>(Tabla2456789[[#This Row],[VENTA ]]-(Tabla2456789[[#This Row],[MONTO DE COMPRA]]+Tabla2456789[[#This Row],[DIFERENCIA IVA ]]))</f>
        <v>33613.445378151257</v>
      </c>
      <c r="U190" s="19"/>
    </row>
    <row r="191" spans="1:21" s="15" customFormat="1" ht="20.100000000000001" customHeight="1" x14ac:dyDescent="0.25">
      <c r="A191" s="13">
        <v>44980</v>
      </c>
      <c r="B191" s="14"/>
      <c r="C191" s="14" t="s">
        <v>708</v>
      </c>
      <c r="D191" s="14" t="s">
        <v>709</v>
      </c>
      <c r="E191" s="15" t="s">
        <v>163</v>
      </c>
      <c r="F191" s="15" t="s">
        <v>19</v>
      </c>
      <c r="G191" s="14" t="s">
        <v>224</v>
      </c>
      <c r="H191" s="18" t="s">
        <v>710</v>
      </c>
      <c r="I191" s="73">
        <v>350000</v>
      </c>
      <c r="J191" s="19">
        <v>200000</v>
      </c>
      <c r="K191" s="9">
        <f t="shared" si="5"/>
        <v>-200000</v>
      </c>
      <c r="L191" s="4" t="s">
        <v>711</v>
      </c>
      <c r="M191" s="10">
        <v>30000</v>
      </c>
      <c r="N191" s="10">
        <f>Tabla2456789[[#This Row],[MONTO DE COMPRA]]/1.19</f>
        <v>25210.084033613446</v>
      </c>
      <c r="O191" s="10">
        <f>Tabla2456789[[#This Row],[Columna1]]*19%</f>
        <v>4789.9159663865548</v>
      </c>
      <c r="P191" s="10">
        <v>50000</v>
      </c>
      <c r="Q191" s="10">
        <f>Tabla2456789[[#This Row],[VENTA ]]/1.19</f>
        <v>42016.806722689078</v>
      </c>
      <c r="R191" s="10">
        <f>Tabla2456789[[#This Row],[Columna2]]*19%</f>
        <v>7983.1932773109247</v>
      </c>
      <c r="S191" s="10">
        <f>Tabla2456789[[#This Row],[IVA VENTA ]]-Tabla2456789[[#This Row],[IV COMPRA]]</f>
        <v>3193.2773109243699</v>
      </c>
      <c r="T191" s="10">
        <f>(Tabla2456789[[#This Row],[VENTA ]]-(Tabla2456789[[#This Row],[MONTO DE COMPRA]]+Tabla2456789[[#This Row],[DIFERENCIA IVA ]]))</f>
        <v>16806.722689075628</v>
      </c>
      <c r="U191" s="19"/>
    </row>
    <row r="192" spans="1:21" s="15" customFormat="1" ht="20.100000000000001" customHeight="1" x14ac:dyDescent="0.25">
      <c r="A192" s="13">
        <v>44980</v>
      </c>
      <c r="B192" s="14"/>
      <c r="C192" s="14"/>
      <c r="D192" s="14"/>
      <c r="F192" s="15" t="s">
        <v>35</v>
      </c>
      <c r="G192" s="14" t="s">
        <v>224</v>
      </c>
      <c r="H192" s="18" t="s">
        <v>713</v>
      </c>
      <c r="I192" s="17"/>
      <c r="J192" s="19">
        <v>40000</v>
      </c>
      <c r="K192" s="9">
        <f t="shared" si="5"/>
        <v>-40000</v>
      </c>
      <c r="L192" s="4" t="s">
        <v>714</v>
      </c>
      <c r="M192" s="10">
        <v>40000</v>
      </c>
      <c r="N192" s="10">
        <f>Tabla2456789[[#This Row],[MONTO DE COMPRA]]/1.19</f>
        <v>33613.445378151264</v>
      </c>
      <c r="O192" s="10">
        <f>Tabla2456789[[#This Row],[Columna1]]*19%</f>
        <v>6386.5546218487398</v>
      </c>
      <c r="P192" s="10">
        <v>60000</v>
      </c>
      <c r="Q192" s="10">
        <f>Tabla2456789[[#This Row],[VENTA ]]/1.19</f>
        <v>50420.168067226892</v>
      </c>
      <c r="R192" s="10">
        <f>Tabla2456789[[#This Row],[Columna2]]*19%</f>
        <v>9579.8319327731097</v>
      </c>
      <c r="S192" s="10">
        <f>Tabla2456789[[#This Row],[IVA VENTA ]]-Tabla2456789[[#This Row],[IV COMPRA]]</f>
        <v>3193.2773109243699</v>
      </c>
      <c r="T192" s="10">
        <f>(Tabla2456789[[#This Row],[VENTA ]]-(Tabla2456789[[#This Row],[MONTO DE COMPRA]]+Tabla2456789[[#This Row],[DIFERENCIA IVA ]]))</f>
        <v>16806.722689075628</v>
      </c>
      <c r="U192" s="19"/>
    </row>
    <row r="193" spans="1:22" s="15" customFormat="1" ht="20.100000000000001" customHeight="1" x14ac:dyDescent="0.25">
      <c r="A193" s="13"/>
      <c r="B193" s="14"/>
      <c r="C193" s="14"/>
      <c r="D193" s="14"/>
      <c r="G193" s="14"/>
      <c r="H193" s="18"/>
      <c r="I193" s="17"/>
      <c r="J193" s="19">
        <f>IF(G:G="FRENOS",(Tabla2456789[[#This Row],[TOTAL FACTURA]]*0.8),(Tabla2456789[[#This Row],[TOTAL FACTURA]]*0.5))</f>
        <v>0</v>
      </c>
      <c r="K193" s="9">
        <f t="shared" ref="K193:K204" si="6">I500-J193</f>
        <v>0</v>
      </c>
      <c r="L193" s="4"/>
      <c r="M193" s="10"/>
      <c r="N193" s="10">
        <f>Tabla2456789[[#This Row],[MONTO DE COMPRA]]/1.19</f>
        <v>0</v>
      </c>
      <c r="O193" s="10">
        <f>Tabla2456789[[#This Row],[Columna1]]*19%</f>
        <v>0</v>
      </c>
      <c r="P193" s="10"/>
      <c r="Q193" s="10">
        <f>Tabla2456789[[#This Row],[VENTA ]]/1.19</f>
        <v>0</v>
      </c>
      <c r="R193" s="10">
        <f>Tabla2456789[[#This Row],[Columna2]]*19%</f>
        <v>0</v>
      </c>
      <c r="S193" s="10">
        <f>Tabla2456789[[#This Row],[IVA VENTA ]]-Tabla2456789[[#This Row],[IV COMPRA]]</f>
        <v>0</v>
      </c>
      <c r="T193" s="10">
        <f>(Tabla2456789[[#This Row],[VENTA ]]-(Tabla2456789[[#This Row],[MONTO DE COMPRA]]+Tabla2456789[[#This Row],[DIFERENCIA IVA ]]))</f>
        <v>0</v>
      </c>
      <c r="U193" s="19"/>
    </row>
    <row r="194" spans="1:22" s="15" customFormat="1" ht="20.100000000000001" customHeight="1" x14ac:dyDescent="0.25">
      <c r="A194" s="13"/>
      <c r="B194" s="14"/>
      <c r="C194" s="14"/>
      <c r="D194" s="14"/>
      <c r="G194" s="14"/>
      <c r="H194" s="18"/>
      <c r="I194" s="17"/>
      <c r="J194" s="19">
        <f>IF(G:G="FRENOS",(Tabla2456789[[#This Row],[TOTAL FACTURA]]*0.8),(Tabla2456789[[#This Row],[TOTAL FACTURA]]*0.5))</f>
        <v>0</v>
      </c>
      <c r="K194" s="9">
        <f t="shared" si="6"/>
        <v>0</v>
      </c>
      <c r="L194" s="4"/>
      <c r="M194" s="10"/>
      <c r="N194" s="10">
        <f>Tabla2456789[[#This Row],[MONTO DE COMPRA]]/1.19</f>
        <v>0</v>
      </c>
      <c r="O194" s="10">
        <f>Tabla2456789[[#This Row],[Columna1]]*19%</f>
        <v>0</v>
      </c>
      <c r="P194" s="10"/>
      <c r="Q194" s="10">
        <f>Tabla2456789[[#This Row],[VENTA ]]/1.19</f>
        <v>0</v>
      </c>
      <c r="R194" s="10">
        <f>Tabla2456789[[#This Row],[Columna2]]*19%</f>
        <v>0</v>
      </c>
      <c r="S194" s="10">
        <f>Tabla2456789[[#This Row],[IVA VENTA ]]-Tabla2456789[[#This Row],[IV COMPRA]]</f>
        <v>0</v>
      </c>
      <c r="T194" s="10">
        <f>(Tabla2456789[[#This Row],[VENTA ]]-(Tabla2456789[[#This Row],[MONTO DE COMPRA]]+Tabla2456789[[#This Row],[DIFERENCIA IVA ]]))</f>
        <v>0</v>
      </c>
      <c r="U194" s="19"/>
    </row>
    <row r="195" spans="1:22" s="15" customFormat="1" ht="20.100000000000001" customHeight="1" x14ac:dyDescent="0.25">
      <c r="A195" s="13"/>
      <c r="B195" s="14"/>
      <c r="C195" s="14"/>
      <c r="D195" s="14"/>
      <c r="G195" s="14"/>
      <c r="H195" s="18"/>
      <c r="I195" s="17"/>
      <c r="J195" s="19">
        <f>IF(G:G="FRENOS",(Tabla2456789[[#This Row],[TOTAL FACTURA]]*0.8),(Tabla2456789[[#This Row],[TOTAL FACTURA]]*0.5))</f>
        <v>0</v>
      </c>
      <c r="K195" s="9">
        <f t="shared" si="6"/>
        <v>0</v>
      </c>
      <c r="L195" s="4"/>
      <c r="M195" s="10"/>
      <c r="N195" s="10">
        <f>Tabla2456789[[#This Row],[MONTO DE COMPRA]]/1.19</f>
        <v>0</v>
      </c>
      <c r="O195" s="10">
        <f>Tabla2456789[[#This Row],[Columna1]]*19%</f>
        <v>0</v>
      </c>
      <c r="P195" s="10"/>
      <c r="Q195" s="10">
        <f>Tabla2456789[[#This Row],[VENTA ]]/1.19</f>
        <v>0</v>
      </c>
      <c r="R195" s="10">
        <f>Tabla2456789[[#This Row],[Columna2]]*19%</f>
        <v>0</v>
      </c>
      <c r="S195" s="10">
        <f>Tabla2456789[[#This Row],[IVA VENTA ]]-Tabla2456789[[#This Row],[IV COMPRA]]</f>
        <v>0</v>
      </c>
      <c r="T195" s="10">
        <f>(Tabla2456789[[#This Row],[VENTA ]]-(Tabla2456789[[#This Row],[MONTO DE COMPRA]]+Tabla2456789[[#This Row],[DIFERENCIA IVA ]]))</f>
        <v>0</v>
      </c>
      <c r="U195" s="19"/>
    </row>
    <row r="196" spans="1:22" s="15" customFormat="1" ht="20.100000000000001" customHeight="1" x14ac:dyDescent="0.25">
      <c r="A196" s="13"/>
      <c r="B196" s="14"/>
      <c r="C196" s="14"/>
      <c r="D196" s="14"/>
      <c r="G196" s="14"/>
      <c r="H196" s="18"/>
      <c r="J196" s="19">
        <f>IF(G:G="FRENOS",(Tabla2456789[[#This Row],[TOTAL FACTURA]]*0.8),(Tabla2456789[[#This Row],[TOTAL FACTURA]]*0.5))</f>
        <v>0</v>
      </c>
      <c r="K196" s="9">
        <f t="shared" si="6"/>
        <v>0</v>
      </c>
      <c r="L196" s="4"/>
      <c r="M196" s="10"/>
      <c r="N196" s="10">
        <f>Tabla2456789[[#This Row],[MONTO DE COMPRA]]/1.19</f>
        <v>0</v>
      </c>
      <c r="O196" s="10">
        <f>Tabla2456789[[#This Row],[Columna1]]*19%</f>
        <v>0</v>
      </c>
      <c r="P196" s="10"/>
      <c r="Q196" s="10">
        <f>Tabla2456789[[#This Row],[VENTA ]]/1.19</f>
        <v>0</v>
      </c>
      <c r="R196" s="10">
        <f>Tabla2456789[[#This Row],[Columna2]]*19%</f>
        <v>0</v>
      </c>
      <c r="S196" s="10">
        <f>Tabla2456789[[#This Row],[IVA VENTA ]]-Tabla2456789[[#This Row],[IV COMPRA]]</f>
        <v>0</v>
      </c>
      <c r="T196" s="10">
        <f>(Tabla2456789[[#This Row],[VENTA ]]-(Tabla2456789[[#This Row],[MONTO DE COMPRA]]+Tabla2456789[[#This Row],[DIFERENCIA IVA ]]))</f>
        <v>0</v>
      </c>
      <c r="U196" s="19"/>
    </row>
    <row r="197" spans="1:22" s="15" customFormat="1" ht="20.100000000000001" customHeight="1" x14ac:dyDescent="0.25">
      <c r="A197" s="13"/>
      <c r="B197" s="14"/>
      <c r="C197" s="14"/>
      <c r="D197" s="14"/>
      <c r="G197" s="14"/>
      <c r="H197" s="18"/>
      <c r="J197" s="19">
        <f>IF(G:G="FRENOS",(Tabla2456789[[#This Row],[TOTAL FACTURA]]*0.8),(Tabla2456789[[#This Row],[TOTAL FACTURA]]*0.5))</f>
        <v>0</v>
      </c>
      <c r="K197" s="9">
        <f t="shared" si="6"/>
        <v>0</v>
      </c>
      <c r="L197" s="4"/>
      <c r="M197" s="10"/>
      <c r="N197" s="10">
        <f>Tabla2456789[[#This Row],[MONTO DE COMPRA]]/1.19</f>
        <v>0</v>
      </c>
      <c r="O197" s="10">
        <f>Tabla2456789[[#This Row],[Columna1]]*19%</f>
        <v>0</v>
      </c>
      <c r="P197" s="10"/>
      <c r="Q197" s="10">
        <f>Tabla2456789[[#This Row],[VENTA ]]/1.19</f>
        <v>0</v>
      </c>
      <c r="R197" s="10">
        <f>Tabla2456789[[#This Row],[Columna2]]*19%</f>
        <v>0</v>
      </c>
      <c r="S197" s="10">
        <f>Tabla2456789[[#This Row],[IVA VENTA ]]-Tabla2456789[[#This Row],[IV COMPRA]]</f>
        <v>0</v>
      </c>
      <c r="T197" s="10">
        <f>(Tabla2456789[[#This Row],[VENTA ]]-(Tabla2456789[[#This Row],[MONTO DE COMPRA]]+Tabla2456789[[#This Row],[DIFERENCIA IVA ]]))</f>
        <v>0</v>
      </c>
      <c r="U197" s="19"/>
    </row>
    <row r="198" spans="1:22" s="15" customFormat="1" ht="20.100000000000001" customHeight="1" x14ac:dyDescent="0.25">
      <c r="A198" s="13"/>
      <c r="B198" s="14"/>
      <c r="C198" s="14"/>
      <c r="D198" s="14"/>
      <c r="G198" s="14"/>
      <c r="H198" s="18"/>
      <c r="J198" s="19">
        <f>IF(G:G="FRENOS",(Tabla2456789[[#This Row],[TOTAL FACTURA]]*0.8),(Tabla2456789[[#This Row],[TOTAL FACTURA]]*0.5))</f>
        <v>0</v>
      </c>
      <c r="K198" s="9">
        <f t="shared" si="6"/>
        <v>0</v>
      </c>
      <c r="L198" s="4"/>
      <c r="M198" s="10"/>
      <c r="N198" s="10">
        <f>Tabla2456789[[#This Row],[MONTO DE COMPRA]]/1.19</f>
        <v>0</v>
      </c>
      <c r="O198" s="10">
        <f>Tabla2456789[[#This Row],[Columna1]]*19%</f>
        <v>0</v>
      </c>
      <c r="P198" s="10"/>
      <c r="Q198" s="10">
        <f>Tabla2456789[[#This Row],[VENTA ]]/1.19</f>
        <v>0</v>
      </c>
      <c r="R198" s="10">
        <f>Tabla2456789[[#This Row],[Columna2]]*19%</f>
        <v>0</v>
      </c>
      <c r="S198" s="10">
        <f>Tabla2456789[[#This Row],[IVA VENTA ]]-Tabla2456789[[#This Row],[IV COMPRA]]</f>
        <v>0</v>
      </c>
      <c r="T198" s="10">
        <f>(Tabla2456789[[#This Row],[VENTA ]]-(Tabla2456789[[#This Row],[MONTO DE COMPRA]]+Tabla2456789[[#This Row],[DIFERENCIA IVA ]]))</f>
        <v>0</v>
      </c>
      <c r="U198" s="19"/>
    </row>
    <row r="199" spans="1:22" s="15" customFormat="1" ht="20.100000000000001" customHeight="1" x14ac:dyDescent="0.25">
      <c r="A199" s="13"/>
      <c r="B199" s="14"/>
      <c r="C199" s="14"/>
      <c r="D199" s="14"/>
      <c r="G199" s="14"/>
      <c r="H199" s="18"/>
      <c r="J199" s="19">
        <f>IF(G:G="FRENOS",(Tabla2456789[[#This Row],[TOTAL FACTURA]]*0.8),(Tabla2456789[[#This Row],[TOTAL FACTURA]]*0.5))</f>
        <v>0</v>
      </c>
      <c r="K199" s="9">
        <f t="shared" si="6"/>
        <v>0</v>
      </c>
      <c r="L199" s="4"/>
      <c r="M199" s="10"/>
      <c r="N199" s="10">
        <f>Tabla2456789[[#This Row],[MONTO DE COMPRA]]/1.19</f>
        <v>0</v>
      </c>
      <c r="O199" s="10">
        <f>Tabla2456789[[#This Row],[Columna1]]*19%</f>
        <v>0</v>
      </c>
      <c r="P199" s="10"/>
      <c r="Q199" s="10">
        <f>Tabla2456789[[#This Row],[VENTA ]]/1.19</f>
        <v>0</v>
      </c>
      <c r="R199" s="10">
        <f>Tabla2456789[[#This Row],[Columna2]]*19%</f>
        <v>0</v>
      </c>
      <c r="S199" s="10">
        <f>Tabla2456789[[#This Row],[IVA VENTA ]]-Tabla2456789[[#This Row],[IV COMPRA]]</f>
        <v>0</v>
      </c>
      <c r="T199" s="10">
        <f>(Tabla2456789[[#This Row],[VENTA ]]-(Tabla2456789[[#This Row],[MONTO DE COMPRA]]+Tabla2456789[[#This Row],[DIFERENCIA IVA ]]))</f>
        <v>0</v>
      </c>
      <c r="U199" s="19"/>
    </row>
    <row r="200" spans="1:22" s="15" customFormat="1" ht="20.100000000000001" customHeight="1" x14ac:dyDescent="0.25">
      <c r="A200" s="13"/>
      <c r="B200" s="14"/>
      <c r="C200" s="14"/>
      <c r="D200" s="14"/>
      <c r="G200" s="14"/>
      <c r="H200" s="18"/>
      <c r="J200" s="19">
        <f>IF(G:G="FRENOS",(Tabla2456789[[#This Row],[TOTAL FACTURA]]*0.8),(Tabla2456789[[#This Row],[TOTAL FACTURA]]*0.5))</f>
        <v>0</v>
      </c>
      <c r="K200" s="9">
        <f t="shared" si="6"/>
        <v>0</v>
      </c>
      <c r="L200" s="4"/>
      <c r="M200" s="10"/>
      <c r="N200" s="10">
        <f>Tabla2456789[[#This Row],[MONTO DE COMPRA]]/1.19</f>
        <v>0</v>
      </c>
      <c r="O200" s="10">
        <f>Tabla2456789[[#This Row],[Columna1]]*19%</f>
        <v>0</v>
      </c>
      <c r="P200" s="10"/>
      <c r="Q200" s="10">
        <f>Tabla2456789[[#This Row],[VENTA ]]/1.19</f>
        <v>0</v>
      </c>
      <c r="R200" s="10">
        <f>Tabla2456789[[#This Row],[Columna2]]*19%</f>
        <v>0</v>
      </c>
      <c r="S200" s="10">
        <f>Tabla2456789[[#This Row],[IVA VENTA ]]-Tabla2456789[[#This Row],[IV COMPRA]]</f>
        <v>0</v>
      </c>
      <c r="T200" s="10">
        <f>(Tabla2456789[[#This Row],[VENTA ]]-(Tabla2456789[[#This Row],[MONTO DE COMPRA]]+Tabla2456789[[#This Row],[DIFERENCIA IVA ]]))</f>
        <v>0</v>
      </c>
      <c r="U200" s="19"/>
    </row>
    <row r="201" spans="1:22" s="15" customFormat="1" ht="20.100000000000001" customHeight="1" x14ac:dyDescent="0.25">
      <c r="A201" s="13"/>
      <c r="B201" s="14"/>
      <c r="C201" s="14"/>
      <c r="D201" s="14"/>
      <c r="G201" s="14"/>
      <c r="H201" s="18"/>
      <c r="J201" s="19">
        <f>IF(G:G="FRENOS",(Tabla2456789[[#This Row],[TOTAL FACTURA]]*0.8),(Tabla2456789[[#This Row],[TOTAL FACTURA]]*0.5))</f>
        <v>0</v>
      </c>
      <c r="K201" s="9">
        <f t="shared" si="6"/>
        <v>0</v>
      </c>
      <c r="L201" s="4"/>
      <c r="M201" s="10"/>
      <c r="N201" s="10">
        <f>Tabla2456789[[#This Row],[MONTO DE COMPRA]]/1.19</f>
        <v>0</v>
      </c>
      <c r="O201" s="10">
        <f>Tabla2456789[[#This Row],[Columna1]]*19%</f>
        <v>0</v>
      </c>
      <c r="P201" s="10"/>
      <c r="Q201" s="10">
        <f>Tabla2456789[[#This Row],[VENTA ]]/1.19</f>
        <v>0</v>
      </c>
      <c r="R201" s="10">
        <f>Tabla2456789[[#This Row],[Columna2]]*19%</f>
        <v>0</v>
      </c>
      <c r="S201" s="10">
        <f>Tabla2456789[[#This Row],[IVA VENTA ]]-Tabla2456789[[#This Row],[IV COMPRA]]</f>
        <v>0</v>
      </c>
      <c r="T201" s="10">
        <f>(Tabla2456789[[#This Row],[VENTA ]]-(Tabla2456789[[#This Row],[MONTO DE COMPRA]]+Tabla2456789[[#This Row],[DIFERENCIA IVA ]]))</f>
        <v>0</v>
      </c>
      <c r="U201" s="19"/>
    </row>
    <row r="202" spans="1:22" s="15" customFormat="1" ht="20.100000000000001" customHeight="1" x14ac:dyDescent="0.25">
      <c r="A202" s="13"/>
      <c r="B202" s="14"/>
      <c r="C202" s="14"/>
      <c r="D202" s="14"/>
      <c r="G202" s="14"/>
      <c r="H202" s="18"/>
      <c r="J202" s="19">
        <f>IF(G:G="FRENOS",(Tabla2456789[[#This Row],[TOTAL FACTURA]]*0.8),(Tabla2456789[[#This Row],[TOTAL FACTURA]]*0.5))</f>
        <v>0</v>
      </c>
      <c r="K202" s="9">
        <f t="shared" si="6"/>
        <v>0</v>
      </c>
      <c r="L202" s="4"/>
      <c r="M202" s="10"/>
      <c r="N202" s="10">
        <f>Tabla2456789[[#This Row],[MONTO DE COMPRA]]/1.19</f>
        <v>0</v>
      </c>
      <c r="O202" s="10">
        <f>Tabla2456789[[#This Row],[Columna1]]*19%</f>
        <v>0</v>
      </c>
      <c r="P202" s="10"/>
      <c r="Q202" s="10">
        <f>Tabla2456789[[#This Row],[VENTA ]]/1.19</f>
        <v>0</v>
      </c>
      <c r="R202" s="10">
        <f>Tabla2456789[[#This Row],[Columna2]]*19%</f>
        <v>0</v>
      </c>
      <c r="S202" s="10">
        <f>Tabla2456789[[#This Row],[IVA VENTA ]]-Tabla2456789[[#This Row],[IV COMPRA]]</f>
        <v>0</v>
      </c>
      <c r="T202" s="10">
        <f>(Tabla2456789[[#This Row],[VENTA ]]-(Tabla2456789[[#This Row],[MONTO DE COMPRA]]+Tabla2456789[[#This Row],[DIFERENCIA IVA ]]))</f>
        <v>0</v>
      </c>
      <c r="U202" s="19"/>
    </row>
    <row r="203" spans="1:22" s="15" customFormat="1" ht="20.100000000000001" customHeight="1" x14ac:dyDescent="0.25">
      <c r="A203" s="13"/>
      <c r="B203" s="14"/>
      <c r="C203" s="14"/>
      <c r="D203" s="21"/>
      <c r="E203" s="14"/>
      <c r="G203" s="14"/>
      <c r="H203" s="18"/>
      <c r="J203" s="19">
        <f>IF(G:G="FRENOS",(Tabla2456789[[#This Row],[TOTAL FACTURA]]*0.8),(Tabla2456789[[#This Row],[TOTAL FACTURA]]*0.5))</f>
        <v>0</v>
      </c>
      <c r="K203" s="9">
        <f t="shared" si="6"/>
        <v>0</v>
      </c>
      <c r="L203" s="4"/>
      <c r="M203" s="10"/>
      <c r="N203" s="10">
        <f>Tabla2456789[[#This Row],[MONTO DE COMPRA]]/1.19</f>
        <v>0</v>
      </c>
      <c r="O203" s="10">
        <f>Tabla2456789[[#This Row],[Columna1]]*19%</f>
        <v>0</v>
      </c>
      <c r="P203" s="10"/>
      <c r="Q203" s="10">
        <f>Tabla2456789[[#This Row],[VENTA ]]/1.19</f>
        <v>0</v>
      </c>
      <c r="R203" s="10">
        <f>Tabla2456789[[#This Row],[Columna2]]*19%</f>
        <v>0</v>
      </c>
      <c r="S203" s="10">
        <f>Tabla2456789[[#This Row],[IVA VENTA ]]-Tabla2456789[[#This Row],[IV COMPRA]]</f>
        <v>0</v>
      </c>
      <c r="T203" s="10">
        <f>(Tabla2456789[[#This Row],[VENTA ]]-(Tabla2456789[[#This Row],[MONTO DE COMPRA]]+Tabla2456789[[#This Row],[DIFERENCIA IVA ]]))</f>
        <v>0</v>
      </c>
      <c r="U203" s="19"/>
    </row>
    <row r="204" spans="1:22" s="15" customFormat="1" ht="20.100000000000001" customHeight="1" x14ac:dyDescent="0.25">
      <c r="A204" s="13"/>
      <c r="B204" s="14"/>
      <c r="C204" s="14"/>
      <c r="D204" s="21"/>
      <c r="E204" s="14"/>
      <c r="G204" s="14"/>
      <c r="H204" s="18"/>
      <c r="J204" s="19">
        <f>IF(G:G="FRENOS",(Tabla2456789[[#This Row],[TOTAL FACTURA]]*0.8),(Tabla2456789[[#This Row],[TOTAL FACTURA]]*0.5))</f>
        <v>0</v>
      </c>
      <c r="K204" s="9">
        <f t="shared" si="6"/>
        <v>0</v>
      </c>
      <c r="L204" s="4"/>
      <c r="M204" s="10"/>
      <c r="N204" s="10">
        <f>Tabla2456789[[#This Row],[MONTO DE COMPRA]]/1.19</f>
        <v>0</v>
      </c>
      <c r="O204" s="10">
        <f>Tabla2456789[[#This Row],[Columna1]]*19%</f>
        <v>0</v>
      </c>
      <c r="P204" s="10"/>
      <c r="Q204" s="10">
        <f>Tabla2456789[[#This Row],[VENTA ]]/1.19</f>
        <v>0</v>
      </c>
      <c r="R204" s="10">
        <f>Tabla2456789[[#This Row],[Columna2]]*19%</f>
        <v>0</v>
      </c>
      <c r="S204" s="10">
        <f>Tabla2456789[[#This Row],[IVA VENTA ]]-Tabla2456789[[#This Row],[IV COMPRA]]</f>
        <v>0</v>
      </c>
      <c r="T204" s="10">
        <f>(Tabla2456789[[#This Row],[VENTA ]]-(Tabla2456789[[#This Row],[MONTO DE COMPRA]]+Tabla2456789[[#This Row],[DIFERENCIA IVA ]]))</f>
        <v>0</v>
      </c>
      <c r="U204" s="19"/>
      <c r="V204" s="17"/>
    </row>
    <row r="205" spans="1:22" s="15" customFormat="1" ht="20.100000000000001" customHeight="1" x14ac:dyDescent="0.25">
      <c r="A205" s="13"/>
      <c r="B205" s="14"/>
      <c r="C205" s="14"/>
      <c r="D205" s="21"/>
      <c r="E205" s="14"/>
      <c r="G205" s="14"/>
      <c r="H205" s="18"/>
      <c r="J205" s="19">
        <f>IF(G:G="FRENOS",(Tabla2456789[[#This Row],[TOTAL FACTURA]]*0.8),(Tabla2456789[[#This Row],[TOTAL FACTURA]]*0.5))</f>
        <v>0</v>
      </c>
      <c r="K205" s="9">
        <f t="shared" ref="K205:K236" si="7">I512-J205</f>
        <v>0</v>
      </c>
      <c r="L205" s="4"/>
      <c r="M205" s="10"/>
      <c r="N205" s="10">
        <f>Tabla2456789[[#This Row],[MONTO DE COMPRA]]/1.19</f>
        <v>0</v>
      </c>
      <c r="O205" s="10">
        <f>Tabla2456789[[#This Row],[Columna1]]*19%</f>
        <v>0</v>
      </c>
      <c r="P205" s="10"/>
      <c r="Q205" s="10">
        <f>Tabla2456789[[#This Row],[VENTA ]]/1.19</f>
        <v>0</v>
      </c>
      <c r="R205" s="10">
        <f>Tabla2456789[[#This Row],[Columna2]]*19%</f>
        <v>0</v>
      </c>
      <c r="S205" s="10">
        <f>Tabla2456789[[#This Row],[IVA VENTA ]]-Tabla2456789[[#This Row],[IV COMPRA]]</f>
        <v>0</v>
      </c>
      <c r="T205" s="10">
        <f>(Tabla2456789[[#This Row],[VENTA ]]-(Tabla2456789[[#This Row],[MONTO DE COMPRA]]+Tabla2456789[[#This Row],[DIFERENCIA IVA ]]))</f>
        <v>0</v>
      </c>
      <c r="U205" s="19"/>
      <c r="V205" s="17"/>
    </row>
    <row r="206" spans="1:22" s="15" customFormat="1" ht="20.100000000000001" customHeight="1" x14ac:dyDescent="0.25">
      <c r="A206" s="13"/>
      <c r="B206" s="14"/>
      <c r="C206" s="14"/>
      <c r="D206" s="21"/>
      <c r="E206" s="14"/>
      <c r="G206" s="14"/>
      <c r="H206" s="18"/>
      <c r="J206" s="19">
        <f>IF(G:G="FRENOS",(Tabla2456789[[#This Row],[TOTAL FACTURA]]*0.8),(Tabla2456789[[#This Row],[TOTAL FACTURA]]*0.5))</f>
        <v>0</v>
      </c>
      <c r="K206" s="9">
        <f t="shared" si="7"/>
        <v>0</v>
      </c>
      <c r="L206" s="4"/>
      <c r="M206" s="10"/>
      <c r="N206" s="10">
        <f>Tabla2456789[[#This Row],[MONTO DE COMPRA]]/1.19</f>
        <v>0</v>
      </c>
      <c r="O206" s="10">
        <f>Tabla2456789[[#This Row],[Columna1]]*19%</f>
        <v>0</v>
      </c>
      <c r="P206" s="10"/>
      <c r="Q206" s="10">
        <f>Tabla2456789[[#This Row],[VENTA ]]/1.19</f>
        <v>0</v>
      </c>
      <c r="R206" s="10">
        <f>Tabla2456789[[#This Row],[Columna2]]*19%</f>
        <v>0</v>
      </c>
      <c r="S206" s="10">
        <f>Tabla2456789[[#This Row],[IVA VENTA ]]-Tabla2456789[[#This Row],[IV COMPRA]]</f>
        <v>0</v>
      </c>
      <c r="T206" s="10">
        <f>(Tabla2456789[[#This Row],[VENTA ]]-(Tabla2456789[[#This Row],[MONTO DE COMPRA]]+Tabla2456789[[#This Row],[DIFERENCIA IVA ]]))</f>
        <v>0</v>
      </c>
      <c r="U206" s="19"/>
      <c r="V206" s="17"/>
    </row>
    <row r="207" spans="1:22" s="15" customFormat="1" ht="20.100000000000001" customHeight="1" x14ac:dyDescent="0.25">
      <c r="A207" s="13"/>
      <c r="B207" s="14"/>
      <c r="C207" s="14"/>
      <c r="D207" s="21"/>
      <c r="E207" s="14"/>
      <c r="G207" s="14"/>
      <c r="H207" s="18"/>
      <c r="J207" s="19">
        <f>IF(G:G="FRENOS",(Tabla2456789[[#This Row],[TOTAL FACTURA]]*0.8),(Tabla2456789[[#This Row],[TOTAL FACTURA]]*0.5))</f>
        <v>0</v>
      </c>
      <c r="K207" s="9">
        <f t="shared" si="7"/>
        <v>0</v>
      </c>
      <c r="L207" s="4"/>
      <c r="M207" s="10"/>
      <c r="N207" s="10">
        <f>Tabla2456789[[#This Row],[MONTO DE COMPRA]]/1.19</f>
        <v>0</v>
      </c>
      <c r="O207" s="10">
        <f>Tabla2456789[[#This Row],[Columna1]]*19%</f>
        <v>0</v>
      </c>
      <c r="P207" s="10"/>
      <c r="Q207" s="10">
        <f>Tabla2456789[[#This Row],[VENTA ]]/1.19</f>
        <v>0</v>
      </c>
      <c r="R207" s="10">
        <f>Tabla2456789[[#This Row],[Columna2]]*19%</f>
        <v>0</v>
      </c>
      <c r="S207" s="10">
        <f>Tabla2456789[[#This Row],[IVA VENTA ]]-Tabla2456789[[#This Row],[IV COMPRA]]</f>
        <v>0</v>
      </c>
      <c r="T207" s="10">
        <f>(Tabla2456789[[#This Row],[VENTA ]]-(Tabla2456789[[#This Row],[MONTO DE COMPRA]]+Tabla2456789[[#This Row],[DIFERENCIA IVA ]]))</f>
        <v>0</v>
      </c>
      <c r="U207" s="19"/>
      <c r="V207" s="17"/>
    </row>
    <row r="208" spans="1:22" s="15" customFormat="1" ht="20.100000000000001" customHeight="1" x14ac:dyDescent="0.25">
      <c r="A208" s="13"/>
      <c r="B208" s="14"/>
      <c r="C208" s="14"/>
      <c r="D208" s="21"/>
      <c r="E208" s="14"/>
      <c r="G208" s="14"/>
      <c r="H208" s="16"/>
      <c r="J208" s="19">
        <f>IF(G:G="FRENOS",(Tabla2456789[[#This Row],[TOTAL FACTURA]]*0.8),(Tabla2456789[[#This Row],[TOTAL FACTURA]]*0.5))</f>
        <v>0</v>
      </c>
      <c r="K208" s="9">
        <f t="shared" si="7"/>
        <v>0</v>
      </c>
      <c r="L208" s="4"/>
      <c r="M208" s="10"/>
      <c r="N208" s="10">
        <f>Tabla2456789[[#This Row],[MONTO DE COMPRA]]/1.19</f>
        <v>0</v>
      </c>
      <c r="O208" s="10">
        <f>Tabla2456789[[#This Row],[Columna1]]*19%</f>
        <v>0</v>
      </c>
      <c r="P208" s="10"/>
      <c r="Q208" s="10">
        <f>Tabla2456789[[#This Row],[VENTA ]]/1.19</f>
        <v>0</v>
      </c>
      <c r="R208" s="10">
        <f>Tabla2456789[[#This Row],[Columna2]]*19%</f>
        <v>0</v>
      </c>
      <c r="S208" s="10">
        <f>Tabla2456789[[#This Row],[IVA VENTA ]]-Tabla2456789[[#This Row],[IV COMPRA]]</f>
        <v>0</v>
      </c>
      <c r="T208" s="10">
        <f>(Tabla2456789[[#This Row],[VENTA ]]-(Tabla2456789[[#This Row],[MONTO DE COMPRA]]+Tabla2456789[[#This Row],[DIFERENCIA IVA ]]))</f>
        <v>0</v>
      </c>
      <c r="U208" s="19"/>
    </row>
    <row r="209" spans="1:21" s="15" customFormat="1" ht="20.100000000000001" customHeight="1" x14ac:dyDescent="0.25">
      <c r="A209" s="13"/>
      <c r="B209" s="14"/>
      <c r="C209" s="14"/>
      <c r="D209" s="21"/>
      <c r="E209" s="14"/>
      <c r="G209" s="14"/>
      <c r="H209" s="18"/>
      <c r="J209" s="19">
        <f>IF(G:G="FRENOS",(Tabla2456789[[#This Row],[TOTAL FACTURA]]*0.8),(Tabla2456789[[#This Row],[TOTAL FACTURA]]*0.5))</f>
        <v>0</v>
      </c>
      <c r="K209" s="9">
        <f t="shared" si="7"/>
        <v>0</v>
      </c>
      <c r="L209" s="4"/>
      <c r="M209" s="10"/>
      <c r="N209" s="10">
        <f>Tabla2456789[[#This Row],[MONTO DE COMPRA]]/1.19</f>
        <v>0</v>
      </c>
      <c r="O209" s="10">
        <f>Tabla2456789[[#This Row],[Columna1]]*19%</f>
        <v>0</v>
      </c>
      <c r="P209" s="10"/>
      <c r="Q209" s="10">
        <f>Tabla2456789[[#This Row],[VENTA ]]/1.19</f>
        <v>0</v>
      </c>
      <c r="R209" s="10">
        <f>Tabla2456789[[#This Row],[Columna2]]*19%</f>
        <v>0</v>
      </c>
      <c r="S209" s="10">
        <f>Tabla2456789[[#This Row],[IVA VENTA ]]-Tabla2456789[[#This Row],[IV COMPRA]]</f>
        <v>0</v>
      </c>
      <c r="T209" s="10">
        <f>(Tabla2456789[[#This Row],[VENTA ]]-(Tabla2456789[[#This Row],[MONTO DE COMPRA]]+Tabla2456789[[#This Row],[DIFERENCIA IVA ]]))</f>
        <v>0</v>
      </c>
      <c r="U209" s="19"/>
    </row>
    <row r="210" spans="1:21" s="15" customFormat="1" ht="20.100000000000001" customHeight="1" x14ac:dyDescent="0.25">
      <c r="A210" s="13"/>
      <c r="B210" s="14"/>
      <c r="C210" s="14"/>
      <c r="D210" s="21"/>
      <c r="E210" s="14"/>
      <c r="G210" s="14"/>
      <c r="H210" s="18"/>
      <c r="J210" s="19">
        <f>IF(G:G="FRENOS",(Tabla2456789[[#This Row],[TOTAL FACTURA]]*0.8),(Tabla2456789[[#This Row],[TOTAL FACTURA]]*0.5))</f>
        <v>0</v>
      </c>
      <c r="K210" s="9">
        <f t="shared" si="7"/>
        <v>0</v>
      </c>
      <c r="L210" s="4"/>
      <c r="M210" s="10"/>
      <c r="N210" s="10">
        <f>Tabla2456789[[#This Row],[MONTO DE COMPRA]]/1.19</f>
        <v>0</v>
      </c>
      <c r="O210" s="10">
        <f>Tabla2456789[[#This Row],[Columna1]]*19%</f>
        <v>0</v>
      </c>
      <c r="P210" s="10"/>
      <c r="Q210" s="10">
        <f>Tabla2456789[[#This Row],[VENTA ]]/1.19</f>
        <v>0</v>
      </c>
      <c r="R210" s="10">
        <f>Tabla2456789[[#This Row],[Columna2]]*19%</f>
        <v>0</v>
      </c>
      <c r="S210" s="10">
        <f>Tabla2456789[[#This Row],[IVA VENTA ]]-Tabla2456789[[#This Row],[IV COMPRA]]</f>
        <v>0</v>
      </c>
      <c r="T210" s="10">
        <f>(Tabla2456789[[#This Row],[VENTA ]]-(Tabla2456789[[#This Row],[MONTO DE COMPRA]]+Tabla2456789[[#This Row],[DIFERENCIA IVA ]]))</f>
        <v>0</v>
      </c>
      <c r="U210" s="19"/>
    </row>
    <row r="211" spans="1:21" s="15" customFormat="1" ht="20.100000000000001" customHeight="1" x14ac:dyDescent="0.25">
      <c r="A211" s="13"/>
      <c r="B211" s="14"/>
      <c r="C211" s="14"/>
      <c r="D211" s="21"/>
      <c r="E211" s="14"/>
      <c r="G211" s="14"/>
      <c r="H211" s="18"/>
      <c r="J211" s="19">
        <f>IF(G:G="FRENOS",(Tabla2456789[[#This Row],[TOTAL FACTURA]]*0.8),(Tabla2456789[[#This Row],[TOTAL FACTURA]]*0.5))</f>
        <v>0</v>
      </c>
      <c r="K211" s="9">
        <f t="shared" si="7"/>
        <v>0</v>
      </c>
      <c r="L211" s="4"/>
      <c r="M211" s="10"/>
      <c r="N211" s="10">
        <f>Tabla2456789[[#This Row],[MONTO DE COMPRA]]/1.19</f>
        <v>0</v>
      </c>
      <c r="O211" s="10">
        <f>Tabla2456789[[#This Row],[Columna1]]*19%</f>
        <v>0</v>
      </c>
      <c r="P211" s="10"/>
      <c r="Q211" s="10">
        <f>Tabla2456789[[#This Row],[VENTA ]]/1.19</f>
        <v>0</v>
      </c>
      <c r="R211" s="10">
        <f>Tabla2456789[[#This Row],[Columna2]]*19%</f>
        <v>0</v>
      </c>
      <c r="S211" s="10">
        <f>Tabla2456789[[#This Row],[IVA VENTA ]]-Tabla2456789[[#This Row],[IV COMPRA]]</f>
        <v>0</v>
      </c>
      <c r="T211" s="10">
        <f>(Tabla2456789[[#This Row],[VENTA ]]-(Tabla2456789[[#This Row],[MONTO DE COMPRA]]+Tabla2456789[[#This Row],[DIFERENCIA IVA ]]))</f>
        <v>0</v>
      </c>
      <c r="U211" s="19"/>
    </row>
    <row r="212" spans="1:21" s="15" customFormat="1" ht="20.100000000000001" customHeight="1" x14ac:dyDescent="0.25">
      <c r="A212" s="13"/>
      <c r="B212" s="14"/>
      <c r="C212" s="14"/>
      <c r="D212" s="21"/>
      <c r="E212" s="14"/>
      <c r="G212" s="14"/>
      <c r="H212" s="18"/>
      <c r="J212" s="19">
        <f>IF(G:G="FRENOS",(Tabla2456789[[#This Row],[TOTAL FACTURA]]*0.8),(Tabla2456789[[#This Row],[TOTAL FACTURA]]*0.5))</f>
        <v>0</v>
      </c>
      <c r="K212" s="9">
        <f t="shared" si="7"/>
        <v>0</v>
      </c>
      <c r="L212" s="4"/>
      <c r="M212" s="10"/>
      <c r="N212" s="10">
        <f>Tabla2456789[[#This Row],[MONTO DE COMPRA]]/1.19</f>
        <v>0</v>
      </c>
      <c r="O212" s="10">
        <f>Tabla2456789[[#This Row],[Columna1]]*19%</f>
        <v>0</v>
      </c>
      <c r="P212" s="10"/>
      <c r="Q212" s="10">
        <f>Tabla2456789[[#This Row],[VENTA ]]/1.19</f>
        <v>0</v>
      </c>
      <c r="R212" s="10">
        <f>Tabla2456789[[#This Row],[Columna2]]*19%</f>
        <v>0</v>
      </c>
      <c r="S212" s="10">
        <f>Tabla2456789[[#This Row],[IVA VENTA ]]-Tabla2456789[[#This Row],[IV COMPRA]]</f>
        <v>0</v>
      </c>
      <c r="T212" s="10">
        <f>(Tabla2456789[[#This Row],[VENTA ]]-(Tabla2456789[[#This Row],[MONTO DE COMPRA]]+Tabla2456789[[#This Row],[DIFERENCIA IVA ]]))</f>
        <v>0</v>
      </c>
      <c r="U212" s="19"/>
    </row>
    <row r="213" spans="1:21" s="15" customFormat="1" ht="20.100000000000001" customHeight="1" x14ac:dyDescent="0.25">
      <c r="A213" s="13"/>
      <c r="B213" s="14"/>
      <c r="C213" s="14"/>
      <c r="D213" s="21"/>
      <c r="E213" s="14"/>
      <c r="G213" s="14"/>
      <c r="H213" s="18"/>
      <c r="J213" s="19">
        <f>IF(G:G="FRENOS",(Tabla2456789[[#This Row],[TOTAL FACTURA]]*0.8),(Tabla2456789[[#This Row],[TOTAL FACTURA]]*0.5))</f>
        <v>0</v>
      </c>
      <c r="K213" s="9">
        <f t="shared" si="7"/>
        <v>0</v>
      </c>
      <c r="L213" s="4"/>
      <c r="M213" s="10"/>
      <c r="N213" s="10">
        <f>Tabla2456789[[#This Row],[MONTO DE COMPRA]]/1.19</f>
        <v>0</v>
      </c>
      <c r="O213" s="10">
        <f>Tabla2456789[[#This Row],[Columna1]]*19%</f>
        <v>0</v>
      </c>
      <c r="P213" s="10"/>
      <c r="Q213" s="10">
        <f>Tabla2456789[[#This Row],[VENTA ]]/1.19</f>
        <v>0</v>
      </c>
      <c r="R213" s="10">
        <f>Tabla2456789[[#This Row],[Columna2]]*19%</f>
        <v>0</v>
      </c>
      <c r="S213" s="10">
        <f>Tabla2456789[[#This Row],[IVA VENTA ]]-Tabla2456789[[#This Row],[IV COMPRA]]</f>
        <v>0</v>
      </c>
      <c r="T213" s="10">
        <f>(Tabla2456789[[#This Row],[VENTA ]]-(Tabla2456789[[#This Row],[MONTO DE COMPRA]]+Tabla2456789[[#This Row],[DIFERENCIA IVA ]]))</f>
        <v>0</v>
      </c>
      <c r="U213" s="19"/>
    </row>
    <row r="214" spans="1:21" s="15" customFormat="1" ht="20.100000000000001" customHeight="1" x14ac:dyDescent="0.25">
      <c r="A214" s="13"/>
      <c r="B214" s="14"/>
      <c r="C214" s="14"/>
      <c r="D214" s="21"/>
      <c r="E214" s="14"/>
      <c r="G214" s="14"/>
      <c r="H214" s="18"/>
      <c r="J214" s="19">
        <f>IF(G:G="FRENOS",(Tabla2456789[[#This Row],[TOTAL FACTURA]]*0.8),(Tabla2456789[[#This Row],[TOTAL FACTURA]]*0.5))</f>
        <v>0</v>
      </c>
      <c r="K214" s="9">
        <f t="shared" si="7"/>
        <v>0</v>
      </c>
      <c r="L214" s="4"/>
      <c r="M214" s="10"/>
      <c r="N214" s="10">
        <f>Tabla2456789[[#This Row],[MONTO DE COMPRA]]/1.19</f>
        <v>0</v>
      </c>
      <c r="O214" s="10">
        <f>Tabla2456789[[#This Row],[Columna1]]*19%</f>
        <v>0</v>
      </c>
      <c r="P214" s="10"/>
      <c r="Q214" s="10">
        <f>Tabla2456789[[#This Row],[VENTA ]]/1.19</f>
        <v>0</v>
      </c>
      <c r="R214" s="10">
        <f>Tabla2456789[[#This Row],[Columna2]]*19%</f>
        <v>0</v>
      </c>
      <c r="S214" s="10">
        <f>Tabla2456789[[#This Row],[IVA VENTA ]]-Tabla2456789[[#This Row],[IV COMPRA]]</f>
        <v>0</v>
      </c>
      <c r="T214" s="10">
        <f>(Tabla2456789[[#This Row],[VENTA ]]-(Tabla2456789[[#This Row],[MONTO DE COMPRA]]+Tabla2456789[[#This Row],[DIFERENCIA IVA ]]))</f>
        <v>0</v>
      </c>
      <c r="U214" s="19"/>
    </row>
    <row r="215" spans="1:21" s="15" customFormat="1" ht="20.100000000000001" customHeight="1" x14ac:dyDescent="0.25">
      <c r="A215" s="13"/>
      <c r="B215" s="14"/>
      <c r="D215" s="21"/>
      <c r="G215" s="14"/>
      <c r="H215" s="18"/>
      <c r="J215" s="20">
        <f>IF(G:G="FRENOS",(Tabla2456789[[#This Row],[TOTAL FACTURA]]*0.8),(Tabla2456789[[#This Row],[TOTAL FACTURA]]*0.5))</f>
        <v>0</v>
      </c>
      <c r="K215" s="9">
        <f t="shared" si="7"/>
        <v>0</v>
      </c>
      <c r="L215" s="4"/>
      <c r="M215" s="10"/>
      <c r="N215" s="10">
        <f>Tabla2456789[[#This Row],[MONTO DE COMPRA]]/1.19</f>
        <v>0</v>
      </c>
      <c r="O215" s="10">
        <f>Tabla2456789[[#This Row],[Columna1]]*19%</f>
        <v>0</v>
      </c>
      <c r="P215" s="10"/>
      <c r="Q215" s="10">
        <f>Tabla2456789[[#This Row],[VENTA ]]/1.19</f>
        <v>0</v>
      </c>
      <c r="R215" s="10">
        <f>Tabla2456789[[#This Row],[Columna2]]*19%</f>
        <v>0</v>
      </c>
      <c r="S215" s="10">
        <f>Tabla2456789[[#This Row],[IVA VENTA ]]-Tabla2456789[[#This Row],[IV COMPRA]]</f>
        <v>0</v>
      </c>
      <c r="T215" s="10">
        <f>(Tabla2456789[[#This Row],[VENTA ]]-(Tabla2456789[[#This Row],[MONTO DE COMPRA]]+Tabla2456789[[#This Row],[DIFERENCIA IVA ]]))</f>
        <v>0</v>
      </c>
    </row>
    <row r="216" spans="1:21" s="15" customFormat="1" ht="20.100000000000001" customHeight="1" x14ac:dyDescent="0.25">
      <c r="A216" s="13"/>
      <c r="B216" s="14"/>
      <c r="D216" s="21"/>
      <c r="G216" s="14"/>
      <c r="H216" s="18"/>
      <c r="J216" s="20">
        <f>IF(G:G="FRENOS",(Tabla2456789[[#This Row],[TOTAL FACTURA]]*0.8),(Tabla2456789[[#This Row],[TOTAL FACTURA]]*0.5))</f>
        <v>0</v>
      </c>
      <c r="K216" s="9">
        <f t="shared" si="7"/>
        <v>0</v>
      </c>
      <c r="L216" s="4"/>
      <c r="M216" s="10"/>
      <c r="N216" s="10">
        <f>Tabla2456789[[#This Row],[MONTO DE COMPRA]]/1.19</f>
        <v>0</v>
      </c>
      <c r="O216" s="10">
        <f>Tabla2456789[[#This Row],[Columna1]]*19%</f>
        <v>0</v>
      </c>
      <c r="P216" s="10"/>
      <c r="Q216" s="10">
        <f>Tabla2456789[[#This Row],[VENTA ]]/1.19</f>
        <v>0</v>
      </c>
      <c r="R216" s="10">
        <f>Tabla2456789[[#This Row],[Columna2]]*19%</f>
        <v>0</v>
      </c>
      <c r="S216" s="10">
        <f>Tabla2456789[[#This Row],[IVA VENTA ]]-Tabla2456789[[#This Row],[IV COMPRA]]</f>
        <v>0</v>
      </c>
      <c r="T216" s="10">
        <f>(Tabla2456789[[#This Row],[VENTA ]]-(Tabla2456789[[#This Row],[MONTO DE COMPRA]]+Tabla2456789[[#This Row],[DIFERENCIA IVA ]]))</f>
        <v>0</v>
      </c>
    </row>
    <row r="217" spans="1:21" s="15" customFormat="1" ht="20.100000000000001" customHeight="1" x14ac:dyDescent="0.25">
      <c r="A217" s="13"/>
      <c r="B217" s="14"/>
      <c r="C217" s="14"/>
      <c r="D217" s="21"/>
      <c r="G217" s="14"/>
      <c r="H217" s="16"/>
      <c r="J217" s="20">
        <f>IF(G:G="FRENOS",(Tabla2456789[[#This Row],[TOTAL FACTURA]]*0.8),(Tabla2456789[[#This Row],[TOTAL FACTURA]]*0.5))</f>
        <v>0</v>
      </c>
      <c r="K217" s="9">
        <f t="shared" si="7"/>
        <v>0</v>
      </c>
      <c r="L217" s="4"/>
      <c r="M217" s="10"/>
      <c r="N217" s="10">
        <f>Tabla2456789[[#This Row],[MONTO DE COMPRA]]/1.19</f>
        <v>0</v>
      </c>
      <c r="O217" s="10">
        <f>Tabla2456789[[#This Row],[Columna1]]*19%</f>
        <v>0</v>
      </c>
      <c r="P217" s="10"/>
      <c r="Q217" s="10">
        <f>Tabla2456789[[#This Row],[VENTA ]]/1.19</f>
        <v>0</v>
      </c>
      <c r="R217" s="10">
        <f>Tabla2456789[[#This Row],[Columna2]]*19%</f>
        <v>0</v>
      </c>
      <c r="S217" s="10">
        <f>Tabla2456789[[#This Row],[IVA VENTA ]]-Tabla2456789[[#This Row],[IV COMPRA]]</f>
        <v>0</v>
      </c>
      <c r="T217" s="10">
        <f>(Tabla2456789[[#This Row],[VENTA ]]-(Tabla2456789[[#This Row],[MONTO DE COMPRA]]+Tabla2456789[[#This Row],[DIFERENCIA IVA ]]))</f>
        <v>0</v>
      </c>
    </row>
    <row r="218" spans="1:21" s="15" customFormat="1" ht="20.100000000000001" customHeight="1" x14ac:dyDescent="0.25">
      <c r="A218" s="13"/>
      <c r="B218" s="14"/>
      <c r="D218" s="21"/>
      <c r="G218" s="14"/>
      <c r="H218" s="18"/>
      <c r="J218" s="20">
        <f>IF(G:G="FRENOS",(Tabla2456789[[#This Row],[TOTAL FACTURA]]*0.8),(Tabla2456789[[#This Row],[TOTAL FACTURA]]*0.5))</f>
        <v>0</v>
      </c>
      <c r="K218" s="9">
        <f t="shared" si="7"/>
        <v>0</v>
      </c>
      <c r="L218" s="4"/>
      <c r="M218" s="10"/>
      <c r="N218" s="10">
        <f>Tabla2456789[[#This Row],[MONTO DE COMPRA]]/1.19</f>
        <v>0</v>
      </c>
      <c r="O218" s="10">
        <f>Tabla2456789[[#This Row],[Columna1]]*19%</f>
        <v>0</v>
      </c>
      <c r="P218" s="10"/>
      <c r="Q218" s="10">
        <f>Tabla2456789[[#This Row],[VENTA ]]/1.19</f>
        <v>0</v>
      </c>
      <c r="R218" s="10">
        <f>Tabla2456789[[#This Row],[Columna2]]*19%</f>
        <v>0</v>
      </c>
      <c r="S218" s="10">
        <f>Tabla2456789[[#This Row],[IVA VENTA ]]-Tabla2456789[[#This Row],[IV COMPRA]]</f>
        <v>0</v>
      </c>
      <c r="T218" s="10">
        <f>(Tabla2456789[[#This Row],[VENTA ]]-(Tabla2456789[[#This Row],[MONTO DE COMPRA]]+Tabla2456789[[#This Row],[DIFERENCIA IVA ]]))</f>
        <v>0</v>
      </c>
    </row>
    <row r="219" spans="1:21" s="15" customFormat="1" ht="20.100000000000001" customHeight="1" x14ac:dyDescent="0.25">
      <c r="A219" s="13"/>
      <c r="B219" s="14"/>
      <c r="C219" s="14"/>
      <c r="D219" s="21"/>
      <c r="E219" s="14"/>
      <c r="G219" s="14"/>
      <c r="H219" s="18"/>
      <c r="J219" s="19">
        <f>IF(G:G="FRENOS",(Tabla2456789[[#This Row],[TOTAL FACTURA]]*0.8),(Tabla2456789[[#This Row],[TOTAL FACTURA]]*0.5))</f>
        <v>0</v>
      </c>
      <c r="K219" s="9">
        <f t="shared" si="7"/>
        <v>0</v>
      </c>
      <c r="L219" s="4"/>
      <c r="M219" s="10"/>
      <c r="N219" s="10">
        <f>Tabla2456789[[#This Row],[MONTO DE COMPRA]]/1.19</f>
        <v>0</v>
      </c>
      <c r="O219" s="10">
        <f>Tabla2456789[[#This Row],[Columna1]]*19%</f>
        <v>0</v>
      </c>
      <c r="P219" s="10"/>
      <c r="Q219" s="10">
        <f>Tabla2456789[[#This Row],[VENTA ]]/1.19</f>
        <v>0</v>
      </c>
      <c r="R219" s="10">
        <f>Tabla2456789[[#This Row],[Columna2]]*19%</f>
        <v>0</v>
      </c>
      <c r="S219" s="10">
        <f>Tabla2456789[[#This Row],[IVA VENTA ]]-Tabla2456789[[#This Row],[IV COMPRA]]</f>
        <v>0</v>
      </c>
      <c r="T219" s="10">
        <f>(Tabla2456789[[#This Row],[VENTA ]]-(Tabla2456789[[#This Row],[MONTO DE COMPRA]]+Tabla2456789[[#This Row],[DIFERENCIA IVA ]]))</f>
        <v>0</v>
      </c>
      <c r="U219" s="19"/>
    </row>
    <row r="220" spans="1:21" s="15" customFormat="1" ht="20.100000000000001" customHeight="1" x14ac:dyDescent="0.25">
      <c r="A220" s="13"/>
      <c r="B220" s="14"/>
      <c r="C220" s="14"/>
      <c r="D220" s="21"/>
      <c r="E220" s="14"/>
      <c r="G220" s="14"/>
      <c r="H220" s="18"/>
      <c r="J220" s="19">
        <f>IF(G:G="FRENOS",(Tabla2456789[[#This Row],[TOTAL FACTURA]]*0.8),(Tabla2456789[[#This Row],[TOTAL FACTURA]]*0.5))</f>
        <v>0</v>
      </c>
      <c r="K220" s="9">
        <f t="shared" si="7"/>
        <v>0</v>
      </c>
      <c r="L220" s="4"/>
      <c r="M220" s="10"/>
      <c r="N220" s="10">
        <f>Tabla2456789[[#This Row],[MONTO DE COMPRA]]/1.19</f>
        <v>0</v>
      </c>
      <c r="O220" s="10">
        <f>Tabla2456789[[#This Row],[Columna1]]*19%</f>
        <v>0</v>
      </c>
      <c r="P220" s="10"/>
      <c r="Q220" s="10">
        <f>Tabla2456789[[#This Row],[VENTA ]]/1.19</f>
        <v>0</v>
      </c>
      <c r="R220" s="10">
        <f>Tabla2456789[[#This Row],[Columna2]]*19%</f>
        <v>0</v>
      </c>
      <c r="S220" s="10">
        <f>Tabla2456789[[#This Row],[IVA VENTA ]]-Tabla2456789[[#This Row],[IV COMPRA]]</f>
        <v>0</v>
      </c>
      <c r="T220" s="10">
        <f>(Tabla2456789[[#This Row],[VENTA ]]-(Tabla2456789[[#This Row],[MONTO DE COMPRA]]+Tabla2456789[[#This Row],[DIFERENCIA IVA ]]))</f>
        <v>0</v>
      </c>
      <c r="U220" s="19"/>
    </row>
    <row r="221" spans="1:21" s="15" customFormat="1" ht="20.100000000000001" customHeight="1" x14ac:dyDescent="0.25">
      <c r="A221" s="13"/>
      <c r="B221" s="14"/>
      <c r="C221" s="14"/>
      <c r="D221" s="21"/>
      <c r="E221" s="14"/>
      <c r="G221" s="14"/>
      <c r="H221" s="18"/>
      <c r="J221" s="19">
        <f>IF(G:G="FRENOS",(Tabla2456789[[#This Row],[TOTAL FACTURA]]*0.8),(Tabla2456789[[#This Row],[TOTAL FACTURA]]*0.5))</f>
        <v>0</v>
      </c>
      <c r="K221" s="9">
        <f t="shared" si="7"/>
        <v>0</v>
      </c>
      <c r="L221" s="4"/>
      <c r="M221" s="10"/>
      <c r="N221" s="10">
        <f>Tabla2456789[[#This Row],[MONTO DE COMPRA]]/1.19</f>
        <v>0</v>
      </c>
      <c r="O221" s="10">
        <f>Tabla2456789[[#This Row],[Columna1]]*19%</f>
        <v>0</v>
      </c>
      <c r="P221" s="10"/>
      <c r="Q221" s="10">
        <f>Tabla2456789[[#This Row],[VENTA ]]/1.19</f>
        <v>0</v>
      </c>
      <c r="R221" s="10">
        <f>Tabla2456789[[#This Row],[Columna2]]*19%</f>
        <v>0</v>
      </c>
      <c r="S221" s="10">
        <f>Tabla2456789[[#This Row],[IVA VENTA ]]-Tabla2456789[[#This Row],[IV COMPRA]]</f>
        <v>0</v>
      </c>
      <c r="T221" s="10">
        <f>(Tabla2456789[[#This Row],[VENTA ]]-(Tabla2456789[[#This Row],[MONTO DE COMPRA]]+Tabla2456789[[#This Row],[DIFERENCIA IVA ]]))</f>
        <v>0</v>
      </c>
      <c r="U221" s="19"/>
    </row>
    <row r="222" spans="1:21" s="15" customFormat="1" ht="20.100000000000001" customHeight="1" x14ac:dyDescent="0.25">
      <c r="A222" s="13"/>
      <c r="B222" s="14"/>
      <c r="C222" s="14"/>
      <c r="D222" s="21"/>
      <c r="E222" s="14"/>
      <c r="G222" s="14"/>
      <c r="H222" s="18"/>
      <c r="J222" s="19">
        <f>IF(G:G="FRENOS",(Tabla2456789[[#This Row],[TOTAL FACTURA]]*0.8),(Tabla2456789[[#This Row],[TOTAL FACTURA]]*0.5))</f>
        <v>0</v>
      </c>
      <c r="K222" s="9">
        <f t="shared" si="7"/>
        <v>0</v>
      </c>
      <c r="L222" s="4"/>
      <c r="M222" s="10"/>
      <c r="N222" s="10">
        <f>Tabla2456789[[#This Row],[MONTO DE COMPRA]]/1.19</f>
        <v>0</v>
      </c>
      <c r="O222" s="10">
        <f>Tabla2456789[[#This Row],[Columna1]]*19%</f>
        <v>0</v>
      </c>
      <c r="P222" s="10"/>
      <c r="Q222" s="10">
        <f>Tabla2456789[[#This Row],[VENTA ]]/1.19</f>
        <v>0</v>
      </c>
      <c r="R222" s="10">
        <f>Tabla2456789[[#This Row],[Columna2]]*19%</f>
        <v>0</v>
      </c>
      <c r="S222" s="10">
        <f>Tabla2456789[[#This Row],[IVA VENTA ]]-Tabla2456789[[#This Row],[IV COMPRA]]</f>
        <v>0</v>
      </c>
      <c r="T222" s="10">
        <f>(Tabla2456789[[#This Row],[VENTA ]]-(Tabla2456789[[#This Row],[MONTO DE COMPRA]]+Tabla2456789[[#This Row],[DIFERENCIA IVA ]]))</f>
        <v>0</v>
      </c>
      <c r="U222" s="19"/>
    </row>
    <row r="223" spans="1:21" s="15" customFormat="1" ht="20.100000000000001" customHeight="1" x14ac:dyDescent="0.25">
      <c r="A223" s="13"/>
      <c r="B223" s="14"/>
      <c r="C223" s="14"/>
      <c r="D223" s="21"/>
      <c r="E223" s="14"/>
      <c r="G223" s="14"/>
      <c r="H223" s="18"/>
      <c r="J223" s="19">
        <f>IF(G:G="FRENOS",(Tabla2456789[[#This Row],[TOTAL FACTURA]]*0.8),(Tabla2456789[[#This Row],[TOTAL FACTURA]]*0.5))</f>
        <v>0</v>
      </c>
      <c r="K223" s="9">
        <f t="shared" si="7"/>
        <v>0</v>
      </c>
      <c r="L223" s="4"/>
      <c r="M223" s="10"/>
      <c r="N223" s="10">
        <f>Tabla2456789[[#This Row],[MONTO DE COMPRA]]/1.19</f>
        <v>0</v>
      </c>
      <c r="O223" s="10">
        <f>Tabla2456789[[#This Row],[Columna1]]*19%</f>
        <v>0</v>
      </c>
      <c r="P223" s="10"/>
      <c r="Q223" s="10">
        <f>Tabla2456789[[#This Row],[VENTA ]]/1.19</f>
        <v>0</v>
      </c>
      <c r="R223" s="10">
        <f>Tabla2456789[[#This Row],[Columna2]]*19%</f>
        <v>0</v>
      </c>
      <c r="S223" s="10">
        <f>Tabla2456789[[#This Row],[IVA VENTA ]]-Tabla2456789[[#This Row],[IV COMPRA]]</f>
        <v>0</v>
      </c>
      <c r="T223" s="10">
        <f>(Tabla2456789[[#This Row],[VENTA ]]-(Tabla2456789[[#This Row],[MONTO DE COMPRA]]+Tabla2456789[[#This Row],[DIFERENCIA IVA ]]))</f>
        <v>0</v>
      </c>
      <c r="U223" s="19"/>
    </row>
    <row r="224" spans="1:21" s="15" customFormat="1" ht="20.100000000000001" customHeight="1" x14ac:dyDescent="0.25">
      <c r="A224" s="13"/>
      <c r="B224" s="14"/>
      <c r="C224" s="14"/>
      <c r="D224" s="21"/>
      <c r="E224" s="14"/>
      <c r="G224" s="14"/>
      <c r="H224" s="18"/>
      <c r="J224" s="19">
        <f>IF(G:G="FRENOS",(Tabla2456789[[#This Row],[TOTAL FACTURA]]*0.8),(Tabla2456789[[#This Row],[TOTAL FACTURA]]*0.5))</f>
        <v>0</v>
      </c>
      <c r="K224" s="9">
        <f t="shared" si="7"/>
        <v>0</v>
      </c>
      <c r="L224" s="4"/>
      <c r="M224" s="10"/>
      <c r="N224" s="10">
        <f>Tabla2456789[[#This Row],[MONTO DE COMPRA]]/1.19</f>
        <v>0</v>
      </c>
      <c r="O224" s="10">
        <f>Tabla2456789[[#This Row],[Columna1]]*19%</f>
        <v>0</v>
      </c>
      <c r="P224" s="10"/>
      <c r="Q224" s="10">
        <f>Tabla2456789[[#This Row],[VENTA ]]/1.19</f>
        <v>0</v>
      </c>
      <c r="R224" s="10">
        <f>Tabla2456789[[#This Row],[Columna2]]*19%</f>
        <v>0</v>
      </c>
      <c r="S224" s="10">
        <f>Tabla2456789[[#This Row],[IVA VENTA ]]-Tabla2456789[[#This Row],[IV COMPRA]]</f>
        <v>0</v>
      </c>
      <c r="T224" s="10">
        <f>(Tabla2456789[[#This Row],[VENTA ]]-(Tabla2456789[[#This Row],[MONTO DE COMPRA]]+Tabla2456789[[#This Row],[DIFERENCIA IVA ]]))</f>
        <v>0</v>
      </c>
      <c r="U224" s="19"/>
    </row>
    <row r="225" spans="1:22" s="15" customFormat="1" ht="20.100000000000001" customHeight="1" x14ac:dyDescent="0.25">
      <c r="A225" s="13"/>
      <c r="B225" s="14"/>
      <c r="C225" s="14"/>
      <c r="D225" s="21"/>
      <c r="E225" s="14"/>
      <c r="G225" s="14"/>
      <c r="H225" s="18"/>
      <c r="J225" s="19">
        <f>IF(G:G="FRENOS",(Tabla2456789[[#This Row],[TOTAL FACTURA]]*0.8),(Tabla2456789[[#This Row],[TOTAL FACTURA]]*0.5))</f>
        <v>0</v>
      </c>
      <c r="K225" s="9">
        <f t="shared" si="7"/>
        <v>0</v>
      </c>
      <c r="L225" s="4"/>
      <c r="M225" s="10"/>
      <c r="N225" s="10">
        <f>Tabla2456789[[#This Row],[MONTO DE COMPRA]]/1.19</f>
        <v>0</v>
      </c>
      <c r="O225" s="10">
        <f>Tabla2456789[[#This Row],[Columna1]]*19%</f>
        <v>0</v>
      </c>
      <c r="P225" s="10"/>
      <c r="Q225" s="10">
        <f>Tabla2456789[[#This Row],[VENTA ]]/1.19</f>
        <v>0</v>
      </c>
      <c r="R225" s="10">
        <f>Tabla2456789[[#This Row],[Columna2]]*19%</f>
        <v>0</v>
      </c>
      <c r="S225" s="10">
        <f>Tabla2456789[[#This Row],[IVA VENTA ]]-Tabla2456789[[#This Row],[IV COMPRA]]</f>
        <v>0</v>
      </c>
      <c r="T225" s="10">
        <f>(Tabla2456789[[#This Row],[VENTA ]]-(Tabla2456789[[#This Row],[MONTO DE COMPRA]]+Tabla2456789[[#This Row],[DIFERENCIA IVA ]]))</f>
        <v>0</v>
      </c>
      <c r="U225" s="19"/>
    </row>
    <row r="226" spans="1:22" s="15" customFormat="1" ht="20.100000000000001" customHeight="1" x14ac:dyDescent="0.25">
      <c r="A226" s="13"/>
      <c r="B226" s="14"/>
      <c r="C226" s="14"/>
      <c r="D226" s="22"/>
      <c r="E226" s="14"/>
      <c r="G226" s="14"/>
      <c r="H226" s="18"/>
      <c r="J226" s="19">
        <f>IF(G:G="FRENOS",(Tabla2456789[[#This Row],[TOTAL FACTURA]]*0.8),(Tabla2456789[[#This Row],[TOTAL FACTURA]]*0.5))</f>
        <v>0</v>
      </c>
      <c r="K226" s="9">
        <f t="shared" si="7"/>
        <v>0</v>
      </c>
      <c r="L226" s="4"/>
      <c r="M226" s="10"/>
      <c r="N226" s="10">
        <f>Tabla2456789[[#This Row],[MONTO DE COMPRA]]/1.19</f>
        <v>0</v>
      </c>
      <c r="O226" s="10">
        <f>Tabla2456789[[#This Row],[Columna1]]*19%</f>
        <v>0</v>
      </c>
      <c r="P226" s="10"/>
      <c r="Q226" s="10">
        <f>Tabla2456789[[#This Row],[VENTA ]]/1.19</f>
        <v>0</v>
      </c>
      <c r="R226" s="10">
        <f>Tabla2456789[[#This Row],[Columna2]]*19%</f>
        <v>0</v>
      </c>
      <c r="S226" s="10">
        <f>Tabla2456789[[#This Row],[IVA VENTA ]]-Tabla2456789[[#This Row],[IV COMPRA]]</f>
        <v>0</v>
      </c>
      <c r="T226" s="10">
        <f>(Tabla2456789[[#This Row],[VENTA ]]-(Tabla2456789[[#This Row],[MONTO DE COMPRA]]+Tabla2456789[[#This Row],[DIFERENCIA IVA ]]))</f>
        <v>0</v>
      </c>
      <c r="U226" s="19"/>
    </row>
    <row r="227" spans="1:22" s="15" customFormat="1" ht="20.100000000000001" customHeight="1" x14ac:dyDescent="0.25">
      <c r="A227" s="13"/>
      <c r="B227" s="14"/>
      <c r="C227" s="14"/>
      <c r="D227" s="22"/>
      <c r="E227" s="14"/>
      <c r="G227" s="14"/>
      <c r="H227" s="18"/>
      <c r="J227" s="17">
        <f>IF(G:G="FRENOS",(Tabla2456789[[#This Row],[TOTAL FACTURA]]*0.8),(Tabla2456789[[#This Row],[TOTAL FACTURA]]*0.5))</f>
        <v>0</v>
      </c>
      <c r="K227" s="9">
        <f t="shared" si="7"/>
        <v>0</v>
      </c>
      <c r="L227" s="4"/>
      <c r="M227" s="10"/>
      <c r="N227" s="10">
        <f>Tabla2456789[[#This Row],[MONTO DE COMPRA]]/1.19</f>
        <v>0</v>
      </c>
      <c r="O227" s="10">
        <f>Tabla2456789[[#This Row],[Columna1]]*19%</f>
        <v>0</v>
      </c>
      <c r="P227" s="10"/>
      <c r="Q227" s="10">
        <f>Tabla2456789[[#This Row],[VENTA ]]/1.19</f>
        <v>0</v>
      </c>
      <c r="R227" s="10">
        <f>Tabla2456789[[#This Row],[Columna2]]*19%</f>
        <v>0</v>
      </c>
      <c r="S227" s="10">
        <f>Tabla2456789[[#This Row],[IVA VENTA ]]-Tabla2456789[[#This Row],[IV COMPRA]]</f>
        <v>0</v>
      </c>
      <c r="T227" s="10">
        <f>(Tabla2456789[[#This Row],[VENTA ]]-(Tabla2456789[[#This Row],[MONTO DE COMPRA]]+Tabla2456789[[#This Row],[DIFERENCIA IVA ]]))</f>
        <v>0</v>
      </c>
      <c r="U227" s="19"/>
    </row>
    <row r="228" spans="1:22" s="15" customFormat="1" ht="20.100000000000001" customHeight="1" x14ac:dyDescent="0.25">
      <c r="A228" s="13"/>
      <c r="B228" s="14"/>
      <c r="C228" s="14"/>
      <c r="D228" s="21"/>
      <c r="E228" s="14"/>
      <c r="G228" s="14"/>
      <c r="H228" s="18"/>
      <c r="J228" s="19">
        <f>IF(G:G="FRENOS",(Tabla2456789[[#This Row],[TOTAL FACTURA]]*0.8),(Tabla2456789[[#This Row],[TOTAL FACTURA]]*0.5))</f>
        <v>0</v>
      </c>
      <c r="K228" s="9">
        <f t="shared" si="7"/>
        <v>0</v>
      </c>
      <c r="L228" s="4"/>
      <c r="M228" s="10"/>
      <c r="N228" s="10">
        <f>Tabla2456789[[#This Row],[MONTO DE COMPRA]]/1.19</f>
        <v>0</v>
      </c>
      <c r="O228" s="10">
        <f>Tabla2456789[[#This Row],[Columna1]]*19%</f>
        <v>0</v>
      </c>
      <c r="P228" s="10"/>
      <c r="Q228" s="10">
        <f>Tabla2456789[[#This Row],[VENTA ]]/1.19</f>
        <v>0</v>
      </c>
      <c r="R228" s="10">
        <f>Tabla2456789[[#This Row],[Columna2]]*19%</f>
        <v>0</v>
      </c>
      <c r="S228" s="10">
        <f>Tabla2456789[[#This Row],[IVA VENTA ]]-Tabla2456789[[#This Row],[IV COMPRA]]</f>
        <v>0</v>
      </c>
      <c r="T228" s="10">
        <f>(Tabla2456789[[#This Row],[VENTA ]]-(Tabla2456789[[#This Row],[MONTO DE COMPRA]]+Tabla2456789[[#This Row],[DIFERENCIA IVA ]]))</f>
        <v>0</v>
      </c>
      <c r="U228" s="19"/>
      <c r="V228" s="17"/>
    </row>
    <row r="229" spans="1:22" s="15" customFormat="1" ht="20.100000000000001" customHeight="1" x14ac:dyDescent="0.25">
      <c r="A229" s="13"/>
      <c r="B229" s="14"/>
      <c r="C229" s="14"/>
      <c r="D229" s="21"/>
      <c r="E229" s="14"/>
      <c r="G229" s="14"/>
      <c r="H229" s="18"/>
      <c r="J229" s="19">
        <f>IF(G:G="FRENOS",(Tabla2456789[[#This Row],[TOTAL FACTURA]]*0.8),(Tabla2456789[[#This Row],[TOTAL FACTURA]]*0.5))</f>
        <v>0</v>
      </c>
      <c r="K229" s="9">
        <f t="shared" si="7"/>
        <v>0</v>
      </c>
      <c r="L229" s="4"/>
      <c r="M229" s="10"/>
      <c r="N229" s="10">
        <f>Tabla2456789[[#This Row],[MONTO DE COMPRA]]/1.19</f>
        <v>0</v>
      </c>
      <c r="O229" s="10">
        <f>Tabla2456789[[#This Row],[Columna1]]*19%</f>
        <v>0</v>
      </c>
      <c r="P229" s="10"/>
      <c r="Q229" s="10">
        <f>Tabla2456789[[#This Row],[VENTA ]]/1.19</f>
        <v>0</v>
      </c>
      <c r="R229" s="10">
        <f>Tabla2456789[[#This Row],[Columna2]]*19%</f>
        <v>0</v>
      </c>
      <c r="S229" s="10">
        <f>Tabla2456789[[#This Row],[IVA VENTA ]]-Tabla2456789[[#This Row],[IV COMPRA]]</f>
        <v>0</v>
      </c>
      <c r="T229" s="10">
        <f>(Tabla2456789[[#This Row],[VENTA ]]-(Tabla2456789[[#This Row],[MONTO DE COMPRA]]+Tabla2456789[[#This Row],[DIFERENCIA IVA ]]))</f>
        <v>0</v>
      </c>
      <c r="U229" s="19"/>
      <c r="V229" s="17"/>
    </row>
    <row r="230" spans="1:22" s="15" customFormat="1" ht="20.100000000000001" customHeight="1" x14ac:dyDescent="0.25">
      <c r="A230" s="13"/>
      <c r="B230" s="14"/>
      <c r="C230" s="14"/>
      <c r="D230" s="21"/>
      <c r="E230" s="14"/>
      <c r="G230" s="14"/>
      <c r="H230" s="18"/>
      <c r="J230" s="19">
        <f>IF(G:G="FRENOS",(Tabla2456789[[#This Row],[TOTAL FACTURA]]*0.8),(Tabla2456789[[#This Row],[TOTAL FACTURA]]*0.5))</f>
        <v>0</v>
      </c>
      <c r="K230" s="9">
        <f t="shared" si="7"/>
        <v>0</v>
      </c>
      <c r="L230" s="4"/>
      <c r="M230" s="10"/>
      <c r="N230" s="10">
        <f>Tabla2456789[[#This Row],[MONTO DE COMPRA]]/1.19</f>
        <v>0</v>
      </c>
      <c r="O230" s="10">
        <f>Tabla2456789[[#This Row],[Columna1]]*19%</f>
        <v>0</v>
      </c>
      <c r="P230" s="10"/>
      <c r="Q230" s="10">
        <f>Tabla2456789[[#This Row],[VENTA ]]/1.19</f>
        <v>0</v>
      </c>
      <c r="R230" s="10">
        <f>Tabla2456789[[#This Row],[Columna2]]*19%</f>
        <v>0</v>
      </c>
      <c r="S230" s="10">
        <f>Tabla2456789[[#This Row],[IVA VENTA ]]-Tabla2456789[[#This Row],[IV COMPRA]]</f>
        <v>0</v>
      </c>
      <c r="T230" s="10">
        <f>(Tabla2456789[[#This Row],[VENTA ]]-(Tabla2456789[[#This Row],[MONTO DE COMPRA]]+Tabla2456789[[#This Row],[DIFERENCIA IVA ]]))</f>
        <v>0</v>
      </c>
      <c r="U230" s="19"/>
      <c r="V230" s="17"/>
    </row>
    <row r="231" spans="1:22" s="15" customFormat="1" ht="20.100000000000001" customHeight="1" x14ac:dyDescent="0.25">
      <c r="A231" s="13"/>
      <c r="B231" s="14"/>
      <c r="C231" s="14"/>
      <c r="D231" s="21"/>
      <c r="E231" s="14"/>
      <c r="G231" s="14"/>
      <c r="H231" s="18"/>
      <c r="J231" s="19">
        <f>IF(G:G="FRENOS",(Tabla2456789[[#This Row],[TOTAL FACTURA]]*0.8),(Tabla2456789[[#This Row],[TOTAL FACTURA]]*0.5))</f>
        <v>0</v>
      </c>
      <c r="K231" s="9">
        <f t="shared" si="7"/>
        <v>0</v>
      </c>
      <c r="L231" s="4"/>
      <c r="M231" s="10"/>
      <c r="N231" s="10">
        <f>Tabla2456789[[#This Row],[MONTO DE COMPRA]]/1.19</f>
        <v>0</v>
      </c>
      <c r="O231" s="10">
        <f>Tabla2456789[[#This Row],[Columna1]]*19%</f>
        <v>0</v>
      </c>
      <c r="P231" s="10"/>
      <c r="Q231" s="10">
        <f>Tabla2456789[[#This Row],[VENTA ]]/1.19</f>
        <v>0</v>
      </c>
      <c r="R231" s="10">
        <f>Tabla2456789[[#This Row],[Columna2]]*19%</f>
        <v>0</v>
      </c>
      <c r="S231" s="10">
        <f>Tabla2456789[[#This Row],[IVA VENTA ]]-Tabla2456789[[#This Row],[IV COMPRA]]</f>
        <v>0</v>
      </c>
      <c r="T231" s="10">
        <f>(Tabla2456789[[#This Row],[VENTA ]]-(Tabla2456789[[#This Row],[MONTO DE COMPRA]]+Tabla2456789[[#This Row],[DIFERENCIA IVA ]]))</f>
        <v>0</v>
      </c>
      <c r="U231" s="19"/>
      <c r="V231" s="17"/>
    </row>
    <row r="232" spans="1:22" s="15" customFormat="1" ht="20.100000000000001" customHeight="1" x14ac:dyDescent="0.25">
      <c r="A232" s="13"/>
      <c r="B232" s="14"/>
      <c r="C232" s="14"/>
      <c r="D232" s="21"/>
      <c r="E232" s="14"/>
      <c r="G232" s="14"/>
      <c r="H232" s="18"/>
      <c r="J232" s="19">
        <f>IF(G:G="FRENOS",(Tabla2456789[[#This Row],[TOTAL FACTURA]]*0.8),(Tabla2456789[[#This Row],[TOTAL FACTURA]]*0.5))</f>
        <v>0</v>
      </c>
      <c r="K232" s="9">
        <f t="shared" si="7"/>
        <v>0</v>
      </c>
      <c r="L232" s="4"/>
      <c r="M232" s="10"/>
      <c r="N232" s="10">
        <f>Tabla2456789[[#This Row],[MONTO DE COMPRA]]/1.19</f>
        <v>0</v>
      </c>
      <c r="O232" s="10">
        <f>Tabla2456789[[#This Row],[Columna1]]*19%</f>
        <v>0</v>
      </c>
      <c r="P232" s="10"/>
      <c r="Q232" s="10">
        <f>Tabla2456789[[#This Row],[VENTA ]]/1.19</f>
        <v>0</v>
      </c>
      <c r="R232" s="10">
        <f>Tabla2456789[[#This Row],[Columna2]]*19%</f>
        <v>0</v>
      </c>
      <c r="S232" s="10">
        <f>Tabla2456789[[#This Row],[IVA VENTA ]]-Tabla2456789[[#This Row],[IV COMPRA]]</f>
        <v>0</v>
      </c>
      <c r="T232" s="10">
        <f>(Tabla2456789[[#This Row],[VENTA ]]-(Tabla2456789[[#This Row],[MONTO DE COMPRA]]+Tabla2456789[[#This Row],[DIFERENCIA IVA ]]))</f>
        <v>0</v>
      </c>
      <c r="U232" s="19"/>
      <c r="V232" s="17"/>
    </row>
    <row r="233" spans="1:22" s="15" customFormat="1" ht="20.100000000000001" customHeight="1" x14ac:dyDescent="0.25">
      <c r="A233" s="13"/>
      <c r="B233" s="14"/>
      <c r="C233" s="14"/>
      <c r="D233" s="21"/>
      <c r="E233" s="14"/>
      <c r="G233" s="14"/>
      <c r="H233" s="16"/>
      <c r="J233" s="17">
        <f>IF(G:G="FRENOS",(Tabla2456789[[#This Row],[TOTAL FACTURA]]*0.8),(Tabla2456789[[#This Row],[TOTAL FACTURA]]*0.5))</f>
        <v>0</v>
      </c>
      <c r="K233" s="9">
        <f t="shared" si="7"/>
        <v>0</v>
      </c>
      <c r="L233" s="4"/>
      <c r="M233" s="10"/>
      <c r="N233" s="10">
        <f>Tabla2456789[[#This Row],[MONTO DE COMPRA]]/1.19</f>
        <v>0</v>
      </c>
      <c r="O233" s="10">
        <f>Tabla2456789[[#This Row],[Columna1]]*19%</f>
        <v>0</v>
      </c>
      <c r="P233" s="10"/>
      <c r="Q233" s="10">
        <f>Tabla2456789[[#This Row],[VENTA ]]/1.19</f>
        <v>0</v>
      </c>
      <c r="R233" s="10">
        <f>Tabla2456789[[#This Row],[Columna2]]*19%</f>
        <v>0</v>
      </c>
      <c r="S233" s="10">
        <f>Tabla2456789[[#This Row],[IVA VENTA ]]-Tabla2456789[[#This Row],[IV COMPRA]]</f>
        <v>0</v>
      </c>
      <c r="T233" s="10">
        <f>(Tabla2456789[[#This Row],[VENTA ]]-(Tabla2456789[[#This Row],[MONTO DE COMPRA]]+Tabla2456789[[#This Row],[DIFERENCIA IVA ]]))</f>
        <v>0</v>
      </c>
      <c r="U233" s="19"/>
      <c r="V233" s="17"/>
    </row>
    <row r="234" spans="1:22" s="15" customFormat="1" ht="20.100000000000001" customHeight="1" x14ac:dyDescent="0.25">
      <c r="A234" s="13"/>
      <c r="B234" s="14"/>
      <c r="C234" s="14"/>
      <c r="D234" s="22"/>
      <c r="E234" s="14"/>
      <c r="G234" s="14"/>
      <c r="H234" s="18"/>
      <c r="J234" s="19">
        <f>IF(G:G="FRENOS",(Tabla2456789[[#This Row],[TOTAL FACTURA]]*0.8),(Tabla2456789[[#This Row],[TOTAL FACTURA]]*0.5))</f>
        <v>0</v>
      </c>
      <c r="K234" s="9">
        <f t="shared" si="7"/>
        <v>0</v>
      </c>
      <c r="L234" s="4"/>
      <c r="M234" s="10"/>
      <c r="N234" s="10">
        <f>Tabla2456789[[#This Row],[MONTO DE COMPRA]]/1.19</f>
        <v>0</v>
      </c>
      <c r="O234" s="10">
        <f>Tabla2456789[[#This Row],[Columna1]]*19%</f>
        <v>0</v>
      </c>
      <c r="P234" s="10"/>
      <c r="Q234" s="10">
        <f>Tabla2456789[[#This Row],[VENTA ]]/1.19</f>
        <v>0</v>
      </c>
      <c r="R234" s="10">
        <f>Tabla2456789[[#This Row],[Columna2]]*19%</f>
        <v>0</v>
      </c>
      <c r="S234" s="10">
        <f>Tabla2456789[[#This Row],[IVA VENTA ]]-Tabla2456789[[#This Row],[IV COMPRA]]</f>
        <v>0</v>
      </c>
      <c r="T234" s="10">
        <f>(Tabla2456789[[#This Row],[VENTA ]]-(Tabla2456789[[#This Row],[MONTO DE COMPRA]]+Tabla2456789[[#This Row],[DIFERENCIA IVA ]]))</f>
        <v>0</v>
      </c>
      <c r="U234" s="19"/>
      <c r="V234" s="17"/>
    </row>
    <row r="235" spans="1:22" s="15" customFormat="1" ht="20.100000000000001" customHeight="1" x14ac:dyDescent="0.25">
      <c r="A235" s="13"/>
      <c r="B235" s="14"/>
      <c r="C235" s="14"/>
      <c r="D235" s="21"/>
      <c r="E235" s="14"/>
      <c r="G235" s="14"/>
      <c r="H235" s="18"/>
      <c r="J235" s="19">
        <f>IF(G:G="FRENOS",(Tabla2456789[[#This Row],[TOTAL FACTURA]]*0.8),(Tabla2456789[[#This Row],[TOTAL FACTURA]]*0.5))</f>
        <v>0</v>
      </c>
      <c r="K235" s="9">
        <f t="shared" si="7"/>
        <v>0</v>
      </c>
      <c r="L235" s="4"/>
      <c r="M235" s="10"/>
      <c r="N235" s="10">
        <f>Tabla2456789[[#This Row],[MONTO DE COMPRA]]/1.19</f>
        <v>0</v>
      </c>
      <c r="O235" s="10">
        <f>Tabla2456789[[#This Row],[Columna1]]*19%</f>
        <v>0</v>
      </c>
      <c r="P235" s="10"/>
      <c r="Q235" s="10">
        <f>Tabla2456789[[#This Row],[VENTA ]]/1.19</f>
        <v>0</v>
      </c>
      <c r="R235" s="10">
        <f>Tabla2456789[[#This Row],[Columna2]]*19%</f>
        <v>0</v>
      </c>
      <c r="S235" s="10">
        <f>Tabla2456789[[#This Row],[IVA VENTA ]]-Tabla2456789[[#This Row],[IV COMPRA]]</f>
        <v>0</v>
      </c>
      <c r="T235" s="10">
        <f>(Tabla2456789[[#This Row],[VENTA ]]-(Tabla2456789[[#This Row],[MONTO DE COMPRA]]+Tabla2456789[[#This Row],[DIFERENCIA IVA ]]))</f>
        <v>0</v>
      </c>
      <c r="U235" s="19"/>
      <c r="V235" s="17"/>
    </row>
    <row r="236" spans="1:22" s="15" customFormat="1" ht="20.100000000000001" customHeight="1" x14ac:dyDescent="0.25">
      <c r="A236" s="13"/>
      <c r="B236" s="14"/>
      <c r="C236" s="14"/>
      <c r="D236" s="21"/>
      <c r="E236" s="14"/>
      <c r="G236" s="14"/>
      <c r="H236" s="18"/>
      <c r="J236" s="19">
        <f>IF(G:G="FRENOS",(Tabla2456789[[#This Row],[TOTAL FACTURA]]*0.8),(Tabla2456789[[#This Row],[TOTAL FACTURA]]*0.5))</f>
        <v>0</v>
      </c>
      <c r="K236" s="9">
        <f t="shared" si="7"/>
        <v>0</v>
      </c>
      <c r="L236" s="4"/>
      <c r="M236" s="10"/>
      <c r="N236" s="10">
        <f>Tabla2456789[[#This Row],[MONTO DE COMPRA]]/1.19</f>
        <v>0</v>
      </c>
      <c r="O236" s="10">
        <f>Tabla2456789[[#This Row],[Columna1]]*19%</f>
        <v>0</v>
      </c>
      <c r="P236" s="10"/>
      <c r="Q236" s="10">
        <f>Tabla2456789[[#This Row],[VENTA ]]/1.19</f>
        <v>0</v>
      </c>
      <c r="R236" s="10">
        <f>Tabla2456789[[#This Row],[Columna2]]*19%</f>
        <v>0</v>
      </c>
      <c r="S236" s="10">
        <f>Tabla2456789[[#This Row],[IVA VENTA ]]-Tabla2456789[[#This Row],[IV COMPRA]]</f>
        <v>0</v>
      </c>
      <c r="T236" s="10">
        <f>(Tabla2456789[[#This Row],[VENTA ]]-(Tabla2456789[[#This Row],[MONTO DE COMPRA]]+Tabla2456789[[#This Row],[DIFERENCIA IVA ]]))</f>
        <v>0</v>
      </c>
      <c r="U236" s="19"/>
      <c r="V236" s="17"/>
    </row>
    <row r="237" spans="1:22" s="15" customFormat="1" ht="20.100000000000001" customHeight="1" x14ac:dyDescent="0.25">
      <c r="A237" s="13"/>
      <c r="B237" s="14"/>
      <c r="G237" s="14"/>
      <c r="H237" s="20"/>
      <c r="J237" s="17">
        <f>IF(G:G="FRENOS",(Tabla2456789[[#This Row],[TOTAL FACTURA]]*0.8),(Tabla2456789[[#This Row],[TOTAL FACTURA]]*0.5))</f>
        <v>0</v>
      </c>
      <c r="K237" s="9">
        <f t="shared" ref="K237:K247" si="8">I544-J237</f>
        <v>0</v>
      </c>
      <c r="L237" s="4"/>
      <c r="M237" s="10"/>
      <c r="N237" s="10">
        <f>Tabla2456789[[#This Row],[MONTO DE COMPRA]]/1.19</f>
        <v>0</v>
      </c>
      <c r="O237" s="10">
        <f>Tabla2456789[[#This Row],[Columna1]]*19%</f>
        <v>0</v>
      </c>
      <c r="P237" s="10"/>
      <c r="Q237" s="10">
        <f>Tabla2456789[[#This Row],[VENTA ]]/1.19</f>
        <v>0</v>
      </c>
      <c r="R237" s="10">
        <f>Tabla2456789[[#This Row],[Columna2]]*19%</f>
        <v>0</v>
      </c>
      <c r="S237" s="10">
        <f>Tabla2456789[[#This Row],[IVA VENTA ]]-Tabla2456789[[#This Row],[IV COMPRA]]</f>
        <v>0</v>
      </c>
      <c r="T237" s="10">
        <f>(Tabla2456789[[#This Row],[VENTA ]]-(Tabla2456789[[#This Row],[MONTO DE COMPRA]]+Tabla2456789[[#This Row],[DIFERENCIA IVA ]]))</f>
        <v>0</v>
      </c>
      <c r="U237" s="17"/>
      <c r="V237" s="17"/>
    </row>
    <row r="238" spans="1:22" s="15" customFormat="1" ht="20.100000000000001" customHeight="1" x14ac:dyDescent="0.25">
      <c r="A238" s="13"/>
      <c r="B238" s="14"/>
      <c r="C238" s="14"/>
      <c r="D238" s="21"/>
      <c r="E238" s="14"/>
      <c r="G238" s="14"/>
      <c r="H238" s="16"/>
      <c r="J238" s="20">
        <f>IF(G:G="FRENOS",(Tabla2456789[[#This Row],[TOTAL FACTURA]]*0.8),(Tabla2456789[[#This Row],[TOTAL FACTURA]]*0.5))</f>
        <v>0</v>
      </c>
      <c r="K238" s="9">
        <f t="shared" si="8"/>
        <v>0</v>
      </c>
      <c r="L238" s="4"/>
      <c r="M238" s="10"/>
      <c r="N238" s="10">
        <f>Tabla2456789[[#This Row],[MONTO DE COMPRA]]/1.19</f>
        <v>0</v>
      </c>
      <c r="O238" s="10">
        <f>Tabla2456789[[#This Row],[Columna1]]*19%</f>
        <v>0</v>
      </c>
      <c r="P238" s="10"/>
      <c r="Q238" s="10">
        <f>Tabla2456789[[#This Row],[VENTA ]]/1.19</f>
        <v>0</v>
      </c>
      <c r="R238" s="10">
        <f>Tabla2456789[[#This Row],[Columna2]]*19%</f>
        <v>0</v>
      </c>
      <c r="S238" s="10">
        <f>Tabla2456789[[#This Row],[IVA VENTA ]]-Tabla2456789[[#This Row],[IV COMPRA]]</f>
        <v>0</v>
      </c>
      <c r="T238" s="10">
        <f>(Tabla2456789[[#This Row],[VENTA ]]-(Tabla2456789[[#This Row],[MONTO DE COMPRA]]+Tabla2456789[[#This Row],[DIFERENCIA IVA ]]))</f>
        <v>0</v>
      </c>
      <c r="U238" s="19"/>
      <c r="V238" s="17"/>
    </row>
    <row r="239" spans="1:22" s="15" customFormat="1" ht="20.100000000000001" customHeight="1" x14ac:dyDescent="0.25">
      <c r="A239" s="13"/>
      <c r="B239" s="14"/>
      <c r="C239" s="14"/>
      <c r="D239" s="21"/>
      <c r="E239" s="14"/>
      <c r="G239" s="14"/>
      <c r="H239" s="16"/>
      <c r="J239" s="20">
        <f>IF(G:G="FRENOS",(Tabla2456789[[#This Row],[TOTAL FACTURA]]*0.8),(Tabla2456789[[#This Row],[TOTAL FACTURA]]*0.5))</f>
        <v>0</v>
      </c>
      <c r="K239" s="9">
        <f t="shared" si="8"/>
        <v>0</v>
      </c>
      <c r="L239" s="4"/>
      <c r="M239" s="10"/>
      <c r="N239" s="10">
        <f>Tabla2456789[[#This Row],[MONTO DE COMPRA]]/1.19</f>
        <v>0</v>
      </c>
      <c r="O239" s="10">
        <f>Tabla2456789[[#This Row],[Columna1]]*19%</f>
        <v>0</v>
      </c>
      <c r="P239" s="10"/>
      <c r="Q239" s="10">
        <f>Tabla2456789[[#This Row],[VENTA ]]/1.19</f>
        <v>0</v>
      </c>
      <c r="R239" s="10">
        <f>Tabla2456789[[#This Row],[Columna2]]*19%</f>
        <v>0</v>
      </c>
      <c r="S239" s="10">
        <f>Tabla2456789[[#This Row],[IVA VENTA ]]-Tabla2456789[[#This Row],[IV COMPRA]]</f>
        <v>0</v>
      </c>
      <c r="T239" s="10">
        <f>(Tabla2456789[[#This Row],[VENTA ]]-(Tabla2456789[[#This Row],[MONTO DE COMPRA]]+Tabla2456789[[#This Row],[DIFERENCIA IVA ]]))</f>
        <v>0</v>
      </c>
      <c r="V239" s="17"/>
    </row>
    <row r="240" spans="1:22" s="15" customFormat="1" ht="20.100000000000001" customHeight="1" x14ac:dyDescent="0.25">
      <c r="A240" s="13"/>
      <c r="B240" s="14"/>
      <c r="C240" s="14"/>
      <c r="D240" s="22"/>
      <c r="E240" s="14"/>
      <c r="G240" s="14"/>
      <c r="H240" s="16"/>
      <c r="J240" s="20">
        <f>IF(G:G="FRENOS",(Tabla2456789[[#This Row],[TOTAL FACTURA]]*0.8),(Tabla2456789[[#This Row],[TOTAL FACTURA]]*0.5))</f>
        <v>0</v>
      </c>
      <c r="K240" s="9">
        <f t="shared" si="8"/>
        <v>0</v>
      </c>
      <c r="L240" s="4"/>
      <c r="M240" s="10"/>
      <c r="N240" s="10">
        <f>Tabla2456789[[#This Row],[MONTO DE COMPRA]]/1.19</f>
        <v>0</v>
      </c>
      <c r="O240" s="10">
        <f>Tabla2456789[[#This Row],[Columna1]]*19%</f>
        <v>0</v>
      </c>
      <c r="P240" s="10"/>
      <c r="Q240" s="10">
        <f>Tabla2456789[[#This Row],[VENTA ]]/1.19</f>
        <v>0</v>
      </c>
      <c r="R240" s="10">
        <f>Tabla2456789[[#This Row],[Columna2]]*19%</f>
        <v>0</v>
      </c>
      <c r="S240" s="10">
        <f>Tabla2456789[[#This Row],[IVA VENTA ]]-Tabla2456789[[#This Row],[IV COMPRA]]</f>
        <v>0</v>
      </c>
      <c r="T240" s="10">
        <f>(Tabla2456789[[#This Row],[VENTA ]]-(Tabla2456789[[#This Row],[MONTO DE COMPRA]]+Tabla2456789[[#This Row],[DIFERENCIA IVA ]]))</f>
        <v>0</v>
      </c>
      <c r="V240" s="17"/>
    </row>
    <row r="241" spans="1:22" s="15" customFormat="1" ht="20.100000000000001" customHeight="1" x14ac:dyDescent="0.25">
      <c r="A241" s="13"/>
      <c r="B241" s="14"/>
      <c r="C241" s="14"/>
      <c r="D241" s="14"/>
      <c r="E241" s="14"/>
      <c r="G241" s="14"/>
      <c r="H241" s="16"/>
      <c r="J241" s="20">
        <f>IF(G:G="FRENOS",(Tabla2456789[[#This Row],[TOTAL FACTURA]]*0.8),(Tabla2456789[[#This Row],[TOTAL FACTURA]]*0.5))</f>
        <v>0</v>
      </c>
      <c r="K241" s="9">
        <f t="shared" si="8"/>
        <v>0</v>
      </c>
      <c r="L241" s="4"/>
      <c r="M241" s="10"/>
      <c r="N241" s="10">
        <f>Tabla2456789[[#This Row],[MONTO DE COMPRA]]/1.19</f>
        <v>0</v>
      </c>
      <c r="O241" s="10">
        <f>Tabla2456789[[#This Row],[Columna1]]*19%</f>
        <v>0</v>
      </c>
      <c r="P241" s="10"/>
      <c r="Q241" s="10">
        <f>Tabla2456789[[#This Row],[VENTA ]]/1.19</f>
        <v>0</v>
      </c>
      <c r="R241" s="10">
        <f>Tabla2456789[[#This Row],[Columna2]]*19%</f>
        <v>0</v>
      </c>
      <c r="S241" s="10">
        <f>Tabla2456789[[#This Row],[IVA VENTA ]]-Tabla2456789[[#This Row],[IV COMPRA]]</f>
        <v>0</v>
      </c>
      <c r="T241" s="10">
        <f>(Tabla2456789[[#This Row],[VENTA ]]-(Tabla2456789[[#This Row],[MONTO DE COMPRA]]+Tabla2456789[[#This Row],[DIFERENCIA IVA ]]))</f>
        <v>0</v>
      </c>
      <c r="V241" s="17"/>
    </row>
    <row r="242" spans="1:22" s="15" customFormat="1" ht="20.100000000000001" customHeight="1" x14ac:dyDescent="0.25">
      <c r="A242" s="13"/>
      <c r="B242" s="14"/>
      <c r="C242" s="14"/>
      <c r="D242" s="14"/>
      <c r="G242" s="14"/>
      <c r="H242" s="16"/>
      <c r="J242" s="20">
        <f>IF(G:G="FRENOS",(Tabla2456789[[#This Row],[TOTAL FACTURA]]*0.8),(Tabla2456789[[#This Row],[TOTAL FACTURA]]*0.5))</f>
        <v>0</v>
      </c>
      <c r="K242" s="9">
        <f t="shared" si="8"/>
        <v>0</v>
      </c>
      <c r="L242" s="4"/>
      <c r="M242" s="10"/>
      <c r="N242" s="10">
        <f>Tabla2456789[[#This Row],[MONTO DE COMPRA]]/1.19</f>
        <v>0</v>
      </c>
      <c r="O242" s="10">
        <f>Tabla2456789[[#This Row],[Columna1]]*19%</f>
        <v>0</v>
      </c>
      <c r="P242" s="10"/>
      <c r="Q242" s="10">
        <f>Tabla2456789[[#This Row],[VENTA ]]/1.19</f>
        <v>0</v>
      </c>
      <c r="R242" s="10">
        <f>Tabla2456789[[#This Row],[Columna2]]*19%</f>
        <v>0</v>
      </c>
      <c r="S242" s="10">
        <f>Tabla2456789[[#This Row],[IVA VENTA ]]-Tabla2456789[[#This Row],[IV COMPRA]]</f>
        <v>0</v>
      </c>
      <c r="T242" s="10">
        <f>(Tabla2456789[[#This Row],[VENTA ]]-(Tabla2456789[[#This Row],[MONTO DE COMPRA]]+Tabla2456789[[#This Row],[DIFERENCIA IVA ]]))</f>
        <v>0</v>
      </c>
      <c r="V242" s="17"/>
    </row>
    <row r="243" spans="1:22" s="15" customFormat="1" ht="20.100000000000001" customHeight="1" x14ac:dyDescent="0.25">
      <c r="A243" s="13"/>
      <c r="B243" s="14"/>
      <c r="C243" s="14"/>
      <c r="D243" s="14"/>
      <c r="G243" s="14"/>
      <c r="H243" s="16"/>
      <c r="J243" s="20">
        <f>IF(G:G="FRENOS",(Tabla2456789[[#This Row],[TOTAL FACTURA]]*0.8),(Tabla2456789[[#This Row],[TOTAL FACTURA]]*0.5))</f>
        <v>0</v>
      </c>
      <c r="K243" s="9">
        <f t="shared" si="8"/>
        <v>0</v>
      </c>
      <c r="L243" s="4"/>
      <c r="M243" s="10"/>
      <c r="N243" s="10">
        <f>Tabla2456789[[#This Row],[MONTO DE COMPRA]]/1.19</f>
        <v>0</v>
      </c>
      <c r="O243" s="10">
        <f>Tabla2456789[[#This Row],[Columna1]]*19%</f>
        <v>0</v>
      </c>
      <c r="P243" s="10"/>
      <c r="Q243" s="10">
        <f>Tabla2456789[[#This Row],[VENTA ]]/1.19</f>
        <v>0</v>
      </c>
      <c r="R243" s="10">
        <f>Tabla2456789[[#This Row],[Columna2]]*19%</f>
        <v>0</v>
      </c>
      <c r="S243" s="10">
        <f>Tabla2456789[[#This Row],[IVA VENTA ]]-Tabla2456789[[#This Row],[IV COMPRA]]</f>
        <v>0</v>
      </c>
      <c r="T243" s="10">
        <f>(Tabla2456789[[#This Row],[VENTA ]]-(Tabla2456789[[#This Row],[MONTO DE COMPRA]]+Tabla2456789[[#This Row],[DIFERENCIA IVA ]]))</f>
        <v>0</v>
      </c>
      <c r="V243" s="17"/>
    </row>
    <row r="244" spans="1:22" s="15" customFormat="1" ht="20.100000000000001" customHeight="1" x14ac:dyDescent="0.25">
      <c r="A244" s="13"/>
      <c r="B244" s="14"/>
      <c r="C244" s="14"/>
      <c r="D244" s="14"/>
      <c r="G244" s="14"/>
      <c r="H244" s="16"/>
      <c r="J244" s="20">
        <f>IF(G:G="FRENOS",(Tabla2456789[[#This Row],[TOTAL FACTURA]]*0.8),(Tabla2456789[[#This Row],[TOTAL FACTURA]]*0.5))</f>
        <v>0</v>
      </c>
      <c r="K244" s="9">
        <f t="shared" si="8"/>
        <v>0</v>
      </c>
      <c r="L244" s="4"/>
      <c r="M244" s="10"/>
      <c r="N244" s="10">
        <f>Tabla2456789[[#This Row],[MONTO DE COMPRA]]/1.19</f>
        <v>0</v>
      </c>
      <c r="O244" s="10">
        <f>Tabla2456789[[#This Row],[Columna1]]*19%</f>
        <v>0</v>
      </c>
      <c r="P244" s="10"/>
      <c r="Q244" s="10">
        <f>Tabla2456789[[#This Row],[VENTA ]]/1.19</f>
        <v>0</v>
      </c>
      <c r="R244" s="10">
        <f>Tabla2456789[[#This Row],[Columna2]]*19%</f>
        <v>0</v>
      </c>
      <c r="S244" s="10">
        <f>Tabla2456789[[#This Row],[IVA VENTA ]]-Tabla2456789[[#This Row],[IV COMPRA]]</f>
        <v>0</v>
      </c>
      <c r="T244" s="10">
        <f>(Tabla2456789[[#This Row],[VENTA ]]-(Tabla2456789[[#This Row],[MONTO DE COMPRA]]+Tabla2456789[[#This Row],[DIFERENCIA IVA ]]))</f>
        <v>0</v>
      </c>
      <c r="V244" s="17"/>
    </row>
    <row r="245" spans="1:22" s="15" customFormat="1" ht="20.100000000000001" customHeight="1" x14ac:dyDescent="0.25">
      <c r="A245" s="13"/>
      <c r="B245" s="14"/>
      <c r="C245" s="14"/>
      <c r="D245" s="14"/>
      <c r="G245" s="14"/>
      <c r="H245" s="16"/>
      <c r="J245" s="20">
        <f>IF(G:G="FRENOS",(Tabla2456789[[#This Row],[TOTAL FACTURA]]*0.8),(Tabla2456789[[#This Row],[TOTAL FACTURA]]*0.5))</f>
        <v>0</v>
      </c>
      <c r="K245" s="9">
        <f t="shared" si="8"/>
        <v>0</v>
      </c>
      <c r="L245" s="4"/>
      <c r="M245" s="10"/>
      <c r="N245" s="10">
        <f>Tabla2456789[[#This Row],[MONTO DE COMPRA]]/1.19</f>
        <v>0</v>
      </c>
      <c r="O245" s="10">
        <f>Tabla2456789[[#This Row],[Columna1]]*19%</f>
        <v>0</v>
      </c>
      <c r="P245" s="10"/>
      <c r="Q245" s="10">
        <f>Tabla2456789[[#This Row],[VENTA ]]/1.19</f>
        <v>0</v>
      </c>
      <c r="R245" s="10">
        <f>Tabla2456789[[#This Row],[Columna2]]*19%</f>
        <v>0</v>
      </c>
      <c r="S245" s="10">
        <f>Tabla2456789[[#This Row],[IVA VENTA ]]-Tabla2456789[[#This Row],[IV COMPRA]]</f>
        <v>0</v>
      </c>
      <c r="T245" s="10">
        <f>(Tabla2456789[[#This Row],[VENTA ]]-(Tabla2456789[[#This Row],[MONTO DE COMPRA]]+Tabla2456789[[#This Row],[DIFERENCIA IVA ]]))</f>
        <v>0</v>
      </c>
      <c r="V245" s="17"/>
    </row>
    <row r="246" spans="1:22" s="15" customFormat="1" ht="20.100000000000001" customHeight="1" x14ac:dyDescent="0.25">
      <c r="A246" s="13"/>
      <c r="B246" s="14"/>
      <c r="C246" s="14"/>
      <c r="D246" s="14"/>
      <c r="G246" s="14"/>
      <c r="H246" s="16"/>
      <c r="J246" s="20">
        <f>IF(G:G="FRENOS",(Tabla2456789[[#This Row],[TOTAL FACTURA]]*0.8),(Tabla2456789[[#This Row],[TOTAL FACTURA]]*0.5))</f>
        <v>0</v>
      </c>
      <c r="K246" s="9">
        <f t="shared" si="8"/>
        <v>0</v>
      </c>
      <c r="L246" s="4"/>
      <c r="M246" s="10"/>
      <c r="N246" s="10">
        <f>Tabla2456789[[#This Row],[MONTO DE COMPRA]]/1.19</f>
        <v>0</v>
      </c>
      <c r="O246" s="10">
        <f>Tabla2456789[[#This Row],[Columna1]]*19%</f>
        <v>0</v>
      </c>
      <c r="P246" s="10"/>
      <c r="Q246" s="10">
        <f>Tabla2456789[[#This Row],[VENTA ]]/1.19</f>
        <v>0</v>
      </c>
      <c r="R246" s="10">
        <f>Tabla2456789[[#This Row],[Columna2]]*19%</f>
        <v>0</v>
      </c>
      <c r="S246" s="10">
        <f>Tabla2456789[[#This Row],[IVA VENTA ]]-Tabla2456789[[#This Row],[IV COMPRA]]</f>
        <v>0</v>
      </c>
      <c r="T246" s="10">
        <f>(Tabla2456789[[#This Row],[VENTA ]]-(Tabla2456789[[#This Row],[MONTO DE COMPRA]]+Tabla2456789[[#This Row],[DIFERENCIA IVA ]]))</f>
        <v>0</v>
      </c>
      <c r="V246" s="17"/>
    </row>
    <row r="247" spans="1:22" s="15" customFormat="1" ht="20.100000000000001" customHeight="1" x14ac:dyDescent="0.25">
      <c r="A247" s="13"/>
      <c r="B247" s="14"/>
      <c r="C247" s="14"/>
      <c r="D247" s="14"/>
      <c r="G247" s="14"/>
      <c r="H247" s="16"/>
      <c r="J247" s="20">
        <f>IF(G:G="FRENOS",(Tabla2456789[[#This Row],[TOTAL FACTURA]]*0.8),(Tabla2456789[[#This Row],[TOTAL FACTURA]]*0.5))</f>
        <v>0</v>
      </c>
      <c r="K247" s="9">
        <f t="shared" si="8"/>
        <v>0</v>
      </c>
      <c r="L247" s="4"/>
      <c r="M247" s="10"/>
      <c r="N247" s="10">
        <f>Tabla2456789[[#This Row],[MONTO DE COMPRA]]/1.19</f>
        <v>0</v>
      </c>
      <c r="O247" s="10">
        <f>Tabla2456789[[#This Row],[Columna1]]*19%</f>
        <v>0</v>
      </c>
      <c r="P247" s="10"/>
      <c r="Q247" s="10">
        <f>Tabla2456789[[#This Row],[VENTA ]]/1.19</f>
        <v>0</v>
      </c>
      <c r="R247" s="10">
        <f>Tabla2456789[[#This Row],[Columna2]]*19%</f>
        <v>0</v>
      </c>
      <c r="S247" s="10">
        <f>Tabla2456789[[#This Row],[IVA VENTA ]]-Tabla2456789[[#This Row],[IV COMPRA]]</f>
        <v>0</v>
      </c>
      <c r="T247" s="10">
        <f>(Tabla2456789[[#This Row],[VENTA ]]-(Tabla2456789[[#This Row],[MONTO DE COMPRA]]+Tabla2456789[[#This Row],[DIFERENCIA IVA ]]))</f>
        <v>0</v>
      </c>
      <c r="V247" s="17"/>
    </row>
    <row r="248" spans="1:22" s="15" customFormat="1" ht="20.100000000000001" customHeight="1" x14ac:dyDescent="0.25">
      <c r="A248" s="13"/>
      <c r="B248" s="14"/>
      <c r="C248" s="14"/>
      <c r="D248" s="14"/>
      <c r="G248" s="14"/>
      <c r="H248" s="16"/>
      <c r="J248" s="20">
        <f>IF(G:G="FRENOS",(Tabla2456789[[#This Row],[TOTAL FACTURA]]*0.8),(Tabla2456789[[#This Row],[TOTAL FACTURA]]*0.5))</f>
        <v>0</v>
      </c>
      <c r="K248" s="9" t="e">
        <f>#REF!-J248</f>
        <v>#REF!</v>
      </c>
      <c r="L248" s="4"/>
      <c r="M248" s="10"/>
      <c r="N248" s="10">
        <f>Tabla2456789[[#This Row],[MONTO DE COMPRA]]/1.19</f>
        <v>0</v>
      </c>
      <c r="O248" s="10">
        <f>Tabla2456789[[#This Row],[Columna1]]*19%</f>
        <v>0</v>
      </c>
      <c r="P248" s="10"/>
      <c r="Q248" s="10">
        <f>Tabla2456789[[#This Row],[VENTA ]]/1.19</f>
        <v>0</v>
      </c>
      <c r="R248" s="10">
        <f>Tabla2456789[[#This Row],[Columna2]]*19%</f>
        <v>0</v>
      </c>
      <c r="S248" s="10">
        <f>Tabla2456789[[#This Row],[IVA VENTA ]]-Tabla2456789[[#This Row],[IV COMPRA]]</f>
        <v>0</v>
      </c>
      <c r="T248" s="10">
        <f>(Tabla2456789[[#This Row],[VENTA ]]-(Tabla2456789[[#This Row],[MONTO DE COMPRA]]+Tabla2456789[[#This Row],[DIFERENCIA IVA ]]))</f>
        <v>0</v>
      </c>
      <c r="V248" s="17"/>
    </row>
    <row r="249" spans="1:22" s="15" customFormat="1" ht="20.100000000000001" customHeight="1" x14ac:dyDescent="0.25">
      <c r="A249" s="13"/>
      <c r="B249" s="14"/>
      <c r="C249" s="14"/>
      <c r="D249" s="14"/>
      <c r="G249" s="14"/>
      <c r="H249" s="16"/>
      <c r="J249" s="20">
        <f>IF(G:G="FRENOS",(Tabla2456789[[#This Row],[TOTAL FACTURA]]*0.8),(Tabla2456789[[#This Row],[TOTAL FACTURA]]*0.5))</f>
        <v>0</v>
      </c>
      <c r="K249" s="9" t="e">
        <f>#REF!-J249</f>
        <v>#REF!</v>
      </c>
      <c r="L249" s="4"/>
      <c r="M249" s="10"/>
      <c r="N249" s="10">
        <f>Tabla2456789[[#This Row],[MONTO DE COMPRA]]/1.19</f>
        <v>0</v>
      </c>
      <c r="O249" s="10">
        <f>Tabla2456789[[#This Row],[Columna1]]*19%</f>
        <v>0</v>
      </c>
      <c r="P249" s="10"/>
      <c r="Q249" s="10">
        <f>Tabla2456789[[#This Row],[VENTA ]]/1.19</f>
        <v>0</v>
      </c>
      <c r="R249" s="10">
        <f>Tabla2456789[[#This Row],[Columna2]]*19%</f>
        <v>0</v>
      </c>
      <c r="S249" s="10">
        <f>Tabla2456789[[#This Row],[IVA VENTA ]]-Tabla2456789[[#This Row],[IV COMPRA]]</f>
        <v>0</v>
      </c>
      <c r="T249" s="10">
        <f>(Tabla2456789[[#This Row],[VENTA ]]-(Tabla2456789[[#This Row],[MONTO DE COMPRA]]+Tabla2456789[[#This Row],[DIFERENCIA IVA ]]))</f>
        <v>0</v>
      </c>
      <c r="V249" s="17"/>
    </row>
    <row r="250" spans="1:22" s="15" customFormat="1" ht="20.100000000000001" customHeight="1" x14ac:dyDescent="0.25">
      <c r="A250" s="13"/>
      <c r="B250" s="14"/>
      <c r="C250" s="14"/>
      <c r="D250" s="14"/>
      <c r="G250" s="14"/>
      <c r="H250" s="16"/>
      <c r="J250" s="20">
        <f>IF(G:G="FRENOS",(Tabla2456789[[#This Row],[TOTAL FACTURA]]*0.8),(Tabla2456789[[#This Row],[TOTAL FACTURA]]*0.5))</f>
        <v>0</v>
      </c>
      <c r="K250" s="9" t="e">
        <f>#REF!-J250</f>
        <v>#REF!</v>
      </c>
      <c r="L250" s="4"/>
      <c r="M250" s="10"/>
      <c r="N250" s="10">
        <f>Tabla2456789[[#This Row],[MONTO DE COMPRA]]/1.19</f>
        <v>0</v>
      </c>
      <c r="O250" s="10">
        <f>Tabla2456789[[#This Row],[Columna1]]*19%</f>
        <v>0</v>
      </c>
      <c r="P250" s="10"/>
      <c r="Q250" s="10">
        <f>Tabla2456789[[#This Row],[VENTA ]]/1.19</f>
        <v>0</v>
      </c>
      <c r="R250" s="10">
        <f>Tabla2456789[[#This Row],[Columna2]]*19%</f>
        <v>0</v>
      </c>
      <c r="S250" s="10">
        <f>Tabla2456789[[#This Row],[IVA VENTA ]]-Tabla2456789[[#This Row],[IV COMPRA]]</f>
        <v>0</v>
      </c>
      <c r="T250" s="10">
        <f>(Tabla2456789[[#This Row],[VENTA ]]-(Tabla2456789[[#This Row],[MONTO DE COMPRA]]+Tabla2456789[[#This Row],[DIFERENCIA IVA ]]))</f>
        <v>0</v>
      </c>
      <c r="V250" s="17"/>
    </row>
    <row r="251" spans="1:22" s="15" customFormat="1" ht="20.100000000000001" customHeight="1" x14ac:dyDescent="0.25">
      <c r="A251" s="13"/>
      <c r="B251" s="14"/>
      <c r="C251" s="14"/>
      <c r="D251" s="14"/>
      <c r="G251" s="14"/>
      <c r="H251" s="16"/>
      <c r="J251" s="20">
        <f>IF(G:G="FRENOS",(Tabla2456789[[#This Row],[TOTAL FACTURA]]*0.8),(Tabla2456789[[#This Row],[TOTAL FACTURA]]*0.5))</f>
        <v>0</v>
      </c>
      <c r="K251" s="9" t="e">
        <f>#REF!-J251</f>
        <v>#REF!</v>
      </c>
      <c r="L251" s="4"/>
      <c r="M251" s="10"/>
      <c r="N251" s="10">
        <f>Tabla2456789[[#This Row],[MONTO DE COMPRA]]/1.19</f>
        <v>0</v>
      </c>
      <c r="O251" s="10">
        <f>Tabla2456789[[#This Row],[Columna1]]*19%</f>
        <v>0</v>
      </c>
      <c r="P251" s="10"/>
      <c r="Q251" s="10">
        <f>Tabla2456789[[#This Row],[VENTA ]]/1.19</f>
        <v>0</v>
      </c>
      <c r="R251" s="10">
        <f>Tabla2456789[[#This Row],[Columna2]]*19%</f>
        <v>0</v>
      </c>
      <c r="S251" s="10">
        <f>Tabla2456789[[#This Row],[IVA VENTA ]]-Tabla2456789[[#This Row],[IV COMPRA]]</f>
        <v>0</v>
      </c>
      <c r="T251" s="10">
        <f>(Tabla2456789[[#This Row],[VENTA ]]-(Tabla2456789[[#This Row],[MONTO DE COMPRA]]+Tabla2456789[[#This Row],[DIFERENCIA IVA ]]))</f>
        <v>0</v>
      </c>
      <c r="V251" s="17"/>
    </row>
    <row r="252" spans="1:22" s="15" customFormat="1" ht="20.100000000000001" customHeight="1" x14ac:dyDescent="0.25">
      <c r="A252" s="13"/>
      <c r="B252" s="14"/>
      <c r="C252" s="14"/>
      <c r="D252" s="14"/>
      <c r="G252" s="14"/>
      <c r="H252" s="16"/>
      <c r="J252" s="20">
        <f>IF(G:G="FRENOS",(Tabla2456789[[#This Row],[TOTAL FACTURA]]*0.8),(Tabla2456789[[#This Row],[TOTAL FACTURA]]*0.5))</f>
        <v>0</v>
      </c>
      <c r="K252" s="9" t="e">
        <f>#REF!-J252</f>
        <v>#REF!</v>
      </c>
      <c r="L252" s="4"/>
      <c r="M252" s="10"/>
      <c r="N252" s="10">
        <f>Tabla2456789[[#This Row],[MONTO DE COMPRA]]/1.19</f>
        <v>0</v>
      </c>
      <c r="O252" s="10">
        <f>Tabla2456789[[#This Row],[Columna1]]*19%</f>
        <v>0</v>
      </c>
      <c r="P252" s="10"/>
      <c r="Q252" s="10">
        <f>Tabla2456789[[#This Row],[VENTA ]]/1.19</f>
        <v>0</v>
      </c>
      <c r="R252" s="10">
        <f>Tabla2456789[[#This Row],[Columna2]]*19%</f>
        <v>0</v>
      </c>
      <c r="S252" s="10">
        <f>Tabla2456789[[#This Row],[IVA VENTA ]]-Tabla2456789[[#This Row],[IV COMPRA]]</f>
        <v>0</v>
      </c>
      <c r="T252" s="10">
        <f>(Tabla2456789[[#This Row],[VENTA ]]-(Tabla2456789[[#This Row],[MONTO DE COMPRA]]+Tabla2456789[[#This Row],[DIFERENCIA IVA ]]))</f>
        <v>0</v>
      </c>
      <c r="V252" s="17"/>
    </row>
    <row r="253" spans="1:22" s="15" customFormat="1" ht="20.100000000000001" customHeight="1" x14ac:dyDescent="0.25">
      <c r="A253" s="13"/>
      <c r="B253" s="14"/>
      <c r="C253" s="14"/>
      <c r="D253" s="14"/>
      <c r="G253" s="14"/>
      <c r="H253" s="16"/>
      <c r="J253" s="20">
        <f>IF(G:G="FRENOS",(Tabla2456789[[#This Row],[TOTAL FACTURA]]*0.8),(Tabla2456789[[#This Row],[TOTAL FACTURA]]*0.5))</f>
        <v>0</v>
      </c>
      <c r="K253" s="9" t="e">
        <f>#REF!-J253</f>
        <v>#REF!</v>
      </c>
      <c r="L253" s="4"/>
      <c r="M253" s="10"/>
      <c r="N253" s="10">
        <f>Tabla2456789[[#This Row],[MONTO DE COMPRA]]/1.19</f>
        <v>0</v>
      </c>
      <c r="O253" s="10">
        <f>Tabla2456789[[#This Row],[Columna1]]*19%</f>
        <v>0</v>
      </c>
      <c r="P253" s="10"/>
      <c r="Q253" s="10">
        <f>Tabla2456789[[#This Row],[VENTA ]]/1.19</f>
        <v>0</v>
      </c>
      <c r="R253" s="10">
        <f>Tabla2456789[[#This Row],[Columna2]]*19%</f>
        <v>0</v>
      </c>
      <c r="S253" s="10">
        <f>Tabla2456789[[#This Row],[IVA VENTA ]]-Tabla2456789[[#This Row],[IV COMPRA]]</f>
        <v>0</v>
      </c>
      <c r="T253" s="10">
        <f>(Tabla2456789[[#This Row],[VENTA ]]-(Tabla2456789[[#This Row],[MONTO DE COMPRA]]+Tabla2456789[[#This Row],[DIFERENCIA IVA ]]))</f>
        <v>0</v>
      </c>
      <c r="V253" s="17"/>
    </row>
    <row r="254" spans="1:22" s="15" customFormat="1" ht="20.100000000000001" customHeight="1" x14ac:dyDescent="0.25">
      <c r="A254" s="13"/>
      <c r="B254" s="14"/>
      <c r="C254" s="14"/>
      <c r="D254" s="14"/>
      <c r="G254" s="14"/>
      <c r="H254" s="16"/>
      <c r="J254" s="20">
        <f>IF(G:G="FRENOS",(Tabla2456789[[#This Row],[TOTAL FACTURA]]*0.8),(Tabla2456789[[#This Row],[TOTAL FACTURA]]*0.5))</f>
        <v>0</v>
      </c>
      <c r="K254" s="9" t="e">
        <f>#REF!-J254</f>
        <v>#REF!</v>
      </c>
      <c r="L254" s="4"/>
      <c r="M254" s="10"/>
      <c r="N254" s="10">
        <f>Tabla2456789[[#This Row],[MONTO DE COMPRA]]/1.19</f>
        <v>0</v>
      </c>
      <c r="O254" s="10">
        <f>Tabla2456789[[#This Row],[Columna1]]*19%</f>
        <v>0</v>
      </c>
      <c r="P254" s="10"/>
      <c r="Q254" s="10">
        <f>Tabla2456789[[#This Row],[VENTA ]]/1.19</f>
        <v>0</v>
      </c>
      <c r="R254" s="10">
        <f>Tabla2456789[[#This Row],[Columna2]]*19%</f>
        <v>0</v>
      </c>
      <c r="S254" s="10">
        <f>Tabla2456789[[#This Row],[IVA VENTA ]]-Tabla2456789[[#This Row],[IV COMPRA]]</f>
        <v>0</v>
      </c>
      <c r="T254" s="10">
        <f>(Tabla2456789[[#This Row],[VENTA ]]-(Tabla2456789[[#This Row],[MONTO DE COMPRA]]+Tabla2456789[[#This Row],[DIFERENCIA IVA ]]))</f>
        <v>0</v>
      </c>
      <c r="V254" s="17"/>
    </row>
    <row r="255" spans="1:22" s="15" customFormat="1" ht="20.100000000000001" customHeight="1" x14ac:dyDescent="0.25">
      <c r="A255" s="13"/>
      <c r="B255" s="14"/>
      <c r="C255" s="14"/>
      <c r="D255" s="14"/>
      <c r="G255" s="14"/>
      <c r="H255" s="16"/>
      <c r="J255" s="20">
        <f>IF(G:G="FRENOS",(Tabla2456789[[#This Row],[TOTAL FACTURA]]*0.8),(Tabla2456789[[#This Row],[TOTAL FACTURA]]*0.5))</f>
        <v>0</v>
      </c>
      <c r="K255" s="9" t="e">
        <f>#REF!-J255</f>
        <v>#REF!</v>
      </c>
      <c r="L255" s="4"/>
      <c r="M255" s="10"/>
      <c r="N255" s="10">
        <f>Tabla2456789[[#This Row],[MONTO DE COMPRA]]/1.19</f>
        <v>0</v>
      </c>
      <c r="O255" s="10">
        <f>Tabla2456789[[#This Row],[Columna1]]*19%</f>
        <v>0</v>
      </c>
      <c r="P255" s="10"/>
      <c r="Q255" s="10">
        <f>Tabla2456789[[#This Row],[VENTA ]]/1.19</f>
        <v>0</v>
      </c>
      <c r="R255" s="10">
        <f>Tabla2456789[[#This Row],[Columna2]]*19%</f>
        <v>0</v>
      </c>
      <c r="S255" s="10">
        <f>Tabla2456789[[#This Row],[IVA VENTA ]]-Tabla2456789[[#This Row],[IV COMPRA]]</f>
        <v>0</v>
      </c>
      <c r="T255" s="10">
        <f>(Tabla2456789[[#This Row],[VENTA ]]-(Tabla2456789[[#This Row],[MONTO DE COMPRA]]+Tabla2456789[[#This Row],[DIFERENCIA IVA ]]))</f>
        <v>0</v>
      </c>
      <c r="V255" s="17"/>
    </row>
    <row r="256" spans="1:22" s="15" customFormat="1" ht="20.100000000000001" customHeight="1" x14ac:dyDescent="0.25">
      <c r="A256" s="13"/>
      <c r="B256" s="14"/>
      <c r="C256" s="14"/>
      <c r="D256" s="14"/>
      <c r="G256" s="14"/>
      <c r="H256" s="16"/>
      <c r="J256" s="20">
        <f>IF(G:G="FRENOS",(Tabla2456789[[#This Row],[TOTAL FACTURA]]*0.8),(Tabla2456789[[#This Row],[TOTAL FACTURA]]*0.5))</f>
        <v>0</v>
      </c>
      <c r="K256" s="9" t="e">
        <f>#REF!-J256</f>
        <v>#REF!</v>
      </c>
      <c r="L256" s="4"/>
      <c r="M256" s="10"/>
      <c r="N256" s="10">
        <f>Tabla2456789[[#This Row],[MONTO DE COMPRA]]/1.19</f>
        <v>0</v>
      </c>
      <c r="O256" s="10">
        <f>Tabla2456789[[#This Row],[Columna1]]*19%</f>
        <v>0</v>
      </c>
      <c r="P256" s="10"/>
      <c r="Q256" s="10">
        <f>Tabla2456789[[#This Row],[VENTA ]]/1.19</f>
        <v>0</v>
      </c>
      <c r="R256" s="10">
        <f>Tabla2456789[[#This Row],[Columna2]]*19%</f>
        <v>0</v>
      </c>
      <c r="S256" s="10">
        <f>Tabla2456789[[#This Row],[IVA VENTA ]]-Tabla2456789[[#This Row],[IV COMPRA]]</f>
        <v>0</v>
      </c>
      <c r="T256" s="10">
        <f>(Tabla2456789[[#This Row],[VENTA ]]-(Tabla2456789[[#This Row],[MONTO DE COMPRA]]+Tabla2456789[[#This Row],[DIFERENCIA IVA ]]))</f>
        <v>0</v>
      </c>
      <c r="V256" s="17"/>
    </row>
    <row r="257" spans="1:22" s="15" customFormat="1" ht="20.100000000000001" customHeight="1" x14ac:dyDescent="0.25">
      <c r="A257" s="13"/>
      <c r="B257" s="14"/>
      <c r="C257" s="14"/>
      <c r="D257" s="14"/>
      <c r="G257" s="14"/>
      <c r="H257" s="16"/>
      <c r="J257" s="20">
        <f>IF(G:G="FRENOS",(Tabla2456789[[#This Row],[TOTAL FACTURA]]*0.8),(Tabla2456789[[#This Row],[TOTAL FACTURA]]*0.5))</f>
        <v>0</v>
      </c>
      <c r="K257" s="9" t="e">
        <f>#REF!-J257</f>
        <v>#REF!</v>
      </c>
      <c r="L257" s="4"/>
      <c r="M257" s="10"/>
      <c r="N257" s="10">
        <f>Tabla2456789[[#This Row],[MONTO DE COMPRA]]/1.19</f>
        <v>0</v>
      </c>
      <c r="O257" s="10">
        <f>Tabla2456789[[#This Row],[Columna1]]*19%</f>
        <v>0</v>
      </c>
      <c r="P257" s="10"/>
      <c r="Q257" s="10">
        <f>Tabla2456789[[#This Row],[VENTA ]]/1.19</f>
        <v>0</v>
      </c>
      <c r="R257" s="10">
        <f>Tabla2456789[[#This Row],[Columna2]]*19%</f>
        <v>0</v>
      </c>
      <c r="S257" s="10">
        <f>Tabla2456789[[#This Row],[IVA VENTA ]]-Tabla2456789[[#This Row],[IV COMPRA]]</f>
        <v>0</v>
      </c>
      <c r="T257" s="10">
        <f>(Tabla2456789[[#This Row],[VENTA ]]-(Tabla2456789[[#This Row],[MONTO DE COMPRA]]+Tabla2456789[[#This Row],[DIFERENCIA IVA ]]))</f>
        <v>0</v>
      </c>
      <c r="V257" s="17"/>
    </row>
    <row r="258" spans="1:22" s="15" customFormat="1" ht="20.100000000000001" customHeight="1" x14ac:dyDescent="0.25">
      <c r="A258" s="13"/>
      <c r="B258" s="14"/>
      <c r="C258" s="14"/>
      <c r="D258" s="14"/>
      <c r="G258" s="14"/>
      <c r="H258" s="16"/>
      <c r="J258" s="20">
        <f>IF(G:G="FRENOS",(Tabla2456789[[#This Row],[TOTAL FACTURA]]*0.8),(Tabla2456789[[#This Row],[TOTAL FACTURA]]*0.5))</f>
        <v>0</v>
      </c>
      <c r="K258" s="9" t="e">
        <f>#REF!-J258</f>
        <v>#REF!</v>
      </c>
      <c r="L258" s="4"/>
      <c r="M258" s="10"/>
      <c r="N258" s="10">
        <f>Tabla2456789[[#This Row],[MONTO DE COMPRA]]/1.19</f>
        <v>0</v>
      </c>
      <c r="O258" s="10">
        <f>Tabla2456789[[#This Row],[Columna1]]*19%</f>
        <v>0</v>
      </c>
      <c r="P258" s="10"/>
      <c r="Q258" s="10">
        <f>Tabla2456789[[#This Row],[VENTA ]]/1.19</f>
        <v>0</v>
      </c>
      <c r="R258" s="10">
        <f>Tabla2456789[[#This Row],[Columna2]]*19%</f>
        <v>0</v>
      </c>
      <c r="S258" s="10">
        <f>Tabla2456789[[#This Row],[IVA VENTA ]]-Tabla2456789[[#This Row],[IV COMPRA]]</f>
        <v>0</v>
      </c>
      <c r="T258" s="10">
        <f>(Tabla2456789[[#This Row],[VENTA ]]-(Tabla2456789[[#This Row],[MONTO DE COMPRA]]+Tabla2456789[[#This Row],[DIFERENCIA IVA ]]))</f>
        <v>0</v>
      </c>
      <c r="V258" s="17"/>
    </row>
    <row r="259" spans="1:22" s="15" customFormat="1" ht="20.100000000000001" customHeight="1" x14ac:dyDescent="0.25">
      <c r="A259" s="13"/>
      <c r="B259" s="14"/>
      <c r="C259" s="14"/>
      <c r="D259" s="14"/>
      <c r="G259" s="14"/>
      <c r="H259" s="16"/>
      <c r="J259" s="20">
        <f>IF(G:G="FRENOS",(Tabla2456789[[#This Row],[TOTAL FACTURA]]*0.8),(Tabla2456789[[#This Row],[TOTAL FACTURA]]*0.5))</f>
        <v>0</v>
      </c>
      <c r="K259" s="9" t="e">
        <f>#REF!-J259</f>
        <v>#REF!</v>
      </c>
      <c r="L259" s="4"/>
      <c r="M259" s="10"/>
      <c r="N259" s="10">
        <f>Tabla2456789[[#This Row],[MONTO DE COMPRA]]/1.19</f>
        <v>0</v>
      </c>
      <c r="O259" s="10">
        <f>Tabla2456789[[#This Row],[Columna1]]*19%</f>
        <v>0</v>
      </c>
      <c r="P259" s="10"/>
      <c r="Q259" s="10">
        <f>Tabla2456789[[#This Row],[VENTA ]]/1.19</f>
        <v>0</v>
      </c>
      <c r="R259" s="10">
        <f>Tabla2456789[[#This Row],[Columna2]]*19%</f>
        <v>0</v>
      </c>
      <c r="S259" s="10">
        <f>Tabla2456789[[#This Row],[IVA VENTA ]]-Tabla2456789[[#This Row],[IV COMPRA]]</f>
        <v>0</v>
      </c>
      <c r="T259" s="10">
        <f>(Tabla2456789[[#This Row],[VENTA ]]-(Tabla2456789[[#This Row],[MONTO DE COMPRA]]+Tabla2456789[[#This Row],[DIFERENCIA IVA ]]))</f>
        <v>0</v>
      </c>
      <c r="V259" s="17"/>
    </row>
    <row r="260" spans="1:22" s="15" customFormat="1" ht="20.100000000000001" customHeight="1" x14ac:dyDescent="0.25">
      <c r="A260" s="13"/>
      <c r="B260" s="14"/>
      <c r="C260" s="14"/>
      <c r="D260" s="14"/>
      <c r="G260" s="14"/>
      <c r="H260" s="16"/>
      <c r="J260" s="20">
        <f>IF(G:G="FRENOS",(Tabla2456789[[#This Row],[TOTAL FACTURA]]*0.8),(Tabla2456789[[#This Row],[TOTAL FACTURA]]*0.5))</f>
        <v>0</v>
      </c>
      <c r="K260" s="9" t="e">
        <f>#REF!-J260</f>
        <v>#REF!</v>
      </c>
      <c r="L260" s="4"/>
      <c r="M260" s="10"/>
      <c r="N260" s="10">
        <f>Tabla2456789[[#This Row],[MONTO DE COMPRA]]/1.19</f>
        <v>0</v>
      </c>
      <c r="O260" s="10">
        <f>Tabla2456789[[#This Row],[Columna1]]*19%</f>
        <v>0</v>
      </c>
      <c r="P260" s="10"/>
      <c r="Q260" s="10">
        <f>Tabla2456789[[#This Row],[VENTA ]]/1.19</f>
        <v>0</v>
      </c>
      <c r="R260" s="10">
        <f>Tabla2456789[[#This Row],[Columna2]]*19%</f>
        <v>0</v>
      </c>
      <c r="S260" s="10">
        <f>Tabla2456789[[#This Row],[IVA VENTA ]]-Tabla2456789[[#This Row],[IV COMPRA]]</f>
        <v>0</v>
      </c>
      <c r="T260" s="10">
        <f>(Tabla2456789[[#This Row],[VENTA ]]-(Tabla2456789[[#This Row],[MONTO DE COMPRA]]+Tabla2456789[[#This Row],[DIFERENCIA IVA ]]))</f>
        <v>0</v>
      </c>
      <c r="V260" s="17"/>
    </row>
    <row r="261" spans="1:22" s="15" customFormat="1" ht="20.100000000000001" customHeight="1" x14ac:dyDescent="0.25">
      <c r="A261" s="13"/>
      <c r="B261" s="14"/>
      <c r="C261" s="14"/>
      <c r="D261" s="14"/>
      <c r="G261" s="14"/>
      <c r="H261" s="16"/>
      <c r="J261" s="20">
        <f>IF(G:G="FRENOS",(Tabla2456789[[#This Row],[TOTAL FACTURA]]*0.8),(Tabla2456789[[#This Row],[TOTAL FACTURA]]*0.5))</f>
        <v>0</v>
      </c>
      <c r="K261" s="9" t="e">
        <f>#REF!-J261</f>
        <v>#REF!</v>
      </c>
      <c r="L261" s="4"/>
      <c r="M261" s="10"/>
      <c r="N261" s="10">
        <f>Tabla2456789[[#This Row],[MONTO DE COMPRA]]/1.19</f>
        <v>0</v>
      </c>
      <c r="O261" s="10">
        <f>Tabla2456789[[#This Row],[Columna1]]*19%</f>
        <v>0</v>
      </c>
      <c r="P261" s="10"/>
      <c r="Q261" s="10">
        <f>Tabla2456789[[#This Row],[VENTA ]]/1.19</f>
        <v>0</v>
      </c>
      <c r="R261" s="10">
        <f>Tabla2456789[[#This Row],[Columna2]]*19%</f>
        <v>0</v>
      </c>
      <c r="S261" s="10">
        <f>Tabla2456789[[#This Row],[IVA VENTA ]]-Tabla2456789[[#This Row],[IV COMPRA]]</f>
        <v>0</v>
      </c>
      <c r="T261" s="10">
        <f>(Tabla2456789[[#This Row],[VENTA ]]-(Tabla2456789[[#This Row],[MONTO DE COMPRA]]+Tabla2456789[[#This Row],[DIFERENCIA IVA ]]))</f>
        <v>0</v>
      </c>
      <c r="V261" s="17"/>
    </row>
    <row r="262" spans="1:22" s="15" customFormat="1" ht="20.100000000000001" customHeight="1" x14ac:dyDescent="0.25">
      <c r="A262" s="13"/>
      <c r="B262" s="14"/>
      <c r="C262" s="14"/>
      <c r="D262" s="14"/>
      <c r="G262" s="14"/>
      <c r="H262" s="16"/>
      <c r="J262" s="20">
        <f>IF(G:G="FRENOS",(Tabla2456789[[#This Row],[TOTAL FACTURA]]*0.8),(Tabla2456789[[#This Row],[TOTAL FACTURA]]*0.5))</f>
        <v>0</v>
      </c>
      <c r="K262" s="9" t="e">
        <f>#REF!-J262</f>
        <v>#REF!</v>
      </c>
      <c r="L262" s="4"/>
      <c r="M262" s="10"/>
      <c r="N262" s="10">
        <f>Tabla2456789[[#This Row],[MONTO DE COMPRA]]/1.19</f>
        <v>0</v>
      </c>
      <c r="O262" s="10">
        <f>Tabla2456789[[#This Row],[Columna1]]*19%</f>
        <v>0</v>
      </c>
      <c r="P262" s="10"/>
      <c r="Q262" s="10">
        <f>Tabla2456789[[#This Row],[VENTA ]]/1.19</f>
        <v>0</v>
      </c>
      <c r="R262" s="10">
        <f>Tabla2456789[[#This Row],[Columna2]]*19%</f>
        <v>0</v>
      </c>
      <c r="S262" s="10">
        <f>Tabla2456789[[#This Row],[IVA VENTA ]]-Tabla2456789[[#This Row],[IV COMPRA]]</f>
        <v>0</v>
      </c>
      <c r="T262" s="10">
        <f>(Tabla2456789[[#This Row],[VENTA ]]-(Tabla2456789[[#This Row],[MONTO DE COMPRA]]+Tabla2456789[[#This Row],[DIFERENCIA IVA ]]))</f>
        <v>0</v>
      </c>
      <c r="V262" s="17"/>
    </row>
    <row r="263" spans="1:22" s="15" customFormat="1" ht="20.100000000000001" customHeight="1" x14ac:dyDescent="0.25">
      <c r="A263" s="13"/>
      <c r="B263" s="14"/>
      <c r="C263" s="14"/>
      <c r="D263" s="14"/>
      <c r="G263" s="14"/>
      <c r="H263" s="16"/>
      <c r="J263" s="20">
        <f>IF(G:G="FRENOS",(Tabla2456789[[#This Row],[TOTAL FACTURA]]*0.8),(Tabla2456789[[#This Row],[TOTAL FACTURA]]*0.5))</f>
        <v>0</v>
      </c>
      <c r="K263" s="9" t="e">
        <f>#REF!-J263</f>
        <v>#REF!</v>
      </c>
      <c r="L263" s="4"/>
      <c r="M263" s="10"/>
      <c r="N263" s="10">
        <f>Tabla2456789[[#This Row],[MONTO DE COMPRA]]/1.19</f>
        <v>0</v>
      </c>
      <c r="O263" s="10">
        <f>Tabla2456789[[#This Row],[Columna1]]*19%</f>
        <v>0</v>
      </c>
      <c r="P263" s="10"/>
      <c r="Q263" s="10">
        <f>Tabla2456789[[#This Row],[VENTA ]]/1.19</f>
        <v>0</v>
      </c>
      <c r="R263" s="10">
        <f>Tabla2456789[[#This Row],[Columna2]]*19%</f>
        <v>0</v>
      </c>
      <c r="S263" s="10">
        <f>Tabla2456789[[#This Row],[IVA VENTA ]]-Tabla2456789[[#This Row],[IV COMPRA]]</f>
        <v>0</v>
      </c>
      <c r="T263" s="10">
        <f>(Tabla2456789[[#This Row],[VENTA ]]-(Tabla2456789[[#This Row],[MONTO DE COMPRA]]+Tabla2456789[[#This Row],[DIFERENCIA IVA ]]))</f>
        <v>0</v>
      </c>
      <c r="V263" s="17"/>
    </row>
    <row r="264" spans="1:22" s="15" customFormat="1" ht="20.100000000000001" customHeight="1" x14ac:dyDescent="0.25">
      <c r="A264" s="13"/>
      <c r="B264" s="14"/>
      <c r="C264" s="14"/>
      <c r="D264" s="14"/>
      <c r="G264" s="14"/>
      <c r="H264" s="16"/>
      <c r="J264" s="20">
        <f>IF(G:G="FRENOS",(Tabla2456789[[#This Row],[TOTAL FACTURA]]*0.8),(Tabla2456789[[#This Row],[TOTAL FACTURA]]*0.5))</f>
        <v>0</v>
      </c>
      <c r="K264" s="9" t="e">
        <f>#REF!-J264</f>
        <v>#REF!</v>
      </c>
      <c r="L264" s="4"/>
      <c r="M264" s="10"/>
      <c r="N264" s="10">
        <f>Tabla2456789[[#This Row],[MONTO DE COMPRA]]/1.19</f>
        <v>0</v>
      </c>
      <c r="O264" s="10">
        <f>Tabla2456789[[#This Row],[Columna1]]*19%</f>
        <v>0</v>
      </c>
      <c r="P264" s="10"/>
      <c r="Q264" s="10">
        <f>Tabla2456789[[#This Row],[VENTA ]]/1.19</f>
        <v>0</v>
      </c>
      <c r="R264" s="10">
        <f>Tabla2456789[[#This Row],[Columna2]]*19%</f>
        <v>0</v>
      </c>
      <c r="S264" s="10">
        <f>Tabla2456789[[#This Row],[IVA VENTA ]]-Tabla2456789[[#This Row],[IV COMPRA]]</f>
        <v>0</v>
      </c>
      <c r="T264" s="10">
        <f>(Tabla2456789[[#This Row],[VENTA ]]-(Tabla2456789[[#This Row],[MONTO DE COMPRA]]+Tabla2456789[[#This Row],[DIFERENCIA IVA ]]))</f>
        <v>0</v>
      </c>
      <c r="V264" s="17"/>
    </row>
    <row r="265" spans="1:22" s="15" customFormat="1" ht="20.100000000000001" customHeight="1" x14ac:dyDescent="0.25">
      <c r="A265" s="13"/>
      <c r="B265" s="14"/>
      <c r="C265" s="14"/>
      <c r="D265" s="14"/>
      <c r="G265" s="14"/>
      <c r="H265" s="16"/>
      <c r="J265" s="20">
        <f>IF(G:G="FRENOS",(Tabla2456789[[#This Row],[TOTAL FACTURA]]*0.8),(Tabla2456789[[#This Row],[TOTAL FACTURA]]*0.5))</f>
        <v>0</v>
      </c>
      <c r="K265" s="9" t="e">
        <f>#REF!-J265</f>
        <v>#REF!</v>
      </c>
      <c r="L265" s="4"/>
      <c r="M265" s="10"/>
      <c r="N265" s="10">
        <f>Tabla2456789[[#This Row],[MONTO DE COMPRA]]/1.19</f>
        <v>0</v>
      </c>
      <c r="O265" s="10">
        <f>Tabla2456789[[#This Row],[Columna1]]*19%</f>
        <v>0</v>
      </c>
      <c r="P265" s="10"/>
      <c r="Q265" s="10">
        <f>Tabla2456789[[#This Row],[VENTA ]]/1.19</f>
        <v>0</v>
      </c>
      <c r="R265" s="10">
        <f>Tabla2456789[[#This Row],[Columna2]]*19%</f>
        <v>0</v>
      </c>
      <c r="S265" s="10">
        <f>Tabla2456789[[#This Row],[IVA VENTA ]]-Tabla2456789[[#This Row],[IV COMPRA]]</f>
        <v>0</v>
      </c>
      <c r="T265" s="10">
        <f>(Tabla2456789[[#This Row],[VENTA ]]-(Tabla2456789[[#This Row],[MONTO DE COMPRA]]+Tabla2456789[[#This Row],[DIFERENCIA IVA ]]))</f>
        <v>0</v>
      </c>
      <c r="V265" s="17"/>
    </row>
    <row r="266" spans="1:22" s="15" customFormat="1" ht="20.100000000000001" customHeight="1" x14ac:dyDescent="0.25">
      <c r="A266" s="13"/>
      <c r="B266" s="14"/>
      <c r="C266" s="14"/>
      <c r="D266" s="14"/>
      <c r="G266" s="14"/>
      <c r="H266" s="16"/>
      <c r="J266" s="20">
        <f>IF(G:G="FRENOS",(Tabla2456789[[#This Row],[TOTAL FACTURA]]*0.8),(Tabla2456789[[#This Row],[TOTAL FACTURA]]*0.5))</f>
        <v>0</v>
      </c>
      <c r="K266" s="9" t="e">
        <f>#REF!-J266</f>
        <v>#REF!</v>
      </c>
      <c r="L266" s="4"/>
      <c r="M266" s="10"/>
      <c r="N266" s="10">
        <f>Tabla2456789[[#This Row],[MONTO DE COMPRA]]/1.19</f>
        <v>0</v>
      </c>
      <c r="O266" s="10">
        <f>Tabla2456789[[#This Row],[Columna1]]*19%</f>
        <v>0</v>
      </c>
      <c r="P266" s="10"/>
      <c r="Q266" s="10">
        <f>Tabla2456789[[#This Row],[VENTA ]]/1.19</f>
        <v>0</v>
      </c>
      <c r="R266" s="10">
        <f>Tabla2456789[[#This Row],[Columna2]]*19%</f>
        <v>0</v>
      </c>
      <c r="S266" s="10">
        <f>Tabla2456789[[#This Row],[IVA VENTA ]]-Tabla2456789[[#This Row],[IV COMPRA]]</f>
        <v>0</v>
      </c>
      <c r="T266" s="10">
        <f>(Tabla2456789[[#This Row],[VENTA ]]-(Tabla2456789[[#This Row],[MONTO DE COMPRA]]+Tabla2456789[[#This Row],[DIFERENCIA IVA ]]))</f>
        <v>0</v>
      </c>
      <c r="V266" s="17"/>
    </row>
    <row r="267" spans="1:22" s="15" customFormat="1" ht="20.100000000000001" customHeight="1" x14ac:dyDescent="0.25">
      <c r="A267" s="13"/>
      <c r="B267" s="14"/>
      <c r="C267" s="14"/>
      <c r="D267" s="14"/>
      <c r="G267" s="14"/>
      <c r="H267" s="16"/>
      <c r="J267" s="20">
        <f>IF(G:G="FRENOS",(Tabla2456789[[#This Row],[TOTAL FACTURA]]*0.8),(Tabla2456789[[#This Row],[TOTAL FACTURA]]*0.5))</f>
        <v>0</v>
      </c>
      <c r="K267" s="9" t="e">
        <f>#REF!-J267</f>
        <v>#REF!</v>
      </c>
      <c r="L267" s="4"/>
      <c r="M267" s="10"/>
      <c r="N267" s="10">
        <f>Tabla2456789[[#This Row],[MONTO DE COMPRA]]/1.19</f>
        <v>0</v>
      </c>
      <c r="O267" s="10">
        <f>Tabla2456789[[#This Row],[Columna1]]*19%</f>
        <v>0</v>
      </c>
      <c r="P267" s="10"/>
      <c r="Q267" s="10">
        <f>Tabla2456789[[#This Row],[VENTA ]]/1.19</f>
        <v>0</v>
      </c>
      <c r="R267" s="10">
        <f>Tabla2456789[[#This Row],[Columna2]]*19%</f>
        <v>0</v>
      </c>
      <c r="S267" s="10">
        <f>Tabla2456789[[#This Row],[IVA VENTA ]]-Tabla2456789[[#This Row],[IV COMPRA]]</f>
        <v>0</v>
      </c>
      <c r="T267" s="10">
        <f>(Tabla2456789[[#This Row],[VENTA ]]-(Tabla2456789[[#This Row],[MONTO DE COMPRA]]+Tabla2456789[[#This Row],[DIFERENCIA IVA ]]))</f>
        <v>0</v>
      </c>
      <c r="V267" s="17"/>
    </row>
    <row r="268" spans="1:22" s="15" customFormat="1" ht="20.100000000000001" customHeight="1" x14ac:dyDescent="0.25">
      <c r="A268" s="13"/>
      <c r="B268" s="14"/>
      <c r="C268" s="14"/>
      <c r="D268" s="14"/>
      <c r="G268" s="14"/>
      <c r="H268" s="16"/>
      <c r="J268" s="20">
        <f>IF(G:G="FRENOS",(Tabla2456789[[#This Row],[TOTAL FACTURA]]*0.8),(Tabla2456789[[#This Row],[TOTAL FACTURA]]*0.5))</f>
        <v>0</v>
      </c>
      <c r="K268" s="9" t="e">
        <f>#REF!-J268</f>
        <v>#REF!</v>
      </c>
      <c r="L268" s="4"/>
      <c r="M268" s="10"/>
      <c r="N268" s="10">
        <f>Tabla2456789[[#This Row],[MONTO DE COMPRA]]/1.19</f>
        <v>0</v>
      </c>
      <c r="O268" s="10">
        <f>Tabla2456789[[#This Row],[Columna1]]*19%</f>
        <v>0</v>
      </c>
      <c r="P268" s="10"/>
      <c r="Q268" s="10">
        <f>Tabla2456789[[#This Row],[VENTA ]]/1.19</f>
        <v>0</v>
      </c>
      <c r="R268" s="10">
        <f>Tabla2456789[[#This Row],[Columna2]]*19%</f>
        <v>0</v>
      </c>
      <c r="S268" s="10">
        <f>Tabla2456789[[#This Row],[IVA VENTA ]]-Tabla2456789[[#This Row],[IV COMPRA]]</f>
        <v>0</v>
      </c>
      <c r="T268" s="10">
        <f>(Tabla2456789[[#This Row],[VENTA ]]-(Tabla2456789[[#This Row],[MONTO DE COMPRA]]+Tabla2456789[[#This Row],[DIFERENCIA IVA ]]))</f>
        <v>0</v>
      </c>
      <c r="V268" s="17"/>
    </row>
    <row r="269" spans="1:22" s="15" customFormat="1" ht="20.100000000000001" customHeight="1" x14ac:dyDescent="0.25">
      <c r="A269" s="13"/>
      <c r="B269" s="14"/>
      <c r="C269" s="14"/>
      <c r="D269" s="14"/>
      <c r="G269" s="14"/>
      <c r="H269" s="16"/>
      <c r="J269" s="20">
        <f>IF(G:G="FRENOS",(Tabla2456789[[#This Row],[TOTAL FACTURA]]*0.8),(Tabla2456789[[#This Row],[TOTAL FACTURA]]*0.5))</f>
        <v>0</v>
      </c>
      <c r="K269" s="9" t="e">
        <f>#REF!-J269</f>
        <v>#REF!</v>
      </c>
      <c r="L269" s="4"/>
      <c r="M269" s="10"/>
      <c r="N269" s="10">
        <f>Tabla2456789[[#This Row],[MONTO DE COMPRA]]/1.19</f>
        <v>0</v>
      </c>
      <c r="O269" s="10">
        <f>Tabla2456789[[#This Row],[Columna1]]*19%</f>
        <v>0</v>
      </c>
      <c r="P269" s="10"/>
      <c r="Q269" s="10">
        <f>Tabla2456789[[#This Row],[VENTA ]]/1.19</f>
        <v>0</v>
      </c>
      <c r="R269" s="10">
        <f>Tabla2456789[[#This Row],[Columna2]]*19%</f>
        <v>0</v>
      </c>
      <c r="S269" s="10">
        <f>Tabla2456789[[#This Row],[IVA VENTA ]]-Tabla2456789[[#This Row],[IV COMPRA]]</f>
        <v>0</v>
      </c>
      <c r="T269" s="10">
        <f>(Tabla2456789[[#This Row],[VENTA ]]-(Tabla2456789[[#This Row],[MONTO DE COMPRA]]+Tabla2456789[[#This Row],[DIFERENCIA IVA ]]))</f>
        <v>0</v>
      </c>
      <c r="V269" s="17"/>
    </row>
    <row r="270" spans="1:22" s="15" customFormat="1" ht="20.100000000000001" customHeight="1" x14ac:dyDescent="0.25">
      <c r="A270" s="13"/>
      <c r="B270" s="14"/>
      <c r="C270" s="14"/>
      <c r="D270" s="14"/>
      <c r="G270" s="14"/>
      <c r="H270" s="16"/>
      <c r="J270" s="20">
        <f>IF(G:G="FRENOS",(Tabla2456789[[#This Row],[TOTAL FACTURA]]*0.8),(Tabla2456789[[#This Row],[TOTAL FACTURA]]*0.5))</f>
        <v>0</v>
      </c>
      <c r="K270" s="9" t="e">
        <f>#REF!-J270</f>
        <v>#REF!</v>
      </c>
      <c r="L270" s="4"/>
      <c r="M270" s="10"/>
      <c r="N270" s="10">
        <f>Tabla2456789[[#This Row],[MONTO DE COMPRA]]/1.19</f>
        <v>0</v>
      </c>
      <c r="O270" s="10">
        <f>Tabla2456789[[#This Row],[Columna1]]*19%</f>
        <v>0</v>
      </c>
      <c r="P270" s="10"/>
      <c r="Q270" s="10">
        <f>Tabla2456789[[#This Row],[VENTA ]]/1.19</f>
        <v>0</v>
      </c>
      <c r="R270" s="10">
        <f>Tabla2456789[[#This Row],[Columna2]]*19%</f>
        <v>0</v>
      </c>
      <c r="S270" s="10">
        <f>Tabla2456789[[#This Row],[IVA VENTA ]]-Tabla2456789[[#This Row],[IV COMPRA]]</f>
        <v>0</v>
      </c>
      <c r="T270" s="10">
        <f>(Tabla2456789[[#This Row],[VENTA ]]-(Tabla2456789[[#This Row],[MONTO DE COMPRA]]+Tabla2456789[[#This Row],[DIFERENCIA IVA ]]))</f>
        <v>0</v>
      </c>
      <c r="V270" s="17"/>
    </row>
    <row r="271" spans="1:22" s="15" customFormat="1" ht="20.100000000000001" customHeight="1" x14ac:dyDescent="0.25">
      <c r="A271" s="13"/>
      <c r="B271" s="14"/>
      <c r="C271" s="14"/>
      <c r="D271" s="14"/>
      <c r="G271" s="14"/>
      <c r="H271" s="16"/>
      <c r="J271" s="20">
        <f>IF(G:G="FRENOS",(Tabla2456789[[#This Row],[TOTAL FACTURA]]*0.8),(Tabla2456789[[#This Row],[TOTAL FACTURA]]*0.5))</f>
        <v>0</v>
      </c>
      <c r="K271" s="9" t="e">
        <f>#REF!-J271</f>
        <v>#REF!</v>
      </c>
      <c r="L271" s="4"/>
      <c r="M271" s="10"/>
      <c r="N271" s="10">
        <f>Tabla2456789[[#This Row],[MONTO DE COMPRA]]/1.19</f>
        <v>0</v>
      </c>
      <c r="O271" s="10">
        <f>Tabla2456789[[#This Row],[Columna1]]*19%</f>
        <v>0</v>
      </c>
      <c r="P271" s="10"/>
      <c r="Q271" s="10">
        <f>Tabla2456789[[#This Row],[VENTA ]]/1.19</f>
        <v>0</v>
      </c>
      <c r="R271" s="10">
        <f>Tabla2456789[[#This Row],[Columna2]]*19%</f>
        <v>0</v>
      </c>
      <c r="S271" s="10">
        <f>Tabla2456789[[#This Row],[IVA VENTA ]]-Tabla2456789[[#This Row],[IV COMPRA]]</f>
        <v>0</v>
      </c>
      <c r="T271" s="10">
        <f>(Tabla2456789[[#This Row],[VENTA ]]-(Tabla2456789[[#This Row],[MONTO DE COMPRA]]+Tabla2456789[[#This Row],[DIFERENCIA IVA ]]))</f>
        <v>0</v>
      </c>
      <c r="V271" s="17"/>
    </row>
    <row r="272" spans="1:22" s="15" customFormat="1" ht="20.100000000000001" customHeight="1" x14ac:dyDescent="0.25">
      <c r="A272" s="13"/>
      <c r="B272" s="14"/>
      <c r="C272" s="14"/>
      <c r="D272" s="14"/>
      <c r="G272" s="14"/>
      <c r="H272" s="16"/>
      <c r="J272" s="20">
        <f>IF(G:G="FRENOS",(Tabla2456789[[#This Row],[TOTAL FACTURA]]*0.8),(Tabla2456789[[#This Row],[TOTAL FACTURA]]*0.5))</f>
        <v>0</v>
      </c>
      <c r="K272" s="9" t="e">
        <f>#REF!-J272</f>
        <v>#REF!</v>
      </c>
      <c r="L272" s="4"/>
      <c r="M272" s="10"/>
      <c r="N272" s="10">
        <f>Tabla2456789[[#This Row],[MONTO DE COMPRA]]/1.19</f>
        <v>0</v>
      </c>
      <c r="O272" s="10">
        <f>Tabla2456789[[#This Row],[Columna1]]*19%</f>
        <v>0</v>
      </c>
      <c r="P272" s="10"/>
      <c r="Q272" s="10">
        <f>Tabla2456789[[#This Row],[VENTA ]]/1.19</f>
        <v>0</v>
      </c>
      <c r="R272" s="10">
        <f>Tabla2456789[[#This Row],[Columna2]]*19%</f>
        <v>0</v>
      </c>
      <c r="S272" s="10">
        <f>Tabla2456789[[#This Row],[IVA VENTA ]]-Tabla2456789[[#This Row],[IV COMPRA]]</f>
        <v>0</v>
      </c>
      <c r="T272" s="10">
        <f>(Tabla2456789[[#This Row],[VENTA ]]-(Tabla2456789[[#This Row],[MONTO DE COMPRA]]+Tabla2456789[[#This Row],[DIFERENCIA IVA ]]))</f>
        <v>0</v>
      </c>
      <c r="V272" s="17"/>
    </row>
    <row r="273" spans="1:22" s="15" customFormat="1" ht="20.100000000000001" customHeight="1" x14ac:dyDescent="0.25">
      <c r="A273" s="13"/>
      <c r="B273" s="14"/>
      <c r="C273" s="14"/>
      <c r="D273" s="21"/>
      <c r="E273" s="14"/>
      <c r="G273" s="14"/>
      <c r="H273" s="16"/>
      <c r="J273" s="20">
        <f>IF(G:G="FRENOS",(Tabla2456789[[#This Row],[TOTAL FACTURA]]*0.8),(Tabla2456789[[#This Row],[TOTAL FACTURA]]*0.5))</f>
        <v>0</v>
      </c>
      <c r="K273" s="9" t="e">
        <f>#REF!-J273</f>
        <v>#REF!</v>
      </c>
      <c r="L273" s="4"/>
      <c r="M273" s="10"/>
      <c r="N273" s="10">
        <f>Tabla2456789[[#This Row],[MONTO DE COMPRA]]/1.19</f>
        <v>0</v>
      </c>
      <c r="O273" s="10">
        <f>Tabla2456789[[#This Row],[Columna1]]*19%</f>
        <v>0</v>
      </c>
      <c r="P273" s="10"/>
      <c r="Q273" s="10">
        <f>Tabla2456789[[#This Row],[VENTA ]]/1.19</f>
        <v>0</v>
      </c>
      <c r="R273" s="10">
        <f>Tabla2456789[[#This Row],[Columna2]]*19%</f>
        <v>0</v>
      </c>
      <c r="S273" s="10">
        <f>Tabla2456789[[#This Row],[IVA VENTA ]]-Tabla2456789[[#This Row],[IV COMPRA]]</f>
        <v>0</v>
      </c>
      <c r="T273" s="10">
        <f>(Tabla2456789[[#This Row],[VENTA ]]-(Tabla2456789[[#This Row],[MONTO DE COMPRA]]+Tabla2456789[[#This Row],[DIFERENCIA IVA ]]))</f>
        <v>0</v>
      </c>
      <c r="V273" s="17"/>
    </row>
    <row r="274" spans="1:22" s="15" customFormat="1" ht="20.100000000000001" customHeight="1" x14ac:dyDescent="0.25">
      <c r="A274" s="13"/>
      <c r="B274" s="14"/>
      <c r="C274" s="14"/>
      <c r="D274" s="14"/>
      <c r="G274" s="14"/>
      <c r="H274" s="16"/>
      <c r="J274" s="20">
        <f>IF(G:G="FRENOS",(Tabla2456789[[#This Row],[TOTAL FACTURA]]*0.8),(Tabla2456789[[#This Row],[TOTAL FACTURA]]*0.5))</f>
        <v>0</v>
      </c>
      <c r="K274" s="9" t="e">
        <f>#REF!-J274</f>
        <v>#REF!</v>
      </c>
      <c r="L274" s="4"/>
      <c r="M274" s="10"/>
      <c r="N274" s="10">
        <f>Tabla2456789[[#This Row],[MONTO DE COMPRA]]/1.19</f>
        <v>0</v>
      </c>
      <c r="O274" s="10">
        <f>Tabla2456789[[#This Row],[Columna1]]*19%</f>
        <v>0</v>
      </c>
      <c r="P274" s="10"/>
      <c r="Q274" s="10">
        <f>Tabla2456789[[#This Row],[VENTA ]]/1.19</f>
        <v>0</v>
      </c>
      <c r="R274" s="10">
        <f>Tabla2456789[[#This Row],[Columna2]]*19%</f>
        <v>0</v>
      </c>
      <c r="S274" s="10">
        <f>Tabla2456789[[#This Row],[IVA VENTA ]]-Tabla2456789[[#This Row],[IV COMPRA]]</f>
        <v>0</v>
      </c>
      <c r="T274" s="10">
        <f>(Tabla2456789[[#This Row],[VENTA ]]-(Tabla2456789[[#This Row],[MONTO DE COMPRA]]+Tabla2456789[[#This Row],[DIFERENCIA IVA ]]))</f>
        <v>0</v>
      </c>
      <c r="V274" s="17"/>
    </row>
    <row r="275" spans="1:22" s="15" customFormat="1" ht="20.100000000000001" customHeight="1" x14ac:dyDescent="0.25">
      <c r="A275" s="13"/>
      <c r="B275" s="14"/>
      <c r="C275" s="14"/>
      <c r="D275" s="14"/>
      <c r="G275" s="14"/>
      <c r="H275" s="16"/>
      <c r="J275" s="20">
        <f>IF(G:G="FRENOS",(Tabla2456789[[#This Row],[TOTAL FACTURA]]*0.8),(Tabla2456789[[#This Row],[TOTAL FACTURA]]*0.5))</f>
        <v>0</v>
      </c>
      <c r="K275" s="9" t="e">
        <f>#REF!-J275</f>
        <v>#REF!</v>
      </c>
      <c r="L275" s="4"/>
      <c r="M275" s="10"/>
      <c r="N275" s="10">
        <f>Tabla2456789[[#This Row],[MONTO DE COMPRA]]/1.19</f>
        <v>0</v>
      </c>
      <c r="O275" s="10">
        <f>Tabla2456789[[#This Row],[Columna1]]*19%</f>
        <v>0</v>
      </c>
      <c r="P275" s="10"/>
      <c r="Q275" s="10">
        <f>Tabla2456789[[#This Row],[VENTA ]]/1.19</f>
        <v>0</v>
      </c>
      <c r="R275" s="10">
        <f>Tabla2456789[[#This Row],[Columna2]]*19%</f>
        <v>0</v>
      </c>
      <c r="S275" s="10">
        <f>Tabla2456789[[#This Row],[IVA VENTA ]]-Tabla2456789[[#This Row],[IV COMPRA]]</f>
        <v>0</v>
      </c>
      <c r="T275" s="10">
        <f>(Tabla2456789[[#This Row],[VENTA ]]-(Tabla2456789[[#This Row],[MONTO DE COMPRA]]+Tabla2456789[[#This Row],[DIFERENCIA IVA ]]))</f>
        <v>0</v>
      </c>
      <c r="V275" s="17"/>
    </row>
    <row r="276" spans="1:22" s="15" customFormat="1" ht="20.100000000000001" customHeight="1" x14ac:dyDescent="0.25">
      <c r="A276" s="13"/>
      <c r="B276" s="14"/>
      <c r="C276" s="14"/>
      <c r="D276" s="14"/>
      <c r="G276" s="14"/>
      <c r="H276" s="16"/>
      <c r="J276" s="20">
        <f>IF(G:G="FRENOS",(Tabla2456789[[#This Row],[TOTAL FACTURA]]*0.8),(Tabla2456789[[#This Row],[TOTAL FACTURA]]*0.5))</f>
        <v>0</v>
      </c>
      <c r="K276" s="9" t="e">
        <f>#REF!-J276</f>
        <v>#REF!</v>
      </c>
      <c r="L276" s="4"/>
      <c r="M276" s="10"/>
      <c r="N276" s="10">
        <f>Tabla2456789[[#This Row],[MONTO DE COMPRA]]/1.19</f>
        <v>0</v>
      </c>
      <c r="O276" s="10">
        <f>Tabla2456789[[#This Row],[Columna1]]*19%</f>
        <v>0</v>
      </c>
      <c r="P276" s="10"/>
      <c r="Q276" s="10">
        <f>Tabla2456789[[#This Row],[VENTA ]]/1.19</f>
        <v>0</v>
      </c>
      <c r="R276" s="10">
        <f>Tabla2456789[[#This Row],[Columna2]]*19%</f>
        <v>0</v>
      </c>
      <c r="S276" s="10">
        <f>Tabla2456789[[#This Row],[IVA VENTA ]]-Tabla2456789[[#This Row],[IV COMPRA]]</f>
        <v>0</v>
      </c>
      <c r="T276" s="10">
        <f>(Tabla2456789[[#This Row],[VENTA ]]-(Tabla2456789[[#This Row],[MONTO DE COMPRA]]+Tabla2456789[[#This Row],[DIFERENCIA IVA ]]))</f>
        <v>0</v>
      </c>
      <c r="V276" s="17"/>
    </row>
    <row r="277" spans="1:22" s="15" customFormat="1" ht="20.100000000000001" customHeight="1" x14ac:dyDescent="0.25">
      <c r="A277" s="13"/>
      <c r="B277" s="14"/>
      <c r="C277" s="14"/>
      <c r="D277" s="14"/>
      <c r="G277" s="14"/>
      <c r="H277" s="16"/>
      <c r="J277" s="20">
        <f>IF(G:G="FRENOS",(Tabla2456789[[#This Row],[TOTAL FACTURA]]*0.8),(Tabla2456789[[#This Row],[TOTAL FACTURA]]*0.5))</f>
        <v>0</v>
      </c>
      <c r="K277" s="9" t="e">
        <f>#REF!-J277</f>
        <v>#REF!</v>
      </c>
      <c r="L277" s="4"/>
      <c r="M277" s="10"/>
      <c r="N277" s="10">
        <f>Tabla2456789[[#This Row],[MONTO DE COMPRA]]/1.19</f>
        <v>0</v>
      </c>
      <c r="O277" s="10">
        <f>Tabla2456789[[#This Row],[Columna1]]*19%</f>
        <v>0</v>
      </c>
      <c r="P277" s="10"/>
      <c r="Q277" s="10">
        <f>Tabla2456789[[#This Row],[VENTA ]]/1.19</f>
        <v>0</v>
      </c>
      <c r="R277" s="10">
        <f>Tabla2456789[[#This Row],[Columna2]]*19%</f>
        <v>0</v>
      </c>
      <c r="S277" s="10">
        <f>Tabla2456789[[#This Row],[IVA VENTA ]]-Tabla2456789[[#This Row],[IV COMPRA]]</f>
        <v>0</v>
      </c>
      <c r="T277" s="10">
        <f>(Tabla2456789[[#This Row],[VENTA ]]-(Tabla2456789[[#This Row],[MONTO DE COMPRA]]+Tabla2456789[[#This Row],[DIFERENCIA IVA ]]))</f>
        <v>0</v>
      </c>
      <c r="V277" s="17"/>
    </row>
    <row r="278" spans="1:22" s="15" customFormat="1" ht="20.100000000000001" customHeight="1" x14ac:dyDescent="0.25">
      <c r="A278" s="13"/>
      <c r="B278" s="14"/>
      <c r="C278" s="14"/>
      <c r="D278" s="14"/>
      <c r="G278" s="14"/>
      <c r="H278" s="16"/>
      <c r="J278" s="20">
        <f>IF(G:G="FRENOS",(Tabla2456789[[#This Row],[TOTAL FACTURA]]*0.8),(Tabla2456789[[#This Row],[TOTAL FACTURA]]*0.5))</f>
        <v>0</v>
      </c>
      <c r="K278" s="9" t="e">
        <f>#REF!-J278</f>
        <v>#REF!</v>
      </c>
      <c r="L278" s="4"/>
      <c r="M278" s="10"/>
      <c r="N278" s="10">
        <f>Tabla2456789[[#This Row],[MONTO DE COMPRA]]/1.19</f>
        <v>0</v>
      </c>
      <c r="O278" s="10">
        <f>Tabla2456789[[#This Row],[Columna1]]*19%</f>
        <v>0</v>
      </c>
      <c r="P278" s="10"/>
      <c r="Q278" s="10">
        <f>Tabla2456789[[#This Row],[VENTA ]]/1.19</f>
        <v>0</v>
      </c>
      <c r="R278" s="10">
        <f>Tabla2456789[[#This Row],[Columna2]]*19%</f>
        <v>0</v>
      </c>
      <c r="S278" s="10">
        <f>Tabla2456789[[#This Row],[IVA VENTA ]]-Tabla2456789[[#This Row],[IV COMPRA]]</f>
        <v>0</v>
      </c>
      <c r="T278" s="10">
        <f>(Tabla2456789[[#This Row],[VENTA ]]-(Tabla2456789[[#This Row],[MONTO DE COMPRA]]+Tabla2456789[[#This Row],[DIFERENCIA IVA ]]))</f>
        <v>0</v>
      </c>
      <c r="V278" s="17"/>
    </row>
    <row r="279" spans="1:22" s="15" customFormat="1" ht="20.100000000000001" customHeight="1" x14ac:dyDescent="0.25">
      <c r="A279" s="13"/>
      <c r="B279" s="14"/>
      <c r="C279" s="14"/>
      <c r="D279" s="14"/>
      <c r="G279" s="14"/>
      <c r="H279" s="16"/>
      <c r="J279" s="20">
        <f>IF(G:G="FRENOS",(Tabla2456789[[#This Row],[TOTAL FACTURA]]*0.8),(Tabla2456789[[#This Row],[TOTAL FACTURA]]*0.5))</f>
        <v>0</v>
      </c>
      <c r="K279" s="9" t="e">
        <f>#REF!-J279</f>
        <v>#REF!</v>
      </c>
      <c r="L279" s="4"/>
      <c r="M279" s="10"/>
      <c r="N279" s="10">
        <f>Tabla2456789[[#This Row],[MONTO DE COMPRA]]/1.19</f>
        <v>0</v>
      </c>
      <c r="O279" s="10">
        <f>Tabla2456789[[#This Row],[Columna1]]*19%</f>
        <v>0</v>
      </c>
      <c r="P279" s="10"/>
      <c r="Q279" s="10">
        <f>Tabla2456789[[#This Row],[VENTA ]]/1.19</f>
        <v>0</v>
      </c>
      <c r="R279" s="10">
        <f>Tabla2456789[[#This Row],[Columna2]]*19%</f>
        <v>0</v>
      </c>
      <c r="S279" s="10">
        <f>Tabla2456789[[#This Row],[IVA VENTA ]]-Tabla2456789[[#This Row],[IV COMPRA]]</f>
        <v>0</v>
      </c>
      <c r="T279" s="10">
        <f>(Tabla2456789[[#This Row],[VENTA ]]-(Tabla2456789[[#This Row],[MONTO DE COMPRA]]+Tabla2456789[[#This Row],[DIFERENCIA IVA ]]))</f>
        <v>0</v>
      </c>
      <c r="V279" s="17"/>
    </row>
    <row r="280" spans="1:22" s="15" customFormat="1" ht="20.100000000000001" customHeight="1" x14ac:dyDescent="0.25">
      <c r="A280" s="13"/>
      <c r="B280" s="14"/>
      <c r="C280" s="14"/>
      <c r="D280" s="14"/>
      <c r="G280" s="14"/>
      <c r="H280" s="16"/>
      <c r="J280" s="20">
        <f>IF(G:G="FRENOS",(Tabla2456789[[#This Row],[TOTAL FACTURA]]*0.8),(Tabla2456789[[#This Row],[TOTAL FACTURA]]*0.5))</f>
        <v>0</v>
      </c>
      <c r="K280" s="9" t="e">
        <f>#REF!-J280</f>
        <v>#REF!</v>
      </c>
      <c r="L280" s="4"/>
      <c r="M280" s="10"/>
      <c r="N280" s="10">
        <f>Tabla2456789[[#This Row],[MONTO DE COMPRA]]/1.19</f>
        <v>0</v>
      </c>
      <c r="O280" s="10">
        <f>Tabla2456789[[#This Row],[Columna1]]*19%</f>
        <v>0</v>
      </c>
      <c r="P280" s="10"/>
      <c r="Q280" s="10">
        <f>Tabla2456789[[#This Row],[VENTA ]]/1.19</f>
        <v>0</v>
      </c>
      <c r="R280" s="10">
        <f>Tabla2456789[[#This Row],[Columna2]]*19%</f>
        <v>0</v>
      </c>
      <c r="S280" s="10">
        <f>Tabla2456789[[#This Row],[IVA VENTA ]]-Tabla2456789[[#This Row],[IV COMPRA]]</f>
        <v>0</v>
      </c>
      <c r="T280" s="10">
        <f>(Tabla2456789[[#This Row],[VENTA ]]-(Tabla2456789[[#This Row],[MONTO DE COMPRA]]+Tabla2456789[[#This Row],[DIFERENCIA IVA ]]))</f>
        <v>0</v>
      </c>
      <c r="V280" s="17"/>
    </row>
    <row r="281" spans="1:22" s="15" customFormat="1" ht="20.100000000000001" customHeight="1" x14ac:dyDescent="0.25">
      <c r="A281" s="13"/>
      <c r="B281" s="14"/>
      <c r="C281" s="14"/>
      <c r="D281" s="14"/>
      <c r="G281" s="14"/>
      <c r="H281" s="16"/>
      <c r="J281" s="20">
        <f>IF(G:G="FRENOS",(Tabla2456789[[#This Row],[TOTAL FACTURA]]*0.8),(Tabla2456789[[#This Row],[TOTAL FACTURA]]*0.5))</f>
        <v>0</v>
      </c>
      <c r="K281" s="9" t="e">
        <f>#REF!-J281</f>
        <v>#REF!</v>
      </c>
      <c r="L281" s="4"/>
      <c r="M281" s="10"/>
      <c r="N281" s="10">
        <f>Tabla2456789[[#This Row],[MONTO DE COMPRA]]/1.19</f>
        <v>0</v>
      </c>
      <c r="O281" s="10">
        <f>Tabla2456789[[#This Row],[Columna1]]*19%</f>
        <v>0</v>
      </c>
      <c r="P281" s="10"/>
      <c r="Q281" s="10">
        <f>Tabla2456789[[#This Row],[VENTA ]]/1.19</f>
        <v>0</v>
      </c>
      <c r="R281" s="10">
        <f>Tabla2456789[[#This Row],[Columna2]]*19%</f>
        <v>0</v>
      </c>
      <c r="S281" s="10">
        <f>Tabla2456789[[#This Row],[IVA VENTA ]]-Tabla2456789[[#This Row],[IV COMPRA]]</f>
        <v>0</v>
      </c>
      <c r="T281" s="10">
        <f>(Tabla2456789[[#This Row],[VENTA ]]-(Tabla2456789[[#This Row],[MONTO DE COMPRA]]+Tabla2456789[[#This Row],[DIFERENCIA IVA ]]))</f>
        <v>0</v>
      </c>
      <c r="V281" s="17"/>
    </row>
    <row r="282" spans="1:22" s="15" customFormat="1" ht="20.100000000000001" customHeight="1" x14ac:dyDescent="0.25">
      <c r="A282" s="13"/>
      <c r="B282" s="14"/>
      <c r="C282" s="14"/>
      <c r="D282" s="14"/>
      <c r="G282" s="14"/>
      <c r="H282" s="16"/>
      <c r="J282" s="20">
        <f>IF(G:G="FRENOS",(Tabla2456789[[#This Row],[TOTAL FACTURA]]*0.8),(Tabla2456789[[#This Row],[TOTAL FACTURA]]*0.5))</f>
        <v>0</v>
      </c>
      <c r="K282" s="9" t="e">
        <f>#REF!-J282</f>
        <v>#REF!</v>
      </c>
      <c r="L282" s="4"/>
      <c r="M282" s="10"/>
      <c r="N282" s="10">
        <f>Tabla2456789[[#This Row],[MONTO DE COMPRA]]/1.19</f>
        <v>0</v>
      </c>
      <c r="O282" s="10">
        <f>Tabla2456789[[#This Row],[Columna1]]*19%</f>
        <v>0</v>
      </c>
      <c r="P282" s="10"/>
      <c r="Q282" s="10">
        <f>Tabla2456789[[#This Row],[VENTA ]]/1.19</f>
        <v>0</v>
      </c>
      <c r="R282" s="10">
        <f>Tabla2456789[[#This Row],[Columna2]]*19%</f>
        <v>0</v>
      </c>
      <c r="S282" s="10">
        <f>Tabla2456789[[#This Row],[IVA VENTA ]]-Tabla2456789[[#This Row],[IV COMPRA]]</f>
        <v>0</v>
      </c>
      <c r="T282" s="10">
        <f>(Tabla2456789[[#This Row],[VENTA ]]-(Tabla2456789[[#This Row],[MONTO DE COMPRA]]+Tabla2456789[[#This Row],[DIFERENCIA IVA ]]))</f>
        <v>0</v>
      </c>
      <c r="V282" s="17"/>
    </row>
    <row r="283" spans="1:22" s="15" customFormat="1" ht="20.100000000000001" customHeight="1" x14ac:dyDescent="0.25">
      <c r="A283" s="13"/>
      <c r="B283" s="14"/>
      <c r="C283" s="14"/>
      <c r="D283" s="14"/>
      <c r="G283" s="14"/>
      <c r="H283" s="16"/>
      <c r="J283" s="20">
        <f>IF(G:G="FRENOS",(Tabla2456789[[#This Row],[TOTAL FACTURA]]*0.8),(Tabla2456789[[#This Row],[TOTAL FACTURA]]*0.5))</f>
        <v>0</v>
      </c>
      <c r="K283" s="9" t="e">
        <f>#REF!-J283</f>
        <v>#REF!</v>
      </c>
      <c r="L283" s="4"/>
      <c r="M283" s="10"/>
      <c r="N283" s="10">
        <f>Tabla2456789[[#This Row],[MONTO DE COMPRA]]/1.19</f>
        <v>0</v>
      </c>
      <c r="O283" s="10">
        <f>Tabla2456789[[#This Row],[Columna1]]*19%</f>
        <v>0</v>
      </c>
      <c r="P283" s="10"/>
      <c r="Q283" s="10">
        <f>Tabla2456789[[#This Row],[VENTA ]]/1.19</f>
        <v>0</v>
      </c>
      <c r="R283" s="10">
        <f>Tabla2456789[[#This Row],[Columna2]]*19%</f>
        <v>0</v>
      </c>
      <c r="S283" s="10">
        <f>Tabla2456789[[#This Row],[IVA VENTA ]]-Tabla2456789[[#This Row],[IV COMPRA]]</f>
        <v>0</v>
      </c>
      <c r="T283" s="10">
        <f>(Tabla2456789[[#This Row],[VENTA ]]-(Tabla2456789[[#This Row],[MONTO DE COMPRA]]+Tabla2456789[[#This Row],[DIFERENCIA IVA ]]))</f>
        <v>0</v>
      </c>
      <c r="V283" s="17"/>
    </row>
    <row r="284" spans="1:22" s="15" customFormat="1" ht="20.100000000000001" customHeight="1" x14ac:dyDescent="0.25">
      <c r="A284" s="13"/>
      <c r="B284" s="14"/>
      <c r="C284" s="14"/>
      <c r="D284" s="14"/>
      <c r="G284" s="14"/>
      <c r="H284" s="16"/>
      <c r="J284" s="20">
        <f>IF(G:G="FRENOS",(Tabla2456789[[#This Row],[TOTAL FACTURA]]*0.8),(Tabla2456789[[#This Row],[TOTAL FACTURA]]*0.5))</f>
        <v>0</v>
      </c>
      <c r="K284" s="9" t="e">
        <f>#REF!-J284</f>
        <v>#REF!</v>
      </c>
      <c r="L284" s="4"/>
      <c r="M284" s="10"/>
      <c r="N284" s="10">
        <f>Tabla2456789[[#This Row],[MONTO DE COMPRA]]/1.19</f>
        <v>0</v>
      </c>
      <c r="O284" s="10">
        <f>Tabla2456789[[#This Row],[Columna1]]*19%</f>
        <v>0</v>
      </c>
      <c r="P284" s="10"/>
      <c r="Q284" s="10">
        <f>Tabla2456789[[#This Row],[VENTA ]]/1.19</f>
        <v>0</v>
      </c>
      <c r="R284" s="10">
        <f>Tabla2456789[[#This Row],[Columna2]]*19%</f>
        <v>0</v>
      </c>
      <c r="S284" s="10">
        <f>Tabla2456789[[#This Row],[IVA VENTA ]]-Tabla2456789[[#This Row],[IV COMPRA]]</f>
        <v>0</v>
      </c>
      <c r="T284" s="10">
        <f>(Tabla2456789[[#This Row],[VENTA ]]-(Tabla2456789[[#This Row],[MONTO DE COMPRA]]+Tabla2456789[[#This Row],[DIFERENCIA IVA ]]))</f>
        <v>0</v>
      </c>
      <c r="V284" s="17"/>
    </row>
    <row r="285" spans="1:22" s="15" customFormat="1" ht="20.100000000000001" customHeight="1" x14ac:dyDescent="0.25">
      <c r="A285" s="13"/>
      <c r="B285" s="14"/>
      <c r="C285" s="14"/>
      <c r="D285" s="14"/>
      <c r="G285" s="14"/>
      <c r="H285" s="16"/>
      <c r="J285" s="20">
        <f>IF(G:G="FRENOS",(Tabla2456789[[#This Row],[TOTAL FACTURA]]*0.8),(Tabla2456789[[#This Row],[TOTAL FACTURA]]*0.5))</f>
        <v>0</v>
      </c>
      <c r="K285" s="9" t="e">
        <f>#REF!-J285</f>
        <v>#REF!</v>
      </c>
      <c r="L285" s="4"/>
      <c r="M285" s="10"/>
      <c r="N285" s="10">
        <f>Tabla2456789[[#This Row],[MONTO DE COMPRA]]/1.19</f>
        <v>0</v>
      </c>
      <c r="O285" s="10">
        <f>Tabla2456789[[#This Row],[Columna1]]*19%</f>
        <v>0</v>
      </c>
      <c r="P285" s="10"/>
      <c r="Q285" s="10">
        <f>Tabla2456789[[#This Row],[VENTA ]]/1.19</f>
        <v>0</v>
      </c>
      <c r="R285" s="10">
        <f>Tabla2456789[[#This Row],[Columna2]]*19%</f>
        <v>0</v>
      </c>
      <c r="S285" s="10">
        <f>Tabla2456789[[#This Row],[IVA VENTA ]]-Tabla2456789[[#This Row],[IV COMPRA]]</f>
        <v>0</v>
      </c>
      <c r="T285" s="10">
        <f>(Tabla2456789[[#This Row],[VENTA ]]-(Tabla2456789[[#This Row],[MONTO DE COMPRA]]+Tabla2456789[[#This Row],[DIFERENCIA IVA ]]))</f>
        <v>0</v>
      </c>
      <c r="V285" s="17"/>
    </row>
    <row r="286" spans="1:22" s="15" customFormat="1" ht="20.100000000000001" customHeight="1" x14ac:dyDescent="0.25">
      <c r="A286" s="13"/>
      <c r="B286" s="14"/>
      <c r="C286" s="14"/>
      <c r="D286" s="14"/>
      <c r="G286" s="14"/>
      <c r="H286" s="16"/>
      <c r="J286" s="20">
        <f>IF(G:G="FRENOS",(Tabla2456789[[#This Row],[TOTAL FACTURA]]*0.8),(Tabla2456789[[#This Row],[TOTAL FACTURA]]*0.5))</f>
        <v>0</v>
      </c>
      <c r="K286" s="9" t="e">
        <f>#REF!-J286</f>
        <v>#REF!</v>
      </c>
      <c r="L286" s="4"/>
      <c r="M286" s="10"/>
      <c r="N286" s="10">
        <f>Tabla2456789[[#This Row],[MONTO DE COMPRA]]/1.19</f>
        <v>0</v>
      </c>
      <c r="O286" s="10">
        <f>Tabla2456789[[#This Row],[Columna1]]*19%</f>
        <v>0</v>
      </c>
      <c r="P286" s="10"/>
      <c r="Q286" s="10">
        <f>Tabla2456789[[#This Row],[VENTA ]]/1.19</f>
        <v>0</v>
      </c>
      <c r="R286" s="10">
        <f>Tabla2456789[[#This Row],[Columna2]]*19%</f>
        <v>0</v>
      </c>
      <c r="S286" s="10">
        <f>Tabla2456789[[#This Row],[IVA VENTA ]]-Tabla2456789[[#This Row],[IV COMPRA]]</f>
        <v>0</v>
      </c>
      <c r="T286" s="10">
        <f>(Tabla2456789[[#This Row],[VENTA ]]-(Tabla2456789[[#This Row],[MONTO DE COMPRA]]+Tabla2456789[[#This Row],[DIFERENCIA IVA ]]))</f>
        <v>0</v>
      </c>
      <c r="V286" s="17"/>
    </row>
    <row r="287" spans="1:22" s="15" customFormat="1" ht="20.100000000000001" customHeight="1" x14ac:dyDescent="0.25">
      <c r="A287" s="13"/>
      <c r="B287" s="14"/>
      <c r="C287" s="14"/>
      <c r="D287" s="14"/>
      <c r="G287" s="14"/>
      <c r="H287" s="16"/>
      <c r="J287" s="20">
        <f>IF(G:G="FRENOS",(Tabla2456789[[#This Row],[TOTAL FACTURA]]*0.8),(Tabla2456789[[#This Row],[TOTAL FACTURA]]*0.5))</f>
        <v>0</v>
      </c>
      <c r="K287" s="9" t="e">
        <f>#REF!-J287</f>
        <v>#REF!</v>
      </c>
      <c r="L287" s="4"/>
      <c r="M287" s="10"/>
      <c r="N287" s="10">
        <f>Tabla2456789[[#This Row],[MONTO DE COMPRA]]/1.19</f>
        <v>0</v>
      </c>
      <c r="O287" s="10">
        <f>Tabla2456789[[#This Row],[Columna1]]*19%</f>
        <v>0</v>
      </c>
      <c r="P287" s="10"/>
      <c r="Q287" s="10">
        <f>Tabla2456789[[#This Row],[VENTA ]]/1.19</f>
        <v>0</v>
      </c>
      <c r="R287" s="10">
        <f>Tabla2456789[[#This Row],[Columna2]]*19%</f>
        <v>0</v>
      </c>
      <c r="S287" s="10">
        <f>Tabla2456789[[#This Row],[IVA VENTA ]]-Tabla2456789[[#This Row],[IV COMPRA]]</f>
        <v>0</v>
      </c>
      <c r="T287" s="10">
        <f>(Tabla2456789[[#This Row],[VENTA ]]-(Tabla2456789[[#This Row],[MONTO DE COMPRA]]+Tabla2456789[[#This Row],[DIFERENCIA IVA ]]))</f>
        <v>0</v>
      </c>
      <c r="V287" s="17"/>
    </row>
    <row r="288" spans="1:22" s="15" customFormat="1" ht="20.100000000000001" customHeight="1" x14ac:dyDescent="0.25">
      <c r="A288" s="13"/>
      <c r="B288" s="14"/>
      <c r="C288" s="14"/>
      <c r="D288" s="14"/>
      <c r="G288" s="14"/>
      <c r="H288" s="16"/>
      <c r="J288" s="20">
        <f>IF(G:G="FRENOS",(Tabla2456789[[#This Row],[TOTAL FACTURA]]*0.8),(Tabla2456789[[#This Row],[TOTAL FACTURA]]*0.5))</f>
        <v>0</v>
      </c>
      <c r="K288" s="9" t="e">
        <f>#REF!-J288</f>
        <v>#REF!</v>
      </c>
      <c r="L288" s="4"/>
      <c r="M288" s="10"/>
      <c r="N288" s="10">
        <f>Tabla2456789[[#This Row],[MONTO DE COMPRA]]/1.19</f>
        <v>0</v>
      </c>
      <c r="O288" s="10">
        <f>Tabla2456789[[#This Row],[Columna1]]*19%</f>
        <v>0</v>
      </c>
      <c r="P288" s="10"/>
      <c r="Q288" s="10">
        <f>Tabla2456789[[#This Row],[VENTA ]]/1.19</f>
        <v>0</v>
      </c>
      <c r="R288" s="10">
        <f>Tabla2456789[[#This Row],[Columna2]]*19%</f>
        <v>0</v>
      </c>
      <c r="S288" s="10">
        <f>Tabla2456789[[#This Row],[IVA VENTA ]]-Tabla2456789[[#This Row],[IV COMPRA]]</f>
        <v>0</v>
      </c>
      <c r="T288" s="10">
        <f>(Tabla2456789[[#This Row],[VENTA ]]-(Tabla2456789[[#This Row],[MONTO DE COMPRA]]+Tabla2456789[[#This Row],[DIFERENCIA IVA ]]))</f>
        <v>0</v>
      </c>
      <c r="V288" s="17"/>
    </row>
    <row r="289" spans="1:22" s="15" customFormat="1" ht="20.100000000000001" customHeight="1" x14ac:dyDescent="0.25">
      <c r="A289" s="13"/>
      <c r="B289" s="14"/>
      <c r="C289" s="14"/>
      <c r="D289" s="14"/>
      <c r="G289" s="14"/>
      <c r="H289" s="16"/>
      <c r="J289" s="20">
        <f>IF(G:G="FRENOS",(Tabla2456789[[#This Row],[TOTAL FACTURA]]*0.8),(Tabla2456789[[#This Row],[TOTAL FACTURA]]*0.5))</f>
        <v>0</v>
      </c>
      <c r="K289" s="9" t="e">
        <f>#REF!-J289</f>
        <v>#REF!</v>
      </c>
      <c r="L289" s="4"/>
      <c r="M289" s="10"/>
      <c r="N289" s="10">
        <f>Tabla2456789[[#This Row],[MONTO DE COMPRA]]/1.19</f>
        <v>0</v>
      </c>
      <c r="O289" s="10">
        <f>Tabla2456789[[#This Row],[Columna1]]*19%</f>
        <v>0</v>
      </c>
      <c r="P289" s="10"/>
      <c r="Q289" s="10">
        <f>Tabla2456789[[#This Row],[VENTA ]]/1.19</f>
        <v>0</v>
      </c>
      <c r="R289" s="10">
        <f>Tabla2456789[[#This Row],[Columna2]]*19%</f>
        <v>0</v>
      </c>
      <c r="S289" s="10">
        <f>Tabla2456789[[#This Row],[IVA VENTA ]]-Tabla2456789[[#This Row],[IV COMPRA]]</f>
        <v>0</v>
      </c>
      <c r="T289" s="10">
        <f>(Tabla2456789[[#This Row],[VENTA ]]-(Tabla2456789[[#This Row],[MONTO DE COMPRA]]+Tabla2456789[[#This Row],[DIFERENCIA IVA ]]))</f>
        <v>0</v>
      </c>
      <c r="V289" s="17"/>
    </row>
    <row r="290" spans="1:22" s="15" customFormat="1" ht="20.100000000000001" customHeight="1" x14ac:dyDescent="0.25">
      <c r="A290" s="13"/>
      <c r="B290" s="14"/>
      <c r="C290" s="14"/>
      <c r="D290" s="14"/>
      <c r="G290" s="14"/>
      <c r="H290" s="16"/>
      <c r="J290" s="20">
        <f>IF(G:G="FRENOS",(Tabla2456789[[#This Row],[TOTAL FACTURA]]*0.8),(Tabla2456789[[#This Row],[TOTAL FACTURA]]*0.5))</f>
        <v>0</v>
      </c>
      <c r="K290" s="9" t="e">
        <f>#REF!-J290</f>
        <v>#REF!</v>
      </c>
      <c r="L290" s="4"/>
      <c r="M290" s="10"/>
      <c r="N290" s="10">
        <f>Tabla2456789[[#This Row],[MONTO DE COMPRA]]/1.19</f>
        <v>0</v>
      </c>
      <c r="O290" s="10">
        <f>Tabla2456789[[#This Row],[Columna1]]*19%</f>
        <v>0</v>
      </c>
      <c r="P290" s="10"/>
      <c r="Q290" s="10">
        <f>Tabla2456789[[#This Row],[VENTA ]]/1.19</f>
        <v>0</v>
      </c>
      <c r="R290" s="10">
        <f>Tabla2456789[[#This Row],[Columna2]]*19%</f>
        <v>0</v>
      </c>
      <c r="S290" s="10">
        <f>Tabla2456789[[#This Row],[IVA VENTA ]]-Tabla2456789[[#This Row],[IV COMPRA]]</f>
        <v>0</v>
      </c>
      <c r="T290" s="10">
        <f>(Tabla2456789[[#This Row],[VENTA ]]-(Tabla2456789[[#This Row],[MONTO DE COMPRA]]+Tabla2456789[[#This Row],[DIFERENCIA IVA ]]))</f>
        <v>0</v>
      </c>
      <c r="V290" s="17"/>
    </row>
    <row r="291" spans="1:22" s="15" customFormat="1" ht="20.100000000000001" customHeight="1" x14ac:dyDescent="0.25">
      <c r="A291" s="13"/>
      <c r="B291" s="14"/>
      <c r="C291" s="14"/>
      <c r="D291" s="14"/>
      <c r="G291" s="14"/>
      <c r="H291" s="16"/>
      <c r="J291" s="20">
        <f>IF(G:G="FRENOS",(Tabla2456789[[#This Row],[TOTAL FACTURA]]*0.8),(Tabla2456789[[#This Row],[TOTAL FACTURA]]*0.5))</f>
        <v>0</v>
      </c>
      <c r="K291" s="9" t="e">
        <f>#REF!-J291</f>
        <v>#REF!</v>
      </c>
      <c r="L291" s="4"/>
      <c r="M291" s="10"/>
      <c r="N291" s="10">
        <f>Tabla2456789[[#This Row],[MONTO DE COMPRA]]/1.19</f>
        <v>0</v>
      </c>
      <c r="O291" s="10">
        <f>Tabla2456789[[#This Row],[Columna1]]*19%</f>
        <v>0</v>
      </c>
      <c r="P291" s="10"/>
      <c r="Q291" s="10">
        <f>Tabla2456789[[#This Row],[VENTA ]]/1.19</f>
        <v>0</v>
      </c>
      <c r="R291" s="10">
        <f>Tabla2456789[[#This Row],[Columna2]]*19%</f>
        <v>0</v>
      </c>
      <c r="S291" s="10">
        <f>Tabla2456789[[#This Row],[IVA VENTA ]]-Tabla2456789[[#This Row],[IV COMPRA]]</f>
        <v>0</v>
      </c>
      <c r="T291" s="10">
        <f>(Tabla2456789[[#This Row],[VENTA ]]-(Tabla2456789[[#This Row],[MONTO DE COMPRA]]+Tabla2456789[[#This Row],[DIFERENCIA IVA ]]))</f>
        <v>0</v>
      </c>
      <c r="V291" s="17"/>
    </row>
    <row r="292" spans="1:22" s="15" customFormat="1" ht="20.100000000000001" customHeight="1" x14ac:dyDescent="0.25">
      <c r="A292" s="13"/>
      <c r="B292" s="14"/>
      <c r="C292" s="14"/>
      <c r="D292" s="14"/>
      <c r="G292" s="14"/>
      <c r="H292" s="16"/>
      <c r="J292" s="20">
        <f>IF(G:G="FRENOS",(Tabla2456789[[#This Row],[TOTAL FACTURA]]*0.8),(Tabla2456789[[#This Row],[TOTAL FACTURA]]*0.5))</f>
        <v>0</v>
      </c>
      <c r="K292" s="9" t="e">
        <f>#REF!-J292</f>
        <v>#REF!</v>
      </c>
      <c r="L292" s="4"/>
      <c r="M292" s="10"/>
      <c r="N292" s="10">
        <f>Tabla2456789[[#This Row],[MONTO DE COMPRA]]/1.19</f>
        <v>0</v>
      </c>
      <c r="O292" s="10">
        <f>Tabla2456789[[#This Row],[Columna1]]*19%</f>
        <v>0</v>
      </c>
      <c r="P292" s="10"/>
      <c r="Q292" s="10">
        <f>Tabla2456789[[#This Row],[VENTA ]]/1.19</f>
        <v>0</v>
      </c>
      <c r="R292" s="10">
        <f>Tabla2456789[[#This Row],[Columna2]]*19%</f>
        <v>0</v>
      </c>
      <c r="S292" s="10">
        <f>Tabla2456789[[#This Row],[IVA VENTA ]]-Tabla2456789[[#This Row],[IV COMPRA]]</f>
        <v>0</v>
      </c>
      <c r="T292" s="10">
        <f>(Tabla2456789[[#This Row],[VENTA ]]-(Tabla2456789[[#This Row],[MONTO DE COMPRA]]+Tabla2456789[[#This Row],[DIFERENCIA IVA ]]))</f>
        <v>0</v>
      </c>
      <c r="V292" s="17"/>
    </row>
    <row r="293" spans="1:22" s="15" customFormat="1" ht="20.100000000000001" customHeight="1" x14ac:dyDescent="0.25">
      <c r="A293" s="13"/>
      <c r="B293" s="14"/>
      <c r="C293" s="14"/>
      <c r="D293" s="14"/>
      <c r="G293" s="14"/>
      <c r="H293" s="16"/>
      <c r="J293" s="20">
        <f>IF(G:G="FRENOS",(Tabla2456789[[#This Row],[TOTAL FACTURA]]*0.8),(Tabla2456789[[#This Row],[TOTAL FACTURA]]*0.5))</f>
        <v>0</v>
      </c>
      <c r="K293" s="9" t="e">
        <f>#REF!-J293</f>
        <v>#REF!</v>
      </c>
      <c r="L293" s="4"/>
      <c r="M293" s="10"/>
      <c r="N293" s="10">
        <f>Tabla2456789[[#This Row],[MONTO DE COMPRA]]/1.19</f>
        <v>0</v>
      </c>
      <c r="O293" s="10">
        <f>Tabla2456789[[#This Row],[Columna1]]*19%</f>
        <v>0</v>
      </c>
      <c r="P293" s="10"/>
      <c r="Q293" s="10">
        <f>Tabla2456789[[#This Row],[VENTA ]]/1.19</f>
        <v>0</v>
      </c>
      <c r="R293" s="10">
        <f>Tabla2456789[[#This Row],[Columna2]]*19%</f>
        <v>0</v>
      </c>
      <c r="S293" s="10">
        <f>Tabla2456789[[#This Row],[IVA VENTA ]]-Tabla2456789[[#This Row],[IV COMPRA]]</f>
        <v>0</v>
      </c>
      <c r="T293" s="10">
        <f>(Tabla2456789[[#This Row],[VENTA ]]-(Tabla2456789[[#This Row],[MONTO DE COMPRA]]+Tabla2456789[[#This Row],[DIFERENCIA IVA ]]))</f>
        <v>0</v>
      </c>
      <c r="V293" s="17"/>
    </row>
    <row r="294" spans="1:22" s="15" customFormat="1" ht="20.100000000000001" customHeight="1" x14ac:dyDescent="0.25">
      <c r="A294" s="13"/>
      <c r="B294" s="14"/>
      <c r="C294" s="14"/>
      <c r="D294" s="14"/>
      <c r="G294" s="14"/>
      <c r="H294" s="16"/>
      <c r="J294" s="20">
        <f>IF(G:G="FRENOS",(Tabla2456789[[#This Row],[TOTAL FACTURA]]*0.8),(Tabla2456789[[#This Row],[TOTAL FACTURA]]*0.5))</f>
        <v>0</v>
      </c>
      <c r="K294" s="9" t="e">
        <f>#REF!-J294</f>
        <v>#REF!</v>
      </c>
      <c r="L294" s="4"/>
      <c r="M294" s="10"/>
      <c r="N294" s="10">
        <f>Tabla2456789[[#This Row],[MONTO DE COMPRA]]/1.19</f>
        <v>0</v>
      </c>
      <c r="O294" s="10">
        <f>Tabla2456789[[#This Row],[Columna1]]*19%</f>
        <v>0</v>
      </c>
      <c r="P294" s="10"/>
      <c r="Q294" s="10">
        <f>Tabla2456789[[#This Row],[VENTA ]]/1.19</f>
        <v>0</v>
      </c>
      <c r="R294" s="10">
        <f>Tabla2456789[[#This Row],[Columna2]]*19%</f>
        <v>0</v>
      </c>
      <c r="S294" s="10">
        <f>Tabla2456789[[#This Row],[IVA VENTA ]]-Tabla2456789[[#This Row],[IV COMPRA]]</f>
        <v>0</v>
      </c>
      <c r="T294" s="10">
        <f>(Tabla2456789[[#This Row],[VENTA ]]-(Tabla2456789[[#This Row],[MONTO DE COMPRA]]+Tabla2456789[[#This Row],[DIFERENCIA IVA ]]))</f>
        <v>0</v>
      </c>
      <c r="V294" s="17"/>
    </row>
    <row r="295" spans="1:22" s="15" customFormat="1" ht="20.100000000000001" customHeight="1" x14ac:dyDescent="0.25">
      <c r="A295" s="13"/>
      <c r="B295" s="14"/>
      <c r="C295" s="14"/>
      <c r="D295" s="14"/>
      <c r="G295" s="14"/>
      <c r="H295" s="16"/>
      <c r="J295" s="20">
        <f>IF(G:G="FRENOS",(Tabla2456789[[#This Row],[TOTAL FACTURA]]*0.8),(Tabla2456789[[#This Row],[TOTAL FACTURA]]*0.5))</f>
        <v>0</v>
      </c>
      <c r="K295" s="9" t="e">
        <f>#REF!-J295</f>
        <v>#REF!</v>
      </c>
      <c r="L295" s="4"/>
      <c r="M295" s="10"/>
      <c r="N295" s="10">
        <f>Tabla2456789[[#This Row],[MONTO DE COMPRA]]/1.19</f>
        <v>0</v>
      </c>
      <c r="O295" s="10">
        <f>Tabla2456789[[#This Row],[Columna1]]*19%</f>
        <v>0</v>
      </c>
      <c r="P295" s="10"/>
      <c r="Q295" s="10">
        <f>Tabla2456789[[#This Row],[VENTA ]]/1.19</f>
        <v>0</v>
      </c>
      <c r="R295" s="10">
        <f>Tabla2456789[[#This Row],[Columna2]]*19%</f>
        <v>0</v>
      </c>
      <c r="S295" s="10">
        <f>Tabla2456789[[#This Row],[IVA VENTA ]]-Tabla2456789[[#This Row],[IV COMPRA]]</f>
        <v>0</v>
      </c>
      <c r="T295" s="10">
        <f>(Tabla2456789[[#This Row],[VENTA ]]-(Tabla2456789[[#This Row],[MONTO DE COMPRA]]+Tabla2456789[[#This Row],[DIFERENCIA IVA ]]))</f>
        <v>0</v>
      </c>
      <c r="V295" s="17"/>
    </row>
    <row r="296" spans="1:22" s="15" customFormat="1" ht="20.100000000000001" customHeight="1" x14ac:dyDescent="0.25">
      <c r="A296" s="13"/>
      <c r="B296" s="14"/>
      <c r="C296" s="14"/>
      <c r="D296" s="14"/>
      <c r="G296" s="14"/>
      <c r="H296" s="16"/>
      <c r="J296" s="20">
        <f>IF(G:G="FRENOS",(Tabla2456789[[#This Row],[TOTAL FACTURA]]*0.8),(Tabla2456789[[#This Row],[TOTAL FACTURA]]*0.5))</f>
        <v>0</v>
      </c>
      <c r="K296" s="9" t="e">
        <f>#REF!-J296</f>
        <v>#REF!</v>
      </c>
      <c r="L296" s="4"/>
      <c r="M296" s="10"/>
      <c r="N296" s="10">
        <f>Tabla2456789[[#This Row],[MONTO DE COMPRA]]/1.19</f>
        <v>0</v>
      </c>
      <c r="O296" s="10">
        <f>Tabla2456789[[#This Row],[Columna1]]*19%</f>
        <v>0</v>
      </c>
      <c r="P296" s="10"/>
      <c r="Q296" s="10">
        <f>Tabla2456789[[#This Row],[VENTA ]]/1.19</f>
        <v>0</v>
      </c>
      <c r="R296" s="10">
        <f>Tabla2456789[[#This Row],[Columna2]]*19%</f>
        <v>0</v>
      </c>
      <c r="S296" s="10">
        <f>Tabla2456789[[#This Row],[IVA VENTA ]]-Tabla2456789[[#This Row],[IV COMPRA]]</f>
        <v>0</v>
      </c>
      <c r="T296" s="10">
        <f>(Tabla2456789[[#This Row],[VENTA ]]-(Tabla2456789[[#This Row],[MONTO DE COMPRA]]+Tabla2456789[[#This Row],[DIFERENCIA IVA ]]))</f>
        <v>0</v>
      </c>
      <c r="V296" s="17"/>
    </row>
    <row r="297" spans="1:22" s="15" customFormat="1" ht="20.100000000000001" customHeight="1" x14ac:dyDescent="0.25">
      <c r="A297" s="13"/>
      <c r="B297" s="14"/>
      <c r="C297" s="14"/>
      <c r="D297" s="14"/>
      <c r="G297" s="14"/>
      <c r="H297" s="16"/>
      <c r="J297" s="20">
        <f>IF(G:G="FRENOS",(Tabla2456789[[#This Row],[TOTAL FACTURA]]*0.8),(Tabla2456789[[#This Row],[TOTAL FACTURA]]*0.5))</f>
        <v>0</v>
      </c>
      <c r="K297" s="9" t="e">
        <f>#REF!-J297</f>
        <v>#REF!</v>
      </c>
      <c r="L297" s="4"/>
      <c r="M297" s="10"/>
      <c r="N297" s="10">
        <f>Tabla2456789[[#This Row],[MONTO DE COMPRA]]/1.19</f>
        <v>0</v>
      </c>
      <c r="O297" s="10">
        <f>Tabla2456789[[#This Row],[Columna1]]*19%</f>
        <v>0</v>
      </c>
      <c r="P297" s="10"/>
      <c r="Q297" s="10">
        <f>Tabla2456789[[#This Row],[VENTA ]]/1.19</f>
        <v>0</v>
      </c>
      <c r="R297" s="10">
        <f>Tabla2456789[[#This Row],[Columna2]]*19%</f>
        <v>0</v>
      </c>
      <c r="S297" s="10">
        <f>Tabla2456789[[#This Row],[IVA VENTA ]]-Tabla2456789[[#This Row],[IV COMPRA]]</f>
        <v>0</v>
      </c>
      <c r="T297" s="10">
        <f>(Tabla2456789[[#This Row],[VENTA ]]-(Tabla2456789[[#This Row],[MONTO DE COMPRA]]+Tabla2456789[[#This Row],[DIFERENCIA IVA ]]))</f>
        <v>0</v>
      </c>
      <c r="V297" s="17"/>
    </row>
    <row r="298" spans="1:22" s="15" customFormat="1" ht="20.100000000000001" customHeight="1" x14ac:dyDescent="0.25">
      <c r="A298" s="13"/>
      <c r="B298" s="14"/>
      <c r="C298" s="14"/>
      <c r="D298" s="14"/>
      <c r="G298" s="14"/>
      <c r="H298" s="16"/>
      <c r="J298" s="20">
        <f>IF(G:G="FRENOS",(Tabla2456789[[#This Row],[TOTAL FACTURA]]*0.8),(Tabla2456789[[#This Row],[TOTAL FACTURA]]*0.5))</f>
        <v>0</v>
      </c>
      <c r="K298" s="9" t="e">
        <f>#REF!-J298</f>
        <v>#REF!</v>
      </c>
      <c r="L298" s="4"/>
      <c r="M298" s="10"/>
      <c r="N298" s="10">
        <f>Tabla2456789[[#This Row],[MONTO DE COMPRA]]/1.19</f>
        <v>0</v>
      </c>
      <c r="O298" s="10">
        <f>Tabla2456789[[#This Row],[Columna1]]*19%</f>
        <v>0</v>
      </c>
      <c r="P298" s="10"/>
      <c r="Q298" s="10">
        <f>Tabla2456789[[#This Row],[VENTA ]]/1.19</f>
        <v>0</v>
      </c>
      <c r="R298" s="10">
        <f>Tabla2456789[[#This Row],[Columna2]]*19%</f>
        <v>0</v>
      </c>
      <c r="S298" s="10">
        <f>Tabla2456789[[#This Row],[IVA VENTA ]]-Tabla2456789[[#This Row],[IV COMPRA]]</f>
        <v>0</v>
      </c>
      <c r="T298" s="10">
        <f>(Tabla2456789[[#This Row],[VENTA ]]-(Tabla2456789[[#This Row],[MONTO DE COMPRA]]+Tabla2456789[[#This Row],[DIFERENCIA IVA ]]))</f>
        <v>0</v>
      </c>
      <c r="V298" s="17"/>
    </row>
    <row r="299" spans="1:22" s="15" customFormat="1" ht="20.100000000000001" customHeight="1" x14ac:dyDescent="0.25">
      <c r="A299" s="13"/>
      <c r="B299" s="14"/>
      <c r="C299" s="14"/>
      <c r="D299" s="14"/>
      <c r="G299" s="14"/>
      <c r="H299" s="16"/>
      <c r="J299" s="20">
        <f>IF(G:G="FRENOS",(Tabla2456789[[#This Row],[TOTAL FACTURA]]*0.8),(Tabla2456789[[#This Row],[TOTAL FACTURA]]*0.5))</f>
        <v>0</v>
      </c>
      <c r="K299" s="9" t="e">
        <f>#REF!-J299</f>
        <v>#REF!</v>
      </c>
      <c r="L299" s="4"/>
      <c r="M299" s="10"/>
      <c r="N299" s="10">
        <f>Tabla2456789[[#This Row],[MONTO DE COMPRA]]/1.19</f>
        <v>0</v>
      </c>
      <c r="O299" s="10">
        <f>Tabla2456789[[#This Row],[Columna1]]*19%</f>
        <v>0</v>
      </c>
      <c r="P299" s="10"/>
      <c r="Q299" s="10">
        <f>Tabla2456789[[#This Row],[VENTA ]]/1.19</f>
        <v>0</v>
      </c>
      <c r="R299" s="10">
        <f>Tabla2456789[[#This Row],[Columna2]]*19%</f>
        <v>0</v>
      </c>
      <c r="S299" s="10">
        <f>Tabla2456789[[#This Row],[IVA VENTA ]]-Tabla2456789[[#This Row],[IV COMPRA]]</f>
        <v>0</v>
      </c>
      <c r="T299" s="10">
        <f>(Tabla2456789[[#This Row],[VENTA ]]-(Tabla2456789[[#This Row],[MONTO DE COMPRA]]+Tabla2456789[[#This Row],[DIFERENCIA IVA ]]))</f>
        <v>0</v>
      </c>
      <c r="V299" s="17"/>
    </row>
    <row r="300" spans="1:22" s="15" customFormat="1" ht="20.100000000000001" customHeight="1" x14ac:dyDescent="0.25">
      <c r="A300" s="13"/>
      <c r="B300" s="14"/>
      <c r="C300" s="14"/>
      <c r="D300" s="14"/>
      <c r="G300" s="14"/>
      <c r="H300" s="16"/>
      <c r="J300" s="20">
        <f>IF(G:G="FRENOS",(Tabla2456789[[#This Row],[TOTAL FACTURA]]*0.8),(Tabla2456789[[#This Row],[TOTAL FACTURA]]*0.5))</f>
        <v>0</v>
      </c>
      <c r="K300" s="9" t="e">
        <f>#REF!-J300</f>
        <v>#REF!</v>
      </c>
      <c r="L300" s="4"/>
      <c r="M300" s="10"/>
      <c r="N300" s="10">
        <f>Tabla2456789[[#This Row],[MONTO DE COMPRA]]/1.19</f>
        <v>0</v>
      </c>
      <c r="O300" s="10">
        <f>Tabla2456789[[#This Row],[Columna1]]*19%</f>
        <v>0</v>
      </c>
      <c r="P300" s="10"/>
      <c r="Q300" s="10">
        <f>Tabla2456789[[#This Row],[VENTA ]]/1.19</f>
        <v>0</v>
      </c>
      <c r="R300" s="10">
        <f>Tabla2456789[[#This Row],[Columna2]]*19%</f>
        <v>0</v>
      </c>
      <c r="S300" s="10">
        <f>Tabla2456789[[#This Row],[IVA VENTA ]]-Tabla2456789[[#This Row],[IV COMPRA]]</f>
        <v>0</v>
      </c>
      <c r="T300" s="10">
        <f>(Tabla2456789[[#This Row],[VENTA ]]-(Tabla2456789[[#This Row],[MONTO DE COMPRA]]+Tabla2456789[[#This Row],[DIFERENCIA IVA ]]))</f>
        <v>0</v>
      </c>
      <c r="V300" s="17"/>
    </row>
    <row r="301" spans="1:22" s="15" customFormat="1" ht="20.100000000000001" customHeight="1" x14ac:dyDescent="0.25">
      <c r="A301" s="13"/>
      <c r="B301" s="14"/>
      <c r="C301" s="14"/>
      <c r="D301" s="14"/>
      <c r="G301" s="14"/>
      <c r="H301" s="16"/>
      <c r="J301" s="20">
        <f>IF(G:G="FRENOS",(Tabla2456789[[#This Row],[TOTAL FACTURA]]*0.8),(Tabla2456789[[#This Row],[TOTAL FACTURA]]*0.5))</f>
        <v>0</v>
      </c>
      <c r="K301" s="9" t="e">
        <f>#REF!-J301</f>
        <v>#REF!</v>
      </c>
      <c r="L301" s="4"/>
      <c r="M301" s="10"/>
      <c r="N301" s="10">
        <f>Tabla2456789[[#This Row],[MONTO DE COMPRA]]/1.19</f>
        <v>0</v>
      </c>
      <c r="O301" s="10">
        <f>Tabla2456789[[#This Row],[Columna1]]*19%</f>
        <v>0</v>
      </c>
      <c r="P301" s="10"/>
      <c r="Q301" s="10">
        <f>Tabla2456789[[#This Row],[VENTA ]]/1.19</f>
        <v>0</v>
      </c>
      <c r="R301" s="10">
        <f>Tabla2456789[[#This Row],[Columna2]]*19%</f>
        <v>0</v>
      </c>
      <c r="S301" s="10">
        <f>Tabla2456789[[#This Row],[IVA VENTA ]]-Tabla2456789[[#This Row],[IV COMPRA]]</f>
        <v>0</v>
      </c>
      <c r="T301" s="10">
        <f>(Tabla2456789[[#This Row],[VENTA ]]-(Tabla2456789[[#This Row],[MONTO DE COMPRA]]+Tabla2456789[[#This Row],[DIFERENCIA IVA ]]))</f>
        <v>0</v>
      </c>
      <c r="V301" s="17"/>
    </row>
    <row r="302" spans="1:22" s="15" customFormat="1" ht="20.100000000000001" customHeight="1" x14ac:dyDescent="0.25">
      <c r="A302" s="13"/>
      <c r="B302" s="14"/>
      <c r="C302" s="14"/>
      <c r="D302" s="14"/>
      <c r="G302" s="14"/>
      <c r="H302" s="16"/>
      <c r="J302" s="20">
        <f>IF(G:G="FRENOS",(Tabla2456789[[#This Row],[TOTAL FACTURA]]*0.8),(Tabla2456789[[#This Row],[TOTAL FACTURA]]*0.5))</f>
        <v>0</v>
      </c>
      <c r="K302" s="9" t="e">
        <f>#REF!-J302</f>
        <v>#REF!</v>
      </c>
      <c r="L302" s="4"/>
      <c r="M302" s="10"/>
      <c r="N302" s="10">
        <f>Tabla2456789[[#This Row],[MONTO DE COMPRA]]/1.19</f>
        <v>0</v>
      </c>
      <c r="O302" s="10">
        <f>Tabla2456789[[#This Row],[Columna1]]*19%</f>
        <v>0</v>
      </c>
      <c r="P302" s="10"/>
      <c r="Q302" s="10">
        <f>Tabla2456789[[#This Row],[VENTA ]]/1.19</f>
        <v>0</v>
      </c>
      <c r="R302" s="10">
        <f>Tabla2456789[[#This Row],[Columna2]]*19%</f>
        <v>0</v>
      </c>
      <c r="S302" s="10">
        <f>Tabla2456789[[#This Row],[IVA VENTA ]]-Tabla2456789[[#This Row],[IV COMPRA]]</f>
        <v>0</v>
      </c>
      <c r="T302" s="10">
        <f>(Tabla2456789[[#This Row],[VENTA ]]-(Tabla2456789[[#This Row],[MONTO DE COMPRA]]+Tabla2456789[[#This Row],[DIFERENCIA IVA ]]))</f>
        <v>0</v>
      </c>
      <c r="V302" s="17"/>
    </row>
    <row r="303" spans="1:22" s="15" customFormat="1" ht="20.100000000000001" customHeight="1" x14ac:dyDescent="0.25">
      <c r="A303" s="13"/>
      <c r="B303" s="14"/>
      <c r="C303" s="14"/>
      <c r="D303" s="14"/>
      <c r="G303" s="14"/>
      <c r="H303" s="16"/>
      <c r="J303" s="20">
        <f>IF(G:G="FRENOS",(Tabla2456789[[#This Row],[TOTAL FACTURA]]*0.8),(Tabla2456789[[#This Row],[TOTAL FACTURA]]*0.5))</f>
        <v>0</v>
      </c>
      <c r="K303" s="9" t="e">
        <f>#REF!-J303</f>
        <v>#REF!</v>
      </c>
      <c r="L303" s="4"/>
      <c r="M303" s="10"/>
      <c r="N303" s="10">
        <f>Tabla2456789[[#This Row],[MONTO DE COMPRA]]/1.19</f>
        <v>0</v>
      </c>
      <c r="O303" s="10">
        <f>Tabla2456789[[#This Row],[Columna1]]*19%</f>
        <v>0</v>
      </c>
      <c r="P303" s="10"/>
      <c r="Q303" s="10">
        <f>Tabla2456789[[#This Row],[VENTA ]]/1.19</f>
        <v>0</v>
      </c>
      <c r="R303" s="10">
        <f>Tabla2456789[[#This Row],[Columna2]]*19%</f>
        <v>0</v>
      </c>
      <c r="S303" s="10">
        <f>Tabla2456789[[#This Row],[IVA VENTA ]]-Tabla2456789[[#This Row],[IV COMPRA]]</f>
        <v>0</v>
      </c>
      <c r="T303" s="10">
        <f>(Tabla2456789[[#This Row],[VENTA ]]-(Tabla2456789[[#This Row],[MONTO DE COMPRA]]+Tabla2456789[[#This Row],[DIFERENCIA IVA ]]))</f>
        <v>0</v>
      </c>
      <c r="V303" s="17"/>
    </row>
    <row r="304" spans="1:22" s="15" customFormat="1" ht="20.100000000000001" customHeight="1" x14ac:dyDescent="0.25">
      <c r="A304" s="13"/>
      <c r="B304" s="14"/>
      <c r="C304" s="14"/>
      <c r="D304" s="14"/>
      <c r="G304" s="14"/>
      <c r="H304" s="16"/>
      <c r="J304" s="20">
        <f>IF(G:G="FRENOS",(Tabla2456789[[#This Row],[TOTAL FACTURA]]*0.8),(Tabla2456789[[#This Row],[TOTAL FACTURA]]*0.5))</f>
        <v>0</v>
      </c>
      <c r="K304" s="9" t="e">
        <f>#REF!-J304</f>
        <v>#REF!</v>
      </c>
      <c r="L304" s="4"/>
      <c r="M304" s="10"/>
      <c r="N304" s="10">
        <f>Tabla2456789[[#This Row],[MONTO DE COMPRA]]/1.19</f>
        <v>0</v>
      </c>
      <c r="O304" s="10">
        <f>Tabla2456789[[#This Row],[Columna1]]*19%</f>
        <v>0</v>
      </c>
      <c r="P304" s="10"/>
      <c r="Q304" s="10">
        <f>Tabla2456789[[#This Row],[VENTA ]]/1.19</f>
        <v>0</v>
      </c>
      <c r="R304" s="10">
        <f>Tabla2456789[[#This Row],[Columna2]]*19%</f>
        <v>0</v>
      </c>
      <c r="S304" s="10">
        <f>Tabla2456789[[#This Row],[IVA VENTA ]]-Tabla2456789[[#This Row],[IV COMPRA]]</f>
        <v>0</v>
      </c>
      <c r="T304" s="10">
        <f>(Tabla2456789[[#This Row],[VENTA ]]-(Tabla2456789[[#This Row],[MONTO DE COMPRA]]+Tabla2456789[[#This Row],[DIFERENCIA IVA ]]))</f>
        <v>0</v>
      </c>
      <c r="V304" s="17"/>
    </row>
    <row r="305" spans="1:22" s="15" customFormat="1" ht="20.100000000000001" customHeight="1" x14ac:dyDescent="0.25">
      <c r="A305" s="13"/>
      <c r="B305" s="14"/>
      <c r="C305" s="14"/>
      <c r="D305" s="14"/>
      <c r="G305" s="14"/>
      <c r="H305" s="16"/>
      <c r="J305" s="20">
        <f>IF(G:G="FRENOS",(Tabla2456789[[#This Row],[TOTAL FACTURA]]*0.8),(Tabla2456789[[#This Row],[TOTAL FACTURA]]*0.5))</f>
        <v>0</v>
      </c>
      <c r="K305" s="9" t="e">
        <f>#REF!-J305</f>
        <v>#REF!</v>
      </c>
      <c r="L305" s="4"/>
      <c r="M305" s="10"/>
      <c r="N305" s="10">
        <f>Tabla2456789[[#This Row],[MONTO DE COMPRA]]/1.19</f>
        <v>0</v>
      </c>
      <c r="O305" s="10">
        <f>Tabla2456789[[#This Row],[Columna1]]*19%</f>
        <v>0</v>
      </c>
      <c r="P305" s="10"/>
      <c r="Q305" s="10">
        <f>Tabla2456789[[#This Row],[VENTA ]]/1.19</f>
        <v>0</v>
      </c>
      <c r="R305" s="10">
        <f>Tabla2456789[[#This Row],[Columna2]]*19%</f>
        <v>0</v>
      </c>
      <c r="S305" s="10">
        <f>Tabla2456789[[#This Row],[IVA VENTA ]]-Tabla2456789[[#This Row],[IV COMPRA]]</f>
        <v>0</v>
      </c>
      <c r="T305" s="10">
        <f>(Tabla2456789[[#This Row],[VENTA ]]-(Tabla2456789[[#This Row],[MONTO DE COMPRA]]+Tabla2456789[[#This Row],[DIFERENCIA IVA ]]))</f>
        <v>0</v>
      </c>
      <c r="V305" s="17"/>
    </row>
    <row r="306" spans="1:22" s="15" customFormat="1" ht="20.100000000000001" customHeight="1" x14ac:dyDescent="0.25">
      <c r="A306" s="13"/>
      <c r="B306" s="14"/>
      <c r="C306" s="14"/>
      <c r="D306" s="14"/>
      <c r="G306" s="14"/>
      <c r="H306" s="16"/>
      <c r="J306" s="20">
        <f>IF(G:G="FRENOS",(Tabla2456789[[#This Row],[TOTAL FACTURA]]*0.8),(Tabla2456789[[#This Row],[TOTAL FACTURA]]*0.5))</f>
        <v>0</v>
      </c>
      <c r="K306" s="9" t="e">
        <f>#REF!-J306</f>
        <v>#REF!</v>
      </c>
      <c r="L306" s="4"/>
      <c r="M306" s="10"/>
      <c r="N306" s="10">
        <f>Tabla2456789[[#This Row],[MONTO DE COMPRA]]/1.19</f>
        <v>0</v>
      </c>
      <c r="O306" s="10">
        <f>Tabla2456789[[#This Row],[Columna1]]*19%</f>
        <v>0</v>
      </c>
      <c r="P306" s="10"/>
      <c r="Q306" s="10">
        <f>Tabla2456789[[#This Row],[VENTA ]]/1.19</f>
        <v>0</v>
      </c>
      <c r="R306" s="10">
        <f>Tabla2456789[[#This Row],[Columna2]]*19%</f>
        <v>0</v>
      </c>
      <c r="S306" s="10">
        <f>Tabla2456789[[#This Row],[IVA VENTA ]]-Tabla2456789[[#This Row],[IV COMPRA]]</f>
        <v>0</v>
      </c>
      <c r="T306" s="10">
        <f>(Tabla2456789[[#This Row],[VENTA ]]-(Tabla2456789[[#This Row],[MONTO DE COMPRA]]+Tabla2456789[[#This Row],[DIFERENCIA IVA ]]))</f>
        <v>0</v>
      </c>
      <c r="V306" s="17"/>
    </row>
    <row r="307" spans="1:22" s="15" customFormat="1" ht="20.100000000000001" customHeight="1" x14ac:dyDescent="0.25">
      <c r="A307" s="13"/>
      <c r="B307" s="14"/>
      <c r="C307" s="14"/>
      <c r="D307" s="14"/>
      <c r="G307" s="14"/>
      <c r="H307" s="16"/>
      <c r="J307" s="20">
        <f>IF(G:G="FRENOS",(Tabla2456789[[#This Row],[TOTAL FACTURA]]*0.8),(Tabla2456789[[#This Row],[TOTAL FACTURA]]*0.5))</f>
        <v>0</v>
      </c>
      <c r="K307" s="9" t="e">
        <f>#REF!-J307</f>
        <v>#REF!</v>
      </c>
      <c r="L307" s="4"/>
      <c r="M307" s="10"/>
      <c r="N307" s="10">
        <f>Tabla2456789[[#This Row],[MONTO DE COMPRA]]/1.19</f>
        <v>0</v>
      </c>
      <c r="O307" s="10">
        <f>Tabla2456789[[#This Row],[Columna1]]*19%</f>
        <v>0</v>
      </c>
      <c r="P307" s="10"/>
      <c r="Q307" s="10">
        <f>Tabla2456789[[#This Row],[VENTA ]]/1.19</f>
        <v>0</v>
      </c>
      <c r="R307" s="10">
        <f>Tabla2456789[[#This Row],[Columna2]]*19%</f>
        <v>0</v>
      </c>
      <c r="S307" s="10">
        <f>Tabla2456789[[#This Row],[IVA VENTA ]]-Tabla2456789[[#This Row],[IV COMPRA]]</f>
        <v>0</v>
      </c>
      <c r="T307" s="10">
        <f>(Tabla2456789[[#This Row],[VENTA ]]-(Tabla2456789[[#This Row],[MONTO DE COMPRA]]+Tabla2456789[[#This Row],[DIFERENCIA IVA ]]))</f>
        <v>0</v>
      </c>
      <c r="V307" s="17"/>
    </row>
    <row r="308" spans="1:22" s="15" customFormat="1" ht="20.100000000000001" customHeight="1" x14ac:dyDescent="0.25">
      <c r="A308" s="13"/>
      <c r="B308" s="14"/>
      <c r="C308" s="14"/>
      <c r="D308" s="14"/>
      <c r="G308" s="14"/>
      <c r="H308" s="16"/>
      <c r="J308" s="20">
        <f>IF(G:G="FRENOS",(Tabla2456789[[#This Row],[TOTAL FACTURA]]*0.8),(Tabla2456789[[#This Row],[TOTAL FACTURA]]*0.5))</f>
        <v>0</v>
      </c>
      <c r="K308" s="9" t="e">
        <f>#REF!-J308</f>
        <v>#REF!</v>
      </c>
      <c r="L308" s="4"/>
      <c r="M308" s="10"/>
      <c r="N308" s="10">
        <f>Tabla2456789[[#This Row],[MONTO DE COMPRA]]/1.19</f>
        <v>0</v>
      </c>
      <c r="O308" s="10">
        <f>Tabla2456789[[#This Row],[Columna1]]*19%</f>
        <v>0</v>
      </c>
      <c r="P308" s="10"/>
      <c r="Q308" s="10">
        <f>Tabla2456789[[#This Row],[VENTA ]]/1.19</f>
        <v>0</v>
      </c>
      <c r="R308" s="10">
        <f>Tabla2456789[[#This Row],[Columna2]]*19%</f>
        <v>0</v>
      </c>
      <c r="S308" s="10">
        <f>Tabla2456789[[#This Row],[IVA VENTA ]]-Tabla2456789[[#This Row],[IV COMPRA]]</f>
        <v>0</v>
      </c>
      <c r="T308" s="10">
        <f>(Tabla2456789[[#This Row],[VENTA ]]-(Tabla2456789[[#This Row],[MONTO DE COMPRA]]+Tabla2456789[[#This Row],[DIFERENCIA IVA ]]))</f>
        <v>0</v>
      </c>
      <c r="V308" s="17"/>
    </row>
    <row r="309" spans="1:22" s="15" customFormat="1" ht="20.100000000000001" customHeight="1" x14ac:dyDescent="0.25">
      <c r="A309" s="13"/>
      <c r="B309" s="14"/>
      <c r="C309" s="14"/>
      <c r="D309" s="14"/>
      <c r="G309" s="14"/>
      <c r="H309" s="16"/>
      <c r="J309" s="20">
        <f>IF(G:G="FRENOS",(Tabla2456789[[#This Row],[TOTAL FACTURA]]*0.8),(Tabla2456789[[#This Row],[TOTAL FACTURA]]*0.5))</f>
        <v>0</v>
      </c>
      <c r="K309" s="9" t="e">
        <f>#REF!-J309</f>
        <v>#REF!</v>
      </c>
      <c r="L309" s="4"/>
      <c r="M309" s="10"/>
      <c r="N309" s="10">
        <f>Tabla2456789[[#This Row],[MONTO DE COMPRA]]/1.19</f>
        <v>0</v>
      </c>
      <c r="O309" s="10">
        <f>Tabla2456789[[#This Row],[Columna1]]*19%</f>
        <v>0</v>
      </c>
      <c r="P309" s="10"/>
      <c r="Q309" s="10">
        <f>Tabla2456789[[#This Row],[VENTA ]]/1.19</f>
        <v>0</v>
      </c>
      <c r="R309" s="10">
        <f>Tabla2456789[[#This Row],[Columna2]]*19%</f>
        <v>0</v>
      </c>
      <c r="S309" s="10">
        <f>Tabla2456789[[#This Row],[IVA VENTA ]]-Tabla2456789[[#This Row],[IV COMPRA]]</f>
        <v>0</v>
      </c>
      <c r="T309" s="10">
        <f>(Tabla2456789[[#This Row],[VENTA ]]-(Tabla2456789[[#This Row],[MONTO DE COMPRA]]+Tabla2456789[[#This Row],[DIFERENCIA IVA ]]))</f>
        <v>0</v>
      </c>
      <c r="V309" s="17"/>
    </row>
    <row r="310" spans="1:22" s="15" customFormat="1" ht="20.100000000000001" customHeight="1" x14ac:dyDescent="0.25">
      <c r="A310" s="13"/>
      <c r="B310" s="14"/>
      <c r="C310" s="14"/>
      <c r="D310" s="14"/>
      <c r="G310" s="14"/>
      <c r="H310" s="16"/>
      <c r="J310" s="20">
        <f>IF(G:G="FRENOS",(Tabla2456789[[#This Row],[TOTAL FACTURA]]*0.8),(Tabla2456789[[#This Row],[TOTAL FACTURA]]*0.5))</f>
        <v>0</v>
      </c>
      <c r="K310" s="9" t="e">
        <f>#REF!-J310</f>
        <v>#REF!</v>
      </c>
      <c r="L310" s="4"/>
      <c r="M310" s="10"/>
      <c r="N310" s="10">
        <f>Tabla2456789[[#This Row],[MONTO DE COMPRA]]/1.19</f>
        <v>0</v>
      </c>
      <c r="O310" s="10">
        <f>Tabla2456789[[#This Row],[Columna1]]*19%</f>
        <v>0</v>
      </c>
      <c r="P310" s="10"/>
      <c r="Q310" s="10">
        <f>Tabla2456789[[#This Row],[VENTA ]]/1.19</f>
        <v>0</v>
      </c>
      <c r="R310" s="10">
        <f>Tabla2456789[[#This Row],[Columna2]]*19%</f>
        <v>0</v>
      </c>
      <c r="S310" s="10">
        <f>Tabla2456789[[#This Row],[IVA VENTA ]]-Tabla2456789[[#This Row],[IV COMPRA]]</f>
        <v>0</v>
      </c>
      <c r="T310" s="10">
        <f>(Tabla2456789[[#This Row],[VENTA ]]-(Tabla2456789[[#This Row],[MONTO DE COMPRA]]+Tabla2456789[[#This Row],[DIFERENCIA IVA ]]))</f>
        <v>0</v>
      </c>
      <c r="V310" s="17"/>
    </row>
    <row r="311" spans="1:22" s="15" customFormat="1" ht="20.100000000000001" customHeight="1" x14ac:dyDescent="0.25">
      <c r="A311" s="13"/>
      <c r="B311" s="14"/>
      <c r="C311" s="14"/>
      <c r="D311" s="14"/>
      <c r="G311" s="14"/>
      <c r="H311" s="16"/>
      <c r="J311" s="20">
        <f>IF(G:G="FRENOS",(Tabla2456789[[#This Row],[TOTAL FACTURA]]*0.8),(Tabla2456789[[#This Row],[TOTAL FACTURA]]*0.5))</f>
        <v>0</v>
      </c>
      <c r="K311" s="9" t="e">
        <f>#REF!-J311</f>
        <v>#REF!</v>
      </c>
      <c r="L311" s="4"/>
      <c r="M311" s="10"/>
      <c r="N311" s="10">
        <f>Tabla2456789[[#This Row],[MONTO DE COMPRA]]/1.19</f>
        <v>0</v>
      </c>
      <c r="O311" s="10">
        <f>Tabla2456789[[#This Row],[Columna1]]*19%</f>
        <v>0</v>
      </c>
      <c r="P311" s="10"/>
      <c r="Q311" s="10">
        <f>Tabla2456789[[#This Row],[VENTA ]]/1.19</f>
        <v>0</v>
      </c>
      <c r="R311" s="10">
        <f>Tabla2456789[[#This Row],[Columna2]]*19%</f>
        <v>0</v>
      </c>
      <c r="S311" s="10">
        <f>Tabla2456789[[#This Row],[IVA VENTA ]]-Tabla2456789[[#This Row],[IV COMPRA]]</f>
        <v>0</v>
      </c>
      <c r="T311" s="10">
        <f>(Tabla2456789[[#This Row],[VENTA ]]-(Tabla2456789[[#This Row],[MONTO DE COMPRA]]+Tabla2456789[[#This Row],[DIFERENCIA IVA ]]))</f>
        <v>0</v>
      </c>
      <c r="V311" s="17"/>
    </row>
    <row r="312" spans="1:22" s="15" customFormat="1" ht="20.100000000000001" customHeight="1" x14ac:dyDescent="0.25">
      <c r="A312" s="13"/>
      <c r="B312" s="14"/>
      <c r="C312" s="14"/>
      <c r="D312" s="14"/>
      <c r="G312" s="14"/>
      <c r="H312" s="16"/>
      <c r="J312" s="20">
        <f>IF(G:G="FRENOS",(Tabla2456789[[#This Row],[TOTAL FACTURA]]*0.8),(Tabla2456789[[#This Row],[TOTAL FACTURA]]*0.5))</f>
        <v>0</v>
      </c>
      <c r="K312" s="9" t="e">
        <f>#REF!-J312</f>
        <v>#REF!</v>
      </c>
      <c r="L312" s="4"/>
      <c r="M312" s="10"/>
      <c r="N312" s="10">
        <f>Tabla2456789[[#This Row],[MONTO DE COMPRA]]/1.19</f>
        <v>0</v>
      </c>
      <c r="O312" s="10">
        <f>Tabla2456789[[#This Row],[Columna1]]*19%</f>
        <v>0</v>
      </c>
      <c r="P312" s="10"/>
      <c r="Q312" s="10">
        <f>Tabla2456789[[#This Row],[VENTA ]]/1.19</f>
        <v>0</v>
      </c>
      <c r="R312" s="10">
        <f>Tabla2456789[[#This Row],[Columna2]]*19%</f>
        <v>0</v>
      </c>
      <c r="S312" s="10">
        <f>Tabla2456789[[#This Row],[IVA VENTA ]]-Tabla2456789[[#This Row],[IV COMPRA]]</f>
        <v>0</v>
      </c>
      <c r="T312" s="10">
        <f>(Tabla2456789[[#This Row],[VENTA ]]-(Tabla2456789[[#This Row],[MONTO DE COMPRA]]+Tabla2456789[[#This Row],[DIFERENCIA IVA ]]))</f>
        <v>0</v>
      </c>
      <c r="V312" s="17"/>
    </row>
    <row r="313" spans="1:22" s="15" customFormat="1" ht="20.100000000000001" customHeight="1" x14ac:dyDescent="0.25">
      <c r="A313" s="13"/>
      <c r="B313" s="14"/>
      <c r="C313" s="14"/>
      <c r="D313" s="14"/>
      <c r="G313" s="14"/>
      <c r="H313" s="16"/>
      <c r="J313" s="20">
        <f>IF(G:G="FRENOS",(Tabla2456789[[#This Row],[TOTAL FACTURA]]*0.8),(Tabla2456789[[#This Row],[TOTAL FACTURA]]*0.5))</f>
        <v>0</v>
      </c>
      <c r="K313" s="9" t="e">
        <f>#REF!-J313</f>
        <v>#REF!</v>
      </c>
      <c r="L313" s="4"/>
      <c r="M313" s="10"/>
      <c r="N313" s="10">
        <f>Tabla2456789[[#This Row],[MONTO DE COMPRA]]/1.19</f>
        <v>0</v>
      </c>
      <c r="O313" s="10">
        <f>Tabla2456789[[#This Row],[Columna1]]*19%</f>
        <v>0</v>
      </c>
      <c r="P313" s="10"/>
      <c r="Q313" s="10">
        <f>Tabla2456789[[#This Row],[VENTA ]]/1.19</f>
        <v>0</v>
      </c>
      <c r="R313" s="10">
        <f>Tabla2456789[[#This Row],[Columna2]]*19%</f>
        <v>0</v>
      </c>
      <c r="S313" s="10">
        <f>Tabla2456789[[#This Row],[IVA VENTA ]]-Tabla2456789[[#This Row],[IV COMPRA]]</f>
        <v>0</v>
      </c>
      <c r="T313" s="10">
        <f>(Tabla2456789[[#This Row],[VENTA ]]-(Tabla2456789[[#This Row],[MONTO DE COMPRA]]+Tabla2456789[[#This Row],[DIFERENCIA IVA ]]))</f>
        <v>0</v>
      </c>
      <c r="V313" s="17"/>
    </row>
    <row r="314" spans="1:22" s="15" customFormat="1" ht="20.100000000000001" customHeight="1" x14ac:dyDescent="0.25">
      <c r="A314" s="13"/>
      <c r="B314" s="14"/>
      <c r="C314" s="14"/>
      <c r="D314" s="14"/>
      <c r="G314" s="14"/>
      <c r="H314" s="16"/>
      <c r="J314" s="20">
        <f>IF(G:G="FRENOS",(Tabla2456789[[#This Row],[TOTAL FACTURA]]*0.8),(Tabla2456789[[#This Row],[TOTAL FACTURA]]*0.5))</f>
        <v>0</v>
      </c>
      <c r="K314" s="9" t="e">
        <f>#REF!-J314</f>
        <v>#REF!</v>
      </c>
      <c r="L314" s="4"/>
      <c r="M314" s="10"/>
      <c r="N314" s="10">
        <f>Tabla2456789[[#This Row],[MONTO DE COMPRA]]/1.19</f>
        <v>0</v>
      </c>
      <c r="O314" s="10">
        <f>Tabla2456789[[#This Row],[Columna1]]*19%</f>
        <v>0</v>
      </c>
      <c r="P314" s="10"/>
      <c r="Q314" s="10">
        <f>Tabla2456789[[#This Row],[VENTA ]]/1.19</f>
        <v>0</v>
      </c>
      <c r="R314" s="10">
        <f>Tabla2456789[[#This Row],[Columna2]]*19%</f>
        <v>0</v>
      </c>
      <c r="S314" s="10">
        <f>Tabla2456789[[#This Row],[IVA VENTA ]]-Tabla2456789[[#This Row],[IV COMPRA]]</f>
        <v>0</v>
      </c>
      <c r="T314" s="10">
        <f>(Tabla2456789[[#This Row],[VENTA ]]-(Tabla2456789[[#This Row],[MONTO DE COMPRA]]+Tabla2456789[[#This Row],[DIFERENCIA IVA ]]))</f>
        <v>0</v>
      </c>
      <c r="V314" s="17"/>
    </row>
    <row r="315" spans="1:22" s="15" customFormat="1" ht="20.100000000000001" customHeight="1" x14ac:dyDescent="0.25">
      <c r="A315" s="13"/>
      <c r="B315" s="14"/>
      <c r="C315" s="14"/>
      <c r="D315" s="14"/>
      <c r="G315" s="14"/>
      <c r="H315" s="16"/>
      <c r="J315" s="20">
        <f>IF(G:G="FRENOS",(Tabla2456789[[#This Row],[TOTAL FACTURA]]*0.8),(Tabla2456789[[#This Row],[TOTAL FACTURA]]*0.5))</f>
        <v>0</v>
      </c>
      <c r="K315" s="9" t="e">
        <f>#REF!-J315</f>
        <v>#REF!</v>
      </c>
      <c r="L315" s="4"/>
      <c r="M315" s="10"/>
      <c r="N315" s="10">
        <f>Tabla2456789[[#This Row],[MONTO DE COMPRA]]/1.19</f>
        <v>0</v>
      </c>
      <c r="O315" s="10">
        <f>Tabla2456789[[#This Row],[Columna1]]*19%</f>
        <v>0</v>
      </c>
      <c r="P315" s="10"/>
      <c r="Q315" s="10">
        <f>Tabla2456789[[#This Row],[VENTA ]]/1.19</f>
        <v>0</v>
      </c>
      <c r="R315" s="10">
        <f>Tabla2456789[[#This Row],[Columna2]]*19%</f>
        <v>0</v>
      </c>
      <c r="S315" s="10">
        <f>Tabla2456789[[#This Row],[IVA VENTA ]]-Tabla2456789[[#This Row],[IV COMPRA]]</f>
        <v>0</v>
      </c>
      <c r="T315" s="10">
        <f>(Tabla2456789[[#This Row],[VENTA ]]-(Tabla2456789[[#This Row],[MONTO DE COMPRA]]+Tabla2456789[[#This Row],[DIFERENCIA IVA ]]))</f>
        <v>0</v>
      </c>
      <c r="V315" s="17"/>
    </row>
    <row r="316" spans="1:22" s="15" customFormat="1" ht="20.100000000000001" customHeight="1" x14ac:dyDescent="0.25">
      <c r="A316" s="13"/>
      <c r="B316" s="14"/>
      <c r="C316" s="14"/>
      <c r="D316" s="14"/>
      <c r="G316" s="14"/>
      <c r="H316" s="16"/>
      <c r="J316" s="20">
        <f>IF(G:G="FRENOS",(Tabla2456789[[#This Row],[TOTAL FACTURA]]*0.8),(Tabla2456789[[#This Row],[TOTAL FACTURA]]*0.5))</f>
        <v>0</v>
      </c>
      <c r="K316" s="9" t="e">
        <f>#REF!-J316</f>
        <v>#REF!</v>
      </c>
      <c r="L316" s="4"/>
      <c r="M316" s="10"/>
      <c r="N316" s="10">
        <f>Tabla2456789[[#This Row],[MONTO DE COMPRA]]/1.19</f>
        <v>0</v>
      </c>
      <c r="O316" s="10">
        <f>Tabla2456789[[#This Row],[Columna1]]*19%</f>
        <v>0</v>
      </c>
      <c r="P316" s="10"/>
      <c r="Q316" s="10">
        <f>Tabla2456789[[#This Row],[VENTA ]]/1.19</f>
        <v>0</v>
      </c>
      <c r="R316" s="10">
        <f>Tabla2456789[[#This Row],[Columna2]]*19%</f>
        <v>0</v>
      </c>
      <c r="S316" s="10">
        <f>Tabla2456789[[#This Row],[IVA VENTA ]]-Tabla2456789[[#This Row],[IV COMPRA]]</f>
        <v>0</v>
      </c>
      <c r="T316" s="10">
        <f>(Tabla2456789[[#This Row],[VENTA ]]-(Tabla2456789[[#This Row],[MONTO DE COMPRA]]+Tabla2456789[[#This Row],[DIFERENCIA IVA ]]))</f>
        <v>0</v>
      </c>
      <c r="V316" s="17"/>
    </row>
    <row r="317" spans="1:22" s="15" customFormat="1" ht="20.100000000000001" customHeight="1" x14ac:dyDescent="0.25">
      <c r="A317" s="13"/>
      <c r="B317" s="14"/>
      <c r="C317" s="14"/>
      <c r="D317" s="14"/>
      <c r="G317" s="14"/>
      <c r="H317" s="16"/>
      <c r="J317" s="20">
        <f>IF(G:G="FRENOS",(Tabla2456789[[#This Row],[TOTAL FACTURA]]*0.8),(Tabla2456789[[#This Row],[TOTAL FACTURA]]*0.5))</f>
        <v>0</v>
      </c>
      <c r="K317" s="9" t="e">
        <f>#REF!-J317</f>
        <v>#REF!</v>
      </c>
      <c r="L317" s="4"/>
      <c r="M317" s="10"/>
      <c r="N317" s="10">
        <f>Tabla2456789[[#This Row],[MONTO DE COMPRA]]/1.19</f>
        <v>0</v>
      </c>
      <c r="O317" s="10">
        <f>Tabla2456789[[#This Row],[Columna1]]*19%</f>
        <v>0</v>
      </c>
      <c r="P317" s="10"/>
      <c r="Q317" s="10">
        <f>Tabla2456789[[#This Row],[VENTA ]]/1.19</f>
        <v>0</v>
      </c>
      <c r="R317" s="10">
        <f>Tabla2456789[[#This Row],[Columna2]]*19%</f>
        <v>0</v>
      </c>
      <c r="S317" s="10">
        <f>Tabla2456789[[#This Row],[IVA VENTA ]]-Tabla2456789[[#This Row],[IV COMPRA]]</f>
        <v>0</v>
      </c>
      <c r="T317" s="10">
        <f>(Tabla2456789[[#This Row],[VENTA ]]-(Tabla2456789[[#This Row],[MONTO DE COMPRA]]+Tabla2456789[[#This Row],[DIFERENCIA IVA ]]))</f>
        <v>0</v>
      </c>
      <c r="V317" s="17"/>
    </row>
    <row r="318" spans="1:22" s="15" customFormat="1" ht="20.100000000000001" customHeight="1" x14ac:dyDescent="0.25">
      <c r="A318" s="13"/>
      <c r="B318" s="14"/>
      <c r="C318" s="14"/>
      <c r="D318" s="14"/>
      <c r="G318" s="14"/>
      <c r="H318" s="16"/>
      <c r="J318" s="20">
        <f>IF(G:G="FRENOS",(Tabla2456789[[#This Row],[TOTAL FACTURA]]*0.8),(Tabla2456789[[#This Row],[TOTAL FACTURA]]*0.5))</f>
        <v>0</v>
      </c>
      <c r="K318" s="9" t="e">
        <f>#REF!-J318</f>
        <v>#REF!</v>
      </c>
      <c r="L318" s="4"/>
      <c r="M318" s="10"/>
      <c r="N318" s="10">
        <f>Tabla2456789[[#This Row],[MONTO DE COMPRA]]/1.19</f>
        <v>0</v>
      </c>
      <c r="O318" s="10">
        <f>Tabla2456789[[#This Row],[Columna1]]*19%</f>
        <v>0</v>
      </c>
      <c r="P318" s="10"/>
      <c r="Q318" s="10">
        <f>Tabla2456789[[#This Row],[VENTA ]]/1.19</f>
        <v>0</v>
      </c>
      <c r="R318" s="10">
        <f>Tabla2456789[[#This Row],[Columna2]]*19%</f>
        <v>0</v>
      </c>
      <c r="S318" s="10">
        <f>Tabla2456789[[#This Row],[IVA VENTA ]]-Tabla2456789[[#This Row],[IV COMPRA]]</f>
        <v>0</v>
      </c>
      <c r="T318" s="10">
        <f>(Tabla2456789[[#This Row],[VENTA ]]-(Tabla2456789[[#This Row],[MONTO DE COMPRA]]+Tabla2456789[[#This Row],[DIFERENCIA IVA ]]))</f>
        <v>0</v>
      </c>
      <c r="V318" s="17"/>
    </row>
    <row r="319" spans="1:22" s="15" customFormat="1" ht="20.100000000000001" customHeight="1" x14ac:dyDescent="0.25">
      <c r="A319" s="13"/>
      <c r="B319" s="14"/>
      <c r="C319" s="14"/>
      <c r="D319" s="14"/>
      <c r="G319" s="14"/>
      <c r="H319" s="16"/>
      <c r="J319" s="20">
        <f>IF(G:G="FRENOS",(Tabla2456789[[#This Row],[TOTAL FACTURA]]*0.8),(Tabla2456789[[#This Row],[TOTAL FACTURA]]*0.5))</f>
        <v>0</v>
      </c>
      <c r="K319" s="9" t="e">
        <f>#REF!-J319</f>
        <v>#REF!</v>
      </c>
      <c r="L319" s="4"/>
      <c r="M319" s="10"/>
      <c r="N319" s="10">
        <f>Tabla2456789[[#This Row],[MONTO DE COMPRA]]/1.19</f>
        <v>0</v>
      </c>
      <c r="O319" s="10">
        <f>Tabla2456789[[#This Row],[Columna1]]*19%</f>
        <v>0</v>
      </c>
      <c r="P319" s="10"/>
      <c r="Q319" s="10">
        <f>Tabla2456789[[#This Row],[VENTA ]]/1.19</f>
        <v>0</v>
      </c>
      <c r="R319" s="10">
        <f>Tabla2456789[[#This Row],[Columna2]]*19%</f>
        <v>0</v>
      </c>
      <c r="S319" s="10">
        <f>Tabla2456789[[#This Row],[IVA VENTA ]]-Tabla2456789[[#This Row],[IV COMPRA]]</f>
        <v>0</v>
      </c>
      <c r="T319" s="10">
        <f>(Tabla2456789[[#This Row],[VENTA ]]-(Tabla2456789[[#This Row],[MONTO DE COMPRA]]+Tabla2456789[[#This Row],[DIFERENCIA IVA ]]))</f>
        <v>0</v>
      </c>
      <c r="V319" s="17"/>
    </row>
    <row r="320" spans="1:22" s="15" customFormat="1" ht="20.100000000000001" customHeight="1" x14ac:dyDescent="0.25">
      <c r="A320" s="13"/>
      <c r="B320" s="14"/>
      <c r="C320" s="14"/>
      <c r="D320" s="14"/>
      <c r="G320" s="14"/>
      <c r="H320" s="16"/>
      <c r="J320" s="20">
        <f>IF(G:G="FRENOS",(Tabla2456789[[#This Row],[TOTAL FACTURA]]*0.8),(Tabla2456789[[#This Row],[TOTAL FACTURA]]*0.5))</f>
        <v>0</v>
      </c>
      <c r="K320" s="9" t="e">
        <f>#REF!-J320</f>
        <v>#REF!</v>
      </c>
      <c r="L320" s="4"/>
      <c r="M320" s="10"/>
      <c r="N320" s="10">
        <f>Tabla2456789[[#This Row],[MONTO DE COMPRA]]/1.19</f>
        <v>0</v>
      </c>
      <c r="O320" s="10">
        <f>Tabla2456789[[#This Row],[Columna1]]*19%</f>
        <v>0</v>
      </c>
      <c r="P320" s="10"/>
      <c r="Q320" s="10">
        <f>Tabla2456789[[#This Row],[VENTA ]]/1.19</f>
        <v>0</v>
      </c>
      <c r="R320" s="10">
        <f>Tabla2456789[[#This Row],[Columna2]]*19%</f>
        <v>0</v>
      </c>
      <c r="S320" s="10">
        <f>Tabla2456789[[#This Row],[IVA VENTA ]]-Tabla2456789[[#This Row],[IV COMPRA]]</f>
        <v>0</v>
      </c>
      <c r="T320" s="10">
        <f>(Tabla2456789[[#This Row],[VENTA ]]-(Tabla2456789[[#This Row],[MONTO DE COMPRA]]+Tabla2456789[[#This Row],[DIFERENCIA IVA ]]))</f>
        <v>0</v>
      </c>
      <c r="V320" s="17"/>
    </row>
    <row r="321" spans="1:22" s="15" customFormat="1" ht="20.100000000000001" customHeight="1" x14ac:dyDescent="0.25">
      <c r="A321" s="13"/>
      <c r="B321" s="14"/>
      <c r="C321" s="14"/>
      <c r="D321" s="14"/>
      <c r="G321" s="14"/>
      <c r="H321" s="16"/>
      <c r="J321" s="20">
        <f>IF(G:G="FRENOS",(Tabla2456789[[#This Row],[TOTAL FACTURA]]*0.8),(Tabla2456789[[#This Row],[TOTAL FACTURA]]*0.5))</f>
        <v>0</v>
      </c>
      <c r="K321" s="9" t="e">
        <f>#REF!-J321</f>
        <v>#REF!</v>
      </c>
      <c r="L321" s="4"/>
      <c r="M321" s="10"/>
      <c r="N321" s="10">
        <f>Tabla2456789[[#This Row],[MONTO DE COMPRA]]/1.19</f>
        <v>0</v>
      </c>
      <c r="O321" s="10">
        <f>Tabla2456789[[#This Row],[Columna1]]*19%</f>
        <v>0</v>
      </c>
      <c r="P321" s="10"/>
      <c r="Q321" s="10">
        <f>Tabla2456789[[#This Row],[VENTA ]]/1.19</f>
        <v>0</v>
      </c>
      <c r="R321" s="10">
        <f>Tabla2456789[[#This Row],[Columna2]]*19%</f>
        <v>0</v>
      </c>
      <c r="S321" s="10">
        <f>Tabla2456789[[#This Row],[IVA VENTA ]]-Tabla2456789[[#This Row],[IV COMPRA]]</f>
        <v>0</v>
      </c>
      <c r="T321" s="10">
        <f>(Tabla2456789[[#This Row],[VENTA ]]-(Tabla2456789[[#This Row],[MONTO DE COMPRA]]+Tabla2456789[[#This Row],[DIFERENCIA IVA ]]))</f>
        <v>0</v>
      </c>
      <c r="V321" s="17"/>
    </row>
    <row r="322" spans="1:22" s="15" customFormat="1" ht="20.100000000000001" customHeight="1" x14ac:dyDescent="0.25">
      <c r="A322" s="13"/>
      <c r="B322" s="14"/>
      <c r="C322" s="14"/>
      <c r="D322" s="14"/>
      <c r="G322" s="14"/>
      <c r="H322" s="16"/>
      <c r="J322" s="20">
        <f>IF(G:G="FRENOS",(Tabla2456789[[#This Row],[TOTAL FACTURA]]*0.8),(Tabla2456789[[#This Row],[TOTAL FACTURA]]*0.5))</f>
        <v>0</v>
      </c>
      <c r="K322" s="9" t="e">
        <f>#REF!-J322</f>
        <v>#REF!</v>
      </c>
      <c r="L322" s="4"/>
      <c r="M322" s="10"/>
      <c r="N322" s="10">
        <f>Tabla2456789[[#This Row],[MONTO DE COMPRA]]/1.19</f>
        <v>0</v>
      </c>
      <c r="O322" s="10">
        <f>Tabla2456789[[#This Row],[Columna1]]*19%</f>
        <v>0</v>
      </c>
      <c r="P322" s="10"/>
      <c r="Q322" s="10">
        <f>Tabla2456789[[#This Row],[VENTA ]]/1.19</f>
        <v>0</v>
      </c>
      <c r="R322" s="10">
        <f>Tabla2456789[[#This Row],[Columna2]]*19%</f>
        <v>0</v>
      </c>
      <c r="S322" s="10">
        <f>Tabla2456789[[#This Row],[IVA VENTA ]]-Tabla2456789[[#This Row],[IV COMPRA]]</f>
        <v>0</v>
      </c>
      <c r="T322" s="10">
        <f>(Tabla2456789[[#This Row],[VENTA ]]-(Tabla2456789[[#This Row],[MONTO DE COMPRA]]+Tabla2456789[[#This Row],[DIFERENCIA IVA ]]))</f>
        <v>0</v>
      </c>
      <c r="V322" s="17"/>
    </row>
    <row r="323" spans="1:22" s="15" customFormat="1" ht="20.100000000000001" customHeight="1" x14ac:dyDescent="0.25">
      <c r="A323" s="13"/>
      <c r="B323" s="14"/>
      <c r="C323" s="14"/>
      <c r="D323" s="14"/>
      <c r="G323" s="14"/>
      <c r="H323" s="16"/>
      <c r="J323" s="20">
        <f>IF(G:G="FRENOS",(Tabla2456789[[#This Row],[TOTAL FACTURA]]*0.8),(Tabla2456789[[#This Row],[TOTAL FACTURA]]*0.5))</f>
        <v>0</v>
      </c>
      <c r="K323" s="9" t="e">
        <f>#REF!-J323</f>
        <v>#REF!</v>
      </c>
      <c r="L323" s="4"/>
      <c r="M323" s="10"/>
      <c r="N323" s="10">
        <f>Tabla2456789[[#This Row],[MONTO DE COMPRA]]/1.19</f>
        <v>0</v>
      </c>
      <c r="O323" s="10">
        <f>Tabla2456789[[#This Row],[Columna1]]*19%</f>
        <v>0</v>
      </c>
      <c r="P323" s="10"/>
      <c r="Q323" s="10">
        <f>Tabla2456789[[#This Row],[VENTA ]]/1.19</f>
        <v>0</v>
      </c>
      <c r="R323" s="10">
        <f>Tabla2456789[[#This Row],[Columna2]]*19%</f>
        <v>0</v>
      </c>
      <c r="S323" s="10">
        <f>Tabla2456789[[#This Row],[IVA VENTA ]]-Tabla2456789[[#This Row],[IV COMPRA]]</f>
        <v>0</v>
      </c>
      <c r="T323" s="10">
        <f>(Tabla2456789[[#This Row],[VENTA ]]-(Tabla2456789[[#This Row],[MONTO DE COMPRA]]+Tabla2456789[[#This Row],[DIFERENCIA IVA ]]))</f>
        <v>0</v>
      </c>
      <c r="V323" s="17"/>
    </row>
    <row r="324" spans="1:22" s="15" customFormat="1" ht="20.100000000000001" customHeight="1" x14ac:dyDescent="0.25">
      <c r="A324" s="13"/>
      <c r="B324" s="14"/>
      <c r="C324" s="14"/>
      <c r="D324" s="14"/>
      <c r="G324" s="14"/>
      <c r="H324" s="16"/>
      <c r="J324" s="20">
        <f>IF(G:G="FRENOS",(Tabla2456789[[#This Row],[TOTAL FACTURA]]*0.8),(Tabla2456789[[#This Row],[TOTAL FACTURA]]*0.5))</f>
        <v>0</v>
      </c>
      <c r="K324" s="9" t="e">
        <f>#REF!-J324</f>
        <v>#REF!</v>
      </c>
      <c r="L324" s="4"/>
      <c r="M324" s="10"/>
      <c r="N324" s="10">
        <f>Tabla2456789[[#This Row],[MONTO DE COMPRA]]/1.19</f>
        <v>0</v>
      </c>
      <c r="O324" s="10">
        <f>Tabla2456789[[#This Row],[Columna1]]*19%</f>
        <v>0</v>
      </c>
      <c r="P324" s="10"/>
      <c r="Q324" s="10">
        <f>Tabla2456789[[#This Row],[VENTA ]]/1.19</f>
        <v>0</v>
      </c>
      <c r="R324" s="10">
        <f>Tabla2456789[[#This Row],[Columna2]]*19%</f>
        <v>0</v>
      </c>
      <c r="S324" s="10">
        <f>Tabla2456789[[#This Row],[IVA VENTA ]]-Tabla2456789[[#This Row],[IV COMPRA]]</f>
        <v>0</v>
      </c>
      <c r="T324" s="10">
        <f>(Tabla2456789[[#This Row],[VENTA ]]-(Tabla2456789[[#This Row],[MONTO DE COMPRA]]+Tabla2456789[[#This Row],[DIFERENCIA IVA ]]))</f>
        <v>0</v>
      </c>
      <c r="V324" s="17"/>
    </row>
    <row r="325" spans="1:22" s="15" customFormat="1" ht="20.100000000000001" customHeight="1" x14ac:dyDescent="0.25">
      <c r="A325" s="13"/>
      <c r="B325" s="14"/>
      <c r="C325" s="14"/>
      <c r="D325" s="14"/>
      <c r="G325" s="14"/>
      <c r="H325" s="16"/>
      <c r="J325" s="20">
        <f>IF(G:G="FRENOS",(Tabla2456789[[#This Row],[TOTAL FACTURA]]*0.8),(Tabla2456789[[#This Row],[TOTAL FACTURA]]*0.5))</f>
        <v>0</v>
      </c>
      <c r="K325" s="9" t="e">
        <f>#REF!-J325</f>
        <v>#REF!</v>
      </c>
      <c r="L325" s="4"/>
      <c r="M325" s="10"/>
      <c r="N325" s="10">
        <f>Tabla2456789[[#This Row],[MONTO DE COMPRA]]/1.19</f>
        <v>0</v>
      </c>
      <c r="O325" s="10">
        <f>Tabla2456789[[#This Row],[Columna1]]*19%</f>
        <v>0</v>
      </c>
      <c r="P325" s="10"/>
      <c r="Q325" s="10">
        <f>Tabla2456789[[#This Row],[VENTA ]]/1.19</f>
        <v>0</v>
      </c>
      <c r="R325" s="10">
        <f>Tabla2456789[[#This Row],[Columna2]]*19%</f>
        <v>0</v>
      </c>
      <c r="S325" s="10">
        <f>Tabla2456789[[#This Row],[IVA VENTA ]]-Tabla2456789[[#This Row],[IV COMPRA]]</f>
        <v>0</v>
      </c>
      <c r="T325" s="10">
        <f>(Tabla2456789[[#This Row],[VENTA ]]-(Tabla2456789[[#This Row],[MONTO DE COMPRA]]+Tabla2456789[[#This Row],[DIFERENCIA IVA ]]))</f>
        <v>0</v>
      </c>
      <c r="V325" s="17"/>
    </row>
    <row r="326" spans="1:22" s="15" customFormat="1" ht="20.100000000000001" customHeight="1" x14ac:dyDescent="0.25">
      <c r="A326" s="13"/>
      <c r="B326" s="14"/>
      <c r="C326" s="14"/>
      <c r="D326" s="14"/>
      <c r="G326" s="14"/>
      <c r="H326" s="16"/>
      <c r="J326" s="20">
        <f>IF(G:G="FRENOS",(Tabla2456789[[#This Row],[TOTAL FACTURA]]*0.8),(Tabla2456789[[#This Row],[TOTAL FACTURA]]*0.5))</f>
        <v>0</v>
      </c>
      <c r="K326" s="9" t="e">
        <f>#REF!-J326</f>
        <v>#REF!</v>
      </c>
      <c r="L326" s="4"/>
      <c r="M326" s="10"/>
      <c r="N326" s="10">
        <f>Tabla2456789[[#This Row],[MONTO DE COMPRA]]/1.19</f>
        <v>0</v>
      </c>
      <c r="O326" s="10">
        <f>Tabla2456789[[#This Row],[Columna1]]*19%</f>
        <v>0</v>
      </c>
      <c r="P326" s="10"/>
      <c r="Q326" s="10">
        <f>Tabla2456789[[#This Row],[VENTA ]]/1.19</f>
        <v>0</v>
      </c>
      <c r="R326" s="10">
        <f>Tabla2456789[[#This Row],[Columna2]]*19%</f>
        <v>0</v>
      </c>
      <c r="S326" s="10">
        <f>Tabla2456789[[#This Row],[IVA VENTA ]]-Tabla2456789[[#This Row],[IV COMPRA]]</f>
        <v>0</v>
      </c>
      <c r="T326" s="10">
        <f>(Tabla2456789[[#This Row],[VENTA ]]-(Tabla2456789[[#This Row],[MONTO DE COMPRA]]+Tabla2456789[[#This Row],[DIFERENCIA IVA ]]))</f>
        <v>0</v>
      </c>
      <c r="V326" s="17"/>
    </row>
    <row r="327" spans="1:22" s="15" customFormat="1" ht="20.100000000000001" customHeight="1" x14ac:dyDescent="0.25">
      <c r="A327" s="13"/>
      <c r="B327" s="14"/>
      <c r="C327" s="14"/>
      <c r="D327" s="14"/>
      <c r="G327" s="14"/>
      <c r="H327" s="16"/>
      <c r="J327" s="20">
        <f>IF(G:G="FRENOS",(Tabla2456789[[#This Row],[TOTAL FACTURA]]*0.8),(Tabla2456789[[#This Row],[TOTAL FACTURA]]*0.5))</f>
        <v>0</v>
      </c>
      <c r="K327" s="9" t="e">
        <f>#REF!-J327</f>
        <v>#REF!</v>
      </c>
      <c r="L327" s="4"/>
      <c r="M327" s="10"/>
      <c r="N327" s="10">
        <f>Tabla2456789[[#This Row],[MONTO DE COMPRA]]/1.19</f>
        <v>0</v>
      </c>
      <c r="O327" s="10">
        <f>Tabla2456789[[#This Row],[Columna1]]*19%</f>
        <v>0</v>
      </c>
      <c r="P327" s="10"/>
      <c r="Q327" s="10">
        <f>Tabla2456789[[#This Row],[VENTA ]]/1.19</f>
        <v>0</v>
      </c>
      <c r="R327" s="10">
        <f>Tabla2456789[[#This Row],[Columna2]]*19%</f>
        <v>0</v>
      </c>
      <c r="S327" s="10">
        <f>Tabla2456789[[#This Row],[IVA VENTA ]]-Tabla2456789[[#This Row],[IV COMPRA]]</f>
        <v>0</v>
      </c>
      <c r="T327" s="10">
        <f>(Tabla2456789[[#This Row],[VENTA ]]-(Tabla2456789[[#This Row],[MONTO DE COMPRA]]+Tabla2456789[[#This Row],[DIFERENCIA IVA ]]))</f>
        <v>0</v>
      </c>
      <c r="V327" s="17"/>
    </row>
    <row r="328" spans="1:22" s="15" customFormat="1" ht="20.100000000000001" customHeight="1" x14ac:dyDescent="0.25">
      <c r="A328" s="13"/>
      <c r="B328" s="14"/>
      <c r="C328" s="14"/>
      <c r="D328" s="14"/>
      <c r="G328" s="14"/>
      <c r="H328" s="16"/>
      <c r="J328" s="20">
        <f>IF(G:G="FRENOS",(Tabla2456789[[#This Row],[TOTAL FACTURA]]*0.8),(Tabla2456789[[#This Row],[TOTAL FACTURA]]*0.5))</f>
        <v>0</v>
      </c>
      <c r="K328" s="9" t="e">
        <f>#REF!-J328</f>
        <v>#REF!</v>
      </c>
      <c r="L328" s="4"/>
      <c r="M328" s="10"/>
      <c r="N328" s="10">
        <f>Tabla2456789[[#This Row],[MONTO DE COMPRA]]/1.19</f>
        <v>0</v>
      </c>
      <c r="O328" s="10">
        <f>Tabla2456789[[#This Row],[Columna1]]*19%</f>
        <v>0</v>
      </c>
      <c r="P328" s="10"/>
      <c r="Q328" s="10">
        <f>Tabla2456789[[#This Row],[VENTA ]]/1.19</f>
        <v>0</v>
      </c>
      <c r="R328" s="10">
        <f>Tabla2456789[[#This Row],[Columna2]]*19%</f>
        <v>0</v>
      </c>
      <c r="S328" s="10">
        <f>Tabla2456789[[#This Row],[IVA VENTA ]]-Tabla2456789[[#This Row],[IV COMPRA]]</f>
        <v>0</v>
      </c>
      <c r="T328" s="10">
        <f>(Tabla2456789[[#This Row],[VENTA ]]-(Tabla2456789[[#This Row],[MONTO DE COMPRA]]+Tabla2456789[[#This Row],[DIFERENCIA IVA ]]))</f>
        <v>0</v>
      </c>
      <c r="V328" s="17"/>
    </row>
    <row r="329" spans="1:22" s="15" customFormat="1" ht="20.100000000000001" customHeight="1" x14ac:dyDescent="0.25">
      <c r="A329" s="13"/>
      <c r="B329" s="14"/>
      <c r="C329" s="14"/>
      <c r="D329" s="14"/>
      <c r="G329" s="14"/>
      <c r="H329" s="16"/>
      <c r="J329" s="20">
        <f>IF(G:G="FRENOS",(Tabla2456789[[#This Row],[TOTAL FACTURA]]*0.8),(Tabla2456789[[#This Row],[TOTAL FACTURA]]*0.5))</f>
        <v>0</v>
      </c>
      <c r="K329" s="9" t="e">
        <f>#REF!-J329</f>
        <v>#REF!</v>
      </c>
      <c r="L329" s="4"/>
      <c r="M329" s="10"/>
      <c r="N329" s="10">
        <f>Tabla2456789[[#This Row],[MONTO DE COMPRA]]/1.19</f>
        <v>0</v>
      </c>
      <c r="O329" s="10">
        <f>Tabla2456789[[#This Row],[Columna1]]*19%</f>
        <v>0</v>
      </c>
      <c r="P329" s="10"/>
      <c r="Q329" s="10">
        <f>Tabla2456789[[#This Row],[VENTA ]]/1.19</f>
        <v>0</v>
      </c>
      <c r="R329" s="10">
        <f>Tabla2456789[[#This Row],[Columna2]]*19%</f>
        <v>0</v>
      </c>
      <c r="S329" s="10">
        <f>Tabla2456789[[#This Row],[IVA VENTA ]]-Tabla2456789[[#This Row],[IV COMPRA]]</f>
        <v>0</v>
      </c>
      <c r="T329" s="10">
        <f>(Tabla2456789[[#This Row],[VENTA ]]-(Tabla2456789[[#This Row],[MONTO DE COMPRA]]+Tabla2456789[[#This Row],[DIFERENCIA IVA ]]))</f>
        <v>0</v>
      </c>
      <c r="V329" s="17"/>
    </row>
    <row r="330" spans="1:22" s="15" customFormat="1" ht="20.100000000000001" customHeight="1" x14ac:dyDescent="0.25">
      <c r="A330" s="13"/>
      <c r="B330" s="14"/>
      <c r="C330" s="14"/>
      <c r="D330" s="14"/>
      <c r="G330" s="14"/>
      <c r="H330" s="16"/>
      <c r="J330" s="20">
        <f>IF(G:G="FRENOS",(Tabla2456789[[#This Row],[TOTAL FACTURA]]*0.8),(Tabla2456789[[#This Row],[TOTAL FACTURA]]*0.5))</f>
        <v>0</v>
      </c>
      <c r="K330" s="9" t="e">
        <f>#REF!-J330</f>
        <v>#REF!</v>
      </c>
      <c r="L330" s="4"/>
      <c r="M330" s="10"/>
      <c r="N330" s="10">
        <f>Tabla2456789[[#This Row],[MONTO DE COMPRA]]/1.19</f>
        <v>0</v>
      </c>
      <c r="O330" s="10">
        <f>Tabla2456789[[#This Row],[Columna1]]*19%</f>
        <v>0</v>
      </c>
      <c r="P330" s="10"/>
      <c r="Q330" s="10">
        <f>Tabla2456789[[#This Row],[VENTA ]]/1.19</f>
        <v>0</v>
      </c>
      <c r="R330" s="10">
        <f>Tabla2456789[[#This Row],[Columna2]]*19%</f>
        <v>0</v>
      </c>
      <c r="S330" s="10">
        <f>Tabla2456789[[#This Row],[IVA VENTA ]]-Tabla2456789[[#This Row],[IV COMPRA]]</f>
        <v>0</v>
      </c>
      <c r="T330" s="10">
        <f>(Tabla2456789[[#This Row],[VENTA ]]-(Tabla2456789[[#This Row],[MONTO DE COMPRA]]+Tabla2456789[[#This Row],[DIFERENCIA IVA ]]))</f>
        <v>0</v>
      </c>
      <c r="V330" s="17"/>
    </row>
    <row r="331" spans="1:22" s="15" customFormat="1" ht="20.100000000000001" customHeight="1" x14ac:dyDescent="0.25">
      <c r="A331" s="13"/>
      <c r="B331" s="14"/>
      <c r="C331" s="14"/>
      <c r="D331" s="14"/>
      <c r="G331" s="14"/>
      <c r="H331" s="16"/>
      <c r="J331" s="20">
        <f>IF(G:G="FRENOS",(Tabla2456789[[#This Row],[TOTAL FACTURA]]*0.8),(Tabla2456789[[#This Row],[TOTAL FACTURA]]*0.5))</f>
        <v>0</v>
      </c>
      <c r="K331" s="9" t="e">
        <f>#REF!-J331</f>
        <v>#REF!</v>
      </c>
      <c r="L331" s="4"/>
      <c r="M331" s="10"/>
      <c r="N331" s="10">
        <f>Tabla2456789[[#This Row],[MONTO DE COMPRA]]/1.19</f>
        <v>0</v>
      </c>
      <c r="O331" s="10">
        <f>Tabla2456789[[#This Row],[Columna1]]*19%</f>
        <v>0</v>
      </c>
      <c r="P331" s="10"/>
      <c r="Q331" s="10">
        <f>Tabla2456789[[#This Row],[VENTA ]]/1.19</f>
        <v>0</v>
      </c>
      <c r="R331" s="10">
        <f>Tabla2456789[[#This Row],[Columna2]]*19%</f>
        <v>0</v>
      </c>
      <c r="S331" s="10">
        <f>Tabla2456789[[#This Row],[IVA VENTA ]]-Tabla2456789[[#This Row],[IV COMPRA]]</f>
        <v>0</v>
      </c>
      <c r="T331" s="10">
        <f>(Tabla2456789[[#This Row],[VENTA ]]-(Tabla2456789[[#This Row],[MONTO DE COMPRA]]+Tabla2456789[[#This Row],[DIFERENCIA IVA ]]))</f>
        <v>0</v>
      </c>
      <c r="V331" s="17"/>
    </row>
    <row r="332" spans="1:22" s="15" customFormat="1" ht="20.100000000000001" customHeight="1" x14ac:dyDescent="0.25">
      <c r="A332" s="13"/>
      <c r="B332" s="14"/>
      <c r="C332" s="14"/>
      <c r="D332" s="14"/>
      <c r="G332" s="14"/>
      <c r="H332" s="16"/>
      <c r="J332" s="20">
        <f>IF(G:G="FRENOS",(Tabla2456789[[#This Row],[TOTAL FACTURA]]*0.8),(Tabla2456789[[#This Row],[TOTAL FACTURA]]*0.5))</f>
        <v>0</v>
      </c>
      <c r="K332" s="9" t="e">
        <f>#REF!-J332</f>
        <v>#REF!</v>
      </c>
      <c r="L332" s="4"/>
      <c r="M332" s="10"/>
      <c r="N332" s="10">
        <f>Tabla2456789[[#This Row],[MONTO DE COMPRA]]/1.19</f>
        <v>0</v>
      </c>
      <c r="O332" s="10">
        <f>Tabla2456789[[#This Row],[Columna1]]*19%</f>
        <v>0</v>
      </c>
      <c r="P332" s="10"/>
      <c r="Q332" s="10">
        <f>Tabla2456789[[#This Row],[VENTA ]]/1.19</f>
        <v>0</v>
      </c>
      <c r="R332" s="10">
        <f>Tabla2456789[[#This Row],[Columna2]]*19%</f>
        <v>0</v>
      </c>
      <c r="S332" s="10">
        <f>Tabla2456789[[#This Row],[IVA VENTA ]]-Tabla2456789[[#This Row],[IV COMPRA]]</f>
        <v>0</v>
      </c>
      <c r="T332" s="10">
        <f>(Tabla2456789[[#This Row],[VENTA ]]-(Tabla2456789[[#This Row],[MONTO DE COMPRA]]+Tabla2456789[[#This Row],[DIFERENCIA IVA ]]))</f>
        <v>0</v>
      </c>
      <c r="V332" s="17"/>
    </row>
    <row r="333" spans="1:22" s="15" customFormat="1" ht="20.100000000000001" customHeight="1" x14ac:dyDescent="0.25">
      <c r="A333" s="13"/>
      <c r="B333" s="14"/>
      <c r="C333" s="14"/>
      <c r="D333" s="14"/>
      <c r="G333" s="14"/>
      <c r="H333" s="16"/>
      <c r="J333" s="20">
        <f>IF(G:G="FRENOS",(Tabla2456789[[#This Row],[TOTAL FACTURA]]*0.8),(Tabla2456789[[#This Row],[TOTAL FACTURA]]*0.5))</f>
        <v>0</v>
      </c>
      <c r="K333" s="9" t="e">
        <f>#REF!-J333</f>
        <v>#REF!</v>
      </c>
      <c r="L333" s="4"/>
      <c r="M333" s="10"/>
      <c r="N333" s="10">
        <f>Tabla2456789[[#This Row],[MONTO DE COMPRA]]/1.19</f>
        <v>0</v>
      </c>
      <c r="O333" s="10">
        <f>Tabla2456789[[#This Row],[Columna1]]*19%</f>
        <v>0</v>
      </c>
      <c r="P333" s="10"/>
      <c r="Q333" s="10">
        <f>Tabla2456789[[#This Row],[VENTA ]]/1.19</f>
        <v>0</v>
      </c>
      <c r="R333" s="10">
        <f>Tabla2456789[[#This Row],[Columna2]]*19%</f>
        <v>0</v>
      </c>
      <c r="S333" s="10">
        <f>Tabla2456789[[#This Row],[IVA VENTA ]]-Tabla2456789[[#This Row],[IV COMPRA]]</f>
        <v>0</v>
      </c>
      <c r="T333" s="10">
        <f>(Tabla2456789[[#This Row],[VENTA ]]-(Tabla2456789[[#This Row],[MONTO DE COMPRA]]+Tabla2456789[[#This Row],[DIFERENCIA IVA ]]))</f>
        <v>0</v>
      </c>
      <c r="V333" s="17"/>
    </row>
    <row r="334" spans="1:22" s="15" customFormat="1" ht="20.100000000000001" customHeight="1" x14ac:dyDescent="0.25">
      <c r="A334" s="13"/>
      <c r="B334" s="14"/>
      <c r="C334" s="14"/>
      <c r="D334" s="14"/>
      <c r="G334" s="14"/>
      <c r="H334" s="16"/>
      <c r="J334" s="20">
        <f>IF(G:G="FRENOS",(Tabla2456789[[#This Row],[TOTAL FACTURA]]*0.8),(Tabla2456789[[#This Row],[TOTAL FACTURA]]*0.5))</f>
        <v>0</v>
      </c>
      <c r="K334" s="9" t="e">
        <f>#REF!-J334</f>
        <v>#REF!</v>
      </c>
      <c r="L334" s="4"/>
      <c r="M334" s="10"/>
      <c r="N334" s="10">
        <f>Tabla2456789[[#This Row],[MONTO DE COMPRA]]/1.19</f>
        <v>0</v>
      </c>
      <c r="O334" s="10">
        <f>Tabla2456789[[#This Row],[Columna1]]*19%</f>
        <v>0</v>
      </c>
      <c r="P334" s="10"/>
      <c r="Q334" s="10">
        <f>Tabla2456789[[#This Row],[VENTA ]]/1.19</f>
        <v>0</v>
      </c>
      <c r="R334" s="10">
        <f>Tabla2456789[[#This Row],[Columna2]]*19%</f>
        <v>0</v>
      </c>
      <c r="S334" s="10">
        <f>Tabla2456789[[#This Row],[IVA VENTA ]]-Tabla2456789[[#This Row],[IV COMPRA]]</f>
        <v>0</v>
      </c>
      <c r="T334" s="10">
        <f>(Tabla2456789[[#This Row],[VENTA ]]-(Tabla2456789[[#This Row],[MONTO DE COMPRA]]+Tabla2456789[[#This Row],[DIFERENCIA IVA ]]))</f>
        <v>0</v>
      </c>
      <c r="V334" s="17"/>
    </row>
    <row r="335" spans="1:22" s="15" customFormat="1" ht="20.100000000000001" customHeight="1" x14ac:dyDescent="0.25">
      <c r="A335" s="13"/>
      <c r="B335" s="14"/>
      <c r="C335" s="14"/>
      <c r="D335" s="14"/>
      <c r="G335" s="14"/>
      <c r="H335" s="16"/>
      <c r="J335" s="20">
        <f>IF(G:G="FRENOS",(Tabla2456789[[#This Row],[TOTAL FACTURA]]*0.8),(Tabla2456789[[#This Row],[TOTAL FACTURA]]*0.5))</f>
        <v>0</v>
      </c>
      <c r="K335" s="9" t="e">
        <f>#REF!-J335</f>
        <v>#REF!</v>
      </c>
      <c r="L335" s="4"/>
      <c r="M335" s="10"/>
      <c r="N335" s="10">
        <f>Tabla2456789[[#This Row],[MONTO DE COMPRA]]/1.19</f>
        <v>0</v>
      </c>
      <c r="O335" s="10">
        <f>Tabla2456789[[#This Row],[Columna1]]*19%</f>
        <v>0</v>
      </c>
      <c r="P335" s="10"/>
      <c r="Q335" s="10">
        <f>Tabla2456789[[#This Row],[VENTA ]]/1.19</f>
        <v>0</v>
      </c>
      <c r="R335" s="10">
        <f>Tabla2456789[[#This Row],[Columna2]]*19%</f>
        <v>0</v>
      </c>
      <c r="S335" s="10">
        <f>Tabla2456789[[#This Row],[IVA VENTA ]]-Tabla2456789[[#This Row],[IV COMPRA]]</f>
        <v>0</v>
      </c>
      <c r="T335" s="10">
        <f>(Tabla2456789[[#This Row],[VENTA ]]-(Tabla2456789[[#This Row],[MONTO DE COMPRA]]+Tabla2456789[[#This Row],[DIFERENCIA IVA ]]))</f>
        <v>0</v>
      </c>
      <c r="V335" s="17"/>
    </row>
    <row r="336" spans="1:22" s="15" customFormat="1" ht="20.100000000000001" customHeight="1" x14ac:dyDescent="0.25">
      <c r="A336" s="13"/>
      <c r="B336" s="14"/>
      <c r="C336" s="14"/>
      <c r="D336" s="14"/>
      <c r="G336" s="14"/>
      <c r="H336" s="16"/>
      <c r="J336" s="20">
        <f>IF(G:G="FRENOS",(Tabla2456789[[#This Row],[TOTAL FACTURA]]*0.8),(Tabla2456789[[#This Row],[TOTAL FACTURA]]*0.5))</f>
        <v>0</v>
      </c>
      <c r="K336" s="9" t="e">
        <f>#REF!-J336</f>
        <v>#REF!</v>
      </c>
      <c r="L336" s="4"/>
      <c r="M336" s="10"/>
      <c r="N336" s="10">
        <f>Tabla2456789[[#This Row],[MONTO DE COMPRA]]/1.19</f>
        <v>0</v>
      </c>
      <c r="O336" s="10">
        <f>Tabla2456789[[#This Row],[Columna1]]*19%</f>
        <v>0</v>
      </c>
      <c r="P336" s="10"/>
      <c r="Q336" s="10">
        <f>Tabla2456789[[#This Row],[VENTA ]]/1.19</f>
        <v>0</v>
      </c>
      <c r="R336" s="10">
        <f>Tabla2456789[[#This Row],[Columna2]]*19%</f>
        <v>0</v>
      </c>
      <c r="S336" s="10">
        <f>Tabla2456789[[#This Row],[IVA VENTA ]]-Tabla2456789[[#This Row],[IV COMPRA]]</f>
        <v>0</v>
      </c>
      <c r="T336" s="10">
        <f>(Tabla2456789[[#This Row],[VENTA ]]-(Tabla2456789[[#This Row],[MONTO DE COMPRA]]+Tabla2456789[[#This Row],[DIFERENCIA IVA ]]))</f>
        <v>0</v>
      </c>
      <c r="V336" s="17"/>
    </row>
    <row r="337" spans="1:22" s="15" customFormat="1" ht="20.100000000000001" customHeight="1" x14ac:dyDescent="0.25">
      <c r="A337" s="13"/>
      <c r="B337" s="14"/>
      <c r="C337" s="14"/>
      <c r="D337" s="14"/>
      <c r="G337" s="14"/>
      <c r="H337" s="16"/>
      <c r="J337" s="20">
        <f>IF(G:G="FRENOS",(Tabla2456789[[#This Row],[TOTAL FACTURA]]*0.8),(Tabla2456789[[#This Row],[TOTAL FACTURA]]*0.5))</f>
        <v>0</v>
      </c>
      <c r="K337" s="9" t="e">
        <f>#REF!-J337</f>
        <v>#REF!</v>
      </c>
      <c r="L337" s="4"/>
      <c r="M337" s="10"/>
      <c r="N337" s="10">
        <f>Tabla2456789[[#This Row],[MONTO DE COMPRA]]/1.19</f>
        <v>0</v>
      </c>
      <c r="O337" s="10">
        <f>Tabla2456789[[#This Row],[Columna1]]*19%</f>
        <v>0</v>
      </c>
      <c r="P337" s="10"/>
      <c r="Q337" s="10">
        <f>Tabla2456789[[#This Row],[VENTA ]]/1.19</f>
        <v>0</v>
      </c>
      <c r="R337" s="10">
        <f>Tabla2456789[[#This Row],[Columna2]]*19%</f>
        <v>0</v>
      </c>
      <c r="S337" s="10">
        <f>Tabla2456789[[#This Row],[IVA VENTA ]]-Tabla2456789[[#This Row],[IV COMPRA]]</f>
        <v>0</v>
      </c>
      <c r="T337" s="10">
        <f>(Tabla2456789[[#This Row],[VENTA ]]-(Tabla2456789[[#This Row],[MONTO DE COMPRA]]+Tabla2456789[[#This Row],[DIFERENCIA IVA ]]))</f>
        <v>0</v>
      </c>
      <c r="V337" s="17"/>
    </row>
    <row r="338" spans="1:22" s="15" customFormat="1" ht="20.100000000000001" customHeight="1" x14ac:dyDescent="0.25">
      <c r="A338" s="13"/>
      <c r="B338" s="14"/>
      <c r="C338" s="14"/>
      <c r="D338" s="14"/>
      <c r="G338" s="14"/>
      <c r="H338" s="16"/>
      <c r="J338" s="20">
        <f>IF(G:G="FRENOS",(Tabla2456789[[#This Row],[TOTAL FACTURA]]*0.8),(Tabla2456789[[#This Row],[TOTAL FACTURA]]*0.5))</f>
        <v>0</v>
      </c>
      <c r="K338" s="9" t="e">
        <f>#REF!-J338</f>
        <v>#REF!</v>
      </c>
      <c r="L338" s="4"/>
      <c r="M338" s="10"/>
      <c r="N338" s="10">
        <f>Tabla2456789[[#This Row],[MONTO DE COMPRA]]/1.19</f>
        <v>0</v>
      </c>
      <c r="O338" s="10">
        <f>Tabla2456789[[#This Row],[Columna1]]*19%</f>
        <v>0</v>
      </c>
      <c r="P338" s="10"/>
      <c r="Q338" s="10">
        <f>Tabla2456789[[#This Row],[VENTA ]]/1.19</f>
        <v>0</v>
      </c>
      <c r="R338" s="10">
        <f>Tabla2456789[[#This Row],[Columna2]]*19%</f>
        <v>0</v>
      </c>
      <c r="S338" s="10">
        <f>Tabla2456789[[#This Row],[IVA VENTA ]]-Tabla2456789[[#This Row],[IV COMPRA]]</f>
        <v>0</v>
      </c>
      <c r="T338" s="10">
        <f>(Tabla2456789[[#This Row],[VENTA ]]-(Tabla2456789[[#This Row],[MONTO DE COMPRA]]+Tabla2456789[[#This Row],[DIFERENCIA IVA ]]))</f>
        <v>0</v>
      </c>
      <c r="V338" s="17"/>
    </row>
    <row r="339" spans="1:22" s="15" customFormat="1" ht="20.100000000000001" customHeight="1" x14ac:dyDescent="0.25">
      <c r="A339" s="13"/>
      <c r="B339" s="14"/>
      <c r="C339" s="14"/>
      <c r="D339" s="14"/>
      <c r="G339" s="14"/>
      <c r="H339" s="16"/>
      <c r="J339" s="20">
        <f>IF(G:G="FRENOS",(Tabla2456789[[#This Row],[TOTAL FACTURA]]*0.8),(Tabla2456789[[#This Row],[TOTAL FACTURA]]*0.5))</f>
        <v>0</v>
      </c>
      <c r="K339" s="9" t="e">
        <f>#REF!-J339</f>
        <v>#REF!</v>
      </c>
      <c r="L339" s="4"/>
      <c r="M339" s="10"/>
      <c r="N339" s="10">
        <f>Tabla2456789[[#This Row],[MONTO DE COMPRA]]/1.19</f>
        <v>0</v>
      </c>
      <c r="O339" s="10">
        <f>Tabla2456789[[#This Row],[Columna1]]*19%</f>
        <v>0</v>
      </c>
      <c r="P339" s="10"/>
      <c r="Q339" s="10">
        <f>Tabla2456789[[#This Row],[VENTA ]]/1.19</f>
        <v>0</v>
      </c>
      <c r="R339" s="10">
        <f>Tabla2456789[[#This Row],[Columna2]]*19%</f>
        <v>0</v>
      </c>
      <c r="S339" s="10">
        <f>Tabla2456789[[#This Row],[IVA VENTA ]]-Tabla2456789[[#This Row],[IV COMPRA]]</f>
        <v>0</v>
      </c>
      <c r="T339" s="10">
        <f>(Tabla2456789[[#This Row],[VENTA ]]-(Tabla2456789[[#This Row],[MONTO DE COMPRA]]+Tabla2456789[[#This Row],[DIFERENCIA IVA ]]))</f>
        <v>0</v>
      </c>
      <c r="V339" s="17"/>
    </row>
    <row r="340" spans="1:22" s="15" customFormat="1" ht="20.100000000000001" customHeight="1" x14ac:dyDescent="0.25">
      <c r="A340" s="13"/>
      <c r="B340" s="14"/>
      <c r="C340" s="14"/>
      <c r="D340" s="14"/>
      <c r="G340" s="14"/>
      <c r="H340" s="16"/>
      <c r="J340" s="20">
        <f>IF(G:G="FRENOS",(Tabla2456789[[#This Row],[TOTAL FACTURA]]*0.8),(Tabla2456789[[#This Row],[TOTAL FACTURA]]*0.5))</f>
        <v>0</v>
      </c>
      <c r="K340" s="9" t="e">
        <f>#REF!-J340</f>
        <v>#REF!</v>
      </c>
      <c r="L340" s="4"/>
      <c r="M340" s="10"/>
      <c r="N340" s="10">
        <f>Tabla2456789[[#This Row],[MONTO DE COMPRA]]/1.19</f>
        <v>0</v>
      </c>
      <c r="O340" s="10">
        <f>Tabla2456789[[#This Row],[Columna1]]*19%</f>
        <v>0</v>
      </c>
      <c r="P340" s="10"/>
      <c r="Q340" s="10">
        <f>Tabla2456789[[#This Row],[VENTA ]]/1.19</f>
        <v>0</v>
      </c>
      <c r="R340" s="10">
        <f>Tabla2456789[[#This Row],[Columna2]]*19%</f>
        <v>0</v>
      </c>
      <c r="S340" s="10">
        <f>Tabla2456789[[#This Row],[IVA VENTA ]]-Tabla2456789[[#This Row],[IV COMPRA]]</f>
        <v>0</v>
      </c>
      <c r="T340" s="10">
        <f>(Tabla2456789[[#This Row],[VENTA ]]-(Tabla2456789[[#This Row],[MONTO DE COMPRA]]+Tabla2456789[[#This Row],[DIFERENCIA IVA ]]))</f>
        <v>0</v>
      </c>
      <c r="V340" s="17"/>
    </row>
    <row r="341" spans="1:22" s="15" customFormat="1" ht="20.100000000000001" customHeight="1" x14ac:dyDescent="0.25">
      <c r="A341" s="13"/>
      <c r="B341" s="14"/>
      <c r="C341" s="14"/>
      <c r="D341" s="14"/>
      <c r="G341" s="14"/>
      <c r="H341" s="16"/>
      <c r="J341" s="20">
        <f>IF(G:G="FRENOS",(Tabla2456789[[#This Row],[TOTAL FACTURA]]*0.8),(Tabla2456789[[#This Row],[TOTAL FACTURA]]*0.5))</f>
        <v>0</v>
      </c>
      <c r="K341" s="9" t="e">
        <f>#REF!-J341</f>
        <v>#REF!</v>
      </c>
      <c r="L341" s="4"/>
      <c r="M341" s="10"/>
      <c r="N341" s="10">
        <f>Tabla2456789[[#This Row],[MONTO DE COMPRA]]/1.19</f>
        <v>0</v>
      </c>
      <c r="O341" s="10">
        <f>Tabla2456789[[#This Row],[Columna1]]*19%</f>
        <v>0</v>
      </c>
      <c r="P341" s="10"/>
      <c r="Q341" s="10">
        <f>Tabla2456789[[#This Row],[VENTA ]]/1.19</f>
        <v>0</v>
      </c>
      <c r="R341" s="10">
        <f>Tabla2456789[[#This Row],[Columna2]]*19%</f>
        <v>0</v>
      </c>
      <c r="S341" s="10">
        <f>Tabla2456789[[#This Row],[IVA VENTA ]]-Tabla2456789[[#This Row],[IV COMPRA]]</f>
        <v>0</v>
      </c>
      <c r="T341" s="10">
        <f>(Tabla2456789[[#This Row],[VENTA ]]-(Tabla2456789[[#This Row],[MONTO DE COMPRA]]+Tabla2456789[[#This Row],[DIFERENCIA IVA ]]))</f>
        <v>0</v>
      </c>
      <c r="V341" s="17"/>
    </row>
    <row r="342" spans="1:22" s="15" customFormat="1" ht="20.100000000000001" customHeight="1" x14ac:dyDescent="0.25">
      <c r="A342" s="13"/>
      <c r="B342" s="14"/>
      <c r="C342" s="14"/>
      <c r="D342" s="14"/>
      <c r="G342" s="14"/>
      <c r="H342" s="16"/>
      <c r="J342" s="20">
        <f>IF(G:G="FRENOS",(Tabla2456789[[#This Row],[TOTAL FACTURA]]*0.8),(Tabla2456789[[#This Row],[TOTAL FACTURA]]*0.5))</f>
        <v>0</v>
      </c>
      <c r="K342" s="9" t="e">
        <f>#REF!-J342</f>
        <v>#REF!</v>
      </c>
      <c r="L342" s="4"/>
      <c r="M342" s="10"/>
      <c r="N342" s="10">
        <f>Tabla2456789[[#This Row],[MONTO DE COMPRA]]/1.19</f>
        <v>0</v>
      </c>
      <c r="O342" s="10">
        <f>Tabla2456789[[#This Row],[Columna1]]*19%</f>
        <v>0</v>
      </c>
      <c r="P342" s="10"/>
      <c r="Q342" s="10">
        <f>Tabla2456789[[#This Row],[VENTA ]]/1.19</f>
        <v>0</v>
      </c>
      <c r="R342" s="10">
        <f>Tabla2456789[[#This Row],[Columna2]]*19%</f>
        <v>0</v>
      </c>
      <c r="S342" s="10">
        <f>Tabla2456789[[#This Row],[IVA VENTA ]]-Tabla2456789[[#This Row],[IV COMPRA]]</f>
        <v>0</v>
      </c>
      <c r="T342" s="10">
        <f>(Tabla2456789[[#This Row],[VENTA ]]-(Tabla2456789[[#This Row],[MONTO DE COMPRA]]+Tabla2456789[[#This Row],[DIFERENCIA IVA ]]))</f>
        <v>0</v>
      </c>
      <c r="V342" s="17"/>
    </row>
    <row r="343" spans="1:22" s="15" customFormat="1" ht="20.100000000000001" customHeight="1" x14ac:dyDescent="0.25">
      <c r="A343" s="13"/>
      <c r="B343" s="14"/>
      <c r="C343" s="14"/>
      <c r="D343" s="14"/>
      <c r="G343" s="14"/>
      <c r="H343" s="16"/>
      <c r="J343" s="20">
        <f>IF(G:G="FRENOS",(Tabla2456789[[#This Row],[TOTAL FACTURA]]*0.8),(Tabla2456789[[#This Row],[TOTAL FACTURA]]*0.5))</f>
        <v>0</v>
      </c>
      <c r="K343" s="9" t="e">
        <f>#REF!-J343</f>
        <v>#REF!</v>
      </c>
      <c r="L343" s="4"/>
      <c r="M343" s="10"/>
      <c r="N343" s="10">
        <f>Tabla2456789[[#This Row],[MONTO DE COMPRA]]/1.19</f>
        <v>0</v>
      </c>
      <c r="O343" s="10">
        <f>Tabla2456789[[#This Row],[Columna1]]*19%</f>
        <v>0</v>
      </c>
      <c r="P343" s="10"/>
      <c r="Q343" s="10">
        <f>Tabla2456789[[#This Row],[VENTA ]]/1.19</f>
        <v>0</v>
      </c>
      <c r="R343" s="10">
        <f>Tabla2456789[[#This Row],[Columna2]]*19%</f>
        <v>0</v>
      </c>
      <c r="S343" s="10">
        <f>Tabla2456789[[#This Row],[IVA VENTA ]]-Tabla2456789[[#This Row],[IV COMPRA]]</f>
        <v>0</v>
      </c>
      <c r="T343" s="10">
        <f>(Tabla2456789[[#This Row],[VENTA ]]-(Tabla2456789[[#This Row],[MONTO DE COMPRA]]+Tabla2456789[[#This Row],[DIFERENCIA IVA ]]))</f>
        <v>0</v>
      </c>
      <c r="V343" s="17"/>
    </row>
    <row r="344" spans="1:22" s="15" customFormat="1" ht="20.100000000000001" customHeight="1" x14ac:dyDescent="0.25">
      <c r="A344" s="13"/>
      <c r="B344" s="14"/>
      <c r="C344" s="14"/>
      <c r="D344" s="14"/>
      <c r="G344" s="14"/>
      <c r="H344" s="16"/>
      <c r="J344" s="20">
        <f>IF(G:G="FRENOS",(Tabla2456789[[#This Row],[TOTAL FACTURA]]*0.8),(Tabla2456789[[#This Row],[TOTAL FACTURA]]*0.5))</f>
        <v>0</v>
      </c>
      <c r="K344" s="9" t="e">
        <f>#REF!-J344</f>
        <v>#REF!</v>
      </c>
      <c r="L344" s="4"/>
      <c r="M344" s="10"/>
      <c r="N344" s="10">
        <f>Tabla2456789[[#This Row],[MONTO DE COMPRA]]/1.19</f>
        <v>0</v>
      </c>
      <c r="O344" s="10">
        <f>Tabla2456789[[#This Row],[Columna1]]*19%</f>
        <v>0</v>
      </c>
      <c r="P344" s="10"/>
      <c r="Q344" s="10">
        <f>Tabla2456789[[#This Row],[VENTA ]]/1.19</f>
        <v>0</v>
      </c>
      <c r="R344" s="10">
        <f>Tabla2456789[[#This Row],[Columna2]]*19%</f>
        <v>0</v>
      </c>
      <c r="S344" s="10">
        <f>Tabla2456789[[#This Row],[IVA VENTA ]]-Tabla2456789[[#This Row],[IV COMPRA]]</f>
        <v>0</v>
      </c>
      <c r="T344" s="10">
        <f>(Tabla2456789[[#This Row],[VENTA ]]-(Tabla2456789[[#This Row],[MONTO DE COMPRA]]+Tabla2456789[[#This Row],[DIFERENCIA IVA ]]))</f>
        <v>0</v>
      </c>
      <c r="V344" s="17"/>
    </row>
    <row r="345" spans="1:22" s="15" customFormat="1" ht="20.100000000000001" customHeight="1" x14ac:dyDescent="0.25">
      <c r="A345" s="13"/>
      <c r="B345" s="14"/>
      <c r="C345" s="14"/>
      <c r="D345" s="14"/>
      <c r="G345" s="14"/>
      <c r="H345" s="16"/>
      <c r="J345" s="20">
        <f>IF(G:G="FRENOS",(Tabla2456789[[#This Row],[TOTAL FACTURA]]*0.8),(Tabla2456789[[#This Row],[TOTAL FACTURA]]*0.5))</f>
        <v>0</v>
      </c>
      <c r="K345" s="9" t="e">
        <f>#REF!-J345</f>
        <v>#REF!</v>
      </c>
      <c r="L345" s="4"/>
      <c r="M345" s="10"/>
      <c r="N345" s="10">
        <f>Tabla2456789[[#This Row],[MONTO DE COMPRA]]/1.19</f>
        <v>0</v>
      </c>
      <c r="O345" s="10">
        <f>Tabla2456789[[#This Row],[Columna1]]*19%</f>
        <v>0</v>
      </c>
      <c r="P345" s="10"/>
      <c r="Q345" s="10">
        <f>Tabla2456789[[#This Row],[VENTA ]]/1.19</f>
        <v>0</v>
      </c>
      <c r="R345" s="10">
        <f>Tabla2456789[[#This Row],[Columna2]]*19%</f>
        <v>0</v>
      </c>
      <c r="S345" s="10">
        <f>Tabla2456789[[#This Row],[IVA VENTA ]]-Tabla2456789[[#This Row],[IV COMPRA]]</f>
        <v>0</v>
      </c>
      <c r="T345" s="10">
        <f>(Tabla2456789[[#This Row],[VENTA ]]-(Tabla2456789[[#This Row],[MONTO DE COMPRA]]+Tabla2456789[[#This Row],[DIFERENCIA IVA ]]))</f>
        <v>0</v>
      </c>
      <c r="V345" s="17"/>
    </row>
    <row r="346" spans="1:22" s="15" customFormat="1" ht="20.100000000000001" customHeight="1" x14ac:dyDescent="0.25">
      <c r="A346" s="13"/>
      <c r="B346" s="14"/>
      <c r="C346" s="14"/>
      <c r="D346" s="14"/>
      <c r="G346" s="14"/>
      <c r="H346" s="16"/>
      <c r="J346" s="20">
        <f>IF(G:G="FRENOS",(Tabla2456789[[#This Row],[TOTAL FACTURA]]*0.8),(Tabla2456789[[#This Row],[TOTAL FACTURA]]*0.5))</f>
        <v>0</v>
      </c>
      <c r="K346" s="9" t="e">
        <f>#REF!-J346</f>
        <v>#REF!</v>
      </c>
      <c r="L346" s="4"/>
      <c r="M346" s="10"/>
      <c r="N346" s="10">
        <f>Tabla2456789[[#This Row],[MONTO DE COMPRA]]/1.19</f>
        <v>0</v>
      </c>
      <c r="O346" s="10">
        <f>Tabla2456789[[#This Row],[Columna1]]*19%</f>
        <v>0</v>
      </c>
      <c r="P346" s="10"/>
      <c r="Q346" s="10">
        <f>Tabla2456789[[#This Row],[VENTA ]]/1.19</f>
        <v>0</v>
      </c>
      <c r="R346" s="10">
        <f>Tabla2456789[[#This Row],[Columna2]]*19%</f>
        <v>0</v>
      </c>
      <c r="S346" s="10">
        <f>Tabla2456789[[#This Row],[IVA VENTA ]]-Tabla2456789[[#This Row],[IV COMPRA]]</f>
        <v>0</v>
      </c>
      <c r="T346" s="10">
        <f>(Tabla2456789[[#This Row],[VENTA ]]-(Tabla2456789[[#This Row],[MONTO DE COMPRA]]+Tabla2456789[[#This Row],[DIFERENCIA IVA ]]))</f>
        <v>0</v>
      </c>
      <c r="V346" s="17"/>
    </row>
    <row r="347" spans="1:22" s="15" customFormat="1" ht="20.100000000000001" customHeight="1" x14ac:dyDescent="0.25">
      <c r="A347" s="13"/>
      <c r="B347" s="14"/>
      <c r="C347" s="14"/>
      <c r="D347" s="14"/>
      <c r="G347" s="14"/>
      <c r="H347" s="16"/>
      <c r="J347" s="20">
        <f>IF(G:G="FRENOS",(Tabla2456789[[#This Row],[TOTAL FACTURA]]*0.8),(Tabla2456789[[#This Row],[TOTAL FACTURA]]*0.5))</f>
        <v>0</v>
      </c>
      <c r="K347" s="9" t="e">
        <f>#REF!-J347</f>
        <v>#REF!</v>
      </c>
      <c r="L347" s="4"/>
      <c r="M347" s="10"/>
      <c r="N347" s="10">
        <f>Tabla2456789[[#This Row],[MONTO DE COMPRA]]/1.19</f>
        <v>0</v>
      </c>
      <c r="O347" s="10">
        <f>Tabla2456789[[#This Row],[Columna1]]*19%</f>
        <v>0</v>
      </c>
      <c r="P347" s="10"/>
      <c r="Q347" s="10">
        <f>Tabla2456789[[#This Row],[VENTA ]]/1.19</f>
        <v>0</v>
      </c>
      <c r="R347" s="10">
        <f>Tabla2456789[[#This Row],[Columna2]]*19%</f>
        <v>0</v>
      </c>
      <c r="S347" s="10">
        <f>Tabla2456789[[#This Row],[IVA VENTA ]]-Tabla2456789[[#This Row],[IV COMPRA]]</f>
        <v>0</v>
      </c>
      <c r="T347" s="10">
        <f>(Tabla2456789[[#This Row],[VENTA ]]-(Tabla2456789[[#This Row],[MONTO DE COMPRA]]+Tabla2456789[[#This Row],[DIFERENCIA IVA ]]))</f>
        <v>0</v>
      </c>
      <c r="V347" s="17"/>
    </row>
    <row r="348" spans="1:22" s="15" customFormat="1" ht="20.100000000000001" customHeight="1" x14ac:dyDescent="0.25">
      <c r="A348" s="13"/>
      <c r="B348" s="14"/>
      <c r="C348" s="14"/>
      <c r="D348" s="14"/>
      <c r="G348" s="14"/>
      <c r="H348" s="16"/>
      <c r="J348" s="20">
        <f>IF(G:G="FRENOS",(Tabla2456789[[#This Row],[TOTAL FACTURA]]*0.8),(Tabla2456789[[#This Row],[TOTAL FACTURA]]*0.5))</f>
        <v>0</v>
      </c>
      <c r="K348" s="9" t="e">
        <f>#REF!-J348</f>
        <v>#REF!</v>
      </c>
      <c r="L348" s="4"/>
      <c r="M348" s="10"/>
      <c r="N348" s="10">
        <f>Tabla2456789[[#This Row],[MONTO DE COMPRA]]/1.19</f>
        <v>0</v>
      </c>
      <c r="O348" s="10">
        <f>Tabla2456789[[#This Row],[Columna1]]*19%</f>
        <v>0</v>
      </c>
      <c r="P348" s="10"/>
      <c r="Q348" s="10">
        <f>Tabla2456789[[#This Row],[VENTA ]]/1.19</f>
        <v>0</v>
      </c>
      <c r="R348" s="10">
        <f>Tabla2456789[[#This Row],[Columna2]]*19%</f>
        <v>0</v>
      </c>
      <c r="S348" s="10">
        <f>Tabla2456789[[#This Row],[IVA VENTA ]]-Tabla2456789[[#This Row],[IV COMPRA]]</f>
        <v>0</v>
      </c>
      <c r="T348" s="10">
        <f>(Tabla2456789[[#This Row],[VENTA ]]-(Tabla2456789[[#This Row],[MONTO DE COMPRA]]+Tabla2456789[[#This Row],[DIFERENCIA IVA ]]))</f>
        <v>0</v>
      </c>
      <c r="V348" s="17"/>
    </row>
    <row r="349" spans="1:22" s="15" customFormat="1" ht="20.100000000000001" customHeight="1" x14ac:dyDescent="0.25">
      <c r="A349" s="13"/>
      <c r="B349" s="14"/>
      <c r="C349" s="14"/>
      <c r="D349" s="14"/>
      <c r="G349" s="14"/>
      <c r="H349" s="16"/>
      <c r="J349" s="20">
        <f>IF(G:G="FRENOS",(Tabla2456789[[#This Row],[TOTAL FACTURA]]*0.8),(Tabla2456789[[#This Row],[TOTAL FACTURA]]*0.5))</f>
        <v>0</v>
      </c>
      <c r="K349" s="9" t="e">
        <f>#REF!-J349</f>
        <v>#REF!</v>
      </c>
      <c r="L349" s="4"/>
      <c r="M349" s="10"/>
      <c r="N349" s="10">
        <f>Tabla2456789[[#This Row],[MONTO DE COMPRA]]/1.19</f>
        <v>0</v>
      </c>
      <c r="O349" s="10">
        <f>Tabla2456789[[#This Row],[Columna1]]*19%</f>
        <v>0</v>
      </c>
      <c r="P349" s="10"/>
      <c r="Q349" s="10">
        <f>Tabla2456789[[#This Row],[VENTA ]]/1.19</f>
        <v>0</v>
      </c>
      <c r="R349" s="10">
        <f>Tabla2456789[[#This Row],[Columna2]]*19%</f>
        <v>0</v>
      </c>
      <c r="S349" s="10">
        <f>Tabla2456789[[#This Row],[IVA VENTA ]]-Tabla2456789[[#This Row],[IV COMPRA]]</f>
        <v>0</v>
      </c>
      <c r="T349" s="10">
        <f>(Tabla2456789[[#This Row],[VENTA ]]-(Tabla2456789[[#This Row],[MONTO DE COMPRA]]+Tabla2456789[[#This Row],[DIFERENCIA IVA ]]))</f>
        <v>0</v>
      </c>
      <c r="V349" s="17"/>
    </row>
    <row r="350" spans="1:22" s="15" customFormat="1" ht="20.100000000000001" customHeight="1" x14ac:dyDescent="0.25">
      <c r="A350" s="13"/>
      <c r="B350" s="14"/>
      <c r="C350" s="14"/>
      <c r="D350" s="14"/>
      <c r="G350" s="14"/>
      <c r="H350" s="16"/>
      <c r="J350" s="20">
        <f>IF(G:G="FRENOS",(Tabla2456789[[#This Row],[TOTAL FACTURA]]*0.8),(Tabla2456789[[#This Row],[TOTAL FACTURA]]*0.5))</f>
        <v>0</v>
      </c>
      <c r="K350" s="9" t="e">
        <f>#REF!-J350</f>
        <v>#REF!</v>
      </c>
      <c r="L350" s="4"/>
      <c r="M350" s="10"/>
      <c r="N350" s="10">
        <f>Tabla2456789[[#This Row],[MONTO DE COMPRA]]/1.19</f>
        <v>0</v>
      </c>
      <c r="O350" s="10">
        <f>Tabla2456789[[#This Row],[Columna1]]*19%</f>
        <v>0</v>
      </c>
      <c r="P350" s="10"/>
      <c r="Q350" s="10">
        <f>Tabla2456789[[#This Row],[VENTA ]]/1.19</f>
        <v>0</v>
      </c>
      <c r="R350" s="10">
        <f>Tabla2456789[[#This Row],[Columna2]]*19%</f>
        <v>0</v>
      </c>
      <c r="S350" s="10">
        <f>Tabla2456789[[#This Row],[IVA VENTA ]]-Tabla2456789[[#This Row],[IV COMPRA]]</f>
        <v>0</v>
      </c>
      <c r="T350" s="10">
        <f>(Tabla2456789[[#This Row],[VENTA ]]-(Tabla2456789[[#This Row],[MONTO DE COMPRA]]+Tabla2456789[[#This Row],[DIFERENCIA IVA ]]))</f>
        <v>0</v>
      </c>
      <c r="V350" s="17"/>
    </row>
    <row r="351" spans="1:22" s="15" customFormat="1" ht="20.100000000000001" customHeight="1" x14ac:dyDescent="0.25">
      <c r="A351" s="13"/>
      <c r="B351" s="14"/>
      <c r="C351" s="14"/>
      <c r="D351" s="14"/>
      <c r="G351" s="14"/>
      <c r="H351" s="16"/>
      <c r="J351" s="20">
        <f>IF(G:G="FRENOS",(Tabla2456789[[#This Row],[TOTAL FACTURA]]*0.8),(Tabla2456789[[#This Row],[TOTAL FACTURA]]*0.5))</f>
        <v>0</v>
      </c>
      <c r="K351" s="9" t="e">
        <f>#REF!-J351</f>
        <v>#REF!</v>
      </c>
      <c r="L351" s="4"/>
      <c r="M351" s="10"/>
      <c r="N351" s="10">
        <f>Tabla2456789[[#This Row],[MONTO DE COMPRA]]/1.19</f>
        <v>0</v>
      </c>
      <c r="O351" s="10">
        <f>Tabla2456789[[#This Row],[Columna1]]*19%</f>
        <v>0</v>
      </c>
      <c r="P351" s="10"/>
      <c r="Q351" s="10">
        <f>Tabla2456789[[#This Row],[VENTA ]]/1.19</f>
        <v>0</v>
      </c>
      <c r="R351" s="10">
        <f>Tabla2456789[[#This Row],[Columna2]]*19%</f>
        <v>0</v>
      </c>
      <c r="S351" s="10">
        <f>Tabla2456789[[#This Row],[IVA VENTA ]]-Tabla2456789[[#This Row],[IV COMPRA]]</f>
        <v>0</v>
      </c>
      <c r="T351" s="10">
        <f>(Tabla2456789[[#This Row],[VENTA ]]-(Tabla2456789[[#This Row],[MONTO DE COMPRA]]+Tabla2456789[[#This Row],[DIFERENCIA IVA ]]))</f>
        <v>0</v>
      </c>
      <c r="V351" s="17"/>
    </row>
    <row r="352" spans="1:22" s="15" customFormat="1" ht="20.100000000000001" customHeight="1" x14ac:dyDescent="0.25">
      <c r="A352" s="13"/>
      <c r="B352" s="14"/>
      <c r="C352" s="14"/>
      <c r="D352" s="14"/>
      <c r="G352" s="14"/>
      <c r="H352" s="16"/>
      <c r="J352" s="20">
        <f>IF(G:G="FRENOS",(Tabla2456789[[#This Row],[TOTAL FACTURA]]*0.8),(Tabla2456789[[#This Row],[TOTAL FACTURA]]*0.5))</f>
        <v>0</v>
      </c>
      <c r="K352" s="9" t="e">
        <f>#REF!-J352</f>
        <v>#REF!</v>
      </c>
      <c r="L352" s="4"/>
      <c r="M352" s="10"/>
      <c r="N352" s="10">
        <f>Tabla2456789[[#This Row],[MONTO DE COMPRA]]/1.19</f>
        <v>0</v>
      </c>
      <c r="O352" s="10">
        <f>Tabla2456789[[#This Row],[Columna1]]*19%</f>
        <v>0</v>
      </c>
      <c r="P352" s="10"/>
      <c r="Q352" s="10">
        <f>Tabla2456789[[#This Row],[VENTA ]]/1.19</f>
        <v>0</v>
      </c>
      <c r="R352" s="10">
        <f>Tabla2456789[[#This Row],[Columna2]]*19%</f>
        <v>0</v>
      </c>
      <c r="S352" s="10">
        <f>Tabla2456789[[#This Row],[IVA VENTA ]]-Tabla2456789[[#This Row],[IV COMPRA]]</f>
        <v>0</v>
      </c>
      <c r="T352" s="10">
        <f>(Tabla2456789[[#This Row],[VENTA ]]-(Tabla2456789[[#This Row],[MONTO DE COMPRA]]+Tabla2456789[[#This Row],[DIFERENCIA IVA ]]))</f>
        <v>0</v>
      </c>
      <c r="V352" s="17"/>
    </row>
    <row r="353" spans="1:22" s="15" customFormat="1" ht="20.100000000000001" customHeight="1" x14ac:dyDescent="0.25">
      <c r="A353" s="13"/>
      <c r="B353" s="14"/>
      <c r="C353" s="14"/>
      <c r="D353" s="14"/>
      <c r="G353" s="14"/>
      <c r="H353" s="16"/>
      <c r="J353" s="20">
        <f>IF(G:G="FRENOS",(Tabla2456789[[#This Row],[TOTAL FACTURA]]*0.8),(Tabla2456789[[#This Row],[TOTAL FACTURA]]*0.5))</f>
        <v>0</v>
      </c>
      <c r="K353" s="9" t="e">
        <f>#REF!-J353</f>
        <v>#REF!</v>
      </c>
      <c r="L353" s="4"/>
      <c r="M353" s="10"/>
      <c r="N353" s="10">
        <f>Tabla2456789[[#This Row],[MONTO DE COMPRA]]/1.19</f>
        <v>0</v>
      </c>
      <c r="O353" s="10">
        <f>Tabla2456789[[#This Row],[Columna1]]*19%</f>
        <v>0</v>
      </c>
      <c r="P353" s="10"/>
      <c r="Q353" s="10">
        <f>Tabla2456789[[#This Row],[VENTA ]]/1.19</f>
        <v>0</v>
      </c>
      <c r="R353" s="10">
        <f>Tabla2456789[[#This Row],[Columna2]]*19%</f>
        <v>0</v>
      </c>
      <c r="S353" s="10">
        <f>Tabla2456789[[#This Row],[IVA VENTA ]]-Tabla2456789[[#This Row],[IV COMPRA]]</f>
        <v>0</v>
      </c>
      <c r="T353" s="10">
        <f>(Tabla2456789[[#This Row],[VENTA ]]-(Tabla2456789[[#This Row],[MONTO DE COMPRA]]+Tabla2456789[[#This Row],[DIFERENCIA IVA ]]))</f>
        <v>0</v>
      </c>
      <c r="V353" s="17"/>
    </row>
    <row r="354" spans="1:22" s="15" customFormat="1" ht="20.100000000000001" customHeight="1" x14ac:dyDescent="0.25">
      <c r="A354" s="13"/>
      <c r="B354" s="14"/>
      <c r="C354" s="14"/>
      <c r="D354" s="14"/>
      <c r="G354" s="14"/>
      <c r="H354" s="16"/>
      <c r="J354" s="20">
        <f>IF(G:G="FRENOS",(Tabla2456789[[#This Row],[TOTAL FACTURA]]*0.8),(Tabla2456789[[#This Row],[TOTAL FACTURA]]*0.5))</f>
        <v>0</v>
      </c>
      <c r="K354" s="9" t="e">
        <f>#REF!-J354</f>
        <v>#REF!</v>
      </c>
      <c r="L354" s="4"/>
      <c r="M354" s="10"/>
      <c r="N354" s="10">
        <f>Tabla2456789[[#This Row],[MONTO DE COMPRA]]/1.19</f>
        <v>0</v>
      </c>
      <c r="O354" s="10">
        <f>Tabla2456789[[#This Row],[Columna1]]*19%</f>
        <v>0</v>
      </c>
      <c r="P354" s="10"/>
      <c r="Q354" s="10">
        <f>Tabla2456789[[#This Row],[VENTA ]]/1.19</f>
        <v>0</v>
      </c>
      <c r="R354" s="10">
        <f>Tabla2456789[[#This Row],[Columna2]]*19%</f>
        <v>0</v>
      </c>
      <c r="S354" s="10">
        <f>Tabla2456789[[#This Row],[IVA VENTA ]]-Tabla2456789[[#This Row],[IV COMPRA]]</f>
        <v>0</v>
      </c>
      <c r="T354" s="10">
        <f>(Tabla2456789[[#This Row],[VENTA ]]-(Tabla2456789[[#This Row],[MONTO DE COMPRA]]+Tabla2456789[[#This Row],[DIFERENCIA IVA ]]))</f>
        <v>0</v>
      </c>
      <c r="V354" s="17"/>
    </row>
    <row r="355" spans="1:22" s="15" customFormat="1" ht="20.100000000000001" customHeight="1" x14ac:dyDescent="0.25">
      <c r="A355" s="13"/>
      <c r="B355" s="14"/>
      <c r="C355" s="14"/>
      <c r="D355" s="14"/>
      <c r="G355" s="14"/>
      <c r="H355" s="16"/>
      <c r="J355" s="20">
        <f>IF(G:G="FRENOS",(Tabla2456789[[#This Row],[TOTAL FACTURA]]*0.8),(Tabla2456789[[#This Row],[TOTAL FACTURA]]*0.5))</f>
        <v>0</v>
      </c>
      <c r="K355" s="9" t="e">
        <f>#REF!-J355</f>
        <v>#REF!</v>
      </c>
      <c r="L355" s="4"/>
      <c r="M355" s="10"/>
      <c r="N355" s="10">
        <f>Tabla2456789[[#This Row],[MONTO DE COMPRA]]/1.19</f>
        <v>0</v>
      </c>
      <c r="O355" s="10">
        <f>Tabla2456789[[#This Row],[Columna1]]*19%</f>
        <v>0</v>
      </c>
      <c r="P355" s="10"/>
      <c r="Q355" s="10">
        <f>Tabla2456789[[#This Row],[VENTA ]]/1.19</f>
        <v>0</v>
      </c>
      <c r="R355" s="10">
        <f>Tabla2456789[[#This Row],[Columna2]]*19%</f>
        <v>0</v>
      </c>
      <c r="S355" s="10">
        <f>Tabla2456789[[#This Row],[IVA VENTA ]]-Tabla2456789[[#This Row],[IV COMPRA]]</f>
        <v>0</v>
      </c>
      <c r="T355" s="10">
        <f>(Tabla2456789[[#This Row],[VENTA ]]-(Tabla2456789[[#This Row],[MONTO DE COMPRA]]+Tabla2456789[[#This Row],[DIFERENCIA IVA ]]))</f>
        <v>0</v>
      </c>
      <c r="V355" s="17"/>
    </row>
    <row r="356" spans="1:22" s="15" customFormat="1" ht="20.100000000000001" customHeight="1" x14ac:dyDescent="0.25">
      <c r="A356" s="13"/>
      <c r="B356" s="14"/>
      <c r="C356" s="14"/>
      <c r="D356" s="14"/>
      <c r="E356" s="18"/>
      <c r="G356" s="14"/>
      <c r="H356" s="16"/>
      <c r="J356" s="20">
        <f>IF(G:G="FRENOS",(Tabla2456789[[#This Row],[TOTAL FACTURA]]*0.8),(Tabla2456789[[#This Row],[TOTAL FACTURA]]*0.5))</f>
        <v>0</v>
      </c>
      <c r="K356" s="9" t="e">
        <f>#REF!-J356</f>
        <v>#REF!</v>
      </c>
      <c r="L356" s="4"/>
      <c r="M356" s="10"/>
      <c r="N356" s="10">
        <f>Tabla2456789[[#This Row],[MONTO DE COMPRA]]/1.19</f>
        <v>0</v>
      </c>
      <c r="O356" s="10">
        <f>Tabla2456789[[#This Row],[Columna1]]*19%</f>
        <v>0</v>
      </c>
      <c r="P356" s="10"/>
      <c r="Q356" s="10">
        <f>Tabla2456789[[#This Row],[VENTA ]]/1.19</f>
        <v>0</v>
      </c>
      <c r="R356" s="10">
        <f>Tabla2456789[[#This Row],[Columna2]]*19%</f>
        <v>0</v>
      </c>
      <c r="S356" s="10">
        <f>Tabla2456789[[#This Row],[IVA VENTA ]]-Tabla2456789[[#This Row],[IV COMPRA]]</f>
        <v>0</v>
      </c>
      <c r="T356" s="10">
        <f>(Tabla2456789[[#This Row],[VENTA ]]-(Tabla2456789[[#This Row],[MONTO DE COMPRA]]+Tabla2456789[[#This Row],[DIFERENCIA IVA ]]))</f>
        <v>0</v>
      </c>
      <c r="V356" s="17"/>
    </row>
    <row r="357" spans="1:22" s="15" customFormat="1" ht="20.100000000000001" customHeight="1" x14ac:dyDescent="0.25">
      <c r="A357" s="13"/>
      <c r="B357" s="14"/>
      <c r="C357" s="14"/>
      <c r="D357" s="14"/>
      <c r="G357" s="14"/>
      <c r="H357" s="16"/>
      <c r="J357" s="20">
        <f>IF(G:G="FRENOS",(Tabla2456789[[#This Row],[TOTAL FACTURA]]*0.8),(Tabla2456789[[#This Row],[TOTAL FACTURA]]*0.5))</f>
        <v>0</v>
      </c>
      <c r="K357" s="9" t="e">
        <f>#REF!-J357</f>
        <v>#REF!</v>
      </c>
      <c r="L357" s="4"/>
      <c r="M357" s="10"/>
      <c r="N357" s="10">
        <f>Tabla2456789[[#This Row],[MONTO DE COMPRA]]/1.19</f>
        <v>0</v>
      </c>
      <c r="O357" s="10">
        <f>Tabla2456789[[#This Row],[Columna1]]*19%</f>
        <v>0</v>
      </c>
      <c r="P357" s="10"/>
      <c r="Q357" s="10">
        <f>Tabla2456789[[#This Row],[VENTA ]]/1.19</f>
        <v>0</v>
      </c>
      <c r="R357" s="10">
        <f>Tabla2456789[[#This Row],[Columna2]]*19%</f>
        <v>0</v>
      </c>
      <c r="S357" s="10">
        <f>Tabla2456789[[#This Row],[IVA VENTA ]]-Tabla2456789[[#This Row],[IV COMPRA]]</f>
        <v>0</v>
      </c>
      <c r="T357" s="10">
        <f>(Tabla2456789[[#This Row],[VENTA ]]-(Tabla2456789[[#This Row],[MONTO DE COMPRA]]+Tabla2456789[[#This Row],[DIFERENCIA IVA ]]))</f>
        <v>0</v>
      </c>
      <c r="V357" s="17"/>
    </row>
    <row r="358" spans="1:22" s="15" customFormat="1" ht="20.100000000000001" customHeight="1" x14ac:dyDescent="0.25">
      <c r="A358" s="13"/>
      <c r="B358" s="14"/>
      <c r="C358" s="14"/>
      <c r="D358" s="14"/>
      <c r="G358" s="14"/>
      <c r="H358" s="16"/>
      <c r="J358" s="20">
        <f>IF(G:G="FRENOS",(Tabla2456789[[#This Row],[TOTAL FACTURA]]*0.8),(Tabla2456789[[#This Row],[TOTAL FACTURA]]*0.5))</f>
        <v>0</v>
      </c>
      <c r="K358" s="9" t="e">
        <f>#REF!-J358</f>
        <v>#REF!</v>
      </c>
      <c r="L358" s="4"/>
      <c r="M358" s="10"/>
      <c r="N358" s="10">
        <f>Tabla2456789[[#This Row],[MONTO DE COMPRA]]/1.19</f>
        <v>0</v>
      </c>
      <c r="O358" s="10">
        <f>Tabla2456789[[#This Row],[Columna1]]*19%</f>
        <v>0</v>
      </c>
      <c r="P358" s="10"/>
      <c r="Q358" s="10">
        <f>Tabla2456789[[#This Row],[VENTA ]]/1.19</f>
        <v>0</v>
      </c>
      <c r="R358" s="10">
        <f>Tabla2456789[[#This Row],[Columna2]]*19%</f>
        <v>0</v>
      </c>
      <c r="S358" s="10">
        <f>Tabla2456789[[#This Row],[IVA VENTA ]]-Tabla2456789[[#This Row],[IV COMPRA]]</f>
        <v>0</v>
      </c>
      <c r="T358" s="10">
        <f>(Tabla2456789[[#This Row],[VENTA ]]-(Tabla2456789[[#This Row],[MONTO DE COMPRA]]+Tabla2456789[[#This Row],[DIFERENCIA IVA ]]))</f>
        <v>0</v>
      </c>
      <c r="V358" s="17"/>
    </row>
    <row r="359" spans="1:22" s="15" customFormat="1" ht="20.100000000000001" customHeight="1" x14ac:dyDescent="0.25">
      <c r="A359" s="13"/>
      <c r="B359" s="14"/>
      <c r="C359" s="14"/>
      <c r="D359" s="14"/>
      <c r="G359" s="14"/>
      <c r="H359" s="16"/>
      <c r="J359" s="20">
        <f>IF(G:G="FRENOS",(Tabla2456789[[#This Row],[TOTAL FACTURA]]*0.8),(Tabla2456789[[#This Row],[TOTAL FACTURA]]*0.5))</f>
        <v>0</v>
      </c>
      <c r="K359" s="9" t="e">
        <f>#REF!-J359</f>
        <v>#REF!</v>
      </c>
      <c r="L359" s="4"/>
      <c r="M359" s="10"/>
      <c r="N359" s="10">
        <f>Tabla2456789[[#This Row],[MONTO DE COMPRA]]/1.19</f>
        <v>0</v>
      </c>
      <c r="O359" s="10">
        <f>Tabla2456789[[#This Row],[Columna1]]*19%</f>
        <v>0</v>
      </c>
      <c r="P359" s="10"/>
      <c r="Q359" s="10">
        <f>Tabla2456789[[#This Row],[VENTA ]]/1.19</f>
        <v>0</v>
      </c>
      <c r="R359" s="10">
        <f>Tabla2456789[[#This Row],[Columna2]]*19%</f>
        <v>0</v>
      </c>
      <c r="S359" s="10">
        <f>Tabla2456789[[#This Row],[IVA VENTA ]]-Tabla2456789[[#This Row],[IV COMPRA]]</f>
        <v>0</v>
      </c>
      <c r="T359" s="10">
        <f>(Tabla2456789[[#This Row],[VENTA ]]-(Tabla2456789[[#This Row],[MONTO DE COMPRA]]+Tabla2456789[[#This Row],[DIFERENCIA IVA ]]))</f>
        <v>0</v>
      </c>
      <c r="V359" s="17"/>
    </row>
    <row r="360" spans="1:22" s="15" customFormat="1" ht="20.100000000000001" customHeight="1" x14ac:dyDescent="0.25">
      <c r="A360" s="13"/>
      <c r="B360" s="14"/>
      <c r="C360" s="14"/>
      <c r="D360" s="14"/>
      <c r="G360" s="14"/>
      <c r="H360" s="16"/>
      <c r="J360" s="20">
        <f>IF(G:G="FRENOS",(Tabla2456789[[#This Row],[TOTAL FACTURA]]*0.8),(Tabla2456789[[#This Row],[TOTAL FACTURA]]*0.5))</f>
        <v>0</v>
      </c>
      <c r="K360" s="9" t="e">
        <f>#REF!-J360</f>
        <v>#REF!</v>
      </c>
      <c r="L360" s="4"/>
      <c r="M360" s="10"/>
      <c r="N360" s="10">
        <f>Tabla2456789[[#This Row],[MONTO DE COMPRA]]/1.19</f>
        <v>0</v>
      </c>
      <c r="O360" s="10">
        <f>Tabla2456789[[#This Row],[Columna1]]*19%</f>
        <v>0</v>
      </c>
      <c r="P360" s="10"/>
      <c r="Q360" s="10">
        <f>Tabla2456789[[#This Row],[VENTA ]]/1.19</f>
        <v>0</v>
      </c>
      <c r="R360" s="10">
        <f>Tabla2456789[[#This Row],[Columna2]]*19%</f>
        <v>0</v>
      </c>
      <c r="S360" s="10">
        <f>Tabla2456789[[#This Row],[IVA VENTA ]]-Tabla2456789[[#This Row],[IV COMPRA]]</f>
        <v>0</v>
      </c>
      <c r="T360" s="10">
        <f>(Tabla2456789[[#This Row],[VENTA ]]-(Tabla2456789[[#This Row],[MONTO DE COMPRA]]+Tabla2456789[[#This Row],[DIFERENCIA IVA ]]))</f>
        <v>0</v>
      </c>
      <c r="V360" s="17"/>
    </row>
    <row r="361" spans="1:22" s="15" customFormat="1" ht="20.100000000000001" customHeight="1" x14ac:dyDescent="0.25">
      <c r="A361" s="13"/>
      <c r="B361" s="14"/>
      <c r="C361" s="14"/>
      <c r="D361" s="14"/>
      <c r="G361" s="14"/>
      <c r="H361" s="16"/>
      <c r="J361" s="20">
        <f>IF(G:G="FRENOS",(Tabla2456789[[#This Row],[TOTAL FACTURA]]*0.8),(Tabla2456789[[#This Row],[TOTAL FACTURA]]*0.5))</f>
        <v>0</v>
      </c>
      <c r="K361" s="9" t="e">
        <f>#REF!-J361</f>
        <v>#REF!</v>
      </c>
      <c r="L361" s="4"/>
      <c r="M361" s="10"/>
      <c r="N361" s="10">
        <f>Tabla2456789[[#This Row],[MONTO DE COMPRA]]/1.19</f>
        <v>0</v>
      </c>
      <c r="O361" s="10">
        <f>Tabla2456789[[#This Row],[Columna1]]*19%</f>
        <v>0</v>
      </c>
      <c r="P361" s="10"/>
      <c r="Q361" s="10">
        <f>Tabla2456789[[#This Row],[VENTA ]]/1.19</f>
        <v>0</v>
      </c>
      <c r="R361" s="10">
        <f>Tabla2456789[[#This Row],[Columna2]]*19%</f>
        <v>0</v>
      </c>
      <c r="S361" s="10">
        <f>Tabla2456789[[#This Row],[IVA VENTA ]]-Tabla2456789[[#This Row],[IV COMPRA]]</f>
        <v>0</v>
      </c>
      <c r="T361" s="10">
        <f>(Tabla2456789[[#This Row],[VENTA ]]-(Tabla2456789[[#This Row],[MONTO DE COMPRA]]+Tabla2456789[[#This Row],[DIFERENCIA IVA ]]))</f>
        <v>0</v>
      </c>
      <c r="V361" s="17"/>
    </row>
    <row r="362" spans="1:22" s="15" customFormat="1" ht="20.100000000000001" customHeight="1" x14ac:dyDescent="0.25">
      <c r="A362" s="13"/>
      <c r="B362" s="14"/>
      <c r="C362" s="14"/>
      <c r="D362" s="14"/>
      <c r="G362" s="14"/>
      <c r="H362" s="16"/>
      <c r="J362" s="20">
        <f>IF(G:G="FRENOS",(Tabla2456789[[#This Row],[TOTAL FACTURA]]*0.8),(Tabla2456789[[#This Row],[TOTAL FACTURA]]*0.5))</f>
        <v>0</v>
      </c>
      <c r="K362" s="9" t="e">
        <f>#REF!-J362</f>
        <v>#REF!</v>
      </c>
      <c r="L362" s="4"/>
      <c r="M362" s="10"/>
      <c r="N362" s="10">
        <f>Tabla2456789[[#This Row],[MONTO DE COMPRA]]/1.19</f>
        <v>0</v>
      </c>
      <c r="O362" s="10">
        <f>Tabla2456789[[#This Row],[Columna1]]*19%</f>
        <v>0</v>
      </c>
      <c r="P362" s="10"/>
      <c r="Q362" s="10">
        <f>Tabla2456789[[#This Row],[VENTA ]]/1.19</f>
        <v>0</v>
      </c>
      <c r="R362" s="10">
        <f>Tabla2456789[[#This Row],[Columna2]]*19%</f>
        <v>0</v>
      </c>
      <c r="S362" s="10">
        <f>Tabla2456789[[#This Row],[IVA VENTA ]]-Tabla2456789[[#This Row],[IV COMPRA]]</f>
        <v>0</v>
      </c>
      <c r="T362" s="10">
        <f>(Tabla2456789[[#This Row],[VENTA ]]-(Tabla2456789[[#This Row],[MONTO DE COMPRA]]+Tabla2456789[[#This Row],[DIFERENCIA IVA ]]))</f>
        <v>0</v>
      </c>
      <c r="V362" s="17"/>
    </row>
    <row r="363" spans="1:22" s="15" customFormat="1" ht="20.100000000000001" customHeight="1" x14ac:dyDescent="0.25">
      <c r="A363" s="13"/>
      <c r="B363" s="14"/>
      <c r="C363" s="14"/>
      <c r="D363" s="14"/>
      <c r="G363" s="14"/>
      <c r="H363" s="16"/>
      <c r="J363" s="20">
        <f>IF(G:G="FRENOS",(Tabla2456789[[#This Row],[TOTAL FACTURA]]*0.8),(Tabla2456789[[#This Row],[TOTAL FACTURA]]*0.5))</f>
        <v>0</v>
      </c>
      <c r="K363" s="9" t="e">
        <f>#REF!-J363</f>
        <v>#REF!</v>
      </c>
      <c r="L363" s="4"/>
      <c r="M363" s="10"/>
      <c r="N363" s="10">
        <f>Tabla2456789[[#This Row],[MONTO DE COMPRA]]/1.19</f>
        <v>0</v>
      </c>
      <c r="O363" s="10">
        <f>Tabla2456789[[#This Row],[Columna1]]*19%</f>
        <v>0</v>
      </c>
      <c r="P363" s="10"/>
      <c r="Q363" s="10">
        <f>Tabla2456789[[#This Row],[VENTA ]]/1.19</f>
        <v>0</v>
      </c>
      <c r="R363" s="10">
        <f>Tabla2456789[[#This Row],[Columna2]]*19%</f>
        <v>0</v>
      </c>
      <c r="S363" s="10">
        <f>Tabla2456789[[#This Row],[IVA VENTA ]]-Tabla2456789[[#This Row],[IV COMPRA]]</f>
        <v>0</v>
      </c>
      <c r="T363" s="10">
        <f>(Tabla2456789[[#This Row],[VENTA ]]-(Tabla2456789[[#This Row],[MONTO DE COMPRA]]+Tabla2456789[[#This Row],[DIFERENCIA IVA ]]))</f>
        <v>0</v>
      </c>
      <c r="V363" s="17"/>
    </row>
    <row r="364" spans="1:22" s="15" customFormat="1" ht="20.100000000000001" customHeight="1" x14ac:dyDescent="0.25">
      <c r="A364" s="13"/>
      <c r="B364" s="14"/>
      <c r="C364" s="14"/>
      <c r="D364" s="14"/>
      <c r="G364" s="14"/>
      <c r="H364" s="16"/>
      <c r="J364" s="20">
        <f>IF(G:G="FRENOS",(Tabla2456789[[#This Row],[TOTAL FACTURA]]*0.8),(Tabla2456789[[#This Row],[TOTAL FACTURA]]*0.5))</f>
        <v>0</v>
      </c>
      <c r="K364" s="9" t="e">
        <f>#REF!-J364</f>
        <v>#REF!</v>
      </c>
      <c r="L364" s="4"/>
      <c r="M364" s="10"/>
      <c r="N364" s="10">
        <f>Tabla2456789[[#This Row],[MONTO DE COMPRA]]/1.19</f>
        <v>0</v>
      </c>
      <c r="O364" s="10">
        <f>Tabla2456789[[#This Row],[Columna1]]*19%</f>
        <v>0</v>
      </c>
      <c r="P364" s="10"/>
      <c r="Q364" s="10">
        <f>Tabla2456789[[#This Row],[VENTA ]]/1.19</f>
        <v>0</v>
      </c>
      <c r="R364" s="10">
        <f>Tabla2456789[[#This Row],[Columna2]]*19%</f>
        <v>0</v>
      </c>
      <c r="S364" s="10">
        <f>Tabla2456789[[#This Row],[IVA VENTA ]]-Tabla2456789[[#This Row],[IV COMPRA]]</f>
        <v>0</v>
      </c>
      <c r="T364" s="10">
        <f>(Tabla2456789[[#This Row],[VENTA ]]-(Tabla2456789[[#This Row],[MONTO DE COMPRA]]+Tabla2456789[[#This Row],[DIFERENCIA IVA ]]))</f>
        <v>0</v>
      </c>
      <c r="V364" s="17"/>
    </row>
    <row r="365" spans="1:22" s="15" customFormat="1" ht="20.100000000000001" customHeight="1" x14ac:dyDescent="0.25">
      <c r="A365" s="13"/>
      <c r="B365" s="14"/>
      <c r="C365" s="14"/>
      <c r="D365" s="14"/>
      <c r="G365" s="14"/>
      <c r="H365" s="16"/>
      <c r="J365" s="20">
        <f>IF(G:G="FRENOS",(Tabla2456789[[#This Row],[TOTAL FACTURA]]*0.8),(Tabla2456789[[#This Row],[TOTAL FACTURA]]*0.5))</f>
        <v>0</v>
      </c>
      <c r="K365" s="9" t="e">
        <f>#REF!-J365</f>
        <v>#REF!</v>
      </c>
      <c r="L365" s="4"/>
      <c r="M365" s="10"/>
      <c r="N365" s="10">
        <f>Tabla2456789[[#This Row],[MONTO DE COMPRA]]/1.19</f>
        <v>0</v>
      </c>
      <c r="O365" s="10">
        <f>Tabla2456789[[#This Row],[Columna1]]*19%</f>
        <v>0</v>
      </c>
      <c r="P365" s="10"/>
      <c r="Q365" s="10">
        <f>Tabla2456789[[#This Row],[VENTA ]]/1.19</f>
        <v>0</v>
      </c>
      <c r="R365" s="10">
        <f>Tabla2456789[[#This Row],[Columna2]]*19%</f>
        <v>0</v>
      </c>
      <c r="S365" s="10">
        <f>Tabla2456789[[#This Row],[IVA VENTA ]]-Tabla2456789[[#This Row],[IV COMPRA]]</f>
        <v>0</v>
      </c>
      <c r="T365" s="10">
        <f>(Tabla2456789[[#This Row],[VENTA ]]-(Tabla2456789[[#This Row],[MONTO DE COMPRA]]+Tabla2456789[[#This Row],[DIFERENCIA IVA ]]))</f>
        <v>0</v>
      </c>
      <c r="V365" s="17"/>
    </row>
    <row r="366" spans="1:22" s="15" customFormat="1" ht="20.100000000000001" customHeight="1" x14ac:dyDescent="0.25">
      <c r="A366" s="13"/>
      <c r="B366" s="14"/>
      <c r="C366" s="14"/>
      <c r="D366" s="14"/>
      <c r="G366" s="14"/>
      <c r="H366" s="16"/>
      <c r="J366" s="20">
        <f>IF(G:G="FRENOS",(Tabla2456789[[#This Row],[TOTAL FACTURA]]*0.8),(Tabla2456789[[#This Row],[TOTAL FACTURA]]*0.5))</f>
        <v>0</v>
      </c>
      <c r="K366" s="9" t="e">
        <f>#REF!-J366</f>
        <v>#REF!</v>
      </c>
      <c r="L366" s="4"/>
      <c r="M366" s="10"/>
      <c r="N366" s="10">
        <f>Tabla2456789[[#This Row],[MONTO DE COMPRA]]/1.19</f>
        <v>0</v>
      </c>
      <c r="O366" s="10">
        <f>Tabla2456789[[#This Row],[Columna1]]*19%</f>
        <v>0</v>
      </c>
      <c r="P366" s="10"/>
      <c r="Q366" s="10">
        <f>Tabla2456789[[#This Row],[VENTA ]]/1.19</f>
        <v>0</v>
      </c>
      <c r="R366" s="10">
        <f>Tabla2456789[[#This Row],[Columna2]]*19%</f>
        <v>0</v>
      </c>
      <c r="S366" s="10">
        <f>Tabla2456789[[#This Row],[IVA VENTA ]]-Tabla2456789[[#This Row],[IV COMPRA]]</f>
        <v>0</v>
      </c>
      <c r="T366" s="10">
        <f>(Tabla2456789[[#This Row],[VENTA ]]-(Tabla2456789[[#This Row],[MONTO DE COMPRA]]+Tabla2456789[[#This Row],[DIFERENCIA IVA ]]))</f>
        <v>0</v>
      </c>
      <c r="V366" s="17"/>
    </row>
    <row r="367" spans="1:22" s="15" customFormat="1" ht="20.100000000000001" customHeight="1" x14ac:dyDescent="0.25">
      <c r="A367" s="13"/>
      <c r="B367" s="14"/>
      <c r="C367" s="14"/>
      <c r="D367" s="14"/>
      <c r="G367" s="14"/>
      <c r="H367" s="16"/>
      <c r="J367" s="20">
        <f>IF(G:G="FRENOS",(Tabla2456789[[#This Row],[TOTAL FACTURA]]*0.8),(Tabla2456789[[#This Row],[TOTAL FACTURA]]*0.5))</f>
        <v>0</v>
      </c>
      <c r="K367" s="9" t="e">
        <f>#REF!-J367</f>
        <v>#REF!</v>
      </c>
      <c r="L367" s="4"/>
      <c r="M367" s="10"/>
      <c r="N367" s="10">
        <f>Tabla2456789[[#This Row],[MONTO DE COMPRA]]/1.19</f>
        <v>0</v>
      </c>
      <c r="O367" s="10">
        <f>Tabla2456789[[#This Row],[Columna1]]*19%</f>
        <v>0</v>
      </c>
      <c r="P367" s="10"/>
      <c r="Q367" s="10">
        <f>Tabla2456789[[#This Row],[VENTA ]]/1.19</f>
        <v>0</v>
      </c>
      <c r="R367" s="10">
        <f>Tabla2456789[[#This Row],[Columna2]]*19%</f>
        <v>0</v>
      </c>
      <c r="S367" s="10">
        <f>Tabla2456789[[#This Row],[IVA VENTA ]]-Tabla2456789[[#This Row],[IV COMPRA]]</f>
        <v>0</v>
      </c>
      <c r="T367" s="10">
        <f>(Tabla2456789[[#This Row],[VENTA ]]-(Tabla2456789[[#This Row],[MONTO DE COMPRA]]+Tabla2456789[[#This Row],[DIFERENCIA IVA ]]))</f>
        <v>0</v>
      </c>
      <c r="V367" s="17"/>
    </row>
    <row r="368" spans="1:22" s="15" customFormat="1" ht="20.100000000000001" customHeight="1" x14ac:dyDescent="0.25">
      <c r="A368" s="13"/>
      <c r="B368" s="14"/>
      <c r="C368" s="14"/>
      <c r="D368" s="14"/>
      <c r="G368" s="14"/>
      <c r="H368" s="16"/>
      <c r="J368" s="20">
        <f>IF(G:G="FRENOS",(Tabla2456789[[#This Row],[TOTAL FACTURA]]*0.8),(Tabla2456789[[#This Row],[TOTAL FACTURA]]*0.5))</f>
        <v>0</v>
      </c>
      <c r="K368" s="9" t="e">
        <f>#REF!-J368</f>
        <v>#REF!</v>
      </c>
      <c r="L368" s="4"/>
      <c r="M368" s="10"/>
      <c r="N368" s="10">
        <f>Tabla2456789[[#This Row],[MONTO DE COMPRA]]/1.19</f>
        <v>0</v>
      </c>
      <c r="O368" s="10">
        <f>Tabla2456789[[#This Row],[Columna1]]*19%</f>
        <v>0</v>
      </c>
      <c r="P368" s="10"/>
      <c r="Q368" s="10">
        <f>Tabla2456789[[#This Row],[VENTA ]]/1.19</f>
        <v>0</v>
      </c>
      <c r="R368" s="10">
        <f>Tabla2456789[[#This Row],[Columna2]]*19%</f>
        <v>0</v>
      </c>
      <c r="S368" s="10">
        <f>Tabla2456789[[#This Row],[IVA VENTA ]]-Tabla2456789[[#This Row],[IV COMPRA]]</f>
        <v>0</v>
      </c>
      <c r="T368" s="10">
        <f>(Tabla2456789[[#This Row],[VENTA ]]-(Tabla2456789[[#This Row],[MONTO DE COMPRA]]+Tabla2456789[[#This Row],[DIFERENCIA IVA ]]))</f>
        <v>0</v>
      </c>
      <c r="V368" s="17"/>
    </row>
    <row r="369" spans="1:22" s="15" customFormat="1" ht="20.100000000000001" customHeight="1" x14ac:dyDescent="0.25">
      <c r="A369" s="13"/>
      <c r="B369" s="14"/>
      <c r="C369" s="14"/>
      <c r="D369" s="14"/>
      <c r="G369" s="14"/>
      <c r="H369" s="16"/>
      <c r="J369" s="20">
        <f>IF(G:G="FRENOS",(Tabla2456789[[#This Row],[TOTAL FACTURA]]*0.8),(Tabla2456789[[#This Row],[TOTAL FACTURA]]*0.5))</f>
        <v>0</v>
      </c>
      <c r="K369" s="9" t="e">
        <f>#REF!-J369</f>
        <v>#REF!</v>
      </c>
      <c r="L369" s="4"/>
      <c r="M369" s="10"/>
      <c r="N369" s="10">
        <f>Tabla2456789[[#This Row],[MONTO DE COMPRA]]/1.19</f>
        <v>0</v>
      </c>
      <c r="O369" s="10">
        <f>Tabla2456789[[#This Row],[Columna1]]*19%</f>
        <v>0</v>
      </c>
      <c r="P369" s="10"/>
      <c r="Q369" s="10">
        <f>Tabla2456789[[#This Row],[VENTA ]]/1.19</f>
        <v>0</v>
      </c>
      <c r="R369" s="10">
        <f>Tabla2456789[[#This Row],[Columna2]]*19%</f>
        <v>0</v>
      </c>
      <c r="S369" s="10">
        <f>Tabla2456789[[#This Row],[IVA VENTA ]]-Tabla2456789[[#This Row],[IV COMPRA]]</f>
        <v>0</v>
      </c>
      <c r="T369" s="10">
        <f>(Tabla2456789[[#This Row],[VENTA ]]-(Tabla2456789[[#This Row],[MONTO DE COMPRA]]+Tabla2456789[[#This Row],[DIFERENCIA IVA ]]))</f>
        <v>0</v>
      </c>
      <c r="V369" s="17"/>
    </row>
    <row r="370" spans="1:22" s="15" customFormat="1" ht="20.100000000000001" customHeight="1" x14ac:dyDescent="0.25">
      <c r="A370" s="13"/>
      <c r="B370" s="14"/>
      <c r="C370" s="14"/>
      <c r="D370" s="14"/>
      <c r="G370" s="14"/>
      <c r="H370" s="16"/>
      <c r="J370" s="20">
        <f>IF(G:G="FRENOS",(Tabla2456789[[#This Row],[TOTAL FACTURA]]*0.8),(Tabla2456789[[#This Row],[TOTAL FACTURA]]*0.5))</f>
        <v>0</v>
      </c>
      <c r="K370" s="9" t="e">
        <f>#REF!-J370</f>
        <v>#REF!</v>
      </c>
      <c r="L370" s="4"/>
      <c r="M370" s="10"/>
      <c r="N370" s="10">
        <f>Tabla2456789[[#This Row],[MONTO DE COMPRA]]/1.19</f>
        <v>0</v>
      </c>
      <c r="O370" s="10">
        <f>Tabla2456789[[#This Row],[Columna1]]*19%</f>
        <v>0</v>
      </c>
      <c r="P370" s="10"/>
      <c r="Q370" s="10">
        <f>Tabla2456789[[#This Row],[VENTA ]]/1.19</f>
        <v>0</v>
      </c>
      <c r="R370" s="10">
        <f>Tabla2456789[[#This Row],[Columna2]]*19%</f>
        <v>0</v>
      </c>
      <c r="S370" s="10">
        <f>Tabla2456789[[#This Row],[IVA VENTA ]]-Tabla2456789[[#This Row],[IV COMPRA]]</f>
        <v>0</v>
      </c>
      <c r="T370" s="10">
        <f>(Tabla2456789[[#This Row],[VENTA ]]-(Tabla2456789[[#This Row],[MONTO DE COMPRA]]+Tabla2456789[[#This Row],[DIFERENCIA IVA ]]))</f>
        <v>0</v>
      </c>
      <c r="V370" s="17"/>
    </row>
    <row r="371" spans="1:22" s="15" customFormat="1" ht="20.100000000000001" customHeight="1" x14ac:dyDescent="0.25">
      <c r="A371" s="13"/>
      <c r="B371" s="14"/>
      <c r="C371" s="14"/>
      <c r="D371" s="14"/>
      <c r="G371" s="14"/>
      <c r="H371" s="16"/>
      <c r="J371" s="20">
        <f>IF(G:G="FRENOS",(Tabla2456789[[#This Row],[TOTAL FACTURA]]*0.8),(Tabla2456789[[#This Row],[TOTAL FACTURA]]*0.5))</f>
        <v>0</v>
      </c>
      <c r="K371" s="9" t="e">
        <f>#REF!-J371</f>
        <v>#REF!</v>
      </c>
      <c r="L371" s="4"/>
      <c r="M371" s="10"/>
      <c r="N371" s="10">
        <f>Tabla2456789[[#This Row],[MONTO DE COMPRA]]/1.19</f>
        <v>0</v>
      </c>
      <c r="O371" s="10">
        <f>Tabla2456789[[#This Row],[Columna1]]*19%</f>
        <v>0</v>
      </c>
      <c r="P371" s="10"/>
      <c r="Q371" s="10">
        <f>Tabla2456789[[#This Row],[VENTA ]]/1.19</f>
        <v>0</v>
      </c>
      <c r="R371" s="10">
        <f>Tabla2456789[[#This Row],[Columna2]]*19%</f>
        <v>0</v>
      </c>
      <c r="S371" s="10">
        <f>Tabla2456789[[#This Row],[IVA VENTA ]]-Tabla2456789[[#This Row],[IV COMPRA]]</f>
        <v>0</v>
      </c>
      <c r="T371" s="10">
        <f>(Tabla2456789[[#This Row],[VENTA ]]-(Tabla2456789[[#This Row],[MONTO DE COMPRA]]+Tabla2456789[[#This Row],[DIFERENCIA IVA ]]))</f>
        <v>0</v>
      </c>
      <c r="V371" s="17"/>
    </row>
    <row r="372" spans="1:22" s="15" customFormat="1" ht="20.100000000000001" customHeight="1" x14ac:dyDescent="0.25">
      <c r="A372" s="13"/>
      <c r="B372" s="14"/>
      <c r="C372" s="14"/>
      <c r="D372" s="14"/>
      <c r="G372" s="14"/>
      <c r="H372" s="16"/>
      <c r="J372" s="20">
        <f>IF(G:G="FRENOS",(Tabla2456789[[#This Row],[TOTAL FACTURA]]*0.8),(Tabla2456789[[#This Row],[TOTAL FACTURA]]*0.5))</f>
        <v>0</v>
      </c>
      <c r="K372" s="9" t="e">
        <f>#REF!-J372</f>
        <v>#REF!</v>
      </c>
      <c r="L372" s="4"/>
      <c r="M372" s="10"/>
      <c r="N372" s="10">
        <f>Tabla2456789[[#This Row],[MONTO DE COMPRA]]/1.19</f>
        <v>0</v>
      </c>
      <c r="O372" s="10">
        <f>Tabla2456789[[#This Row],[Columna1]]*19%</f>
        <v>0</v>
      </c>
      <c r="P372" s="10"/>
      <c r="Q372" s="10">
        <f>Tabla2456789[[#This Row],[VENTA ]]/1.19</f>
        <v>0</v>
      </c>
      <c r="R372" s="10">
        <f>Tabla2456789[[#This Row],[Columna2]]*19%</f>
        <v>0</v>
      </c>
      <c r="S372" s="10">
        <f>Tabla2456789[[#This Row],[IVA VENTA ]]-Tabla2456789[[#This Row],[IV COMPRA]]</f>
        <v>0</v>
      </c>
      <c r="T372" s="10">
        <f>(Tabla2456789[[#This Row],[VENTA ]]-(Tabla2456789[[#This Row],[MONTO DE COMPRA]]+Tabla2456789[[#This Row],[DIFERENCIA IVA ]]))</f>
        <v>0</v>
      </c>
      <c r="V372" s="17"/>
    </row>
    <row r="373" spans="1:22" s="15" customFormat="1" ht="20.100000000000001" customHeight="1" x14ac:dyDescent="0.25">
      <c r="A373" s="13"/>
      <c r="B373" s="14"/>
      <c r="C373" s="14"/>
      <c r="D373" s="14"/>
      <c r="G373" s="14"/>
      <c r="H373" s="16"/>
      <c r="J373" s="20">
        <f>IF(G:G="FRENOS",(Tabla2456789[[#This Row],[TOTAL FACTURA]]*0.8),(Tabla2456789[[#This Row],[TOTAL FACTURA]]*0.5))</f>
        <v>0</v>
      </c>
      <c r="K373" s="9" t="e">
        <f>#REF!-J373</f>
        <v>#REF!</v>
      </c>
      <c r="L373" s="4"/>
      <c r="M373" s="10"/>
      <c r="N373" s="10">
        <f>Tabla2456789[[#This Row],[MONTO DE COMPRA]]/1.19</f>
        <v>0</v>
      </c>
      <c r="O373" s="10">
        <f>Tabla2456789[[#This Row],[Columna1]]*19%</f>
        <v>0</v>
      </c>
      <c r="P373" s="10"/>
      <c r="Q373" s="10">
        <f>Tabla2456789[[#This Row],[VENTA ]]/1.19</f>
        <v>0</v>
      </c>
      <c r="R373" s="10">
        <f>Tabla2456789[[#This Row],[Columna2]]*19%</f>
        <v>0</v>
      </c>
      <c r="S373" s="10">
        <f>Tabla2456789[[#This Row],[IVA VENTA ]]-Tabla2456789[[#This Row],[IV COMPRA]]</f>
        <v>0</v>
      </c>
      <c r="T373" s="10">
        <f>(Tabla2456789[[#This Row],[VENTA ]]-(Tabla2456789[[#This Row],[MONTO DE COMPRA]]+Tabla2456789[[#This Row],[DIFERENCIA IVA ]]))</f>
        <v>0</v>
      </c>
      <c r="V373" s="17"/>
    </row>
    <row r="374" spans="1:22" s="15" customFormat="1" ht="20.100000000000001" customHeight="1" x14ac:dyDescent="0.25">
      <c r="A374" s="13"/>
      <c r="B374" s="14"/>
      <c r="C374" s="14"/>
      <c r="G374" s="14"/>
      <c r="H374" s="16"/>
      <c r="J374" s="20">
        <f>IF(G:G="FRENOS",(Tabla2456789[[#This Row],[TOTAL FACTURA]]*0.8),(Tabla2456789[[#This Row],[TOTAL FACTURA]]*0.5))</f>
        <v>0</v>
      </c>
      <c r="K374" s="9" t="e">
        <f>#REF!-J374</f>
        <v>#REF!</v>
      </c>
      <c r="L374" s="4"/>
      <c r="M374" s="10"/>
      <c r="N374" s="10">
        <f>Tabla2456789[[#This Row],[MONTO DE COMPRA]]/1.19</f>
        <v>0</v>
      </c>
      <c r="O374" s="10">
        <f>Tabla2456789[[#This Row],[Columna1]]*19%</f>
        <v>0</v>
      </c>
      <c r="P374" s="10"/>
      <c r="Q374" s="10">
        <f>Tabla2456789[[#This Row],[VENTA ]]/1.19</f>
        <v>0</v>
      </c>
      <c r="R374" s="10">
        <f>Tabla2456789[[#This Row],[Columna2]]*19%</f>
        <v>0</v>
      </c>
      <c r="S374" s="10">
        <f>Tabla2456789[[#This Row],[IVA VENTA ]]-Tabla2456789[[#This Row],[IV COMPRA]]</f>
        <v>0</v>
      </c>
      <c r="T374" s="10">
        <f>(Tabla2456789[[#This Row],[VENTA ]]-(Tabla2456789[[#This Row],[MONTO DE COMPRA]]+Tabla2456789[[#This Row],[DIFERENCIA IVA ]]))</f>
        <v>0</v>
      </c>
      <c r="V374" s="17"/>
    </row>
    <row r="375" spans="1:22" s="15" customFormat="1" ht="20.100000000000001" customHeight="1" x14ac:dyDescent="0.25">
      <c r="A375" s="13"/>
      <c r="B375" s="14"/>
      <c r="C375" s="14"/>
      <c r="D375" s="14"/>
      <c r="G375" s="14"/>
      <c r="H375" s="16"/>
      <c r="J375" s="20">
        <f>IF(G:G="FRENOS",(Tabla2456789[[#This Row],[TOTAL FACTURA]]*0.8),(Tabla2456789[[#This Row],[TOTAL FACTURA]]*0.5))</f>
        <v>0</v>
      </c>
      <c r="K375" s="9" t="e">
        <f>#REF!-J375</f>
        <v>#REF!</v>
      </c>
      <c r="L375" s="4"/>
      <c r="M375" s="10"/>
      <c r="N375" s="10">
        <f>Tabla2456789[[#This Row],[MONTO DE COMPRA]]/1.19</f>
        <v>0</v>
      </c>
      <c r="O375" s="10">
        <f>Tabla2456789[[#This Row],[Columna1]]*19%</f>
        <v>0</v>
      </c>
      <c r="P375" s="10"/>
      <c r="Q375" s="10">
        <f>Tabla2456789[[#This Row],[VENTA ]]/1.19</f>
        <v>0</v>
      </c>
      <c r="R375" s="10">
        <f>Tabla2456789[[#This Row],[Columna2]]*19%</f>
        <v>0</v>
      </c>
      <c r="S375" s="10">
        <f>Tabla2456789[[#This Row],[IVA VENTA ]]-Tabla2456789[[#This Row],[IV COMPRA]]</f>
        <v>0</v>
      </c>
      <c r="T375" s="10">
        <f>(Tabla2456789[[#This Row],[VENTA ]]-(Tabla2456789[[#This Row],[MONTO DE COMPRA]]+Tabla2456789[[#This Row],[DIFERENCIA IVA ]]))</f>
        <v>0</v>
      </c>
      <c r="V375" s="17"/>
    </row>
    <row r="376" spans="1:22" s="15" customFormat="1" ht="20.100000000000001" customHeight="1" x14ac:dyDescent="0.25">
      <c r="A376" s="13"/>
      <c r="B376" s="14"/>
      <c r="C376" s="14"/>
      <c r="D376" s="14"/>
      <c r="G376" s="14"/>
      <c r="H376" s="16"/>
      <c r="J376" s="20">
        <f>IF(G:G="FRENOS",(Tabla2456789[[#This Row],[TOTAL FACTURA]]*0.8),(Tabla2456789[[#This Row],[TOTAL FACTURA]]*0.5))</f>
        <v>0</v>
      </c>
      <c r="K376" s="9" t="e">
        <f>#REF!-J376</f>
        <v>#REF!</v>
      </c>
      <c r="L376" s="4"/>
      <c r="M376" s="10"/>
      <c r="N376" s="10">
        <f>Tabla2456789[[#This Row],[MONTO DE COMPRA]]/1.19</f>
        <v>0</v>
      </c>
      <c r="O376" s="10">
        <f>Tabla2456789[[#This Row],[Columna1]]*19%</f>
        <v>0</v>
      </c>
      <c r="P376" s="10"/>
      <c r="Q376" s="10">
        <f>Tabla2456789[[#This Row],[VENTA ]]/1.19</f>
        <v>0</v>
      </c>
      <c r="R376" s="10">
        <f>Tabla2456789[[#This Row],[Columna2]]*19%</f>
        <v>0</v>
      </c>
      <c r="S376" s="10">
        <f>Tabla2456789[[#This Row],[IVA VENTA ]]-Tabla2456789[[#This Row],[IV COMPRA]]</f>
        <v>0</v>
      </c>
      <c r="T376" s="10">
        <f>(Tabla2456789[[#This Row],[VENTA ]]-(Tabla2456789[[#This Row],[MONTO DE COMPRA]]+Tabla2456789[[#This Row],[DIFERENCIA IVA ]]))</f>
        <v>0</v>
      </c>
      <c r="V376" s="17"/>
    </row>
    <row r="377" spans="1:22" s="15" customFormat="1" ht="20.100000000000001" customHeight="1" x14ac:dyDescent="0.25">
      <c r="A377" s="13"/>
      <c r="B377" s="14"/>
      <c r="C377" s="14"/>
      <c r="D377" s="14"/>
      <c r="G377" s="14"/>
      <c r="H377" s="16"/>
      <c r="J377" s="20">
        <f>IF(G:G="FRENOS",(Tabla2456789[[#This Row],[TOTAL FACTURA]]*0.8),(Tabla2456789[[#This Row],[TOTAL FACTURA]]*0.5))</f>
        <v>0</v>
      </c>
      <c r="K377" s="9" t="e">
        <f>#REF!-J377</f>
        <v>#REF!</v>
      </c>
      <c r="L377" s="4"/>
      <c r="M377" s="10"/>
      <c r="N377" s="10">
        <f>Tabla2456789[[#This Row],[MONTO DE COMPRA]]/1.19</f>
        <v>0</v>
      </c>
      <c r="O377" s="10">
        <f>Tabla2456789[[#This Row],[Columna1]]*19%</f>
        <v>0</v>
      </c>
      <c r="P377" s="10"/>
      <c r="Q377" s="10">
        <f>Tabla2456789[[#This Row],[VENTA ]]/1.19</f>
        <v>0</v>
      </c>
      <c r="R377" s="10">
        <f>Tabla2456789[[#This Row],[Columna2]]*19%</f>
        <v>0</v>
      </c>
      <c r="S377" s="10">
        <f>Tabla2456789[[#This Row],[IVA VENTA ]]-Tabla2456789[[#This Row],[IV COMPRA]]</f>
        <v>0</v>
      </c>
      <c r="T377" s="10">
        <f>(Tabla2456789[[#This Row],[VENTA ]]-(Tabla2456789[[#This Row],[MONTO DE COMPRA]]+Tabla2456789[[#This Row],[DIFERENCIA IVA ]]))</f>
        <v>0</v>
      </c>
      <c r="V377" s="17"/>
    </row>
    <row r="378" spans="1:22" s="15" customFormat="1" ht="20.100000000000001" customHeight="1" x14ac:dyDescent="0.25">
      <c r="A378" s="13"/>
      <c r="B378" s="14"/>
      <c r="C378" s="14"/>
      <c r="D378" s="14"/>
      <c r="G378" s="14"/>
      <c r="H378" s="16"/>
      <c r="J378" s="20">
        <f>IF(G:G="FRENOS",(Tabla2456789[[#This Row],[TOTAL FACTURA]]*0.8),(Tabla2456789[[#This Row],[TOTAL FACTURA]]*0.5))</f>
        <v>0</v>
      </c>
      <c r="K378" s="9" t="e">
        <f>#REF!-J378</f>
        <v>#REF!</v>
      </c>
      <c r="L378" s="4"/>
      <c r="M378" s="10"/>
      <c r="N378" s="10">
        <f>Tabla2456789[[#This Row],[MONTO DE COMPRA]]/1.19</f>
        <v>0</v>
      </c>
      <c r="O378" s="10">
        <f>Tabla2456789[[#This Row],[Columna1]]*19%</f>
        <v>0</v>
      </c>
      <c r="P378" s="10"/>
      <c r="Q378" s="10">
        <f>Tabla2456789[[#This Row],[VENTA ]]/1.19</f>
        <v>0</v>
      </c>
      <c r="R378" s="10">
        <f>Tabla2456789[[#This Row],[Columna2]]*19%</f>
        <v>0</v>
      </c>
      <c r="S378" s="10">
        <f>Tabla2456789[[#This Row],[IVA VENTA ]]-Tabla2456789[[#This Row],[IV COMPRA]]</f>
        <v>0</v>
      </c>
      <c r="T378" s="10">
        <f>(Tabla2456789[[#This Row],[VENTA ]]-(Tabla2456789[[#This Row],[MONTO DE COMPRA]]+Tabla2456789[[#This Row],[DIFERENCIA IVA ]]))</f>
        <v>0</v>
      </c>
      <c r="V378" s="17"/>
    </row>
    <row r="379" spans="1:22" s="15" customFormat="1" ht="20.100000000000001" customHeight="1" x14ac:dyDescent="0.25">
      <c r="A379" s="13"/>
      <c r="B379" s="14"/>
      <c r="C379" s="14"/>
      <c r="D379" s="14"/>
      <c r="G379" s="14"/>
      <c r="H379" s="16"/>
      <c r="J379" s="20">
        <f>IF(G:G="FRENOS",(Tabla2456789[[#This Row],[TOTAL FACTURA]]*0.8),(Tabla2456789[[#This Row],[TOTAL FACTURA]]*0.5))</f>
        <v>0</v>
      </c>
      <c r="K379" s="9" t="e">
        <f>#REF!-J379</f>
        <v>#REF!</v>
      </c>
      <c r="L379" s="4"/>
      <c r="M379" s="10"/>
      <c r="N379" s="10">
        <f>Tabla2456789[[#This Row],[MONTO DE COMPRA]]/1.19</f>
        <v>0</v>
      </c>
      <c r="O379" s="10">
        <f>Tabla2456789[[#This Row],[Columna1]]*19%</f>
        <v>0</v>
      </c>
      <c r="P379" s="10"/>
      <c r="Q379" s="10">
        <f>Tabla2456789[[#This Row],[VENTA ]]/1.19</f>
        <v>0</v>
      </c>
      <c r="R379" s="10">
        <f>Tabla2456789[[#This Row],[Columna2]]*19%</f>
        <v>0</v>
      </c>
      <c r="S379" s="10">
        <f>Tabla2456789[[#This Row],[IVA VENTA ]]-Tabla2456789[[#This Row],[IV COMPRA]]</f>
        <v>0</v>
      </c>
      <c r="T379" s="10">
        <f>(Tabla2456789[[#This Row],[VENTA ]]-(Tabla2456789[[#This Row],[MONTO DE COMPRA]]+Tabla2456789[[#This Row],[DIFERENCIA IVA ]]))</f>
        <v>0</v>
      </c>
      <c r="V379" s="17"/>
    </row>
    <row r="380" spans="1:22" s="15" customFormat="1" ht="20.100000000000001" customHeight="1" x14ac:dyDescent="0.25">
      <c r="A380" s="13"/>
      <c r="B380" s="14"/>
      <c r="C380" s="14"/>
      <c r="D380" s="14"/>
      <c r="G380" s="14"/>
      <c r="H380" s="16"/>
      <c r="J380" s="20">
        <f>IF(G:G="FRENOS",(Tabla2456789[[#This Row],[TOTAL FACTURA]]*0.8),(Tabla2456789[[#This Row],[TOTAL FACTURA]]*0.5))</f>
        <v>0</v>
      </c>
      <c r="K380" s="9" t="e">
        <f>#REF!-J380</f>
        <v>#REF!</v>
      </c>
      <c r="L380" s="4"/>
      <c r="M380" s="10"/>
      <c r="N380" s="10">
        <f>Tabla2456789[[#This Row],[MONTO DE COMPRA]]/1.19</f>
        <v>0</v>
      </c>
      <c r="O380" s="10">
        <f>Tabla2456789[[#This Row],[Columna1]]*19%</f>
        <v>0</v>
      </c>
      <c r="P380" s="10"/>
      <c r="Q380" s="10">
        <f>Tabla2456789[[#This Row],[VENTA ]]/1.19</f>
        <v>0</v>
      </c>
      <c r="R380" s="10">
        <f>Tabla2456789[[#This Row],[Columna2]]*19%</f>
        <v>0</v>
      </c>
      <c r="S380" s="10">
        <f>Tabla2456789[[#This Row],[IVA VENTA ]]-Tabla2456789[[#This Row],[IV COMPRA]]</f>
        <v>0</v>
      </c>
      <c r="T380" s="10">
        <f>(Tabla2456789[[#This Row],[VENTA ]]-(Tabla2456789[[#This Row],[MONTO DE COMPRA]]+Tabla2456789[[#This Row],[DIFERENCIA IVA ]]))</f>
        <v>0</v>
      </c>
      <c r="V380" s="17"/>
    </row>
    <row r="381" spans="1:22" s="15" customFormat="1" ht="20.100000000000001" customHeight="1" x14ac:dyDescent="0.25">
      <c r="A381" s="13"/>
      <c r="B381" s="14"/>
      <c r="C381" s="14"/>
      <c r="D381" s="14"/>
      <c r="G381" s="14"/>
      <c r="H381" s="16"/>
      <c r="J381" s="20">
        <f>IF(G:G="FRENOS",(Tabla2456789[[#This Row],[TOTAL FACTURA]]*0.8),(Tabla2456789[[#This Row],[TOTAL FACTURA]]*0.5))</f>
        <v>0</v>
      </c>
      <c r="K381" s="9" t="e">
        <f>#REF!-J381</f>
        <v>#REF!</v>
      </c>
      <c r="L381" s="4"/>
      <c r="M381" s="10"/>
      <c r="N381" s="10">
        <f>Tabla2456789[[#This Row],[MONTO DE COMPRA]]/1.19</f>
        <v>0</v>
      </c>
      <c r="O381" s="10">
        <f>Tabla2456789[[#This Row],[Columna1]]*19%</f>
        <v>0</v>
      </c>
      <c r="P381" s="10"/>
      <c r="Q381" s="10">
        <f>Tabla2456789[[#This Row],[VENTA ]]/1.19</f>
        <v>0</v>
      </c>
      <c r="R381" s="10">
        <f>Tabla2456789[[#This Row],[Columna2]]*19%</f>
        <v>0</v>
      </c>
      <c r="S381" s="10">
        <f>Tabla2456789[[#This Row],[IVA VENTA ]]-Tabla2456789[[#This Row],[IV COMPRA]]</f>
        <v>0</v>
      </c>
      <c r="T381" s="10">
        <f>(Tabla2456789[[#This Row],[VENTA ]]-(Tabla2456789[[#This Row],[MONTO DE COMPRA]]+Tabla2456789[[#This Row],[DIFERENCIA IVA ]]))</f>
        <v>0</v>
      </c>
      <c r="V381" s="17"/>
    </row>
    <row r="382" spans="1:22" s="15" customFormat="1" ht="20.100000000000001" customHeight="1" x14ac:dyDescent="0.25">
      <c r="A382" s="13"/>
      <c r="B382" s="14"/>
      <c r="C382" s="14"/>
      <c r="D382" s="14"/>
      <c r="G382" s="14"/>
      <c r="H382" s="16"/>
      <c r="J382" s="20">
        <f>IF(G:G="FRENOS",(Tabla2456789[[#This Row],[TOTAL FACTURA]]*0.8),(Tabla2456789[[#This Row],[TOTAL FACTURA]]*0.5))</f>
        <v>0</v>
      </c>
      <c r="K382" s="9" t="e">
        <f>#REF!-J382</f>
        <v>#REF!</v>
      </c>
      <c r="L382" s="4"/>
      <c r="M382" s="10"/>
      <c r="N382" s="10">
        <f>Tabla2456789[[#This Row],[MONTO DE COMPRA]]/1.19</f>
        <v>0</v>
      </c>
      <c r="O382" s="10">
        <f>Tabla2456789[[#This Row],[Columna1]]*19%</f>
        <v>0</v>
      </c>
      <c r="P382" s="10"/>
      <c r="Q382" s="10">
        <f>Tabla2456789[[#This Row],[VENTA ]]/1.19</f>
        <v>0</v>
      </c>
      <c r="R382" s="10">
        <f>Tabla2456789[[#This Row],[Columna2]]*19%</f>
        <v>0</v>
      </c>
      <c r="S382" s="10">
        <f>Tabla2456789[[#This Row],[IVA VENTA ]]-Tabla2456789[[#This Row],[IV COMPRA]]</f>
        <v>0</v>
      </c>
      <c r="T382" s="10">
        <f>(Tabla2456789[[#This Row],[VENTA ]]-(Tabla2456789[[#This Row],[MONTO DE COMPRA]]+Tabla2456789[[#This Row],[DIFERENCIA IVA ]]))</f>
        <v>0</v>
      </c>
      <c r="V382" s="17"/>
    </row>
    <row r="383" spans="1:22" s="15" customFormat="1" ht="20.100000000000001" customHeight="1" x14ac:dyDescent="0.25">
      <c r="A383" s="13"/>
      <c r="B383" s="14"/>
      <c r="C383" s="23"/>
      <c r="D383" s="14"/>
      <c r="G383" s="14"/>
      <c r="H383" s="16"/>
      <c r="J383" s="20">
        <f>IF(G:G="FRENOS",(Tabla2456789[[#This Row],[TOTAL FACTURA]]*0.8),(Tabla2456789[[#This Row],[TOTAL FACTURA]]*0.5))</f>
        <v>0</v>
      </c>
      <c r="K383" s="9" t="e">
        <f>#REF!-J383</f>
        <v>#REF!</v>
      </c>
      <c r="L383" s="4"/>
      <c r="M383" s="10"/>
      <c r="N383" s="10">
        <f>Tabla2456789[[#This Row],[MONTO DE COMPRA]]/1.19</f>
        <v>0</v>
      </c>
      <c r="O383" s="10">
        <f>Tabla2456789[[#This Row],[Columna1]]*19%</f>
        <v>0</v>
      </c>
      <c r="P383" s="10"/>
      <c r="Q383" s="10">
        <f>Tabla2456789[[#This Row],[VENTA ]]/1.19</f>
        <v>0</v>
      </c>
      <c r="R383" s="10">
        <f>Tabla2456789[[#This Row],[Columna2]]*19%</f>
        <v>0</v>
      </c>
      <c r="S383" s="10">
        <f>Tabla2456789[[#This Row],[IVA VENTA ]]-Tabla2456789[[#This Row],[IV COMPRA]]</f>
        <v>0</v>
      </c>
      <c r="T383" s="10">
        <f>(Tabla2456789[[#This Row],[VENTA ]]-(Tabla2456789[[#This Row],[MONTO DE COMPRA]]+Tabla2456789[[#This Row],[DIFERENCIA IVA ]]))</f>
        <v>0</v>
      </c>
      <c r="V383" s="17"/>
    </row>
    <row r="384" spans="1:22" s="15" customFormat="1" ht="20.100000000000001" customHeight="1" x14ac:dyDescent="0.25">
      <c r="A384" s="13"/>
      <c r="B384" s="14"/>
      <c r="C384" s="14"/>
      <c r="D384" s="14"/>
      <c r="G384" s="14"/>
      <c r="H384" s="16"/>
      <c r="J384" s="20">
        <f>IF(G:G="FRENOS",(Tabla2456789[[#This Row],[TOTAL FACTURA]]*0.8),(Tabla2456789[[#This Row],[TOTAL FACTURA]]*0.5))</f>
        <v>0</v>
      </c>
      <c r="K384" s="9" t="e">
        <f>#REF!-J384</f>
        <v>#REF!</v>
      </c>
      <c r="L384" s="4"/>
      <c r="M384" s="10"/>
      <c r="N384" s="10">
        <f>Tabla2456789[[#This Row],[MONTO DE COMPRA]]/1.19</f>
        <v>0</v>
      </c>
      <c r="O384" s="10">
        <f>Tabla2456789[[#This Row],[Columna1]]*19%</f>
        <v>0</v>
      </c>
      <c r="P384" s="10"/>
      <c r="Q384" s="10">
        <f>Tabla2456789[[#This Row],[VENTA ]]/1.19</f>
        <v>0</v>
      </c>
      <c r="R384" s="10">
        <f>Tabla2456789[[#This Row],[Columna2]]*19%</f>
        <v>0</v>
      </c>
      <c r="S384" s="10">
        <f>Tabla2456789[[#This Row],[IVA VENTA ]]-Tabla2456789[[#This Row],[IV COMPRA]]</f>
        <v>0</v>
      </c>
      <c r="T384" s="10">
        <f>(Tabla2456789[[#This Row],[VENTA ]]-(Tabla2456789[[#This Row],[MONTO DE COMPRA]]+Tabla2456789[[#This Row],[DIFERENCIA IVA ]]))</f>
        <v>0</v>
      </c>
      <c r="V384" s="17"/>
    </row>
    <row r="385" spans="1:22" s="15" customFormat="1" ht="20.100000000000001" customHeight="1" x14ac:dyDescent="0.25">
      <c r="A385" s="13"/>
      <c r="B385" s="14"/>
      <c r="C385" s="14"/>
      <c r="D385" s="14"/>
      <c r="G385" s="14"/>
      <c r="H385" s="16"/>
      <c r="J385" s="20">
        <f>IF(G:G="FRENOS",(Tabla2456789[[#This Row],[TOTAL FACTURA]]*0.8),(Tabla2456789[[#This Row],[TOTAL FACTURA]]*0.5))</f>
        <v>0</v>
      </c>
      <c r="K385" s="9" t="e">
        <f>#REF!-J385</f>
        <v>#REF!</v>
      </c>
      <c r="L385" s="4"/>
      <c r="M385" s="10"/>
      <c r="N385" s="10">
        <f>Tabla2456789[[#This Row],[MONTO DE COMPRA]]/1.19</f>
        <v>0</v>
      </c>
      <c r="O385" s="10">
        <f>Tabla2456789[[#This Row],[Columna1]]*19%</f>
        <v>0</v>
      </c>
      <c r="P385" s="10"/>
      <c r="Q385" s="10">
        <f>Tabla2456789[[#This Row],[VENTA ]]/1.19</f>
        <v>0</v>
      </c>
      <c r="R385" s="10">
        <f>Tabla2456789[[#This Row],[Columna2]]*19%</f>
        <v>0</v>
      </c>
      <c r="S385" s="10">
        <f>Tabla2456789[[#This Row],[IVA VENTA ]]-Tabla2456789[[#This Row],[IV COMPRA]]</f>
        <v>0</v>
      </c>
      <c r="T385" s="10">
        <f>(Tabla2456789[[#This Row],[VENTA ]]-(Tabla2456789[[#This Row],[MONTO DE COMPRA]]+Tabla2456789[[#This Row],[DIFERENCIA IVA ]]))</f>
        <v>0</v>
      </c>
      <c r="V385" s="17"/>
    </row>
    <row r="386" spans="1:22" s="15" customFormat="1" ht="20.100000000000001" customHeight="1" x14ac:dyDescent="0.25">
      <c r="A386" s="13"/>
      <c r="B386" s="14"/>
      <c r="C386" s="14"/>
      <c r="D386" s="14"/>
      <c r="G386" s="14"/>
      <c r="H386" s="16"/>
      <c r="J386" s="20">
        <f>IF(G:G="FRENOS",(Tabla2456789[[#This Row],[TOTAL FACTURA]]*0.8),(Tabla2456789[[#This Row],[TOTAL FACTURA]]*0.5))</f>
        <v>0</v>
      </c>
      <c r="K386" s="9" t="e">
        <f>#REF!-J386</f>
        <v>#REF!</v>
      </c>
      <c r="L386" s="4"/>
      <c r="M386" s="10"/>
      <c r="N386" s="10">
        <f>Tabla2456789[[#This Row],[MONTO DE COMPRA]]/1.19</f>
        <v>0</v>
      </c>
      <c r="O386" s="10">
        <f>Tabla2456789[[#This Row],[Columna1]]*19%</f>
        <v>0</v>
      </c>
      <c r="P386" s="10"/>
      <c r="Q386" s="10">
        <f>Tabla2456789[[#This Row],[VENTA ]]/1.19</f>
        <v>0</v>
      </c>
      <c r="R386" s="10">
        <f>Tabla2456789[[#This Row],[Columna2]]*19%</f>
        <v>0</v>
      </c>
      <c r="S386" s="10">
        <f>Tabla2456789[[#This Row],[IVA VENTA ]]-Tabla2456789[[#This Row],[IV COMPRA]]</f>
        <v>0</v>
      </c>
      <c r="T386" s="10">
        <f>(Tabla2456789[[#This Row],[VENTA ]]-(Tabla2456789[[#This Row],[MONTO DE COMPRA]]+Tabla2456789[[#This Row],[DIFERENCIA IVA ]]))</f>
        <v>0</v>
      </c>
      <c r="V386" s="17"/>
    </row>
    <row r="387" spans="1:22" s="15" customFormat="1" ht="20.100000000000001" customHeight="1" x14ac:dyDescent="0.25">
      <c r="A387" s="13"/>
      <c r="B387" s="14"/>
      <c r="C387" s="14"/>
      <c r="D387" s="14"/>
      <c r="G387" s="14"/>
      <c r="H387" s="16"/>
      <c r="J387" s="20">
        <f>IF(G:G="FRENOS",(Tabla2456789[[#This Row],[TOTAL FACTURA]]*0.8),(Tabla2456789[[#This Row],[TOTAL FACTURA]]*0.5))</f>
        <v>0</v>
      </c>
      <c r="K387" s="9" t="e">
        <f>#REF!-J387</f>
        <v>#REF!</v>
      </c>
      <c r="L387" s="4"/>
      <c r="M387" s="10"/>
      <c r="N387" s="10">
        <f>Tabla2456789[[#This Row],[MONTO DE COMPRA]]/1.19</f>
        <v>0</v>
      </c>
      <c r="O387" s="10">
        <f>Tabla2456789[[#This Row],[Columna1]]*19%</f>
        <v>0</v>
      </c>
      <c r="P387" s="10"/>
      <c r="Q387" s="10">
        <f>Tabla2456789[[#This Row],[VENTA ]]/1.19</f>
        <v>0</v>
      </c>
      <c r="R387" s="10">
        <f>Tabla2456789[[#This Row],[Columna2]]*19%</f>
        <v>0</v>
      </c>
      <c r="S387" s="10">
        <f>Tabla2456789[[#This Row],[IVA VENTA ]]-Tabla2456789[[#This Row],[IV COMPRA]]</f>
        <v>0</v>
      </c>
      <c r="T387" s="10">
        <f>(Tabla2456789[[#This Row],[VENTA ]]-(Tabla2456789[[#This Row],[MONTO DE COMPRA]]+Tabla2456789[[#This Row],[DIFERENCIA IVA ]]))</f>
        <v>0</v>
      </c>
      <c r="V387" s="17"/>
    </row>
    <row r="388" spans="1:22" s="15" customFormat="1" ht="20.100000000000001" customHeight="1" x14ac:dyDescent="0.25">
      <c r="A388" s="13"/>
      <c r="B388" s="14"/>
      <c r="C388" s="14"/>
      <c r="D388" s="14"/>
      <c r="G388" s="14"/>
      <c r="H388" s="16"/>
      <c r="J388" s="20">
        <f>IF(G:G="FRENOS",(Tabla2456789[[#This Row],[TOTAL FACTURA]]*0.8),(Tabla2456789[[#This Row],[TOTAL FACTURA]]*0.5))</f>
        <v>0</v>
      </c>
      <c r="K388" s="9" t="e">
        <f>#REF!-J388</f>
        <v>#REF!</v>
      </c>
      <c r="L388" s="4"/>
      <c r="M388" s="10"/>
      <c r="N388" s="10">
        <f>Tabla2456789[[#This Row],[MONTO DE COMPRA]]/1.19</f>
        <v>0</v>
      </c>
      <c r="O388" s="10">
        <f>Tabla2456789[[#This Row],[Columna1]]*19%</f>
        <v>0</v>
      </c>
      <c r="P388" s="10"/>
      <c r="Q388" s="10">
        <f>Tabla2456789[[#This Row],[VENTA ]]/1.19</f>
        <v>0</v>
      </c>
      <c r="R388" s="10">
        <f>Tabla2456789[[#This Row],[Columna2]]*19%</f>
        <v>0</v>
      </c>
      <c r="S388" s="10">
        <f>Tabla2456789[[#This Row],[IVA VENTA ]]-Tabla2456789[[#This Row],[IV COMPRA]]</f>
        <v>0</v>
      </c>
      <c r="T388" s="10">
        <f>(Tabla2456789[[#This Row],[VENTA ]]-(Tabla2456789[[#This Row],[MONTO DE COMPRA]]+Tabla2456789[[#This Row],[DIFERENCIA IVA ]]))</f>
        <v>0</v>
      </c>
      <c r="V388" s="17"/>
    </row>
    <row r="389" spans="1:22" s="15" customFormat="1" ht="20.100000000000001" customHeight="1" x14ac:dyDescent="0.25">
      <c r="A389" s="13"/>
      <c r="B389" s="14"/>
      <c r="C389" s="14"/>
      <c r="D389" s="14"/>
      <c r="G389" s="14"/>
      <c r="H389" s="16"/>
      <c r="J389" s="20">
        <f>IF(G:G="FRENOS",(Tabla2456789[[#This Row],[TOTAL FACTURA]]*0.8),(Tabla2456789[[#This Row],[TOTAL FACTURA]]*0.5))</f>
        <v>0</v>
      </c>
      <c r="K389" s="9" t="e">
        <f>#REF!-J389</f>
        <v>#REF!</v>
      </c>
      <c r="L389" s="4"/>
      <c r="M389" s="10"/>
      <c r="N389" s="10">
        <f>Tabla2456789[[#This Row],[MONTO DE COMPRA]]/1.19</f>
        <v>0</v>
      </c>
      <c r="O389" s="10">
        <f>Tabla2456789[[#This Row],[Columna1]]*19%</f>
        <v>0</v>
      </c>
      <c r="P389" s="10"/>
      <c r="Q389" s="10">
        <f>Tabla2456789[[#This Row],[VENTA ]]/1.19</f>
        <v>0</v>
      </c>
      <c r="R389" s="10">
        <f>Tabla2456789[[#This Row],[Columna2]]*19%</f>
        <v>0</v>
      </c>
      <c r="S389" s="10">
        <f>Tabla2456789[[#This Row],[IVA VENTA ]]-Tabla2456789[[#This Row],[IV COMPRA]]</f>
        <v>0</v>
      </c>
      <c r="T389" s="10">
        <f>(Tabla2456789[[#This Row],[VENTA ]]-(Tabla2456789[[#This Row],[MONTO DE COMPRA]]+Tabla2456789[[#This Row],[DIFERENCIA IVA ]]))</f>
        <v>0</v>
      </c>
      <c r="V389" s="17"/>
    </row>
    <row r="390" spans="1:22" s="15" customFormat="1" ht="20.100000000000001" customHeight="1" x14ac:dyDescent="0.25">
      <c r="A390" s="13"/>
      <c r="B390" s="14"/>
      <c r="C390" s="14"/>
      <c r="D390" s="14"/>
      <c r="G390" s="14"/>
      <c r="H390" s="16"/>
      <c r="J390" s="20">
        <f>IF(G:G="FRENOS",(Tabla2456789[[#This Row],[TOTAL FACTURA]]*0.8),(Tabla2456789[[#This Row],[TOTAL FACTURA]]*0.5))</f>
        <v>0</v>
      </c>
      <c r="K390" s="9" t="e">
        <f>#REF!-J390</f>
        <v>#REF!</v>
      </c>
      <c r="L390" s="4"/>
      <c r="M390" s="10"/>
      <c r="N390" s="10">
        <f>Tabla2456789[[#This Row],[MONTO DE COMPRA]]/1.19</f>
        <v>0</v>
      </c>
      <c r="O390" s="10">
        <f>Tabla2456789[[#This Row],[Columna1]]*19%</f>
        <v>0</v>
      </c>
      <c r="P390" s="10"/>
      <c r="Q390" s="10">
        <f>Tabla2456789[[#This Row],[VENTA ]]/1.19</f>
        <v>0</v>
      </c>
      <c r="R390" s="10">
        <f>Tabla2456789[[#This Row],[Columna2]]*19%</f>
        <v>0</v>
      </c>
      <c r="S390" s="10">
        <f>Tabla2456789[[#This Row],[IVA VENTA ]]-Tabla2456789[[#This Row],[IV COMPRA]]</f>
        <v>0</v>
      </c>
      <c r="T390" s="10">
        <f>(Tabla2456789[[#This Row],[VENTA ]]-(Tabla2456789[[#This Row],[MONTO DE COMPRA]]+Tabla2456789[[#This Row],[DIFERENCIA IVA ]]))</f>
        <v>0</v>
      </c>
      <c r="V390" s="17"/>
    </row>
    <row r="391" spans="1:22" s="15" customFormat="1" ht="20.100000000000001" customHeight="1" x14ac:dyDescent="0.25">
      <c r="A391" s="13"/>
      <c r="B391" s="14"/>
      <c r="C391" s="14"/>
      <c r="D391" s="14"/>
      <c r="G391" s="14"/>
      <c r="H391" s="16"/>
      <c r="J391" s="20">
        <f>IF(G:G="FRENOS",(Tabla2456789[[#This Row],[TOTAL FACTURA]]*0.8),(Tabla2456789[[#This Row],[TOTAL FACTURA]]*0.5))</f>
        <v>0</v>
      </c>
      <c r="K391" s="9" t="e">
        <f>#REF!-J391</f>
        <v>#REF!</v>
      </c>
      <c r="L391" s="4"/>
      <c r="M391" s="10"/>
      <c r="N391" s="10">
        <f>Tabla2456789[[#This Row],[MONTO DE COMPRA]]/1.19</f>
        <v>0</v>
      </c>
      <c r="O391" s="10">
        <f>Tabla2456789[[#This Row],[Columna1]]*19%</f>
        <v>0</v>
      </c>
      <c r="P391" s="10"/>
      <c r="Q391" s="10">
        <f>Tabla2456789[[#This Row],[VENTA ]]/1.19</f>
        <v>0</v>
      </c>
      <c r="R391" s="10">
        <f>Tabla2456789[[#This Row],[Columna2]]*19%</f>
        <v>0</v>
      </c>
      <c r="S391" s="10">
        <f>Tabla2456789[[#This Row],[IVA VENTA ]]-Tabla2456789[[#This Row],[IV COMPRA]]</f>
        <v>0</v>
      </c>
      <c r="T391" s="10">
        <f>(Tabla2456789[[#This Row],[VENTA ]]-(Tabla2456789[[#This Row],[MONTO DE COMPRA]]+Tabla2456789[[#This Row],[DIFERENCIA IVA ]]))</f>
        <v>0</v>
      </c>
      <c r="V391" s="17"/>
    </row>
    <row r="392" spans="1:22" s="15" customFormat="1" ht="20.100000000000001" customHeight="1" x14ac:dyDescent="0.25">
      <c r="A392" s="13"/>
      <c r="B392" s="14"/>
      <c r="C392" s="14"/>
      <c r="D392" s="14"/>
      <c r="G392" s="14"/>
      <c r="H392" s="16"/>
      <c r="J392" s="20">
        <f>IF(G:G="FRENOS",(Tabla2456789[[#This Row],[TOTAL FACTURA]]*0.8),(Tabla2456789[[#This Row],[TOTAL FACTURA]]*0.5))</f>
        <v>0</v>
      </c>
      <c r="K392" s="9" t="e">
        <f>#REF!-J392</f>
        <v>#REF!</v>
      </c>
      <c r="L392" s="4"/>
      <c r="M392" s="10"/>
      <c r="N392" s="10">
        <f>Tabla2456789[[#This Row],[MONTO DE COMPRA]]/1.19</f>
        <v>0</v>
      </c>
      <c r="O392" s="10">
        <f>Tabla2456789[[#This Row],[Columna1]]*19%</f>
        <v>0</v>
      </c>
      <c r="P392" s="10"/>
      <c r="Q392" s="10">
        <f>Tabla2456789[[#This Row],[VENTA ]]/1.19</f>
        <v>0</v>
      </c>
      <c r="R392" s="10">
        <f>Tabla2456789[[#This Row],[Columna2]]*19%</f>
        <v>0</v>
      </c>
      <c r="S392" s="10">
        <f>Tabla2456789[[#This Row],[IVA VENTA ]]-Tabla2456789[[#This Row],[IV COMPRA]]</f>
        <v>0</v>
      </c>
      <c r="T392" s="10">
        <f>(Tabla2456789[[#This Row],[VENTA ]]-(Tabla2456789[[#This Row],[MONTO DE COMPRA]]+Tabla2456789[[#This Row],[DIFERENCIA IVA ]]))</f>
        <v>0</v>
      </c>
      <c r="V392" s="17"/>
    </row>
    <row r="393" spans="1:22" s="15" customFormat="1" ht="20.100000000000001" customHeight="1" x14ac:dyDescent="0.25">
      <c r="A393" s="13"/>
      <c r="B393" s="14"/>
      <c r="C393" s="14"/>
      <c r="D393" s="14"/>
      <c r="G393" s="14"/>
      <c r="H393" s="16"/>
      <c r="J393" s="20">
        <f>IF(G:G="FRENOS",(Tabla2456789[[#This Row],[TOTAL FACTURA]]*0.8),(Tabla2456789[[#This Row],[TOTAL FACTURA]]*0.5))</f>
        <v>0</v>
      </c>
      <c r="K393" s="9" t="e">
        <f>#REF!-J393</f>
        <v>#REF!</v>
      </c>
      <c r="L393" s="4"/>
      <c r="M393" s="10"/>
      <c r="N393" s="10">
        <f>Tabla2456789[[#This Row],[MONTO DE COMPRA]]/1.19</f>
        <v>0</v>
      </c>
      <c r="O393" s="10">
        <f>Tabla2456789[[#This Row],[Columna1]]*19%</f>
        <v>0</v>
      </c>
      <c r="P393" s="10"/>
      <c r="Q393" s="10">
        <f>Tabla2456789[[#This Row],[VENTA ]]/1.19</f>
        <v>0</v>
      </c>
      <c r="R393" s="10">
        <f>Tabla2456789[[#This Row],[Columna2]]*19%</f>
        <v>0</v>
      </c>
      <c r="S393" s="10">
        <f>Tabla2456789[[#This Row],[IVA VENTA ]]-Tabla2456789[[#This Row],[IV COMPRA]]</f>
        <v>0</v>
      </c>
      <c r="T393" s="10">
        <f>(Tabla2456789[[#This Row],[VENTA ]]-(Tabla2456789[[#This Row],[MONTO DE COMPRA]]+Tabla2456789[[#This Row],[DIFERENCIA IVA ]]))</f>
        <v>0</v>
      </c>
      <c r="V393" s="17"/>
    </row>
    <row r="394" spans="1:22" s="15" customFormat="1" ht="20.100000000000001" customHeight="1" x14ac:dyDescent="0.25">
      <c r="A394" s="13"/>
      <c r="B394" s="14"/>
      <c r="C394" s="14"/>
      <c r="D394" s="14"/>
      <c r="G394" s="14"/>
      <c r="H394" s="16"/>
      <c r="J394" s="20">
        <f>IF(G:G="FRENOS",(Tabla2456789[[#This Row],[TOTAL FACTURA]]*0.8),(Tabla2456789[[#This Row],[TOTAL FACTURA]]*0.5))</f>
        <v>0</v>
      </c>
      <c r="K394" s="9" t="e">
        <f>#REF!-J394</f>
        <v>#REF!</v>
      </c>
      <c r="L394" s="4"/>
      <c r="M394" s="10"/>
      <c r="N394" s="10">
        <f>Tabla2456789[[#This Row],[MONTO DE COMPRA]]/1.19</f>
        <v>0</v>
      </c>
      <c r="O394" s="10">
        <f>Tabla2456789[[#This Row],[Columna1]]*19%</f>
        <v>0</v>
      </c>
      <c r="P394" s="10"/>
      <c r="Q394" s="10">
        <f>Tabla2456789[[#This Row],[VENTA ]]/1.19</f>
        <v>0</v>
      </c>
      <c r="R394" s="10">
        <f>Tabla2456789[[#This Row],[Columna2]]*19%</f>
        <v>0</v>
      </c>
      <c r="S394" s="10">
        <f>Tabla2456789[[#This Row],[IVA VENTA ]]-Tabla2456789[[#This Row],[IV COMPRA]]</f>
        <v>0</v>
      </c>
      <c r="T394" s="10">
        <f>(Tabla2456789[[#This Row],[VENTA ]]-(Tabla2456789[[#This Row],[MONTO DE COMPRA]]+Tabla2456789[[#This Row],[DIFERENCIA IVA ]]))</f>
        <v>0</v>
      </c>
      <c r="V394" s="17"/>
    </row>
    <row r="395" spans="1:22" s="15" customFormat="1" ht="20.100000000000001" customHeight="1" x14ac:dyDescent="0.25">
      <c r="A395" s="13"/>
      <c r="B395" s="14"/>
      <c r="C395" s="14"/>
      <c r="D395" s="14"/>
      <c r="G395" s="14"/>
      <c r="H395" s="16"/>
      <c r="J395" s="20">
        <f>IF(G:G="FRENOS",(Tabla2456789[[#This Row],[TOTAL FACTURA]]*0.8),(Tabla2456789[[#This Row],[TOTAL FACTURA]]*0.5))</f>
        <v>0</v>
      </c>
      <c r="K395" s="9" t="e">
        <f>#REF!-J395</f>
        <v>#REF!</v>
      </c>
      <c r="L395" s="4"/>
      <c r="M395" s="10"/>
      <c r="N395" s="10">
        <f>Tabla2456789[[#This Row],[MONTO DE COMPRA]]/1.19</f>
        <v>0</v>
      </c>
      <c r="O395" s="10">
        <f>Tabla2456789[[#This Row],[Columna1]]*19%</f>
        <v>0</v>
      </c>
      <c r="P395" s="10"/>
      <c r="Q395" s="10">
        <f>Tabla2456789[[#This Row],[VENTA ]]/1.19</f>
        <v>0</v>
      </c>
      <c r="R395" s="10">
        <f>Tabla2456789[[#This Row],[Columna2]]*19%</f>
        <v>0</v>
      </c>
      <c r="S395" s="10">
        <f>Tabla2456789[[#This Row],[IVA VENTA ]]-Tabla2456789[[#This Row],[IV COMPRA]]</f>
        <v>0</v>
      </c>
      <c r="T395" s="10">
        <f>(Tabla2456789[[#This Row],[VENTA ]]-(Tabla2456789[[#This Row],[MONTO DE COMPRA]]+Tabla2456789[[#This Row],[DIFERENCIA IVA ]]))</f>
        <v>0</v>
      </c>
      <c r="V395" s="17"/>
    </row>
    <row r="396" spans="1:22" s="15" customFormat="1" ht="20.100000000000001" customHeight="1" x14ac:dyDescent="0.25">
      <c r="A396" s="13"/>
      <c r="B396" s="14"/>
      <c r="C396" s="14"/>
      <c r="D396" s="14"/>
      <c r="G396" s="14"/>
      <c r="H396" s="16"/>
      <c r="J396" s="20">
        <f>IF(G:G="FRENOS",(Tabla2456789[[#This Row],[TOTAL FACTURA]]*0.8),(Tabla2456789[[#This Row],[TOTAL FACTURA]]*0.5))</f>
        <v>0</v>
      </c>
      <c r="K396" s="9" t="e">
        <f>#REF!-J396</f>
        <v>#REF!</v>
      </c>
      <c r="L396" s="4"/>
      <c r="M396" s="10"/>
      <c r="N396" s="10">
        <f>Tabla2456789[[#This Row],[MONTO DE COMPRA]]/1.19</f>
        <v>0</v>
      </c>
      <c r="O396" s="10">
        <f>Tabla2456789[[#This Row],[Columna1]]*19%</f>
        <v>0</v>
      </c>
      <c r="P396" s="10"/>
      <c r="Q396" s="10">
        <f>Tabla2456789[[#This Row],[VENTA ]]/1.19</f>
        <v>0</v>
      </c>
      <c r="R396" s="10">
        <f>Tabla2456789[[#This Row],[Columna2]]*19%</f>
        <v>0</v>
      </c>
      <c r="S396" s="10">
        <f>Tabla2456789[[#This Row],[IVA VENTA ]]-Tabla2456789[[#This Row],[IV COMPRA]]</f>
        <v>0</v>
      </c>
      <c r="T396" s="10">
        <f>(Tabla2456789[[#This Row],[VENTA ]]-(Tabla2456789[[#This Row],[MONTO DE COMPRA]]+Tabla2456789[[#This Row],[DIFERENCIA IVA ]]))</f>
        <v>0</v>
      </c>
      <c r="V396" s="17"/>
    </row>
    <row r="397" spans="1:22" s="15" customFormat="1" ht="20.100000000000001" customHeight="1" x14ac:dyDescent="0.25">
      <c r="A397" s="13"/>
      <c r="B397" s="14"/>
      <c r="C397" s="14"/>
      <c r="D397" s="14"/>
      <c r="G397" s="14"/>
      <c r="H397" s="16"/>
      <c r="J397" s="20">
        <f>IF(G:G="FRENOS",(Tabla2456789[[#This Row],[TOTAL FACTURA]]*0.8),(Tabla2456789[[#This Row],[TOTAL FACTURA]]*0.5))</f>
        <v>0</v>
      </c>
      <c r="K397" s="9" t="e">
        <f>#REF!-J397</f>
        <v>#REF!</v>
      </c>
      <c r="L397" s="4"/>
      <c r="M397" s="10"/>
      <c r="N397" s="10">
        <f>Tabla2456789[[#This Row],[MONTO DE COMPRA]]/1.19</f>
        <v>0</v>
      </c>
      <c r="O397" s="10">
        <f>Tabla2456789[[#This Row],[Columna1]]*19%</f>
        <v>0</v>
      </c>
      <c r="P397" s="10"/>
      <c r="Q397" s="10">
        <f>Tabla2456789[[#This Row],[VENTA ]]/1.19</f>
        <v>0</v>
      </c>
      <c r="R397" s="10">
        <f>Tabla2456789[[#This Row],[Columna2]]*19%</f>
        <v>0</v>
      </c>
      <c r="S397" s="10">
        <f>Tabla2456789[[#This Row],[IVA VENTA ]]-Tabla2456789[[#This Row],[IV COMPRA]]</f>
        <v>0</v>
      </c>
      <c r="T397" s="10">
        <f>(Tabla2456789[[#This Row],[VENTA ]]-(Tabla2456789[[#This Row],[MONTO DE COMPRA]]+Tabla2456789[[#This Row],[DIFERENCIA IVA ]]))</f>
        <v>0</v>
      </c>
      <c r="V397" s="17"/>
    </row>
    <row r="398" spans="1:22" s="15" customFormat="1" ht="20.100000000000001" customHeight="1" x14ac:dyDescent="0.25">
      <c r="A398" s="13"/>
      <c r="B398" s="14"/>
      <c r="C398" s="14"/>
      <c r="D398" s="14"/>
      <c r="G398" s="14"/>
      <c r="H398" s="16"/>
      <c r="J398" s="20">
        <f>IF(G:G="FRENOS",(Tabla2456789[[#This Row],[TOTAL FACTURA]]*0.8),(Tabla2456789[[#This Row],[TOTAL FACTURA]]*0.5))</f>
        <v>0</v>
      </c>
      <c r="K398" s="9" t="e">
        <f>#REF!-J398</f>
        <v>#REF!</v>
      </c>
      <c r="L398" s="4"/>
      <c r="M398" s="10"/>
      <c r="N398" s="10">
        <f>Tabla2456789[[#This Row],[MONTO DE COMPRA]]/1.19</f>
        <v>0</v>
      </c>
      <c r="O398" s="10">
        <f>Tabla2456789[[#This Row],[Columna1]]*19%</f>
        <v>0</v>
      </c>
      <c r="P398" s="10"/>
      <c r="Q398" s="10">
        <f>Tabla2456789[[#This Row],[VENTA ]]/1.19</f>
        <v>0</v>
      </c>
      <c r="R398" s="10">
        <f>Tabla2456789[[#This Row],[Columna2]]*19%</f>
        <v>0</v>
      </c>
      <c r="S398" s="10">
        <f>Tabla2456789[[#This Row],[IVA VENTA ]]-Tabla2456789[[#This Row],[IV COMPRA]]</f>
        <v>0</v>
      </c>
      <c r="T398" s="10">
        <f>(Tabla2456789[[#This Row],[VENTA ]]-(Tabla2456789[[#This Row],[MONTO DE COMPRA]]+Tabla2456789[[#This Row],[DIFERENCIA IVA ]]))</f>
        <v>0</v>
      </c>
      <c r="V398" s="17"/>
    </row>
    <row r="399" spans="1:22" s="15" customFormat="1" ht="20.100000000000001" customHeight="1" x14ac:dyDescent="0.25">
      <c r="A399" s="13"/>
      <c r="B399" s="14"/>
      <c r="C399" s="14"/>
      <c r="D399" s="14"/>
      <c r="G399" s="14"/>
      <c r="H399" s="16"/>
      <c r="J399" s="20">
        <f>IF(G:G="FRENOS",(Tabla2456789[[#This Row],[TOTAL FACTURA]]*0.8),(Tabla2456789[[#This Row],[TOTAL FACTURA]]*0.5))</f>
        <v>0</v>
      </c>
      <c r="K399" s="9" t="e">
        <f>#REF!-J399</f>
        <v>#REF!</v>
      </c>
      <c r="L399" s="4"/>
      <c r="M399" s="10"/>
      <c r="N399" s="10">
        <f>Tabla2456789[[#This Row],[MONTO DE COMPRA]]/1.19</f>
        <v>0</v>
      </c>
      <c r="O399" s="10">
        <f>Tabla2456789[[#This Row],[Columna1]]*19%</f>
        <v>0</v>
      </c>
      <c r="P399" s="10"/>
      <c r="Q399" s="10">
        <f>Tabla2456789[[#This Row],[VENTA ]]/1.19</f>
        <v>0</v>
      </c>
      <c r="R399" s="10">
        <f>Tabla2456789[[#This Row],[Columna2]]*19%</f>
        <v>0</v>
      </c>
      <c r="S399" s="10">
        <f>Tabla2456789[[#This Row],[IVA VENTA ]]-Tabla2456789[[#This Row],[IV COMPRA]]</f>
        <v>0</v>
      </c>
      <c r="T399" s="10">
        <f>(Tabla2456789[[#This Row],[VENTA ]]-(Tabla2456789[[#This Row],[MONTO DE COMPRA]]+Tabla2456789[[#This Row],[DIFERENCIA IVA ]]))</f>
        <v>0</v>
      </c>
      <c r="V399" s="17"/>
    </row>
    <row r="400" spans="1:22" s="15" customFormat="1" ht="20.100000000000001" customHeight="1" x14ac:dyDescent="0.25">
      <c r="A400" s="13"/>
      <c r="B400" s="14"/>
      <c r="C400" s="14"/>
      <c r="D400" s="14"/>
      <c r="G400" s="14"/>
      <c r="H400" s="16"/>
      <c r="J400" s="20">
        <f>IF(G:G="FRENOS",(Tabla2456789[[#This Row],[TOTAL FACTURA]]*0.8),(Tabla2456789[[#This Row],[TOTAL FACTURA]]*0.5))</f>
        <v>0</v>
      </c>
      <c r="K400" s="9" t="e">
        <f>#REF!-J400</f>
        <v>#REF!</v>
      </c>
      <c r="L400" s="4"/>
      <c r="M400" s="10"/>
      <c r="N400" s="10">
        <f>Tabla2456789[[#This Row],[MONTO DE COMPRA]]/1.19</f>
        <v>0</v>
      </c>
      <c r="O400" s="10">
        <f>Tabla2456789[[#This Row],[Columna1]]*19%</f>
        <v>0</v>
      </c>
      <c r="P400" s="10"/>
      <c r="Q400" s="10">
        <f>Tabla2456789[[#This Row],[VENTA ]]/1.19</f>
        <v>0</v>
      </c>
      <c r="R400" s="10">
        <f>Tabla2456789[[#This Row],[Columna2]]*19%</f>
        <v>0</v>
      </c>
      <c r="S400" s="10">
        <f>Tabla2456789[[#This Row],[IVA VENTA ]]-Tabla2456789[[#This Row],[IV COMPRA]]</f>
        <v>0</v>
      </c>
      <c r="T400" s="10">
        <f>(Tabla2456789[[#This Row],[VENTA ]]-(Tabla2456789[[#This Row],[MONTO DE COMPRA]]+Tabla2456789[[#This Row],[DIFERENCIA IVA ]]))</f>
        <v>0</v>
      </c>
      <c r="V400" s="17"/>
    </row>
    <row r="401" spans="1:22" s="15" customFormat="1" ht="20.100000000000001" customHeight="1" x14ac:dyDescent="0.25">
      <c r="A401" s="13"/>
      <c r="B401" s="14"/>
      <c r="C401" s="14"/>
      <c r="D401" s="14"/>
      <c r="G401" s="14"/>
      <c r="H401" s="16"/>
      <c r="J401" s="20">
        <f>IF(G:G="FRENOS",(Tabla2456789[[#This Row],[TOTAL FACTURA]]*0.8),(Tabla2456789[[#This Row],[TOTAL FACTURA]]*0.5))</f>
        <v>0</v>
      </c>
      <c r="K401" s="9" t="e">
        <f>#REF!-J401</f>
        <v>#REF!</v>
      </c>
      <c r="L401" s="4"/>
      <c r="M401" s="10"/>
      <c r="N401" s="10">
        <f>Tabla2456789[[#This Row],[MONTO DE COMPRA]]/1.19</f>
        <v>0</v>
      </c>
      <c r="O401" s="10">
        <f>Tabla2456789[[#This Row],[Columna1]]*19%</f>
        <v>0</v>
      </c>
      <c r="P401" s="10"/>
      <c r="Q401" s="10">
        <f>Tabla2456789[[#This Row],[VENTA ]]/1.19</f>
        <v>0</v>
      </c>
      <c r="R401" s="10">
        <f>Tabla2456789[[#This Row],[Columna2]]*19%</f>
        <v>0</v>
      </c>
      <c r="S401" s="10">
        <f>Tabla2456789[[#This Row],[IVA VENTA ]]-Tabla2456789[[#This Row],[IV COMPRA]]</f>
        <v>0</v>
      </c>
      <c r="T401" s="10">
        <f>(Tabla2456789[[#This Row],[VENTA ]]-(Tabla2456789[[#This Row],[MONTO DE COMPRA]]+Tabla2456789[[#This Row],[DIFERENCIA IVA ]]))</f>
        <v>0</v>
      </c>
      <c r="V401" s="17"/>
    </row>
    <row r="402" spans="1:22" s="15" customFormat="1" ht="20.100000000000001" customHeight="1" x14ac:dyDescent="0.25">
      <c r="A402" s="13"/>
      <c r="B402" s="14"/>
      <c r="C402" s="14"/>
      <c r="D402" s="14"/>
      <c r="G402" s="14"/>
      <c r="H402" s="16"/>
      <c r="J402" s="20">
        <f>IF(G:G="FRENOS",(Tabla2456789[[#This Row],[TOTAL FACTURA]]*0.8),(Tabla2456789[[#This Row],[TOTAL FACTURA]]*0.5))</f>
        <v>0</v>
      </c>
      <c r="K402" s="9" t="e">
        <f>#REF!-J402</f>
        <v>#REF!</v>
      </c>
      <c r="L402" s="4"/>
      <c r="M402" s="10"/>
      <c r="N402" s="10">
        <f>Tabla2456789[[#This Row],[MONTO DE COMPRA]]/1.19</f>
        <v>0</v>
      </c>
      <c r="O402" s="10">
        <f>Tabla2456789[[#This Row],[Columna1]]*19%</f>
        <v>0</v>
      </c>
      <c r="P402" s="10"/>
      <c r="Q402" s="10">
        <f>Tabla2456789[[#This Row],[VENTA ]]/1.19</f>
        <v>0</v>
      </c>
      <c r="R402" s="10">
        <f>Tabla2456789[[#This Row],[Columna2]]*19%</f>
        <v>0</v>
      </c>
      <c r="S402" s="10">
        <f>Tabla2456789[[#This Row],[IVA VENTA ]]-Tabla2456789[[#This Row],[IV COMPRA]]</f>
        <v>0</v>
      </c>
      <c r="T402" s="10">
        <f>(Tabla2456789[[#This Row],[VENTA ]]-(Tabla2456789[[#This Row],[MONTO DE COMPRA]]+Tabla2456789[[#This Row],[DIFERENCIA IVA ]]))</f>
        <v>0</v>
      </c>
      <c r="V402" s="17"/>
    </row>
    <row r="403" spans="1:22" s="15" customFormat="1" ht="20.100000000000001" customHeight="1" x14ac:dyDescent="0.25">
      <c r="A403" s="13"/>
      <c r="B403" s="14"/>
      <c r="C403" s="14"/>
      <c r="D403" s="14"/>
      <c r="G403" s="14"/>
      <c r="H403" s="16"/>
      <c r="J403" s="20">
        <f>IF(G:G="FRENOS",(Tabla2456789[[#This Row],[TOTAL FACTURA]]*0.8),(Tabla2456789[[#This Row],[TOTAL FACTURA]]*0.5))</f>
        <v>0</v>
      </c>
      <c r="K403" s="9" t="e">
        <f>#REF!-J403</f>
        <v>#REF!</v>
      </c>
      <c r="L403" s="4"/>
      <c r="M403" s="10"/>
      <c r="N403" s="10">
        <f>Tabla2456789[[#This Row],[MONTO DE COMPRA]]/1.19</f>
        <v>0</v>
      </c>
      <c r="O403" s="10">
        <f>Tabla2456789[[#This Row],[Columna1]]*19%</f>
        <v>0</v>
      </c>
      <c r="P403" s="10"/>
      <c r="Q403" s="10">
        <f>Tabla2456789[[#This Row],[VENTA ]]/1.19</f>
        <v>0</v>
      </c>
      <c r="R403" s="10">
        <f>Tabla2456789[[#This Row],[Columna2]]*19%</f>
        <v>0</v>
      </c>
      <c r="S403" s="10">
        <f>Tabla2456789[[#This Row],[IVA VENTA ]]-Tabla2456789[[#This Row],[IV COMPRA]]</f>
        <v>0</v>
      </c>
      <c r="T403" s="10">
        <f>(Tabla2456789[[#This Row],[VENTA ]]-(Tabla2456789[[#This Row],[MONTO DE COMPRA]]+Tabla2456789[[#This Row],[DIFERENCIA IVA ]]))</f>
        <v>0</v>
      </c>
      <c r="V403" s="17"/>
    </row>
    <row r="404" spans="1:22" s="15" customFormat="1" ht="20.100000000000001" customHeight="1" x14ac:dyDescent="0.25">
      <c r="A404" s="13"/>
      <c r="B404" s="14"/>
      <c r="C404" s="14"/>
      <c r="D404" s="14"/>
      <c r="G404" s="14"/>
      <c r="H404" s="16"/>
      <c r="J404" s="20">
        <f>IF(G:G="FRENOS",(Tabla2456789[[#This Row],[TOTAL FACTURA]]*0.8),(Tabla2456789[[#This Row],[TOTAL FACTURA]]*0.5))</f>
        <v>0</v>
      </c>
      <c r="K404" s="9" t="e">
        <f>#REF!-J404</f>
        <v>#REF!</v>
      </c>
      <c r="L404" s="4"/>
      <c r="M404" s="10"/>
      <c r="N404" s="10">
        <f>Tabla2456789[[#This Row],[MONTO DE COMPRA]]/1.19</f>
        <v>0</v>
      </c>
      <c r="O404" s="10">
        <f>Tabla2456789[[#This Row],[Columna1]]*19%</f>
        <v>0</v>
      </c>
      <c r="P404" s="10"/>
      <c r="Q404" s="10">
        <f>Tabla2456789[[#This Row],[VENTA ]]/1.19</f>
        <v>0</v>
      </c>
      <c r="R404" s="10">
        <f>Tabla2456789[[#This Row],[Columna2]]*19%</f>
        <v>0</v>
      </c>
      <c r="S404" s="10">
        <f>Tabla2456789[[#This Row],[IVA VENTA ]]-Tabla2456789[[#This Row],[IV COMPRA]]</f>
        <v>0</v>
      </c>
      <c r="T404" s="10">
        <f>(Tabla2456789[[#This Row],[VENTA ]]-(Tabla2456789[[#This Row],[MONTO DE COMPRA]]+Tabla2456789[[#This Row],[DIFERENCIA IVA ]]))</f>
        <v>0</v>
      </c>
      <c r="V404" s="17"/>
    </row>
    <row r="405" spans="1:22" s="15" customFormat="1" ht="20.100000000000001" customHeight="1" x14ac:dyDescent="0.25">
      <c r="A405" s="13"/>
      <c r="B405" s="14"/>
      <c r="C405" s="14"/>
      <c r="D405" s="14"/>
      <c r="G405" s="14"/>
      <c r="H405" s="16"/>
      <c r="J405" s="20">
        <f>IF(G:G="FRENOS",(Tabla2456789[[#This Row],[TOTAL FACTURA]]*0.8),(Tabla2456789[[#This Row],[TOTAL FACTURA]]*0.5))</f>
        <v>0</v>
      </c>
      <c r="K405" s="9" t="e">
        <f>#REF!-J405</f>
        <v>#REF!</v>
      </c>
      <c r="L405" s="4"/>
      <c r="M405" s="10"/>
      <c r="N405" s="10">
        <f>Tabla2456789[[#This Row],[MONTO DE COMPRA]]/1.19</f>
        <v>0</v>
      </c>
      <c r="O405" s="10">
        <f>Tabla2456789[[#This Row],[Columna1]]*19%</f>
        <v>0</v>
      </c>
      <c r="P405" s="10"/>
      <c r="Q405" s="10">
        <f>Tabla2456789[[#This Row],[VENTA ]]/1.19</f>
        <v>0</v>
      </c>
      <c r="R405" s="10">
        <f>Tabla2456789[[#This Row],[Columna2]]*19%</f>
        <v>0</v>
      </c>
      <c r="S405" s="10">
        <f>Tabla2456789[[#This Row],[IVA VENTA ]]-Tabla2456789[[#This Row],[IV COMPRA]]</f>
        <v>0</v>
      </c>
      <c r="T405" s="10">
        <f>(Tabla2456789[[#This Row],[VENTA ]]-(Tabla2456789[[#This Row],[MONTO DE COMPRA]]+Tabla2456789[[#This Row],[DIFERENCIA IVA ]]))</f>
        <v>0</v>
      </c>
      <c r="V405" s="17"/>
    </row>
    <row r="406" spans="1:22" s="15" customFormat="1" ht="20.100000000000001" customHeight="1" x14ac:dyDescent="0.25">
      <c r="A406" s="13"/>
      <c r="B406" s="14"/>
      <c r="C406" s="14"/>
      <c r="D406" s="14"/>
      <c r="G406" s="14"/>
      <c r="H406" s="16"/>
      <c r="J406" s="20">
        <f>IF(G:G="FRENOS",(Tabla2456789[[#This Row],[TOTAL FACTURA]]*0.8),(Tabla2456789[[#This Row],[TOTAL FACTURA]]*0.5))</f>
        <v>0</v>
      </c>
      <c r="K406" s="9" t="e">
        <f>#REF!-J406</f>
        <v>#REF!</v>
      </c>
      <c r="L406" s="4"/>
      <c r="M406" s="10"/>
      <c r="N406" s="10">
        <f>Tabla2456789[[#This Row],[MONTO DE COMPRA]]/1.19</f>
        <v>0</v>
      </c>
      <c r="O406" s="10">
        <f>Tabla2456789[[#This Row],[Columna1]]*19%</f>
        <v>0</v>
      </c>
      <c r="P406" s="10"/>
      <c r="Q406" s="10">
        <f>Tabla2456789[[#This Row],[VENTA ]]/1.19</f>
        <v>0</v>
      </c>
      <c r="R406" s="10">
        <f>Tabla2456789[[#This Row],[Columna2]]*19%</f>
        <v>0</v>
      </c>
      <c r="S406" s="10">
        <f>Tabla2456789[[#This Row],[IVA VENTA ]]-Tabla2456789[[#This Row],[IV COMPRA]]</f>
        <v>0</v>
      </c>
      <c r="T406" s="10">
        <f>(Tabla2456789[[#This Row],[VENTA ]]-(Tabla2456789[[#This Row],[MONTO DE COMPRA]]+Tabla2456789[[#This Row],[DIFERENCIA IVA ]]))</f>
        <v>0</v>
      </c>
      <c r="V406" s="17"/>
    </row>
    <row r="407" spans="1:22" s="15" customFormat="1" ht="20.100000000000001" customHeight="1" x14ac:dyDescent="0.25">
      <c r="A407" s="13"/>
      <c r="B407" s="14"/>
      <c r="C407" s="14"/>
      <c r="D407" s="14"/>
      <c r="G407" s="14"/>
      <c r="H407" s="16"/>
      <c r="J407" s="20">
        <f>IF(G:G="FRENOS",(Tabla2456789[[#This Row],[TOTAL FACTURA]]*0.8),(Tabla2456789[[#This Row],[TOTAL FACTURA]]*0.5))</f>
        <v>0</v>
      </c>
      <c r="K407" s="9" t="e">
        <f>#REF!-J407</f>
        <v>#REF!</v>
      </c>
      <c r="L407" s="4"/>
      <c r="M407" s="10"/>
      <c r="N407" s="10">
        <f>Tabla2456789[[#This Row],[MONTO DE COMPRA]]/1.19</f>
        <v>0</v>
      </c>
      <c r="O407" s="10">
        <f>Tabla2456789[[#This Row],[Columna1]]*19%</f>
        <v>0</v>
      </c>
      <c r="P407" s="10"/>
      <c r="Q407" s="10">
        <f>Tabla2456789[[#This Row],[VENTA ]]/1.19</f>
        <v>0</v>
      </c>
      <c r="R407" s="10">
        <f>Tabla2456789[[#This Row],[Columna2]]*19%</f>
        <v>0</v>
      </c>
      <c r="S407" s="10">
        <f>Tabla2456789[[#This Row],[IVA VENTA ]]-Tabla2456789[[#This Row],[IV COMPRA]]</f>
        <v>0</v>
      </c>
      <c r="T407" s="10">
        <f>(Tabla2456789[[#This Row],[VENTA ]]-(Tabla2456789[[#This Row],[MONTO DE COMPRA]]+Tabla2456789[[#This Row],[DIFERENCIA IVA ]]))</f>
        <v>0</v>
      </c>
      <c r="V407" s="17"/>
    </row>
    <row r="408" spans="1:22" s="15" customFormat="1" ht="20.100000000000001" customHeight="1" x14ac:dyDescent="0.25">
      <c r="A408" s="13"/>
      <c r="B408" s="14"/>
      <c r="C408" s="14"/>
      <c r="D408" s="14"/>
      <c r="G408" s="14"/>
      <c r="H408" s="16"/>
      <c r="J408" s="20">
        <f>IF(G:G="FRENOS",(Tabla2456789[[#This Row],[TOTAL FACTURA]]*0.8),(Tabla2456789[[#This Row],[TOTAL FACTURA]]*0.5))</f>
        <v>0</v>
      </c>
      <c r="K408" s="9" t="e">
        <f>#REF!-J408</f>
        <v>#REF!</v>
      </c>
      <c r="L408" s="4"/>
      <c r="M408" s="10"/>
      <c r="N408" s="10">
        <f>Tabla2456789[[#This Row],[MONTO DE COMPRA]]/1.19</f>
        <v>0</v>
      </c>
      <c r="O408" s="10">
        <f>Tabla2456789[[#This Row],[Columna1]]*19%</f>
        <v>0</v>
      </c>
      <c r="P408" s="10"/>
      <c r="Q408" s="10">
        <f>Tabla2456789[[#This Row],[VENTA ]]/1.19</f>
        <v>0</v>
      </c>
      <c r="R408" s="10">
        <f>Tabla2456789[[#This Row],[Columna2]]*19%</f>
        <v>0</v>
      </c>
      <c r="S408" s="10">
        <f>Tabla2456789[[#This Row],[IVA VENTA ]]-Tabla2456789[[#This Row],[IV COMPRA]]</f>
        <v>0</v>
      </c>
      <c r="T408" s="10">
        <f>(Tabla2456789[[#This Row],[VENTA ]]-(Tabla2456789[[#This Row],[MONTO DE COMPRA]]+Tabla2456789[[#This Row],[DIFERENCIA IVA ]]))</f>
        <v>0</v>
      </c>
      <c r="V408" s="17"/>
    </row>
    <row r="409" spans="1:22" s="15" customFormat="1" ht="20.100000000000001" customHeight="1" x14ac:dyDescent="0.25">
      <c r="A409" s="13"/>
      <c r="B409" s="14"/>
      <c r="C409" s="14"/>
      <c r="D409" s="14"/>
      <c r="G409" s="14"/>
      <c r="H409" s="16"/>
      <c r="J409" s="20">
        <f>IF(G:G="FRENOS",(Tabla2456789[[#This Row],[TOTAL FACTURA]]*0.8),(Tabla2456789[[#This Row],[TOTAL FACTURA]]*0.5))</f>
        <v>0</v>
      </c>
      <c r="K409" s="9" t="e">
        <f>#REF!-J409</f>
        <v>#REF!</v>
      </c>
      <c r="L409" s="4"/>
      <c r="M409" s="10"/>
      <c r="N409" s="10">
        <f>Tabla2456789[[#This Row],[MONTO DE COMPRA]]/1.19</f>
        <v>0</v>
      </c>
      <c r="O409" s="10">
        <f>Tabla2456789[[#This Row],[Columna1]]*19%</f>
        <v>0</v>
      </c>
      <c r="P409" s="10"/>
      <c r="Q409" s="10">
        <f>Tabla2456789[[#This Row],[VENTA ]]/1.19</f>
        <v>0</v>
      </c>
      <c r="R409" s="10">
        <f>Tabla2456789[[#This Row],[Columna2]]*19%</f>
        <v>0</v>
      </c>
      <c r="S409" s="10">
        <f>Tabla2456789[[#This Row],[IVA VENTA ]]-Tabla2456789[[#This Row],[IV COMPRA]]</f>
        <v>0</v>
      </c>
      <c r="T409" s="10">
        <f>(Tabla2456789[[#This Row],[VENTA ]]-(Tabla2456789[[#This Row],[MONTO DE COMPRA]]+Tabla2456789[[#This Row],[DIFERENCIA IVA ]]))</f>
        <v>0</v>
      </c>
      <c r="V409" s="17"/>
    </row>
    <row r="410" spans="1:22" s="15" customFormat="1" ht="20.100000000000001" customHeight="1" x14ac:dyDescent="0.25">
      <c r="A410" s="13"/>
      <c r="B410" s="14"/>
      <c r="C410" s="14"/>
      <c r="D410" s="14"/>
      <c r="G410" s="14"/>
      <c r="H410" s="16"/>
      <c r="J410" s="20">
        <f>IF(G:G="FRENOS",(Tabla2456789[[#This Row],[TOTAL FACTURA]]*0.8),(Tabla2456789[[#This Row],[TOTAL FACTURA]]*0.5))</f>
        <v>0</v>
      </c>
      <c r="K410" s="9" t="e">
        <f>#REF!-J410</f>
        <v>#REF!</v>
      </c>
      <c r="L410" s="4"/>
      <c r="M410" s="10"/>
      <c r="N410" s="10">
        <f>Tabla2456789[[#This Row],[MONTO DE COMPRA]]/1.19</f>
        <v>0</v>
      </c>
      <c r="O410" s="10">
        <f>Tabla2456789[[#This Row],[Columna1]]*19%</f>
        <v>0</v>
      </c>
      <c r="P410" s="10"/>
      <c r="Q410" s="10">
        <f>Tabla2456789[[#This Row],[VENTA ]]/1.19</f>
        <v>0</v>
      </c>
      <c r="R410" s="10">
        <f>Tabla2456789[[#This Row],[Columna2]]*19%</f>
        <v>0</v>
      </c>
      <c r="S410" s="10">
        <f>Tabla2456789[[#This Row],[IVA VENTA ]]-Tabla2456789[[#This Row],[IV COMPRA]]</f>
        <v>0</v>
      </c>
      <c r="T410" s="10">
        <f>(Tabla2456789[[#This Row],[VENTA ]]-(Tabla2456789[[#This Row],[MONTO DE COMPRA]]+Tabla2456789[[#This Row],[DIFERENCIA IVA ]]))</f>
        <v>0</v>
      </c>
      <c r="V410" s="17"/>
    </row>
    <row r="411" spans="1:22" s="15" customFormat="1" ht="20.100000000000001" customHeight="1" x14ac:dyDescent="0.25">
      <c r="A411" s="13"/>
      <c r="B411" s="14"/>
      <c r="C411" s="14"/>
      <c r="D411" s="14"/>
      <c r="G411" s="14"/>
      <c r="H411" s="16"/>
      <c r="J411" s="20">
        <f>IF(G:G="FRENOS",(Tabla2456789[[#This Row],[TOTAL FACTURA]]*0.8),(Tabla2456789[[#This Row],[TOTAL FACTURA]]*0.5))</f>
        <v>0</v>
      </c>
      <c r="K411" s="9" t="e">
        <f>#REF!-J411</f>
        <v>#REF!</v>
      </c>
      <c r="L411" s="4"/>
      <c r="M411" s="10"/>
      <c r="N411" s="10">
        <f>Tabla2456789[[#This Row],[MONTO DE COMPRA]]/1.19</f>
        <v>0</v>
      </c>
      <c r="O411" s="10">
        <f>Tabla2456789[[#This Row],[Columna1]]*19%</f>
        <v>0</v>
      </c>
      <c r="P411" s="10"/>
      <c r="Q411" s="10">
        <f>Tabla2456789[[#This Row],[VENTA ]]/1.19</f>
        <v>0</v>
      </c>
      <c r="R411" s="10">
        <f>Tabla2456789[[#This Row],[Columna2]]*19%</f>
        <v>0</v>
      </c>
      <c r="S411" s="10">
        <f>Tabla2456789[[#This Row],[IVA VENTA ]]-Tabla2456789[[#This Row],[IV COMPRA]]</f>
        <v>0</v>
      </c>
      <c r="T411" s="10">
        <f>(Tabla2456789[[#This Row],[VENTA ]]-(Tabla2456789[[#This Row],[MONTO DE COMPRA]]+Tabla2456789[[#This Row],[DIFERENCIA IVA ]]))</f>
        <v>0</v>
      </c>
      <c r="V411" s="17"/>
    </row>
    <row r="412" spans="1:22" s="15" customFormat="1" ht="20.100000000000001" customHeight="1" x14ac:dyDescent="0.25">
      <c r="A412" s="13"/>
      <c r="B412" s="14"/>
      <c r="C412" s="14"/>
      <c r="D412" s="14"/>
      <c r="G412" s="14"/>
      <c r="H412" s="16"/>
      <c r="J412" s="20">
        <f>IF(G:G="FRENOS",(Tabla2456789[[#This Row],[TOTAL FACTURA]]*0.8),(Tabla2456789[[#This Row],[TOTAL FACTURA]]*0.5))</f>
        <v>0</v>
      </c>
      <c r="K412" s="9" t="e">
        <f>#REF!-J412</f>
        <v>#REF!</v>
      </c>
      <c r="L412" s="4"/>
      <c r="M412" s="10"/>
      <c r="N412" s="10">
        <f>Tabla2456789[[#This Row],[MONTO DE COMPRA]]/1.19</f>
        <v>0</v>
      </c>
      <c r="O412" s="10">
        <f>Tabla2456789[[#This Row],[Columna1]]*19%</f>
        <v>0</v>
      </c>
      <c r="P412" s="10"/>
      <c r="Q412" s="10">
        <f>Tabla2456789[[#This Row],[VENTA ]]/1.19</f>
        <v>0</v>
      </c>
      <c r="R412" s="10">
        <f>Tabla2456789[[#This Row],[Columna2]]*19%</f>
        <v>0</v>
      </c>
      <c r="S412" s="10">
        <f>Tabla2456789[[#This Row],[IVA VENTA ]]-Tabla2456789[[#This Row],[IV COMPRA]]</f>
        <v>0</v>
      </c>
      <c r="T412" s="10">
        <f>(Tabla2456789[[#This Row],[VENTA ]]-(Tabla2456789[[#This Row],[MONTO DE COMPRA]]+Tabla2456789[[#This Row],[DIFERENCIA IVA ]]))</f>
        <v>0</v>
      </c>
      <c r="V412" s="17"/>
    </row>
    <row r="413" spans="1:22" s="15" customFormat="1" ht="20.100000000000001" customHeight="1" x14ac:dyDescent="0.25">
      <c r="A413" s="13"/>
      <c r="B413" s="14"/>
      <c r="C413" s="14"/>
      <c r="D413" s="14"/>
      <c r="G413" s="14"/>
      <c r="H413" s="16"/>
      <c r="J413" s="20">
        <f>IF(G:G="FRENOS",(Tabla2456789[[#This Row],[TOTAL FACTURA]]*0.8),(Tabla2456789[[#This Row],[TOTAL FACTURA]]*0.5))</f>
        <v>0</v>
      </c>
      <c r="K413" s="9" t="e">
        <f>#REF!-J413</f>
        <v>#REF!</v>
      </c>
      <c r="L413" s="4"/>
      <c r="M413" s="10"/>
      <c r="N413" s="10">
        <f>Tabla2456789[[#This Row],[MONTO DE COMPRA]]/1.19</f>
        <v>0</v>
      </c>
      <c r="O413" s="10">
        <f>Tabla2456789[[#This Row],[Columna1]]*19%</f>
        <v>0</v>
      </c>
      <c r="P413" s="10"/>
      <c r="Q413" s="10">
        <f>Tabla2456789[[#This Row],[VENTA ]]/1.19</f>
        <v>0</v>
      </c>
      <c r="R413" s="10">
        <f>Tabla2456789[[#This Row],[Columna2]]*19%</f>
        <v>0</v>
      </c>
      <c r="S413" s="10">
        <f>Tabla2456789[[#This Row],[IVA VENTA ]]-Tabla2456789[[#This Row],[IV COMPRA]]</f>
        <v>0</v>
      </c>
      <c r="T413" s="10">
        <f>(Tabla2456789[[#This Row],[VENTA ]]-(Tabla2456789[[#This Row],[MONTO DE COMPRA]]+Tabla2456789[[#This Row],[DIFERENCIA IVA ]]))</f>
        <v>0</v>
      </c>
      <c r="V413" s="17"/>
    </row>
    <row r="414" spans="1:22" s="15" customFormat="1" ht="20.100000000000001" customHeight="1" x14ac:dyDescent="0.25">
      <c r="A414" s="13"/>
      <c r="B414" s="14"/>
      <c r="C414" s="14"/>
      <c r="D414" s="14"/>
      <c r="G414" s="14"/>
      <c r="H414" s="16"/>
      <c r="J414" s="20">
        <f>IF(G:G="FRENOS",(Tabla2456789[[#This Row],[TOTAL FACTURA]]*0.8),(Tabla2456789[[#This Row],[TOTAL FACTURA]]*0.5))</f>
        <v>0</v>
      </c>
      <c r="K414" s="9" t="e">
        <f>#REF!-J414</f>
        <v>#REF!</v>
      </c>
      <c r="L414" s="4"/>
      <c r="M414" s="10"/>
      <c r="N414" s="10">
        <f>Tabla2456789[[#This Row],[MONTO DE COMPRA]]/1.19</f>
        <v>0</v>
      </c>
      <c r="O414" s="10">
        <f>Tabla2456789[[#This Row],[Columna1]]*19%</f>
        <v>0</v>
      </c>
      <c r="P414" s="10"/>
      <c r="Q414" s="10">
        <f>Tabla2456789[[#This Row],[VENTA ]]/1.19</f>
        <v>0</v>
      </c>
      <c r="R414" s="10">
        <f>Tabla2456789[[#This Row],[Columna2]]*19%</f>
        <v>0</v>
      </c>
      <c r="S414" s="10">
        <f>Tabla2456789[[#This Row],[IVA VENTA ]]-Tabla2456789[[#This Row],[IV COMPRA]]</f>
        <v>0</v>
      </c>
      <c r="T414" s="10">
        <f>(Tabla2456789[[#This Row],[VENTA ]]-(Tabla2456789[[#This Row],[MONTO DE COMPRA]]+Tabla2456789[[#This Row],[DIFERENCIA IVA ]]))</f>
        <v>0</v>
      </c>
      <c r="V414" s="17"/>
    </row>
    <row r="415" spans="1:22" s="15" customFormat="1" ht="20.100000000000001" customHeight="1" x14ac:dyDescent="0.25">
      <c r="A415" s="13"/>
      <c r="B415" s="14"/>
      <c r="C415" s="14"/>
      <c r="D415" s="14"/>
      <c r="G415" s="14"/>
      <c r="H415" s="16"/>
      <c r="J415" s="20">
        <f>IF(G:G="FRENOS",(Tabla2456789[[#This Row],[TOTAL FACTURA]]*0.8),(Tabla2456789[[#This Row],[TOTAL FACTURA]]*0.5))</f>
        <v>0</v>
      </c>
      <c r="K415" s="9" t="e">
        <f>#REF!-J415</f>
        <v>#REF!</v>
      </c>
      <c r="L415" s="4"/>
      <c r="M415" s="10"/>
      <c r="N415" s="10">
        <f>Tabla2456789[[#This Row],[MONTO DE COMPRA]]/1.19</f>
        <v>0</v>
      </c>
      <c r="O415" s="10">
        <f>Tabla2456789[[#This Row],[Columna1]]*19%</f>
        <v>0</v>
      </c>
      <c r="P415" s="10"/>
      <c r="Q415" s="10">
        <f>Tabla2456789[[#This Row],[VENTA ]]/1.19</f>
        <v>0</v>
      </c>
      <c r="R415" s="10">
        <f>Tabla2456789[[#This Row],[Columna2]]*19%</f>
        <v>0</v>
      </c>
      <c r="S415" s="10">
        <f>Tabla2456789[[#This Row],[IVA VENTA ]]-Tabla2456789[[#This Row],[IV COMPRA]]</f>
        <v>0</v>
      </c>
      <c r="T415" s="10">
        <f>(Tabla2456789[[#This Row],[VENTA ]]-(Tabla2456789[[#This Row],[MONTO DE COMPRA]]+Tabla2456789[[#This Row],[DIFERENCIA IVA ]]))</f>
        <v>0</v>
      </c>
      <c r="V415" s="17"/>
    </row>
    <row r="416" spans="1:22" s="15" customFormat="1" ht="20.100000000000001" customHeight="1" x14ac:dyDescent="0.25">
      <c r="A416" s="13"/>
      <c r="B416" s="14"/>
      <c r="C416" s="14"/>
      <c r="D416" s="14"/>
      <c r="G416" s="14"/>
      <c r="H416" s="16"/>
      <c r="J416" s="20">
        <f>IF(G:G="FRENOS",(Tabla2456789[[#This Row],[TOTAL FACTURA]]*0.8),(Tabla2456789[[#This Row],[TOTAL FACTURA]]*0.5))</f>
        <v>0</v>
      </c>
      <c r="K416" s="9" t="e">
        <f>#REF!-J416</f>
        <v>#REF!</v>
      </c>
      <c r="L416" s="4"/>
      <c r="M416" s="10"/>
      <c r="N416" s="10">
        <f>Tabla2456789[[#This Row],[MONTO DE COMPRA]]/1.19</f>
        <v>0</v>
      </c>
      <c r="O416" s="10">
        <f>Tabla2456789[[#This Row],[Columna1]]*19%</f>
        <v>0</v>
      </c>
      <c r="P416" s="10"/>
      <c r="Q416" s="10">
        <f>Tabla2456789[[#This Row],[VENTA ]]/1.19</f>
        <v>0</v>
      </c>
      <c r="R416" s="10">
        <f>Tabla2456789[[#This Row],[Columna2]]*19%</f>
        <v>0</v>
      </c>
      <c r="S416" s="10">
        <f>Tabla2456789[[#This Row],[IVA VENTA ]]-Tabla2456789[[#This Row],[IV COMPRA]]</f>
        <v>0</v>
      </c>
      <c r="T416" s="10">
        <f>(Tabla2456789[[#This Row],[VENTA ]]-(Tabla2456789[[#This Row],[MONTO DE COMPRA]]+Tabla2456789[[#This Row],[DIFERENCIA IVA ]]))</f>
        <v>0</v>
      </c>
      <c r="V416" s="17"/>
    </row>
    <row r="417" spans="1:22" s="15" customFormat="1" ht="20.100000000000001" customHeight="1" x14ac:dyDescent="0.25">
      <c r="A417" s="13"/>
      <c r="B417" s="14"/>
      <c r="C417" s="14"/>
      <c r="D417" s="14"/>
      <c r="G417" s="14"/>
      <c r="H417" s="16"/>
      <c r="J417" s="20">
        <f>IF(G:G="FRENOS",(Tabla2456789[[#This Row],[TOTAL FACTURA]]*0.8),(Tabla2456789[[#This Row],[TOTAL FACTURA]]*0.5))</f>
        <v>0</v>
      </c>
      <c r="K417" s="9" t="e">
        <f>#REF!-J417</f>
        <v>#REF!</v>
      </c>
      <c r="L417" s="4"/>
      <c r="M417" s="10"/>
      <c r="N417" s="10">
        <f>Tabla2456789[[#This Row],[MONTO DE COMPRA]]/1.19</f>
        <v>0</v>
      </c>
      <c r="O417" s="10">
        <f>Tabla2456789[[#This Row],[Columna1]]*19%</f>
        <v>0</v>
      </c>
      <c r="P417" s="10"/>
      <c r="Q417" s="10">
        <f>Tabla2456789[[#This Row],[VENTA ]]/1.19</f>
        <v>0</v>
      </c>
      <c r="R417" s="10">
        <f>Tabla2456789[[#This Row],[Columna2]]*19%</f>
        <v>0</v>
      </c>
      <c r="S417" s="10">
        <f>Tabla2456789[[#This Row],[IVA VENTA ]]-Tabla2456789[[#This Row],[IV COMPRA]]</f>
        <v>0</v>
      </c>
      <c r="T417" s="10">
        <f>(Tabla2456789[[#This Row],[VENTA ]]-(Tabla2456789[[#This Row],[MONTO DE COMPRA]]+Tabla2456789[[#This Row],[DIFERENCIA IVA ]]))</f>
        <v>0</v>
      </c>
      <c r="V417" s="17"/>
    </row>
    <row r="418" spans="1:22" s="15" customFormat="1" ht="20.100000000000001" customHeight="1" x14ac:dyDescent="0.25">
      <c r="A418" s="13"/>
      <c r="B418" s="14"/>
      <c r="C418" s="14"/>
      <c r="D418" s="14"/>
      <c r="G418" s="14"/>
      <c r="H418" s="16"/>
      <c r="J418" s="20">
        <f>IF(G:G="FRENOS",(Tabla2456789[[#This Row],[TOTAL FACTURA]]*0.8),(Tabla2456789[[#This Row],[TOTAL FACTURA]]*0.5))</f>
        <v>0</v>
      </c>
      <c r="K418" s="9" t="e">
        <f>#REF!-J418</f>
        <v>#REF!</v>
      </c>
      <c r="L418" s="4"/>
      <c r="M418" s="10"/>
      <c r="N418" s="10">
        <f>Tabla2456789[[#This Row],[MONTO DE COMPRA]]/1.19</f>
        <v>0</v>
      </c>
      <c r="O418" s="10">
        <f>Tabla2456789[[#This Row],[Columna1]]*19%</f>
        <v>0</v>
      </c>
      <c r="P418" s="10"/>
      <c r="Q418" s="10">
        <f>Tabla2456789[[#This Row],[VENTA ]]/1.19</f>
        <v>0</v>
      </c>
      <c r="R418" s="10">
        <f>Tabla2456789[[#This Row],[Columna2]]*19%</f>
        <v>0</v>
      </c>
      <c r="S418" s="10">
        <f>Tabla2456789[[#This Row],[IVA VENTA ]]-Tabla2456789[[#This Row],[IV COMPRA]]</f>
        <v>0</v>
      </c>
      <c r="T418" s="10">
        <f>(Tabla2456789[[#This Row],[VENTA ]]-(Tabla2456789[[#This Row],[MONTO DE COMPRA]]+Tabla2456789[[#This Row],[DIFERENCIA IVA ]]))</f>
        <v>0</v>
      </c>
      <c r="V418" s="17"/>
    </row>
    <row r="419" spans="1:22" s="15" customFormat="1" ht="20.100000000000001" customHeight="1" x14ac:dyDescent="0.25">
      <c r="A419" s="13"/>
      <c r="B419" s="14"/>
      <c r="C419" s="14"/>
      <c r="D419" s="14"/>
      <c r="G419" s="14"/>
      <c r="H419" s="16"/>
      <c r="J419" s="20">
        <f>IF(G:G="FRENOS",(Tabla2456789[[#This Row],[TOTAL FACTURA]]*0.8),(Tabla2456789[[#This Row],[TOTAL FACTURA]]*0.5))</f>
        <v>0</v>
      </c>
      <c r="K419" s="9" t="e">
        <f>#REF!-J419</f>
        <v>#REF!</v>
      </c>
      <c r="L419" s="4"/>
      <c r="M419" s="10"/>
      <c r="N419" s="10">
        <f>Tabla2456789[[#This Row],[MONTO DE COMPRA]]/1.19</f>
        <v>0</v>
      </c>
      <c r="O419" s="10">
        <f>Tabla2456789[[#This Row],[Columna1]]*19%</f>
        <v>0</v>
      </c>
      <c r="P419" s="10"/>
      <c r="Q419" s="10">
        <f>Tabla2456789[[#This Row],[VENTA ]]/1.19</f>
        <v>0</v>
      </c>
      <c r="R419" s="10">
        <f>Tabla2456789[[#This Row],[Columna2]]*19%</f>
        <v>0</v>
      </c>
      <c r="S419" s="10">
        <f>Tabla2456789[[#This Row],[IVA VENTA ]]-Tabla2456789[[#This Row],[IV COMPRA]]</f>
        <v>0</v>
      </c>
      <c r="T419" s="10">
        <f>(Tabla2456789[[#This Row],[VENTA ]]-(Tabla2456789[[#This Row],[MONTO DE COMPRA]]+Tabla2456789[[#This Row],[DIFERENCIA IVA ]]))</f>
        <v>0</v>
      </c>
      <c r="V419" s="17"/>
    </row>
    <row r="420" spans="1:22" s="15" customFormat="1" ht="20.100000000000001" customHeight="1" x14ac:dyDescent="0.25">
      <c r="A420" s="13"/>
      <c r="B420" s="14"/>
      <c r="C420" s="14"/>
      <c r="D420" s="14"/>
      <c r="G420" s="14"/>
      <c r="H420" s="16"/>
      <c r="J420" s="20">
        <f>IF(G:G="FRENOS",(Tabla2456789[[#This Row],[TOTAL FACTURA]]*0.8),(Tabla2456789[[#This Row],[TOTAL FACTURA]]*0.5))</f>
        <v>0</v>
      </c>
      <c r="K420" s="9" t="e">
        <f>#REF!-J420</f>
        <v>#REF!</v>
      </c>
      <c r="L420" s="4"/>
      <c r="M420" s="10"/>
      <c r="N420" s="10">
        <f>Tabla2456789[[#This Row],[MONTO DE COMPRA]]/1.19</f>
        <v>0</v>
      </c>
      <c r="O420" s="10">
        <f>Tabla2456789[[#This Row],[Columna1]]*19%</f>
        <v>0</v>
      </c>
      <c r="P420" s="10"/>
      <c r="Q420" s="10">
        <f>Tabla2456789[[#This Row],[VENTA ]]/1.19</f>
        <v>0</v>
      </c>
      <c r="R420" s="10">
        <f>Tabla2456789[[#This Row],[Columna2]]*19%</f>
        <v>0</v>
      </c>
      <c r="S420" s="10">
        <f>Tabla2456789[[#This Row],[IVA VENTA ]]-Tabla2456789[[#This Row],[IV COMPRA]]</f>
        <v>0</v>
      </c>
      <c r="T420" s="10">
        <f>(Tabla2456789[[#This Row],[VENTA ]]-(Tabla2456789[[#This Row],[MONTO DE COMPRA]]+Tabla2456789[[#This Row],[DIFERENCIA IVA ]]))</f>
        <v>0</v>
      </c>
      <c r="V420" s="17"/>
    </row>
    <row r="421" spans="1:22" s="15" customFormat="1" ht="20.100000000000001" customHeight="1" x14ac:dyDescent="0.25">
      <c r="A421" s="13"/>
      <c r="B421" s="14"/>
      <c r="C421" s="14"/>
      <c r="D421" s="14"/>
      <c r="G421" s="14"/>
      <c r="H421" s="16"/>
      <c r="J421" s="20">
        <f>IF(G:G="FRENOS",(Tabla2456789[[#This Row],[TOTAL FACTURA]]*0.8),(Tabla2456789[[#This Row],[TOTAL FACTURA]]*0.5))</f>
        <v>0</v>
      </c>
      <c r="K421" s="9" t="e">
        <f>#REF!-J421</f>
        <v>#REF!</v>
      </c>
      <c r="L421" s="4"/>
      <c r="M421" s="10"/>
      <c r="N421" s="10">
        <f>Tabla2456789[[#This Row],[MONTO DE COMPRA]]/1.19</f>
        <v>0</v>
      </c>
      <c r="O421" s="10">
        <f>Tabla2456789[[#This Row],[Columna1]]*19%</f>
        <v>0</v>
      </c>
      <c r="P421" s="10"/>
      <c r="Q421" s="10">
        <f>Tabla2456789[[#This Row],[VENTA ]]/1.19</f>
        <v>0</v>
      </c>
      <c r="R421" s="10">
        <f>Tabla2456789[[#This Row],[Columna2]]*19%</f>
        <v>0</v>
      </c>
      <c r="S421" s="10">
        <f>Tabla2456789[[#This Row],[IVA VENTA ]]-Tabla2456789[[#This Row],[IV COMPRA]]</f>
        <v>0</v>
      </c>
      <c r="T421" s="10">
        <f>(Tabla2456789[[#This Row],[VENTA ]]-(Tabla2456789[[#This Row],[MONTO DE COMPRA]]+Tabla2456789[[#This Row],[DIFERENCIA IVA ]]))</f>
        <v>0</v>
      </c>
      <c r="V421" s="17"/>
    </row>
    <row r="422" spans="1:22" s="15" customFormat="1" ht="20.100000000000001" customHeight="1" x14ac:dyDescent="0.25">
      <c r="A422" s="13"/>
      <c r="B422" s="14"/>
      <c r="C422" s="14"/>
      <c r="D422" s="14"/>
      <c r="G422" s="14"/>
      <c r="H422" s="16"/>
      <c r="J422" s="20">
        <f>IF(G:G="FRENOS",(Tabla2456789[[#This Row],[TOTAL FACTURA]]*0.8),(Tabla2456789[[#This Row],[TOTAL FACTURA]]*0.5))</f>
        <v>0</v>
      </c>
      <c r="K422" s="9" t="e">
        <f>#REF!-J422</f>
        <v>#REF!</v>
      </c>
      <c r="L422" s="4"/>
      <c r="M422" s="10"/>
      <c r="N422" s="10">
        <f>Tabla2456789[[#This Row],[MONTO DE COMPRA]]/1.19</f>
        <v>0</v>
      </c>
      <c r="O422" s="10">
        <f>Tabla2456789[[#This Row],[Columna1]]*19%</f>
        <v>0</v>
      </c>
      <c r="P422" s="10"/>
      <c r="Q422" s="10">
        <f>Tabla2456789[[#This Row],[VENTA ]]/1.19</f>
        <v>0</v>
      </c>
      <c r="R422" s="10">
        <f>Tabla2456789[[#This Row],[Columna2]]*19%</f>
        <v>0</v>
      </c>
      <c r="S422" s="10">
        <f>Tabla2456789[[#This Row],[IVA VENTA ]]-Tabla2456789[[#This Row],[IV COMPRA]]</f>
        <v>0</v>
      </c>
      <c r="T422" s="10">
        <f>(Tabla2456789[[#This Row],[VENTA ]]-(Tabla2456789[[#This Row],[MONTO DE COMPRA]]+Tabla2456789[[#This Row],[DIFERENCIA IVA ]]))</f>
        <v>0</v>
      </c>
      <c r="V422" s="17"/>
    </row>
    <row r="423" spans="1:22" s="15" customFormat="1" ht="20.100000000000001" customHeight="1" x14ac:dyDescent="0.25">
      <c r="A423" s="13"/>
      <c r="B423" s="14"/>
      <c r="C423" s="23"/>
      <c r="D423" s="14"/>
      <c r="G423" s="14"/>
      <c r="H423" s="16"/>
      <c r="J423" s="20">
        <f>IF(G:G="FRENOS",(Tabla2456789[[#This Row],[TOTAL FACTURA]]*0.8),(Tabla2456789[[#This Row],[TOTAL FACTURA]]*0.5))</f>
        <v>0</v>
      </c>
      <c r="K423" s="9" t="e">
        <f>#REF!-J423</f>
        <v>#REF!</v>
      </c>
      <c r="L423" s="4"/>
      <c r="M423" s="10"/>
      <c r="N423" s="10">
        <f>Tabla2456789[[#This Row],[MONTO DE COMPRA]]/1.19</f>
        <v>0</v>
      </c>
      <c r="O423" s="10">
        <f>Tabla2456789[[#This Row],[Columna1]]*19%</f>
        <v>0</v>
      </c>
      <c r="P423" s="10"/>
      <c r="Q423" s="10">
        <f>Tabla2456789[[#This Row],[VENTA ]]/1.19</f>
        <v>0</v>
      </c>
      <c r="R423" s="10">
        <f>Tabla2456789[[#This Row],[Columna2]]*19%</f>
        <v>0</v>
      </c>
      <c r="S423" s="10">
        <f>Tabla2456789[[#This Row],[IVA VENTA ]]-Tabla2456789[[#This Row],[IV COMPRA]]</f>
        <v>0</v>
      </c>
      <c r="T423" s="10">
        <f>(Tabla2456789[[#This Row],[VENTA ]]-(Tabla2456789[[#This Row],[MONTO DE COMPRA]]+Tabla2456789[[#This Row],[DIFERENCIA IVA ]]))</f>
        <v>0</v>
      </c>
      <c r="V423" s="17"/>
    </row>
    <row r="424" spans="1:22" s="15" customFormat="1" ht="20.100000000000001" customHeight="1" x14ac:dyDescent="0.25">
      <c r="A424" s="13"/>
      <c r="B424" s="14"/>
      <c r="C424" s="23"/>
      <c r="D424" s="14"/>
      <c r="G424" s="14"/>
      <c r="H424" s="16"/>
      <c r="J424" s="20">
        <f>IF(G:G="FRENOS",(Tabla2456789[[#This Row],[TOTAL FACTURA]]*0.8),(Tabla2456789[[#This Row],[TOTAL FACTURA]]*0.5))</f>
        <v>0</v>
      </c>
      <c r="K424" s="9" t="e">
        <f>#REF!-J424</f>
        <v>#REF!</v>
      </c>
      <c r="L424" s="4"/>
      <c r="M424" s="10"/>
      <c r="N424" s="10">
        <f>Tabla2456789[[#This Row],[MONTO DE COMPRA]]/1.19</f>
        <v>0</v>
      </c>
      <c r="O424" s="10">
        <f>Tabla2456789[[#This Row],[Columna1]]*19%</f>
        <v>0</v>
      </c>
      <c r="P424" s="10"/>
      <c r="Q424" s="10">
        <f>Tabla2456789[[#This Row],[VENTA ]]/1.19</f>
        <v>0</v>
      </c>
      <c r="R424" s="10">
        <f>Tabla2456789[[#This Row],[Columna2]]*19%</f>
        <v>0</v>
      </c>
      <c r="S424" s="10">
        <f>Tabla2456789[[#This Row],[IVA VENTA ]]-Tabla2456789[[#This Row],[IV COMPRA]]</f>
        <v>0</v>
      </c>
      <c r="T424" s="10">
        <f>(Tabla2456789[[#This Row],[VENTA ]]-(Tabla2456789[[#This Row],[MONTO DE COMPRA]]+Tabla2456789[[#This Row],[DIFERENCIA IVA ]]))</f>
        <v>0</v>
      </c>
      <c r="V424" s="17"/>
    </row>
    <row r="425" spans="1:22" s="15" customFormat="1" ht="20.100000000000001" customHeight="1" x14ac:dyDescent="0.25">
      <c r="A425" s="13"/>
      <c r="B425" s="14"/>
      <c r="C425" s="23"/>
      <c r="D425" s="14"/>
      <c r="G425" s="14"/>
      <c r="H425" s="16"/>
      <c r="J425" s="20">
        <f>IF(G:G="FRENOS",(Tabla2456789[[#This Row],[TOTAL FACTURA]]*0.8),(Tabla2456789[[#This Row],[TOTAL FACTURA]]*0.5))</f>
        <v>0</v>
      </c>
      <c r="K425" s="9" t="e">
        <f>#REF!-J425</f>
        <v>#REF!</v>
      </c>
      <c r="L425" s="4"/>
      <c r="M425" s="10"/>
      <c r="N425" s="10">
        <f>Tabla2456789[[#This Row],[MONTO DE COMPRA]]/1.19</f>
        <v>0</v>
      </c>
      <c r="O425" s="10">
        <f>Tabla2456789[[#This Row],[Columna1]]*19%</f>
        <v>0</v>
      </c>
      <c r="P425" s="10"/>
      <c r="Q425" s="10">
        <f>Tabla2456789[[#This Row],[VENTA ]]/1.19</f>
        <v>0</v>
      </c>
      <c r="R425" s="10">
        <f>Tabla2456789[[#This Row],[Columna2]]*19%</f>
        <v>0</v>
      </c>
      <c r="S425" s="10">
        <f>Tabla2456789[[#This Row],[IVA VENTA ]]-Tabla2456789[[#This Row],[IV COMPRA]]</f>
        <v>0</v>
      </c>
      <c r="T425" s="10">
        <f>(Tabla2456789[[#This Row],[VENTA ]]-(Tabla2456789[[#This Row],[MONTO DE COMPRA]]+Tabla2456789[[#This Row],[DIFERENCIA IVA ]]))</f>
        <v>0</v>
      </c>
      <c r="V425" s="17"/>
    </row>
    <row r="426" spans="1:22" s="15" customFormat="1" ht="20.100000000000001" customHeight="1" x14ac:dyDescent="0.25">
      <c r="A426" s="13"/>
      <c r="B426" s="14"/>
      <c r="C426" s="14"/>
      <c r="D426" s="14"/>
      <c r="G426" s="14"/>
      <c r="H426" s="16"/>
      <c r="J426" s="20">
        <f>IF(G:G="FRENOS",(Tabla2456789[[#This Row],[TOTAL FACTURA]]*0.8),(Tabla2456789[[#This Row],[TOTAL FACTURA]]*0.5))</f>
        <v>0</v>
      </c>
      <c r="K426" s="9" t="e">
        <f>#REF!-J426</f>
        <v>#REF!</v>
      </c>
      <c r="L426" s="4"/>
      <c r="M426" s="10"/>
      <c r="N426" s="10">
        <f>Tabla2456789[[#This Row],[MONTO DE COMPRA]]/1.19</f>
        <v>0</v>
      </c>
      <c r="O426" s="10">
        <f>Tabla2456789[[#This Row],[Columna1]]*19%</f>
        <v>0</v>
      </c>
      <c r="P426" s="10"/>
      <c r="Q426" s="10">
        <f>Tabla2456789[[#This Row],[VENTA ]]/1.19</f>
        <v>0</v>
      </c>
      <c r="R426" s="10">
        <f>Tabla2456789[[#This Row],[Columna2]]*19%</f>
        <v>0</v>
      </c>
      <c r="S426" s="10">
        <f>Tabla2456789[[#This Row],[IVA VENTA ]]-Tabla2456789[[#This Row],[IV COMPRA]]</f>
        <v>0</v>
      </c>
      <c r="T426" s="10">
        <f>(Tabla2456789[[#This Row],[VENTA ]]-(Tabla2456789[[#This Row],[MONTO DE COMPRA]]+Tabla2456789[[#This Row],[DIFERENCIA IVA ]]))</f>
        <v>0</v>
      </c>
      <c r="V426" s="17"/>
    </row>
    <row r="427" spans="1:22" s="15" customFormat="1" ht="20.100000000000001" customHeight="1" x14ac:dyDescent="0.25">
      <c r="A427" s="13"/>
      <c r="B427" s="14"/>
      <c r="C427" s="14"/>
      <c r="D427" s="14"/>
      <c r="G427" s="14"/>
      <c r="H427" s="16"/>
      <c r="J427" s="20">
        <f>IF(G:G="FRENOS",(Tabla2456789[[#This Row],[TOTAL FACTURA]]*0.8),(Tabla2456789[[#This Row],[TOTAL FACTURA]]*0.5))</f>
        <v>0</v>
      </c>
      <c r="K427" s="9" t="e">
        <f>#REF!-J427</f>
        <v>#REF!</v>
      </c>
      <c r="L427" s="4"/>
      <c r="M427" s="10"/>
      <c r="N427" s="10">
        <f>Tabla2456789[[#This Row],[MONTO DE COMPRA]]/1.19</f>
        <v>0</v>
      </c>
      <c r="O427" s="10">
        <f>Tabla2456789[[#This Row],[Columna1]]*19%</f>
        <v>0</v>
      </c>
      <c r="P427" s="10"/>
      <c r="Q427" s="10">
        <f>Tabla2456789[[#This Row],[VENTA ]]/1.19</f>
        <v>0</v>
      </c>
      <c r="R427" s="10">
        <f>Tabla2456789[[#This Row],[Columna2]]*19%</f>
        <v>0</v>
      </c>
      <c r="S427" s="10">
        <f>Tabla2456789[[#This Row],[IVA VENTA ]]-Tabla2456789[[#This Row],[IV COMPRA]]</f>
        <v>0</v>
      </c>
      <c r="T427" s="10">
        <f>(Tabla2456789[[#This Row],[VENTA ]]-(Tabla2456789[[#This Row],[MONTO DE COMPRA]]+Tabla2456789[[#This Row],[DIFERENCIA IVA ]]))</f>
        <v>0</v>
      </c>
      <c r="V427" s="17"/>
    </row>
    <row r="428" spans="1:22" s="15" customFormat="1" ht="20.100000000000001" customHeight="1" x14ac:dyDescent="0.25">
      <c r="A428" s="13"/>
      <c r="B428" s="14"/>
      <c r="C428" s="14"/>
      <c r="D428" s="14"/>
      <c r="G428" s="14"/>
      <c r="H428" s="16"/>
      <c r="J428" s="20">
        <f>IF(G:G="FRENOS",(Tabla2456789[[#This Row],[TOTAL FACTURA]]*0.8),(Tabla2456789[[#This Row],[TOTAL FACTURA]]*0.5))</f>
        <v>0</v>
      </c>
      <c r="K428" s="9" t="e">
        <f>#REF!-J428</f>
        <v>#REF!</v>
      </c>
      <c r="L428" s="4"/>
      <c r="M428" s="10"/>
      <c r="N428" s="10">
        <f>Tabla2456789[[#This Row],[MONTO DE COMPRA]]/1.19</f>
        <v>0</v>
      </c>
      <c r="O428" s="10">
        <f>Tabla2456789[[#This Row],[Columna1]]*19%</f>
        <v>0</v>
      </c>
      <c r="P428" s="10"/>
      <c r="Q428" s="10">
        <f>Tabla2456789[[#This Row],[VENTA ]]/1.19</f>
        <v>0</v>
      </c>
      <c r="R428" s="10">
        <f>Tabla2456789[[#This Row],[Columna2]]*19%</f>
        <v>0</v>
      </c>
      <c r="S428" s="10">
        <f>Tabla2456789[[#This Row],[IVA VENTA ]]-Tabla2456789[[#This Row],[IV COMPRA]]</f>
        <v>0</v>
      </c>
      <c r="T428" s="10">
        <f>(Tabla2456789[[#This Row],[VENTA ]]-(Tabla2456789[[#This Row],[MONTO DE COMPRA]]+Tabla2456789[[#This Row],[DIFERENCIA IVA ]]))</f>
        <v>0</v>
      </c>
      <c r="V428" s="17"/>
    </row>
    <row r="429" spans="1:22" s="15" customFormat="1" ht="20.100000000000001" customHeight="1" x14ac:dyDescent="0.25">
      <c r="A429" s="13"/>
      <c r="B429" s="14"/>
      <c r="C429" s="14"/>
      <c r="D429" s="14"/>
      <c r="G429" s="14"/>
      <c r="H429" s="16"/>
      <c r="J429" s="20">
        <f>IF(G:G="FRENOS",(Tabla2456789[[#This Row],[TOTAL FACTURA]]*0.8),(Tabla2456789[[#This Row],[TOTAL FACTURA]]*0.5))</f>
        <v>0</v>
      </c>
      <c r="K429" s="9" t="e">
        <f>#REF!-J429</f>
        <v>#REF!</v>
      </c>
      <c r="L429" s="4"/>
      <c r="M429" s="10"/>
      <c r="N429" s="10">
        <f>Tabla2456789[[#This Row],[MONTO DE COMPRA]]/1.19</f>
        <v>0</v>
      </c>
      <c r="O429" s="10">
        <f>Tabla2456789[[#This Row],[Columna1]]*19%</f>
        <v>0</v>
      </c>
      <c r="P429" s="10"/>
      <c r="Q429" s="10">
        <f>Tabla2456789[[#This Row],[VENTA ]]/1.19</f>
        <v>0</v>
      </c>
      <c r="R429" s="10">
        <f>Tabla2456789[[#This Row],[Columna2]]*19%</f>
        <v>0</v>
      </c>
      <c r="S429" s="10">
        <f>Tabla2456789[[#This Row],[IVA VENTA ]]-Tabla2456789[[#This Row],[IV COMPRA]]</f>
        <v>0</v>
      </c>
      <c r="T429" s="10">
        <f>(Tabla2456789[[#This Row],[VENTA ]]-(Tabla2456789[[#This Row],[MONTO DE COMPRA]]+Tabla2456789[[#This Row],[DIFERENCIA IVA ]]))</f>
        <v>0</v>
      </c>
      <c r="V429" s="17"/>
    </row>
    <row r="430" spans="1:22" s="15" customFormat="1" ht="20.100000000000001" customHeight="1" x14ac:dyDescent="0.25">
      <c r="A430" s="13"/>
      <c r="B430" s="14"/>
      <c r="C430" s="14"/>
      <c r="D430" s="14"/>
      <c r="G430" s="14"/>
      <c r="H430" s="16"/>
      <c r="J430" s="20">
        <f>IF(G:G="FRENOS",(Tabla2456789[[#This Row],[TOTAL FACTURA]]*0.8),(Tabla2456789[[#This Row],[TOTAL FACTURA]]*0.5))</f>
        <v>0</v>
      </c>
      <c r="K430" s="9" t="e">
        <f>#REF!-J430</f>
        <v>#REF!</v>
      </c>
      <c r="L430" s="4"/>
      <c r="M430" s="10"/>
      <c r="N430" s="10">
        <f>Tabla2456789[[#This Row],[MONTO DE COMPRA]]/1.19</f>
        <v>0</v>
      </c>
      <c r="O430" s="10">
        <f>Tabla2456789[[#This Row],[Columna1]]*19%</f>
        <v>0</v>
      </c>
      <c r="P430" s="10"/>
      <c r="Q430" s="10">
        <f>Tabla2456789[[#This Row],[VENTA ]]/1.19</f>
        <v>0</v>
      </c>
      <c r="R430" s="10">
        <f>Tabla2456789[[#This Row],[Columna2]]*19%</f>
        <v>0</v>
      </c>
      <c r="S430" s="10">
        <f>Tabla2456789[[#This Row],[IVA VENTA ]]-Tabla2456789[[#This Row],[IV COMPRA]]</f>
        <v>0</v>
      </c>
      <c r="T430" s="10">
        <f>(Tabla2456789[[#This Row],[VENTA ]]-(Tabla2456789[[#This Row],[MONTO DE COMPRA]]+Tabla2456789[[#This Row],[DIFERENCIA IVA ]]))</f>
        <v>0</v>
      </c>
      <c r="V430" s="17"/>
    </row>
    <row r="431" spans="1:22" s="15" customFormat="1" ht="20.100000000000001" customHeight="1" x14ac:dyDescent="0.25">
      <c r="A431" s="13"/>
      <c r="B431" s="14"/>
      <c r="C431" s="14"/>
      <c r="D431" s="14"/>
      <c r="G431" s="14"/>
      <c r="H431" s="16"/>
      <c r="J431" s="20">
        <f>IF(G:G="FRENOS",(Tabla2456789[[#This Row],[TOTAL FACTURA]]*0.8),(Tabla2456789[[#This Row],[TOTAL FACTURA]]*0.5))</f>
        <v>0</v>
      </c>
      <c r="K431" s="9" t="e">
        <f>#REF!-J431</f>
        <v>#REF!</v>
      </c>
      <c r="L431" s="4"/>
      <c r="M431" s="10"/>
      <c r="N431" s="10">
        <f>Tabla2456789[[#This Row],[MONTO DE COMPRA]]/1.19</f>
        <v>0</v>
      </c>
      <c r="O431" s="10">
        <f>Tabla2456789[[#This Row],[Columna1]]*19%</f>
        <v>0</v>
      </c>
      <c r="P431" s="10"/>
      <c r="Q431" s="10">
        <f>Tabla2456789[[#This Row],[VENTA ]]/1.19</f>
        <v>0</v>
      </c>
      <c r="R431" s="10">
        <f>Tabla2456789[[#This Row],[Columna2]]*19%</f>
        <v>0</v>
      </c>
      <c r="S431" s="10">
        <f>Tabla2456789[[#This Row],[IVA VENTA ]]-Tabla2456789[[#This Row],[IV COMPRA]]</f>
        <v>0</v>
      </c>
      <c r="T431" s="10">
        <f>(Tabla2456789[[#This Row],[VENTA ]]-(Tabla2456789[[#This Row],[MONTO DE COMPRA]]+Tabla2456789[[#This Row],[DIFERENCIA IVA ]]))</f>
        <v>0</v>
      </c>
      <c r="V431" s="17"/>
    </row>
    <row r="432" spans="1:22" s="15" customFormat="1" ht="20.100000000000001" customHeight="1" x14ac:dyDescent="0.25">
      <c r="A432" s="13"/>
      <c r="B432" s="14"/>
      <c r="C432" s="14"/>
      <c r="D432" s="14"/>
      <c r="G432" s="14"/>
      <c r="H432" s="16"/>
      <c r="J432" s="20">
        <f>IF(G:G="FRENOS",(Tabla2456789[[#This Row],[TOTAL FACTURA]]*0.8),(Tabla2456789[[#This Row],[TOTAL FACTURA]]*0.5))</f>
        <v>0</v>
      </c>
      <c r="K432" s="9" t="e">
        <f>#REF!-J432</f>
        <v>#REF!</v>
      </c>
      <c r="L432" s="4"/>
      <c r="M432" s="10"/>
      <c r="N432" s="10">
        <f>Tabla2456789[[#This Row],[MONTO DE COMPRA]]/1.19</f>
        <v>0</v>
      </c>
      <c r="O432" s="10">
        <f>Tabla2456789[[#This Row],[Columna1]]*19%</f>
        <v>0</v>
      </c>
      <c r="P432" s="10"/>
      <c r="Q432" s="10">
        <f>Tabla2456789[[#This Row],[VENTA ]]/1.19</f>
        <v>0</v>
      </c>
      <c r="R432" s="10">
        <f>Tabla2456789[[#This Row],[Columna2]]*19%</f>
        <v>0</v>
      </c>
      <c r="S432" s="10">
        <f>Tabla2456789[[#This Row],[IVA VENTA ]]-Tabla2456789[[#This Row],[IV COMPRA]]</f>
        <v>0</v>
      </c>
      <c r="T432" s="10">
        <f>(Tabla2456789[[#This Row],[VENTA ]]-(Tabla2456789[[#This Row],[MONTO DE COMPRA]]+Tabla2456789[[#This Row],[DIFERENCIA IVA ]]))</f>
        <v>0</v>
      </c>
      <c r="V432" s="17"/>
    </row>
    <row r="433" spans="1:23" s="15" customFormat="1" ht="20.100000000000001" customHeight="1" x14ac:dyDescent="0.25">
      <c r="A433" s="13"/>
      <c r="B433" s="14"/>
      <c r="C433" s="14"/>
      <c r="D433" s="14"/>
      <c r="G433" s="14"/>
      <c r="H433" s="16"/>
      <c r="J433" s="20">
        <f>IF(G:G="FRENOS",(Tabla2456789[[#This Row],[TOTAL FACTURA]]*0.8),(Tabla2456789[[#This Row],[TOTAL FACTURA]]*0.5))</f>
        <v>0</v>
      </c>
      <c r="K433" s="9" t="e">
        <f>#REF!-J433</f>
        <v>#REF!</v>
      </c>
      <c r="L433" s="4"/>
      <c r="M433" s="10"/>
      <c r="N433" s="10">
        <f>Tabla2456789[[#This Row],[MONTO DE COMPRA]]/1.19</f>
        <v>0</v>
      </c>
      <c r="O433" s="10">
        <f>Tabla2456789[[#This Row],[Columna1]]*19%</f>
        <v>0</v>
      </c>
      <c r="P433" s="10"/>
      <c r="Q433" s="10">
        <f>Tabla2456789[[#This Row],[VENTA ]]/1.19</f>
        <v>0</v>
      </c>
      <c r="R433" s="10">
        <f>Tabla2456789[[#This Row],[Columna2]]*19%</f>
        <v>0</v>
      </c>
      <c r="S433" s="10">
        <f>Tabla2456789[[#This Row],[IVA VENTA ]]-Tabla2456789[[#This Row],[IV COMPRA]]</f>
        <v>0</v>
      </c>
      <c r="T433" s="10">
        <f>(Tabla2456789[[#This Row],[VENTA ]]-(Tabla2456789[[#This Row],[MONTO DE COMPRA]]+Tabla2456789[[#This Row],[DIFERENCIA IVA ]]))</f>
        <v>0</v>
      </c>
      <c r="V433" s="17"/>
    </row>
    <row r="434" spans="1:23" ht="20.100000000000001" customHeight="1" x14ac:dyDescent="0.25">
      <c r="A434" s="13"/>
      <c r="B434" s="14"/>
      <c r="C434" s="14"/>
      <c r="D434" s="14"/>
      <c r="E434" s="15"/>
      <c r="F434" s="15"/>
      <c r="G434" s="14"/>
      <c r="H434" s="16"/>
      <c r="I434" s="15"/>
      <c r="J434" s="20">
        <f>IF(G:G="FRENOS",(Tabla2456789[[#This Row],[TOTAL FACTURA]]*0.8),(Tabla2456789[[#This Row],[TOTAL FACTURA]]*0.5))</f>
        <v>0</v>
      </c>
      <c r="K434" s="9" t="e">
        <f>#REF!-J434</f>
        <v>#REF!</v>
      </c>
      <c r="L434" s="4"/>
      <c r="M434" s="10"/>
      <c r="N434" s="10">
        <f>Tabla2456789[[#This Row],[MONTO DE COMPRA]]/1.19</f>
        <v>0</v>
      </c>
      <c r="O434" s="10">
        <f>Tabla2456789[[#This Row],[Columna1]]*19%</f>
        <v>0</v>
      </c>
      <c r="P434" s="10"/>
      <c r="Q434" s="10">
        <f>Tabla2456789[[#This Row],[VENTA ]]/1.19</f>
        <v>0</v>
      </c>
      <c r="R434" s="10">
        <f>Tabla2456789[[#This Row],[Columna2]]*19%</f>
        <v>0</v>
      </c>
      <c r="S434" s="10">
        <f>Tabla2456789[[#This Row],[IVA VENTA ]]-Tabla2456789[[#This Row],[IV COMPRA]]</f>
        <v>0</v>
      </c>
      <c r="T434" s="10">
        <f>(Tabla2456789[[#This Row],[VENTA ]]-(Tabla2456789[[#This Row],[MONTO DE COMPRA]]+Tabla2456789[[#This Row],[DIFERENCIA IVA ]]))</f>
        <v>0</v>
      </c>
      <c r="U434" s="15"/>
      <c r="V434" s="5"/>
      <c r="W434" s="3"/>
    </row>
    <row r="435" spans="1:23" ht="20.100000000000001" customHeight="1" x14ac:dyDescent="0.25">
      <c r="A435" s="13"/>
      <c r="B435" s="14"/>
      <c r="C435" s="14"/>
      <c r="D435" s="14"/>
      <c r="E435" s="15"/>
      <c r="F435" s="15"/>
      <c r="G435" s="14"/>
      <c r="H435" s="16"/>
      <c r="I435" s="15"/>
      <c r="J435" s="20">
        <f>IF(G:G="FRENOS",(Tabla2456789[[#This Row],[TOTAL FACTURA]]*0.8),(Tabla2456789[[#This Row],[TOTAL FACTURA]]*0.5))</f>
        <v>0</v>
      </c>
      <c r="K435" s="9" t="e">
        <f>#REF!-J435</f>
        <v>#REF!</v>
      </c>
      <c r="L435" s="4"/>
      <c r="M435" s="10"/>
      <c r="N435" s="10">
        <f>Tabla2456789[[#This Row],[MONTO DE COMPRA]]/1.19</f>
        <v>0</v>
      </c>
      <c r="O435" s="10">
        <f>Tabla2456789[[#This Row],[Columna1]]*19%</f>
        <v>0</v>
      </c>
      <c r="P435" s="10"/>
      <c r="Q435" s="10">
        <f>Tabla2456789[[#This Row],[VENTA ]]/1.19</f>
        <v>0</v>
      </c>
      <c r="R435" s="10">
        <f>Tabla2456789[[#This Row],[Columna2]]*19%</f>
        <v>0</v>
      </c>
      <c r="S435" s="10">
        <f>Tabla2456789[[#This Row],[IVA VENTA ]]-Tabla2456789[[#This Row],[IV COMPRA]]</f>
        <v>0</v>
      </c>
      <c r="T435" s="10">
        <f>(Tabla2456789[[#This Row],[VENTA ]]-(Tabla2456789[[#This Row],[MONTO DE COMPRA]]+Tabla2456789[[#This Row],[DIFERENCIA IVA ]]))</f>
        <v>0</v>
      </c>
      <c r="U435" s="15"/>
      <c r="V435" s="5"/>
      <c r="W435" s="3"/>
    </row>
    <row r="436" spans="1:23" ht="20.100000000000001" customHeight="1" x14ac:dyDescent="0.25">
      <c r="A436" s="13"/>
      <c r="B436" s="14"/>
      <c r="C436" s="14"/>
      <c r="D436" s="14"/>
      <c r="E436" s="15"/>
      <c r="F436" s="15"/>
      <c r="G436" s="14"/>
      <c r="H436" s="16"/>
      <c r="I436" s="15"/>
      <c r="J436" s="20">
        <f>IF(G:G="FRENOS",(Tabla2456789[[#This Row],[TOTAL FACTURA]]*0.8),(Tabla2456789[[#This Row],[TOTAL FACTURA]]*0.5))</f>
        <v>0</v>
      </c>
      <c r="K436" s="9" t="e">
        <f>#REF!-J436</f>
        <v>#REF!</v>
      </c>
      <c r="L436" s="4"/>
      <c r="M436" s="10"/>
      <c r="N436" s="10">
        <f>Tabla2456789[[#This Row],[MONTO DE COMPRA]]/1.19</f>
        <v>0</v>
      </c>
      <c r="O436" s="10">
        <f>Tabla2456789[[#This Row],[Columna1]]*19%</f>
        <v>0</v>
      </c>
      <c r="P436" s="10"/>
      <c r="Q436" s="10">
        <f>Tabla2456789[[#This Row],[VENTA ]]/1.19</f>
        <v>0</v>
      </c>
      <c r="R436" s="10">
        <f>Tabla2456789[[#This Row],[Columna2]]*19%</f>
        <v>0</v>
      </c>
      <c r="S436" s="10">
        <f>Tabla2456789[[#This Row],[IVA VENTA ]]-Tabla2456789[[#This Row],[IV COMPRA]]</f>
        <v>0</v>
      </c>
      <c r="T436" s="10">
        <f>(Tabla2456789[[#This Row],[VENTA ]]-(Tabla2456789[[#This Row],[MONTO DE COMPRA]]+Tabla2456789[[#This Row],[DIFERENCIA IVA ]]))</f>
        <v>0</v>
      </c>
      <c r="U436" s="15"/>
    </row>
    <row r="437" spans="1:23" ht="20.100000000000001" customHeight="1" x14ac:dyDescent="0.25">
      <c r="A437" s="13"/>
      <c r="B437" s="14"/>
      <c r="C437" s="14"/>
      <c r="D437" s="14"/>
      <c r="E437" s="15"/>
      <c r="F437" s="15"/>
      <c r="G437" s="14"/>
      <c r="H437" s="16"/>
      <c r="I437" s="15"/>
      <c r="J437" s="20">
        <f>IF(G:G="FRENOS",(Tabla2456789[[#This Row],[TOTAL FACTURA]]*0.8),(Tabla2456789[[#This Row],[TOTAL FACTURA]]*0.5))</f>
        <v>0</v>
      </c>
      <c r="K437" s="9" t="e">
        <f>#REF!-J437</f>
        <v>#REF!</v>
      </c>
      <c r="L437" s="4"/>
      <c r="M437" s="10"/>
      <c r="N437" s="10">
        <f>Tabla2456789[[#This Row],[MONTO DE COMPRA]]/1.19</f>
        <v>0</v>
      </c>
      <c r="O437" s="10">
        <f>Tabla2456789[[#This Row],[Columna1]]*19%</f>
        <v>0</v>
      </c>
      <c r="P437" s="10"/>
      <c r="Q437" s="10">
        <f>Tabla2456789[[#This Row],[VENTA ]]/1.19</f>
        <v>0</v>
      </c>
      <c r="R437" s="10">
        <f>Tabla2456789[[#This Row],[Columna2]]*19%</f>
        <v>0</v>
      </c>
      <c r="S437" s="10">
        <f>Tabla2456789[[#This Row],[IVA VENTA ]]-Tabla2456789[[#This Row],[IV COMPRA]]</f>
        <v>0</v>
      </c>
      <c r="T437" s="10">
        <f>(Tabla2456789[[#This Row],[VENTA ]]-(Tabla2456789[[#This Row],[MONTO DE COMPRA]]+Tabla2456789[[#This Row],[DIFERENCIA IVA ]]))</f>
        <v>0</v>
      </c>
      <c r="U437" s="15"/>
    </row>
    <row r="438" spans="1:23" ht="23.25" customHeight="1" x14ac:dyDescent="0.25">
      <c r="A438" s="13"/>
      <c r="B438" s="14"/>
      <c r="C438" s="14"/>
      <c r="D438" s="14"/>
      <c r="E438" s="15"/>
      <c r="F438" s="15"/>
      <c r="G438" s="14"/>
      <c r="H438" s="16"/>
      <c r="I438" s="15"/>
      <c r="J438" s="20">
        <f>IF(G:G="FRENOS",(Tabla2456789[[#This Row],[TOTAL FACTURA]]*0.8),(Tabla2456789[[#This Row],[TOTAL FACTURA]]*0.5))</f>
        <v>0</v>
      </c>
      <c r="K438" s="9" t="e">
        <f>#REF!-J438</f>
        <v>#REF!</v>
      </c>
      <c r="L438" s="4"/>
      <c r="M438" s="10"/>
      <c r="N438" s="10">
        <f>Tabla2456789[[#This Row],[MONTO DE COMPRA]]/1.19</f>
        <v>0</v>
      </c>
      <c r="O438" s="10">
        <f>Tabla2456789[[#This Row],[Columna1]]*19%</f>
        <v>0</v>
      </c>
      <c r="P438" s="10"/>
      <c r="Q438" s="10">
        <f>Tabla2456789[[#This Row],[VENTA ]]/1.19</f>
        <v>0</v>
      </c>
      <c r="R438" s="10">
        <f>Tabla2456789[[#This Row],[Columna2]]*19%</f>
        <v>0</v>
      </c>
      <c r="S438" s="10">
        <f>Tabla2456789[[#This Row],[IVA VENTA ]]-Tabla2456789[[#This Row],[IV COMPRA]]</f>
        <v>0</v>
      </c>
      <c r="T438" s="10">
        <f>(Tabla2456789[[#This Row],[VENTA ]]-(Tabla2456789[[#This Row],[MONTO DE COMPRA]]+Tabla2456789[[#This Row],[DIFERENCIA IVA ]]))</f>
        <v>0</v>
      </c>
      <c r="U438" s="15"/>
    </row>
    <row r="439" spans="1:23" ht="20.100000000000001" customHeight="1" x14ac:dyDescent="0.25">
      <c r="A439" s="13"/>
      <c r="B439" s="14"/>
      <c r="C439" s="14"/>
      <c r="D439" s="14"/>
      <c r="E439" s="15"/>
      <c r="F439" s="15"/>
      <c r="G439" s="14"/>
      <c r="H439" s="16"/>
      <c r="I439" s="15"/>
      <c r="J439" s="20">
        <f>IF(G:G="FRENOS",(Tabla2456789[[#This Row],[TOTAL FACTURA]]*0.8),(Tabla2456789[[#This Row],[TOTAL FACTURA]]*0.5))</f>
        <v>0</v>
      </c>
      <c r="K439" s="9" t="e">
        <f>#REF!-J439</f>
        <v>#REF!</v>
      </c>
      <c r="L439" s="4"/>
      <c r="M439" s="10"/>
      <c r="N439" s="10">
        <f>Tabla2456789[[#This Row],[MONTO DE COMPRA]]/1.19</f>
        <v>0</v>
      </c>
      <c r="O439" s="10">
        <f>Tabla2456789[[#This Row],[Columna1]]*19%</f>
        <v>0</v>
      </c>
      <c r="P439" s="10"/>
      <c r="Q439" s="10">
        <f>Tabla2456789[[#This Row],[VENTA ]]/1.19</f>
        <v>0</v>
      </c>
      <c r="R439" s="10">
        <f>Tabla2456789[[#This Row],[Columna2]]*19%</f>
        <v>0</v>
      </c>
      <c r="S439" s="10">
        <f>Tabla2456789[[#This Row],[IVA VENTA ]]-Tabla2456789[[#This Row],[IV COMPRA]]</f>
        <v>0</v>
      </c>
      <c r="T439" s="10">
        <f>(Tabla2456789[[#This Row],[VENTA ]]-(Tabla2456789[[#This Row],[MONTO DE COMPRA]]+Tabla2456789[[#This Row],[DIFERENCIA IVA ]]))</f>
        <v>0</v>
      </c>
      <c r="U439" s="15"/>
    </row>
    <row r="440" spans="1:23" ht="20.100000000000001" customHeight="1" x14ac:dyDescent="0.25">
      <c r="A440" s="13"/>
      <c r="B440" s="14"/>
      <c r="C440" s="14"/>
      <c r="D440" s="14"/>
      <c r="E440" s="15"/>
      <c r="F440" s="15"/>
      <c r="G440" s="14"/>
      <c r="H440" s="16"/>
      <c r="I440" s="15"/>
      <c r="J440" s="20">
        <f>IF(G:G="FRENOS",(Tabla2456789[[#This Row],[TOTAL FACTURA]]*0.8),(Tabla2456789[[#This Row],[TOTAL FACTURA]]*0.5))</f>
        <v>0</v>
      </c>
      <c r="K440" s="9" t="e">
        <f>#REF!-J440</f>
        <v>#REF!</v>
      </c>
      <c r="L440" s="4"/>
      <c r="M440" s="10"/>
      <c r="N440" s="10">
        <f>Tabla2456789[[#This Row],[MONTO DE COMPRA]]/1.19</f>
        <v>0</v>
      </c>
      <c r="O440" s="10">
        <f>Tabla2456789[[#This Row],[Columna1]]*19%</f>
        <v>0</v>
      </c>
      <c r="P440" s="10"/>
      <c r="Q440" s="10">
        <f>Tabla2456789[[#This Row],[VENTA ]]/1.19</f>
        <v>0</v>
      </c>
      <c r="R440" s="10">
        <f>Tabla2456789[[#This Row],[Columna2]]*19%</f>
        <v>0</v>
      </c>
      <c r="S440" s="10">
        <f>Tabla2456789[[#This Row],[IVA VENTA ]]-Tabla2456789[[#This Row],[IV COMPRA]]</f>
        <v>0</v>
      </c>
      <c r="T440" s="10">
        <f>(Tabla2456789[[#This Row],[VENTA ]]-(Tabla2456789[[#This Row],[MONTO DE COMPRA]]+Tabla2456789[[#This Row],[DIFERENCIA IVA ]]))</f>
        <v>0</v>
      </c>
      <c r="U440" s="15"/>
    </row>
    <row r="441" spans="1:23" ht="20.100000000000001" customHeight="1" x14ac:dyDescent="0.25">
      <c r="A441" s="13"/>
      <c r="B441" s="14"/>
      <c r="C441" s="14"/>
      <c r="D441" s="14"/>
      <c r="E441" s="15"/>
      <c r="F441" s="15"/>
      <c r="G441" s="14"/>
      <c r="H441" s="16"/>
      <c r="I441" s="15"/>
      <c r="J441" s="20">
        <f>IF(G:G="FRENOS",(Tabla2456789[[#This Row],[TOTAL FACTURA]]*0.8),(Tabla2456789[[#This Row],[TOTAL FACTURA]]*0.5))</f>
        <v>0</v>
      </c>
      <c r="K441" s="9" t="e">
        <f>#REF!-J441</f>
        <v>#REF!</v>
      </c>
      <c r="L441" s="4"/>
      <c r="M441" s="10"/>
      <c r="N441" s="10">
        <f>Tabla2456789[[#This Row],[MONTO DE COMPRA]]/1.19</f>
        <v>0</v>
      </c>
      <c r="O441" s="10">
        <f>Tabla2456789[[#This Row],[Columna1]]*19%</f>
        <v>0</v>
      </c>
      <c r="P441" s="10"/>
      <c r="Q441" s="10">
        <f>Tabla2456789[[#This Row],[VENTA ]]/1.19</f>
        <v>0</v>
      </c>
      <c r="R441" s="10">
        <f>Tabla2456789[[#This Row],[Columna2]]*19%</f>
        <v>0</v>
      </c>
      <c r="S441" s="10">
        <f>Tabla2456789[[#This Row],[IVA VENTA ]]-Tabla2456789[[#This Row],[IV COMPRA]]</f>
        <v>0</v>
      </c>
      <c r="T441" s="10">
        <f>(Tabla2456789[[#This Row],[VENTA ]]-(Tabla2456789[[#This Row],[MONTO DE COMPRA]]+Tabla2456789[[#This Row],[DIFERENCIA IVA ]]))</f>
        <v>0</v>
      </c>
      <c r="U441" s="15"/>
    </row>
    <row r="442" spans="1:23" ht="20.100000000000001" customHeight="1" x14ac:dyDescent="0.25">
      <c r="A442" s="13"/>
      <c r="B442" s="14"/>
      <c r="C442" s="14"/>
      <c r="D442" s="14"/>
      <c r="E442" s="15"/>
      <c r="F442" s="15"/>
      <c r="G442" s="14"/>
      <c r="H442" s="16"/>
      <c r="I442" s="15"/>
      <c r="J442" s="20">
        <f>IF(G:G="FRENOS",(Tabla2456789[[#This Row],[TOTAL FACTURA]]*0.8),(Tabla2456789[[#This Row],[TOTAL FACTURA]]*0.5))</f>
        <v>0</v>
      </c>
      <c r="K442" s="9" t="e">
        <f>#REF!-J442</f>
        <v>#REF!</v>
      </c>
      <c r="L442" s="4"/>
      <c r="M442" s="10"/>
      <c r="N442" s="10">
        <f>Tabla2456789[[#This Row],[MONTO DE COMPRA]]/1.19</f>
        <v>0</v>
      </c>
      <c r="O442" s="10">
        <f>Tabla2456789[[#This Row],[Columna1]]*19%</f>
        <v>0</v>
      </c>
      <c r="P442" s="10"/>
      <c r="Q442" s="10">
        <f>Tabla2456789[[#This Row],[VENTA ]]/1.19</f>
        <v>0</v>
      </c>
      <c r="R442" s="10">
        <f>Tabla2456789[[#This Row],[Columna2]]*19%</f>
        <v>0</v>
      </c>
      <c r="S442" s="10">
        <f>Tabla2456789[[#This Row],[IVA VENTA ]]-Tabla2456789[[#This Row],[IV COMPRA]]</f>
        <v>0</v>
      </c>
      <c r="T442" s="10">
        <f>(Tabla2456789[[#This Row],[VENTA ]]-(Tabla2456789[[#This Row],[MONTO DE COMPRA]]+Tabla2456789[[#This Row],[DIFERENCIA IVA ]]))</f>
        <v>0</v>
      </c>
      <c r="U442" s="15"/>
    </row>
    <row r="443" spans="1:23" ht="20.100000000000001" customHeight="1" x14ac:dyDescent="0.25">
      <c r="A443" s="13"/>
      <c r="B443" s="14"/>
      <c r="C443" s="14"/>
      <c r="D443" s="14"/>
      <c r="E443" s="15"/>
      <c r="F443" s="15"/>
      <c r="G443" s="14"/>
      <c r="H443" s="16"/>
      <c r="J443" s="20">
        <f>IF(G:G="FRENOS",(Tabla2456789[[#This Row],[TOTAL FACTURA]]*0.8),(Tabla2456789[[#This Row],[TOTAL FACTURA]]*0.5))</f>
        <v>0</v>
      </c>
      <c r="K443" s="9" t="e">
        <f>#REF!-J443</f>
        <v>#REF!</v>
      </c>
      <c r="L443" s="4"/>
      <c r="M443" s="10"/>
      <c r="N443" s="10">
        <f>Tabla2456789[[#This Row],[MONTO DE COMPRA]]/1.19</f>
        <v>0</v>
      </c>
      <c r="O443" s="10">
        <f>Tabla2456789[[#This Row],[Columna1]]*19%</f>
        <v>0</v>
      </c>
      <c r="P443" s="10"/>
      <c r="Q443" s="10">
        <f>Tabla2456789[[#This Row],[VENTA ]]/1.19</f>
        <v>0</v>
      </c>
      <c r="R443" s="10">
        <f>Tabla2456789[[#This Row],[Columna2]]*19%</f>
        <v>0</v>
      </c>
      <c r="S443" s="10">
        <f>Tabla2456789[[#This Row],[IVA VENTA ]]-Tabla2456789[[#This Row],[IV COMPRA]]</f>
        <v>0</v>
      </c>
      <c r="T443" s="10">
        <f>(Tabla2456789[[#This Row],[VENTA ]]-(Tabla2456789[[#This Row],[MONTO DE COMPRA]]+Tabla2456789[[#This Row],[DIFERENCIA IVA ]]))</f>
        <v>0</v>
      </c>
      <c r="U443" s="15"/>
    </row>
    <row r="444" spans="1:23" ht="20.100000000000001" customHeight="1" x14ac:dyDescent="0.25">
      <c r="A444" s="13"/>
      <c r="B444" s="14"/>
      <c r="C444" s="14"/>
      <c r="D444" s="14"/>
      <c r="E444" s="15"/>
      <c r="F444" s="15"/>
      <c r="G444" s="14"/>
      <c r="H444" s="16"/>
      <c r="J444" s="20">
        <f>IF(G:G="FRENOS",(Tabla2456789[[#This Row],[TOTAL FACTURA]]*0.8),(Tabla2456789[[#This Row],[TOTAL FACTURA]]*0.5))</f>
        <v>0</v>
      </c>
      <c r="K444" s="9" t="e">
        <f>#REF!-J444</f>
        <v>#REF!</v>
      </c>
      <c r="L444" s="4"/>
      <c r="M444" s="10"/>
      <c r="N444" s="10">
        <f>Tabla2456789[[#This Row],[MONTO DE COMPRA]]/1.19</f>
        <v>0</v>
      </c>
      <c r="O444" s="10">
        <f>Tabla2456789[[#This Row],[Columna1]]*19%</f>
        <v>0</v>
      </c>
      <c r="P444" s="10"/>
      <c r="Q444" s="10">
        <f>Tabla2456789[[#This Row],[VENTA ]]/1.19</f>
        <v>0</v>
      </c>
      <c r="R444" s="10">
        <f>Tabla2456789[[#This Row],[Columna2]]*19%</f>
        <v>0</v>
      </c>
      <c r="S444" s="10">
        <f>Tabla2456789[[#This Row],[IVA VENTA ]]-Tabla2456789[[#This Row],[IV COMPRA]]</f>
        <v>0</v>
      </c>
      <c r="T444" s="10">
        <f>(Tabla2456789[[#This Row],[VENTA ]]-(Tabla2456789[[#This Row],[MONTO DE COMPRA]]+Tabla2456789[[#This Row],[DIFERENCIA IVA ]]))</f>
        <v>0</v>
      </c>
      <c r="U444" s="15"/>
    </row>
    <row r="445" spans="1:23" ht="20.100000000000001" customHeight="1" x14ac:dyDescent="0.25">
      <c r="A445" s="7"/>
      <c r="C445" s="11"/>
      <c r="D445" s="2"/>
      <c r="E445" s="3"/>
      <c r="G445" s="14"/>
      <c r="H445" s="8"/>
      <c r="J445" s="6">
        <f>IF(G:G="FRENOS",(Tabla2456789[[#This Row],[TOTAL FACTURA]]*0.8),(Tabla2456789[[#This Row],[TOTAL FACTURA]]*0.5))</f>
        <v>0</v>
      </c>
      <c r="K445" s="9" t="e">
        <f>#REF!-J445</f>
        <v>#REF!</v>
      </c>
      <c r="L445" s="4"/>
      <c r="M445" s="10"/>
      <c r="N445" s="10">
        <f>Tabla2456789[[#This Row],[MONTO DE COMPRA]]/1.19</f>
        <v>0</v>
      </c>
      <c r="O445" s="10">
        <f>Tabla2456789[[#This Row],[Columna1]]*19%</f>
        <v>0</v>
      </c>
      <c r="P445" s="10"/>
      <c r="Q445" s="10">
        <f>Tabla2456789[[#This Row],[VENTA ]]/1.19</f>
        <v>0</v>
      </c>
      <c r="R445" s="10">
        <f>Tabla2456789[[#This Row],[Columna2]]*19%</f>
        <v>0</v>
      </c>
      <c r="S445" s="10">
        <f>Tabla2456789[[#This Row],[IVA VENTA ]]-Tabla2456789[[#This Row],[IV COMPRA]]</f>
        <v>0</v>
      </c>
      <c r="T445" s="10">
        <f>(Tabla2456789[[#This Row],[VENTA ]]-(Tabla2456789[[#This Row],[MONTO DE COMPRA]]+Tabla2456789[[#This Row],[DIFERENCIA IVA ]]))</f>
        <v>0</v>
      </c>
    </row>
    <row r="446" spans="1:23" ht="20.100000000000001" customHeight="1" x14ac:dyDescent="0.25">
      <c r="A446" s="3"/>
      <c r="I446" s="10">
        <f>SUBTOTAL(9,I1:I444)</f>
        <v>19039000</v>
      </c>
      <c r="J446" s="10">
        <f>SUBTOTAL(9,J1:J444)</f>
        <v>11742500</v>
      </c>
      <c r="K446" s="13"/>
      <c r="L446" s="13"/>
      <c r="M446" s="13" t="s">
        <v>525</v>
      </c>
      <c r="N446" s="13" t="s">
        <v>526</v>
      </c>
      <c r="O446" s="13" t="s">
        <v>527</v>
      </c>
      <c r="P446" s="13" t="s">
        <v>528</v>
      </c>
      <c r="Q446" s="13" t="s">
        <v>529</v>
      </c>
      <c r="R446" s="13" t="s">
        <v>530</v>
      </c>
    </row>
    <row r="447" spans="1:23" ht="20.100000000000001" customHeight="1" thickBot="1" x14ac:dyDescent="0.3">
      <c r="A447" s="3"/>
      <c r="B447" s="13"/>
      <c r="C447" s="13"/>
      <c r="D447" s="13"/>
      <c r="E447" s="13"/>
      <c r="F447" s="13"/>
      <c r="G447" s="13"/>
      <c r="H447" s="13"/>
      <c r="I447" s="13"/>
      <c r="J447" s="13"/>
      <c r="K447" s="10"/>
      <c r="L447" s="3"/>
      <c r="T447" s="10">
        <f>SUBTOTAL(9,T2:T445)</f>
        <v>4247822.5966386534</v>
      </c>
      <c r="U447" s="10"/>
    </row>
    <row r="448" spans="1:23" ht="20.100000000000001" customHeight="1" thickTop="1" x14ac:dyDescent="0.25">
      <c r="A448" s="72"/>
      <c r="B448" s="14"/>
      <c r="I448" s="17"/>
    </row>
    <row r="449" spans="1:9" ht="20.100000000000001" customHeight="1" x14ac:dyDescent="0.25">
      <c r="A449" s="13"/>
      <c r="B449" s="14"/>
      <c r="I449" s="17"/>
    </row>
    <row r="450" spans="1:9" ht="20.100000000000001" customHeight="1" x14ac:dyDescent="0.25">
      <c r="A450" s="13"/>
      <c r="B450" s="14"/>
      <c r="I450" s="17"/>
    </row>
    <row r="451" spans="1:9" ht="20.100000000000001" customHeight="1" x14ac:dyDescent="0.25">
      <c r="A451" s="13"/>
      <c r="B451" s="14"/>
      <c r="I451" s="17"/>
    </row>
    <row r="452" spans="1:9" ht="20.100000000000001" customHeight="1" x14ac:dyDescent="0.25">
      <c r="A452" s="13"/>
      <c r="B452" s="14"/>
      <c r="I452" s="17"/>
    </row>
    <row r="453" spans="1:9" ht="20.100000000000001" customHeight="1" x14ac:dyDescent="0.25">
      <c r="A453" s="13"/>
      <c r="B453" s="14"/>
      <c r="I453" s="17"/>
    </row>
    <row r="454" spans="1:9" ht="20.100000000000001" customHeight="1" x14ac:dyDescent="0.25">
      <c r="A454" s="13"/>
      <c r="B454" s="14"/>
      <c r="I454" s="17"/>
    </row>
    <row r="455" spans="1:9" ht="20.100000000000001" customHeight="1" x14ac:dyDescent="0.25">
      <c r="A455" s="13"/>
      <c r="B455" s="14"/>
      <c r="I455" s="17"/>
    </row>
    <row r="456" spans="1:9" ht="20.100000000000001" customHeight="1" x14ac:dyDescent="0.25">
      <c r="A456" s="13"/>
      <c r="B456" s="14"/>
      <c r="I456" s="17"/>
    </row>
    <row r="457" spans="1:9" ht="20.100000000000001" customHeight="1" x14ac:dyDescent="0.25">
      <c r="A457" s="13"/>
      <c r="B457" s="14"/>
      <c r="I457" s="17"/>
    </row>
    <row r="458" spans="1:9" ht="20.100000000000001" customHeight="1" x14ac:dyDescent="0.25">
      <c r="A458" s="13"/>
      <c r="B458" s="14"/>
      <c r="I458" s="17"/>
    </row>
    <row r="459" spans="1:9" ht="20.100000000000001" customHeight="1" x14ac:dyDescent="0.25">
      <c r="A459" s="13"/>
      <c r="B459" s="14"/>
      <c r="I459" s="17"/>
    </row>
    <row r="460" spans="1:9" ht="20.100000000000001" customHeight="1" x14ac:dyDescent="0.25">
      <c r="A460" s="13"/>
      <c r="B460" s="14"/>
      <c r="I460" s="17"/>
    </row>
    <row r="461" spans="1:9" ht="20.100000000000001" customHeight="1" x14ac:dyDescent="0.25">
      <c r="A461" s="13"/>
      <c r="B461" s="14"/>
      <c r="I461" s="17"/>
    </row>
    <row r="462" spans="1:9" ht="20.100000000000001" customHeight="1" x14ac:dyDescent="0.25">
      <c r="A462" s="13"/>
      <c r="B462" s="14"/>
      <c r="I462" s="17"/>
    </row>
    <row r="463" spans="1:9" ht="20.100000000000001" customHeight="1" x14ac:dyDescent="0.25">
      <c r="A463" s="13"/>
      <c r="B463" s="14"/>
      <c r="I463" s="17"/>
    </row>
    <row r="464" spans="1:9" ht="20.100000000000001" customHeight="1" x14ac:dyDescent="0.25">
      <c r="A464" s="13"/>
      <c r="B464" s="14"/>
      <c r="I464" s="17"/>
    </row>
    <row r="465" spans="1:9" ht="20.100000000000001" customHeight="1" x14ac:dyDescent="0.25">
      <c r="A465" s="13"/>
      <c r="B465" s="14"/>
      <c r="I465" s="17"/>
    </row>
    <row r="466" spans="1:9" ht="20.100000000000001" customHeight="1" x14ac:dyDescent="0.25">
      <c r="A466" s="13"/>
      <c r="B466" s="14"/>
      <c r="I466" s="17"/>
    </row>
    <row r="467" spans="1:9" ht="20.100000000000001" customHeight="1" x14ac:dyDescent="0.25">
      <c r="A467" s="13"/>
      <c r="B467" s="14"/>
      <c r="I467" s="17"/>
    </row>
    <row r="468" spans="1:9" ht="20.100000000000001" customHeight="1" x14ac:dyDescent="0.25">
      <c r="A468" s="13"/>
      <c r="B468" s="14"/>
      <c r="I468" s="17"/>
    </row>
    <row r="469" spans="1:9" ht="20.100000000000001" customHeight="1" x14ac:dyDescent="0.25">
      <c r="A469" s="13"/>
      <c r="B469" s="14"/>
      <c r="I469" s="17"/>
    </row>
    <row r="470" spans="1:9" ht="20.100000000000001" customHeight="1" x14ac:dyDescent="0.25">
      <c r="A470" s="13"/>
      <c r="B470" s="14"/>
      <c r="I470" s="17"/>
    </row>
    <row r="471" spans="1:9" ht="20.100000000000001" customHeight="1" x14ac:dyDescent="0.25">
      <c r="A471" s="13"/>
      <c r="B471" s="14"/>
      <c r="I471" s="17"/>
    </row>
    <row r="472" spans="1:9" ht="20.100000000000001" customHeight="1" x14ac:dyDescent="0.25">
      <c r="A472" s="13"/>
      <c r="B472" s="14"/>
      <c r="I472" s="17"/>
    </row>
    <row r="473" spans="1:9" ht="20.100000000000001" customHeight="1" x14ac:dyDescent="0.25">
      <c r="A473" s="13"/>
      <c r="B473" s="14"/>
      <c r="I473" s="17"/>
    </row>
    <row r="474" spans="1:9" ht="20.100000000000001" customHeight="1" x14ac:dyDescent="0.25">
      <c r="A474" s="13"/>
      <c r="B474" s="14"/>
      <c r="I474" s="17"/>
    </row>
    <row r="475" spans="1:9" ht="20.100000000000001" customHeight="1" x14ac:dyDescent="0.25">
      <c r="A475" s="13"/>
      <c r="B475" s="14"/>
      <c r="I475" s="17"/>
    </row>
    <row r="476" spans="1:9" ht="20.100000000000001" customHeight="1" x14ac:dyDescent="0.25">
      <c r="A476" s="13"/>
      <c r="B476" s="14"/>
      <c r="I476" s="17"/>
    </row>
    <row r="477" spans="1:9" ht="20.100000000000001" customHeight="1" x14ac:dyDescent="0.25">
      <c r="A477" s="13"/>
      <c r="B477" s="14"/>
      <c r="I477" s="19"/>
    </row>
    <row r="478" spans="1:9" ht="20.100000000000001" customHeight="1" x14ac:dyDescent="0.25">
      <c r="A478" s="13"/>
      <c r="B478" s="14"/>
      <c r="I478" s="19"/>
    </row>
    <row r="479" spans="1:9" ht="20.100000000000001" customHeight="1" x14ac:dyDescent="0.25">
      <c r="A479" s="13"/>
      <c r="B479" s="14"/>
      <c r="I479" s="19"/>
    </row>
    <row r="480" spans="1:9" ht="20.100000000000001" customHeight="1" x14ac:dyDescent="0.25">
      <c r="A480" s="13"/>
      <c r="B480" s="14"/>
      <c r="I480" s="19"/>
    </row>
    <row r="481" spans="1:9" ht="20.100000000000001" customHeight="1" x14ac:dyDescent="0.25">
      <c r="A481" s="13"/>
      <c r="B481" s="14"/>
      <c r="I481" s="17"/>
    </row>
    <row r="482" spans="1:9" ht="20.100000000000001" customHeight="1" x14ac:dyDescent="0.25">
      <c r="A482" s="13"/>
      <c r="I482" s="19"/>
    </row>
    <row r="483" spans="1:9" ht="20.100000000000001" customHeight="1" x14ac:dyDescent="0.25">
      <c r="A483" s="13"/>
      <c r="I483" s="19"/>
    </row>
    <row r="484" spans="1:9" ht="20.100000000000001" customHeight="1" x14ac:dyDescent="0.25">
      <c r="A484" s="13"/>
      <c r="I484" s="17"/>
    </row>
    <row r="485" spans="1:9" ht="20.100000000000001" customHeight="1" x14ac:dyDescent="0.25">
      <c r="A485" s="13"/>
      <c r="I485" s="19"/>
    </row>
    <row r="486" spans="1:9" ht="20.100000000000001" customHeight="1" x14ac:dyDescent="0.25">
      <c r="A486" s="13"/>
      <c r="I486" s="19"/>
    </row>
    <row r="487" spans="1:9" ht="20.100000000000001" customHeight="1" x14ac:dyDescent="0.25">
      <c r="A487" s="13"/>
      <c r="I487" s="19"/>
    </row>
    <row r="488" spans="1:9" ht="20.100000000000001" customHeight="1" x14ac:dyDescent="0.25">
      <c r="A488" s="13"/>
      <c r="I488" s="19"/>
    </row>
    <row r="489" spans="1:9" ht="20.100000000000001" customHeight="1" x14ac:dyDescent="0.25">
      <c r="A489" s="13"/>
      <c r="I489" s="19"/>
    </row>
    <row r="490" spans="1:9" ht="20.100000000000001" customHeight="1" x14ac:dyDescent="0.25">
      <c r="A490" s="13"/>
      <c r="I490" s="19"/>
    </row>
    <row r="491" spans="1:9" ht="20.100000000000001" customHeight="1" x14ac:dyDescent="0.25">
      <c r="A491" s="13"/>
      <c r="I491" s="19"/>
    </row>
    <row r="492" spans="1:9" ht="20.100000000000001" customHeight="1" x14ac:dyDescent="0.25">
      <c r="A492" s="13"/>
      <c r="I492" s="19"/>
    </row>
    <row r="493" spans="1:9" ht="20.100000000000001" customHeight="1" x14ac:dyDescent="0.25">
      <c r="A493" s="13"/>
      <c r="I493" s="19"/>
    </row>
    <row r="494" spans="1:9" ht="20.100000000000001" customHeight="1" x14ac:dyDescent="0.25">
      <c r="A494" s="13"/>
      <c r="I494" s="19"/>
    </row>
    <row r="495" spans="1:9" ht="20.100000000000001" customHeight="1" x14ac:dyDescent="0.25">
      <c r="A495" s="13"/>
      <c r="I495" s="19"/>
    </row>
    <row r="496" spans="1:9" ht="20.100000000000001" customHeight="1" x14ac:dyDescent="0.25">
      <c r="A496" s="13"/>
      <c r="I496" s="19"/>
    </row>
    <row r="497" spans="1:9" ht="20.100000000000001" customHeight="1" x14ac:dyDescent="0.25">
      <c r="A497" s="13"/>
      <c r="I497" s="19"/>
    </row>
    <row r="498" spans="1:9" ht="20.100000000000001" customHeight="1" x14ac:dyDescent="0.25">
      <c r="A498" s="13"/>
      <c r="I498" s="19"/>
    </row>
    <row r="499" spans="1:9" ht="20.100000000000001" customHeight="1" x14ac:dyDescent="0.25">
      <c r="A499" s="13"/>
      <c r="I499" s="19"/>
    </row>
    <row r="500" spans="1:9" ht="20.100000000000001" customHeight="1" x14ac:dyDescent="0.25">
      <c r="A500" s="13"/>
      <c r="I500" s="19"/>
    </row>
    <row r="501" spans="1:9" ht="20.100000000000001" customHeight="1" x14ac:dyDescent="0.25">
      <c r="A501" s="13"/>
      <c r="I501" s="19"/>
    </row>
    <row r="502" spans="1:9" ht="20.100000000000001" customHeight="1" x14ac:dyDescent="0.25">
      <c r="A502" s="13"/>
      <c r="I502" s="19"/>
    </row>
    <row r="503" spans="1:9" ht="20.100000000000001" customHeight="1" x14ac:dyDescent="0.25">
      <c r="A503" s="13"/>
      <c r="I503" s="19"/>
    </row>
    <row r="504" spans="1:9" ht="20.100000000000001" customHeight="1" x14ac:dyDescent="0.25">
      <c r="A504" s="13"/>
      <c r="I504" s="19"/>
    </row>
    <row r="505" spans="1:9" ht="20.100000000000001" customHeight="1" x14ac:dyDescent="0.25">
      <c r="A505" s="13"/>
      <c r="I505" s="19"/>
    </row>
    <row r="506" spans="1:9" ht="20.100000000000001" customHeight="1" x14ac:dyDescent="0.25">
      <c r="A506" s="13"/>
      <c r="I506" s="19"/>
    </row>
    <row r="507" spans="1:9" ht="20.100000000000001" customHeight="1" x14ac:dyDescent="0.25">
      <c r="A507" s="13"/>
      <c r="I507" s="19"/>
    </row>
    <row r="508" spans="1:9" ht="20.100000000000001" customHeight="1" x14ac:dyDescent="0.25">
      <c r="A508" s="13"/>
      <c r="I508" s="19"/>
    </row>
    <row r="509" spans="1:9" ht="20.100000000000001" customHeight="1" x14ac:dyDescent="0.25">
      <c r="A509" s="13"/>
      <c r="I509" s="19"/>
    </row>
    <row r="510" spans="1:9" ht="20.100000000000001" customHeight="1" x14ac:dyDescent="0.25">
      <c r="A510" s="13"/>
      <c r="I510" s="19"/>
    </row>
    <row r="511" spans="1:9" ht="20.100000000000001" customHeight="1" x14ac:dyDescent="0.25">
      <c r="A511" s="13"/>
      <c r="I511" s="19"/>
    </row>
    <row r="512" spans="1:9" ht="20.100000000000001" customHeight="1" x14ac:dyDescent="0.25">
      <c r="A512" s="13"/>
      <c r="I512" s="19"/>
    </row>
    <row r="513" spans="1:9" ht="20.100000000000001" customHeight="1" x14ac:dyDescent="0.25">
      <c r="A513" s="13"/>
      <c r="I513" s="19"/>
    </row>
    <row r="514" spans="1:9" ht="20.100000000000001" customHeight="1" x14ac:dyDescent="0.25">
      <c r="A514" s="13"/>
      <c r="I514" s="19"/>
    </row>
    <row r="515" spans="1:9" ht="20.100000000000001" customHeight="1" x14ac:dyDescent="0.25">
      <c r="A515" s="13"/>
      <c r="I515" s="19"/>
    </row>
    <row r="516" spans="1:9" ht="20.100000000000001" customHeight="1" x14ac:dyDescent="0.25">
      <c r="A516" s="13"/>
      <c r="I516" s="19"/>
    </row>
    <row r="517" spans="1:9" ht="20.100000000000001" customHeight="1" x14ac:dyDescent="0.25">
      <c r="A517" s="13"/>
      <c r="I517" s="19"/>
    </row>
    <row r="518" spans="1:9" ht="20.100000000000001" customHeight="1" x14ac:dyDescent="0.25">
      <c r="A518" s="13"/>
      <c r="I518" s="19"/>
    </row>
    <row r="519" spans="1:9" ht="20.100000000000001" customHeight="1" x14ac:dyDescent="0.25">
      <c r="A519" s="13"/>
      <c r="I519" s="19"/>
    </row>
    <row r="520" spans="1:9" ht="20.100000000000001" customHeight="1" x14ac:dyDescent="0.25">
      <c r="A520" s="13"/>
      <c r="I520" s="19"/>
    </row>
    <row r="521" spans="1:9" ht="20.100000000000001" customHeight="1" x14ac:dyDescent="0.25">
      <c r="A521" s="13"/>
      <c r="I521" s="19"/>
    </row>
    <row r="522" spans="1:9" ht="20.100000000000001" customHeight="1" x14ac:dyDescent="0.25">
      <c r="A522" s="13"/>
      <c r="I522" s="20"/>
    </row>
    <row r="523" spans="1:9" ht="20.100000000000001" customHeight="1" x14ac:dyDescent="0.25">
      <c r="A523" s="13"/>
      <c r="I523" s="20"/>
    </row>
    <row r="524" spans="1:9" ht="20.100000000000001" customHeight="1" x14ac:dyDescent="0.25">
      <c r="A524" s="13"/>
      <c r="I524" s="20"/>
    </row>
    <row r="525" spans="1:9" ht="20.100000000000001" customHeight="1" x14ac:dyDescent="0.25">
      <c r="A525" s="13"/>
      <c r="I525" s="20"/>
    </row>
    <row r="526" spans="1:9" ht="20.100000000000001" customHeight="1" x14ac:dyDescent="0.25">
      <c r="A526" s="13"/>
      <c r="I526" s="19"/>
    </row>
    <row r="527" spans="1:9" ht="20.100000000000001" customHeight="1" x14ac:dyDescent="0.25">
      <c r="A527" s="13"/>
      <c r="I527" s="19"/>
    </row>
    <row r="528" spans="1:9" ht="20.100000000000001" customHeight="1" x14ac:dyDescent="0.25">
      <c r="A528" s="13"/>
      <c r="I528" s="19"/>
    </row>
    <row r="529" spans="1:9" ht="20.100000000000001" customHeight="1" x14ac:dyDescent="0.25">
      <c r="A529" s="13"/>
      <c r="I529" s="19"/>
    </row>
    <row r="530" spans="1:9" ht="20.100000000000001" customHeight="1" x14ac:dyDescent="0.25">
      <c r="A530" s="13"/>
      <c r="I530" s="19"/>
    </row>
    <row r="531" spans="1:9" ht="20.100000000000001" customHeight="1" x14ac:dyDescent="0.25">
      <c r="A531" s="13"/>
      <c r="I531" s="19"/>
    </row>
    <row r="532" spans="1:9" ht="20.100000000000001" customHeight="1" x14ac:dyDescent="0.25">
      <c r="A532" s="13"/>
      <c r="I532" s="19"/>
    </row>
    <row r="533" spans="1:9" ht="20.100000000000001" customHeight="1" x14ac:dyDescent="0.25">
      <c r="A533" s="13"/>
      <c r="I533" s="19"/>
    </row>
    <row r="534" spans="1:9" ht="20.100000000000001" customHeight="1" x14ac:dyDescent="0.25">
      <c r="A534" s="13"/>
      <c r="I534" s="17"/>
    </row>
    <row r="535" spans="1:9" ht="20.100000000000001" customHeight="1" x14ac:dyDescent="0.25">
      <c r="A535" s="13"/>
      <c r="I535" s="19"/>
    </row>
    <row r="536" spans="1:9" ht="20.100000000000001" customHeight="1" x14ac:dyDescent="0.25">
      <c r="A536" s="13"/>
      <c r="I536" s="19"/>
    </row>
    <row r="537" spans="1:9" ht="20.100000000000001" customHeight="1" x14ac:dyDescent="0.25">
      <c r="A537" s="13"/>
      <c r="I537" s="19"/>
    </row>
    <row r="538" spans="1:9" ht="20.100000000000001" customHeight="1" x14ac:dyDescent="0.25">
      <c r="A538" s="13"/>
      <c r="I538" s="19"/>
    </row>
    <row r="539" spans="1:9" ht="20.100000000000001" customHeight="1" x14ac:dyDescent="0.25">
      <c r="A539" s="13"/>
      <c r="I539" s="19"/>
    </row>
    <row r="540" spans="1:9" ht="20.100000000000001" customHeight="1" x14ac:dyDescent="0.25">
      <c r="A540" s="13"/>
      <c r="I540" s="17"/>
    </row>
    <row r="541" spans="1:9" ht="20.100000000000001" customHeight="1" x14ac:dyDescent="0.25">
      <c r="A541" s="13"/>
      <c r="I541" s="19"/>
    </row>
    <row r="542" spans="1:9" ht="20.100000000000001" customHeight="1" x14ac:dyDescent="0.25">
      <c r="A542" s="13"/>
      <c r="I542" s="19"/>
    </row>
    <row r="543" spans="1:9" ht="20.100000000000001" customHeight="1" x14ac:dyDescent="0.25">
      <c r="A543" s="13"/>
      <c r="I543" s="19"/>
    </row>
    <row r="544" spans="1:9" ht="20.100000000000001" customHeight="1" x14ac:dyDescent="0.25">
      <c r="A544" s="13"/>
      <c r="I544" s="17"/>
    </row>
    <row r="545" spans="1:9" ht="20.100000000000001" customHeight="1" x14ac:dyDescent="0.25">
      <c r="A545" s="13"/>
      <c r="I545" s="20"/>
    </row>
    <row r="546" spans="1:9" ht="20.100000000000001" customHeight="1" x14ac:dyDescent="0.25">
      <c r="A546" s="13"/>
      <c r="I546" s="20"/>
    </row>
    <row r="547" spans="1:9" ht="20.100000000000001" customHeight="1" x14ac:dyDescent="0.25">
      <c r="A547" s="13"/>
      <c r="I547" s="20"/>
    </row>
    <row r="548" spans="1:9" ht="20.100000000000001" customHeight="1" x14ac:dyDescent="0.25">
      <c r="A548" s="13"/>
      <c r="I548" s="20"/>
    </row>
    <row r="549" spans="1:9" ht="20.100000000000001" customHeight="1" x14ac:dyDescent="0.25">
      <c r="A549" s="13"/>
      <c r="I549" s="20"/>
    </row>
    <row r="550" spans="1:9" ht="20.100000000000001" customHeight="1" x14ac:dyDescent="0.25">
      <c r="A550" s="13"/>
      <c r="I550" s="20"/>
    </row>
    <row r="551" spans="1:9" ht="20.100000000000001" customHeight="1" x14ac:dyDescent="0.25">
      <c r="A551" s="13"/>
      <c r="I551" s="20"/>
    </row>
    <row r="552" spans="1:9" ht="20.100000000000001" customHeight="1" x14ac:dyDescent="0.25">
      <c r="A552" s="13"/>
      <c r="I552" s="20"/>
    </row>
    <row r="553" spans="1:9" ht="20.100000000000001" customHeight="1" x14ac:dyDescent="0.25">
      <c r="A553" s="13"/>
      <c r="I553" s="20"/>
    </row>
    <row r="554" spans="1:9" ht="20.100000000000001" customHeight="1" x14ac:dyDescent="0.25">
      <c r="A554" s="13"/>
      <c r="I554" s="20"/>
    </row>
    <row r="555" spans="1:9" ht="20.100000000000001" customHeight="1" x14ac:dyDescent="0.25">
      <c r="A555" s="13"/>
    </row>
    <row r="556" spans="1:9" ht="20.100000000000001" customHeight="1" x14ac:dyDescent="0.25">
      <c r="A556" s="13"/>
    </row>
    <row r="557" spans="1:9" ht="20.100000000000001" customHeight="1" x14ac:dyDescent="0.25">
      <c r="A557" s="13"/>
    </row>
    <row r="558" spans="1:9" ht="20.100000000000001" customHeight="1" x14ac:dyDescent="0.25">
      <c r="A558" s="13"/>
    </row>
    <row r="559" spans="1:9" ht="20.100000000000001" customHeight="1" x14ac:dyDescent="0.25">
      <c r="A559" s="13" t="s">
        <v>521</v>
      </c>
    </row>
    <row r="560" spans="1:9" ht="20.100000000000001" customHeight="1" x14ac:dyDescent="0.25">
      <c r="A560" s="13" t="s">
        <v>521</v>
      </c>
    </row>
    <row r="561" spans="1:1" ht="20.100000000000001" customHeight="1" x14ac:dyDescent="0.25">
      <c r="A561" s="13" t="s">
        <v>521</v>
      </c>
    </row>
    <row r="562" spans="1:1" ht="20.100000000000001" customHeight="1" x14ac:dyDescent="0.25">
      <c r="A562" s="13" t="s">
        <v>521</v>
      </c>
    </row>
    <row r="563" spans="1:1" ht="20.100000000000001" customHeight="1" x14ac:dyDescent="0.25">
      <c r="A563" s="13" t="s">
        <v>521</v>
      </c>
    </row>
    <row r="564" spans="1:1" ht="20.100000000000001" customHeight="1" x14ac:dyDescent="0.25">
      <c r="A564" s="13" t="s">
        <v>521</v>
      </c>
    </row>
    <row r="565" spans="1:1" ht="20.100000000000001" customHeight="1" x14ac:dyDescent="0.25">
      <c r="A565" s="13" t="s">
        <v>521</v>
      </c>
    </row>
    <row r="566" spans="1:1" ht="20.100000000000001" customHeight="1" x14ac:dyDescent="0.25">
      <c r="A566" s="13" t="s">
        <v>521</v>
      </c>
    </row>
    <row r="567" spans="1:1" ht="20.100000000000001" customHeight="1" x14ac:dyDescent="0.25">
      <c r="A567" s="13" t="s">
        <v>521</v>
      </c>
    </row>
    <row r="568" spans="1:1" ht="20.100000000000001" customHeight="1" x14ac:dyDescent="0.25">
      <c r="A568" s="13" t="s">
        <v>521</v>
      </c>
    </row>
    <row r="569" spans="1:1" ht="20.100000000000001" customHeight="1" x14ac:dyDescent="0.25">
      <c r="A569" s="13" t="s">
        <v>521</v>
      </c>
    </row>
    <row r="570" spans="1:1" ht="20.100000000000001" customHeight="1" x14ac:dyDescent="0.25">
      <c r="A570" s="13" t="s">
        <v>521</v>
      </c>
    </row>
    <row r="571" spans="1:1" ht="20.100000000000001" customHeight="1" x14ac:dyDescent="0.25">
      <c r="A571" s="13" t="s">
        <v>521</v>
      </c>
    </row>
    <row r="572" spans="1:1" ht="20.100000000000001" customHeight="1" x14ac:dyDescent="0.25">
      <c r="A572" s="13" t="s">
        <v>521</v>
      </c>
    </row>
    <row r="573" spans="1:1" ht="20.100000000000001" customHeight="1" x14ac:dyDescent="0.25">
      <c r="A573" s="13" t="s">
        <v>521</v>
      </c>
    </row>
    <row r="574" spans="1:1" ht="20.100000000000001" customHeight="1" x14ac:dyDescent="0.25">
      <c r="A574" s="13" t="s">
        <v>521</v>
      </c>
    </row>
    <row r="575" spans="1:1" ht="20.100000000000001" customHeight="1" x14ac:dyDescent="0.25">
      <c r="A575" s="13" t="s">
        <v>521</v>
      </c>
    </row>
    <row r="576" spans="1:1" ht="20.100000000000001" customHeight="1" x14ac:dyDescent="0.25">
      <c r="A576" s="13" t="s">
        <v>521</v>
      </c>
    </row>
    <row r="577" spans="1:1" ht="20.100000000000001" customHeight="1" x14ac:dyDescent="0.25">
      <c r="A577" s="13" t="s">
        <v>521</v>
      </c>
    </row>
    <row r="578" spans="1:1" ht="20.100000000000001" customHeight="1" x14ac:dyDescent="0.25">
      <c r="A578" s="13" t="s">
        <v>521</v>
      </c>
    </row>
    <row r="579" spans="1:1" ht="20.100000000000001" customHeight="1" x14ac:dyDescent="0.25">
      <c r="A579" s="13" t="s">
        <v>521</v>
      </c>
    </row>
    <row r="580" spans="1:1" ht="20.100000000000001" customHeight="1" x14ac:dyDescent="0.25">
      <c r="A580" s="13" t="s">
        <v>521</v>
      </c>
    </row>
    <row r="581" spans="1:1" ht="20.100000000000001" customHeight="1" x14ac:dyDescent="0.25">
      <c r="A581" s="13" t="s">
        <v>521</v>
      </c>
    </row>
    <row r="582" spans="1:1" ht="20.100000000000001" customHeight="1" x14ac:dyDescent="0.25">
      <c r="A582" s="13" t="s">
        <v>521</v>
      </c>
    </row>
    <row r="583" spans="1:1" ht="20.100000000000001" customHeight="1" x14ac:dyDescent="0.25">
      <c r="A583" s="13" t="s">
        <v>521</v>
      </c>
    </row>
    <row r="584" spans="1:1" ht="20.100000000000001" customHeight="1" x14ac:dyDescent="0.25">
      <c r="A584" s="13" t="s">
        <v>521</v>
      </c>
    </row>
    <row r="585" spans="1:1" ht="20.100000000000001" customHeight="1" x14ac:dyDescent="0.25">
      <c r="A585" s="13" t="s">
        <v>521</v>
      </c>
    </row>
    <row r="586" spans="1:1" ht="20.100000000000001" customHeight="1" x14ac:dyDescent="0.25">
      <c r="A586" s="13" t="s">
        <v>521</v>
      </c>
    </row>
    <row r="587" spans="1:1" ht="20.100000000000001" customHeight="1" x14ac:dyDescent="0.25">
      <c r="A587" s="13" t="s">
        <v>521</v>
      </c>
    </row>
    <row r="588" spans="1:1" ht="20.100000000000001" customHeight="1" x14ac:dyDescent="0.25">
      <c r="A588" s="13" t="s">
        <v>521</v>
      </c>
    </row>
    <row r="589" spans="1:1" ht="20.100000000000001" customHeight="1" x14ac:dyDescent="0.25">
      <c r="A589" s="13" t="s">
        <v>521</v>
      </c>
    </row>
    <row r="590" spans="1:1" ht="20.100000000000001" customHeight="1" x14ac:dyDescent="0.25">
      <c r="A590" s="13" t="s">
        <v>521</v>
      </c>
    </row>
    <row r="591" spans="1:1" ht="20.100000000000001" customHeight="1" x14ac:dyDescent="0.25">
      <c r="A591" s="13" t="s">
        <v>521</v>
      </c>
    </row>
    <row r="592" spans="1:1" ht="20.100000000000001" customHeight="1" x14ac:dyDescent="0.25">
      <c r="A592" s="13" t="s">
        <v>521</v>
      </c>
    </row>
    <row r="593" spans="1:1" ht="20.100000000000001" customHeight="1" x14ac:dyDescent="0.25">
      <c r="A593" s="13" t="s">
        <v>521</v>
      </c>
    </row>
    <row r="594" spans="1:1" ht="20.100000000000001" customHeight="1" x14ac:dyDescent="0.25">
      <c r="A594" s="13" t="s">
        <v>521</v>
      </c>
    </row>
    <row r="595" spans="1:1" ht="20.100000000000001" customHeight="1" x14ac:dyDescent="0.25">
      <c r="A595" s="13" t="s">
        <v>521</v>
      </c>
    </row>
    <row r="596" spans="1:1" ht="20.100000000000001" customHeight="1" x14ac:dyDescent="0.25">
      <c r="A596" s="13" t="s">
        <v>521</v>
      </c>
    </row>
    <row r="597" spans="1:1" ht="20.100000000000001" customHeight="1" x14ac:dyDescent="0.25">
      <c r="A597" s="13" t="s">
        <v>521</v>
      </c>
    </row>
    <row r="598" spans="1:1" ht="20.100000000000001" customHeight="1" x14ac:dyDescent="0.25">
      <c r="A598" s="13" t="s">
        <v>521</v>
      </c>
    </row>
    <row r="599" spans="1:1" ht="20.100000000000001" customHeight="1" x14ac:dyDescent="0.25">
      <c r="A599" s="13" t="s">
        <v>521</v>
      </c>
    </row>
    <row r="600" spans="1:1" ht="20.100000000000001" customHeight="1" x14ac:dyDescent="0.25">
      <c r="A600" s="13" t="s">
        <v>521</v>
      </c>
    </row>
    <row r="601" spans="1:1" ht="20.100000000000001" customHeight="1" x14ac:dyDescent="0.25">
      <c r="A601" s="13" t="s">
        <v>521</v>
      </c>
    </row>
    <row r="602" spans="1:1" ht="20.100000000000001" customHeight="1" x14ac:dyDescent="0.25">
      <c r="A602" s="13" t="s">
        <v>521</v>
      </c>
    </row>
    <row r="603" spans="1:1" ht="20.100000000000001" customHeight="1" x14ac:dyDescent="0.25">
      <c r="A603" s="13" t="s">
        <v>521</v>
      </c>
    </row>
    <row r="604" spans="1:1" ht="20.100000000000001" customHeight="1" x14ac:dyDescent="0.25">
      <c r="A604" s="13" t="s">
        <v>521</v>
      </c>
    </row>
    <row r="605" spans="1:1" ht="20.100000000000001" customHeight="1" x14ac:dyDescent="0.25">
      <c r="A605" s="13" t="s">
        <v>521</v>
      </c>
    </row>
    <row r="606" spans="1:1" ht="20.100000000000001" customHeight="1" x14ac:dyDescent="0.25">
      <c r="A606" s="13" t="s">
        <v>521</v>
      </c>
    </row>
    <row r="607" spans="1:1" ht="20.100000000000001" customHeight="1" x14ac:dyDescent="0.25">
      <c r="A607" s="13" t="s">
        <v>521</v>
      </c>
    </row>
    <row r="608" spans="1:1" ht="20.100000000000001" customHeight="1" x14ac:dyDescent="0.25">
      <c r="A608" s="13" t="s">
        <v>521</v>
      </c>
    </row>
    <row r="609" spans="1:1" ht="20.100000000000001" customHeight="1" x14ac:dyDescent="0.25">
      <c r="A609" s="13" t="s">
        <v>521</v>
      </c>
    </row>
    <row r="610" spans="1:1" ht="20.100000000000001" customHeight="1" x14ac:dyDescent="0.25">
      <c r="A610" s="13" t="s">
        <v>521</v>
      </c>
    </row>
    <row r="611" spans="1:1" ht="20.100000000000001" customHeight="1" x14ac:dyDescent="0.25">
      <c r="A611" s="13" t="s">
        <v>521</v>
      </c>
    </row>
    <row r="612" spans="1:1" ht="20.100000000000001" customHeight="1" x14ac:dyDescent="0.25">
      <c r="A612" s="13" t="s">
        <v>521</v>
      </c>
    </row>
    <row r="613" spans="1:1" ht="20.100000000000001" customHeight="1" x14ac:dyDescent="0.25">
      <c r="A613" s="13" t="s">
        <v>521</v>
      </c>
    </row>
    <row r="614" spans="1:1" ht="20.100000000000001" customHeight="1" x14ac:dyDescent="0.25">
      <c r="A614" s="13" t="s">
        <v>521</v>
      </c>
    </row>
    <row r="615" spans="1:1" ht="20.100000000000001" customHeight="1" x14ac:dyDescent="0.25">
      <c r="A615" s="13" t="s">
        <v>521</v>
      </c>
    </row>
    <row r="616" spans="1:1" ht="20.100000000000001" customHeight="1" x14ac:dyDescent="0.25">
      <c r="A616" s="13" t="s">
        <v>521</v>
      </c>
    </row>
    <row r="617" spans="1:1" ht="20.100000000000001" customHeight="1" x14ac:dyDescent="0.25">
      <c r="A617" s="13" t="s">
        <v>521</v>
      </c>
    </row>
    <row r="618" spans="1:1" ht="20.100000000000001" customHeight="1" x14ac:dyDescent="0.25">
      <c r="A618" s="13" t="s">
        <v>521</v>
      </c>
    </row>
    <row r="619" spans="1:1" ht="20.100000000000001" customHeight="1" x14ac:dyDescent="0.25">
      <c r="A619" s="13" t="s">
        <v>521</v>
      </c>
    </row>
    <row r="620" spans="1:1" ht="20.100000000000001" customHeight="1" x14ac:dyDescent="0.25">
      <c r="A620" s="13" t="s">
        <v>521</v>
      </c>
    </row>
    <row r="621" spans="1:1" ht="20.100000000000001" customHeight="1" x14ac:dyDescent="0.25">
      <c r="A621" s="13" t="s">
        <v>521</v>
      </c>
    </row>
    <row r="622" spans="1:1" ht="20.100000000000001" customHeight="1" x14ac:dyDescent="0.25">
      <c r="A622" s="13" t="s">
        <v>521</v>
      </c>
    </row>
    <row r="623" spans="1:1" ht="20.100000000000001" customHeight="1" x14ac:dyDescent="0.25">
      <c r="A623" s="13" t="s">
        <v>521</v>
      </c>
    </row>
    <row r="624" spans="1:1" ht="20.100000000000001" customHeight="1" x14ac:dyDescent="0.25">
      <c r="A624" s="13" t="s">
        <v>521</v>
      </c>
    </row>
    <row r="625" spans="1:1" ht="20.100000000000001" customHeight="1" x14ac:dyDescent="0.25">
      <c r="A625" s="13" t="s">
        <v>521</v>
      </c>
    </row>
    <row r="626" spans="1:1" ht="20.100000000000001" customHeight="1" x14ac:dyDescent="0.25">
      <c r="A626" s="13" t="s">
        <v>521</v>
      </c>
    </row>
    <row r="627" spans="1:1" ht="20.100000000000001" customHeight="1" x14ac:dyDescent="0.25">
      <c r="A627" s="13" t="s">
        <v>521</v>
      </c>
    </row>
    <row r="628" spans="1:1" ht="20.100000000000001" customHeight="1" x14ac:dyDescent="0.25">
      <c r="A628" s="13" t="s">
        <v>521</v>
      </c>
    </row>
    <row r="629" spans="1:1" ht="20.100000000000001" customHeight="1" x14ac:dyDescent="0.25">
      <c r="A629" s="13" t="s">
        <v>521</v>
      </c>
    </row>
    <row r="630" spans="1:1" ht="20.100000000000001" customHeight="1" x14ac:dyDescent="0.25">
      <c r="A630" s="13" t="s">
        <v>521</v>
      </c>
    </row>
    <row r="631" spans="1:1" ht="20.100000000000001" customHeight="1" x14ac:dyDescent="0.25">
      <c r="A631" s="13" t="s">
        <v>521</v>
      </c>
    </row>
    <row r="632" spans="1:1" ht="20.100000000000001" customHeight="1" x14ac:dyDescent="0.25">
      <c r="A632" s="13" t="s">
        <v>521</v>
      </c>
    </row>
    <row r="633" spans="1:1" ht="20.100000000000001" customHeight="1" x14ac:dyDescent="0.25">
      <c r="A633" s="13" t="s">
        <v>521</v>
      </c>
    </row>
    <row r="634" spans="1:1" ht="20.100000000000001" customHeight="1" x14ac:dyDescent="0.25">
      <c r="A634" s="13" t="s">
        <v>521</v>
      </c>
    </row>
    <row r="635" spans="1:1" ht="20.100000000000001" customHeight="1" x14ac:dyDescent="0.25">
      <c r="A635" s="13" t="s">
        <v>521</v>
      </c>
    </row>
    <row r="636" spans="1:1" ht="20.100000000000001" customHeight="1" x14ac:dyDescent="0.25">
      <c r="A636" s="13" t="s">
        <v>521</v>
      </c>
    </row>
    <row r="637" spans="1:1" ht="20.100000000000001" customHeight="1" x14ac:dyDescent="0.25">
      <c r="A637" s="13" t="s">
        <v>521</v>
      </c>
    </row>
    <row r="638" spans="1:1" ht="20.100000000000001" customHeight="1" x14ac:dyDescent="0.25">
      <c r="A638" s="13" t="s">
        <v>521</v>
      </c>
    </row>
    <row r="639" spans="1:1" ht="20.100000000000001" customHeight="1" x14ac:dyDescent="0.25">
      <c r="A639" s="13" t="s">
        <v>521</v>
      </c>
    </row>
    <row r="640" spans="1:1" ht="20.100000000000001" customHeight="1" x14ac:dyDescent="0.25">
      <c r="A640" s="13" t="s">
        <v>521</v>
      </c>
    </row>
    <row r="641" spans="1:1" ht="20.100000000000001" customHeight="1" x14ac:dyDescent="0.25">
      <c r="A641" s="13" t="s">
        <v>521</v>
      </c>
    </row>
    <row r="642" spans="1:1" ht="20.100000000000001" customHeight="1" x14ac:dyDescent="0.25">
      <c r="A642" s="13" t="s">
        <v>521</v>
      </c>
    </row>
    <row r="643" spans="1:1" ht="20.100000000000001" customHeight="1" x14ac:dyDescent="0.25">
      <c r="A643" s="13" t="s">
        <v>521</v>
      </c>
    </row>
    <row r="644" spans="1:1" ht="20.100000000000001" customHeight="1" x14ac:dyDescent="0.25">
      <c r="A644" s="13" t="s">
        <v>521</v>
      </c>
    </row>
    <row r="645" spans="1:1" ht="20.100000000000001" customHeight="1" x14ac:dyDescent="0.25">
      <c r="A645" s="13" t="s">
        <v>521</v>
      </c>
    </row>
    <row r="646" spans="1:1" ht="20.100000000000001" customHeight="1" x14ac:dyDescent="0.25">
      <c r="A646" s="13" t="s">
        <v>521</v>
      </c>
    </row>
    <row r="647" spans="1:1" ht="20.100000000000001" customHeight="1" x14ac:dyDescent="0.25">
      <c r="A647" s="13" t="s">
        <v>521</v>
      </c>
    </row>
    <row r="648" spans="1:1" ht="20.100000000000001" customHeight="1" x14ac:dyDescent="0.25">
      <c r="A648" s="13" t="s">
        <v>521</v>
      </c>
    </row>
    <row r="649" spans="1:1" ht="20.100000000000001" customHeight="1" x14ac:dyDescent="0.25">
      <c r="A649" s="13" t="s">
        <v>521</v>
      </c>
    </row>
    <row r="650" spans="1:1" ht="20.100000000000001" customHeight="1" x14ac:dyDescent="0.25">
      <c r="A650" s="13" t="s">
        <v>521</v>
      </c>
    </row>
    <row r="651" spans="1:1" ht="20.100000000000001" customHeight="1" x14ac:dyDescent="0.25">
      <c r="A651" s="13" t="s">
        <v>521</v>
      </c>
    </row>
    <row r="652" spans="1:1" ht="20.100000000000001" customHeight="1" x14ac:dyDescent="0.25">
      <c r="A652" s="13" t="s">
        <v>521</v>
      </c>
    </row>
    <row r="653" spans="1:1" ht="20.100000000000001" customHeight="1" x14ac:dyDescent="0.25">
      <c r="A653" s="13" t="s">
        <v>521</v>
      </c>
    </row>
    <row r="654" spans="1:1" ht="20.100000000000001" customHeight="1" x14ac:dyDescent="0.25">
      <c r="A654" s="13" t="s">
        <v>521</v>
      </c>
    </row>
    <row r="655" spans="1:1" ht="20.100000000000001" customHeight="1" x14ac:dyDescent="0.25">
      <c r="A655" s="13" t="s">
        <v>521</v>
      </c>
    </row>
    <row r="656" spans="1:1" ht="20.100000000000001" customHeight="1" x14ac:dyDescent="0.25">
      <c r="A656" s="13" t="s">
        <v>521</v>
      </c>
    </row>
    <row r="657" spans="1:1" ht="20.100000000000001" customHeight="1" x14ac:dyDescent="0.25">
      <c r="A657" s="13" t="s">
        <v>521</v>
      </c>
    </row>
    <row r="658" spans="1:1" ht="20.100000000000001" customHeight="1" x14ac:dyDescent="0.25">
      <c r="A658" s="13" t="s">
        <v>521</v>
      </c>
    </row>
    <row r="659" spans="1:1" ht="20.100000000000001" customHeight="1" x14ac:dyDescent="0.25">
      <c r="A659" s="13" t="s">
        <v>521</v>
      </c>
    </row>
    <row r="660" spans="1:1" ht="20.100000000000001" customHeight="1" x14ac:dyDescent="0.25">
      <c r="A660" s="13" t="s">
        <v>521</v>
      </c>
    </row>
    <row r="661" spans="1:1" ht="20.100000000000001" customHeight="1" x14ac:dyDescent="0.25">
      <c r="A661" s="13" t="s">
        <v>521</v>
      </c>
    </row>
    <row r="662" spans="1:1" ht="20.100000000000001" customHeight="1" x14ac:dyDescent="0.25">
      <c r="A662" s="13" t="s">
        <v>521</v>
      </c>
    </row>
    <row r="663" spans="1:1" ht="20.100000000000001" customHeight="1" x14ac:dyDescent="0.25">
      <c r="A663" s="13" t="s">
        <v>521</v>
      </c>
    </row>
    <row r="664" spans="1:1" ht="20.100000000000001" customHeight="1" x14ac:dyDescent="0.25">
      <c r="A664" s="13" t="s">
        <v>521</v>
      </c>
    </row>
    <row r="665" spans="1:1" ht="20.100000000000001" customHeight="1" x14ac:dyDescent="0.25">
      <c r="A665" s="13" t="s">
        <v>521</v>
      </c>
    </row>
    <row r="666" spans="1:1" ht="20.100000000000001" customHeight="1" x14ac:dyDescent="0.25">
      <c r="A666" s="13" t="s">
        <v>521</v>
      </c>
    </row>
    <row r="667" spans="1:1" ht="20.100000000000001" customHeight="1" x14ac:dyDescent="0.25">
      <c r="A667" s="13" t="s">
        <v>521</v>
      </c>
    </row>
    <row r="668" spans="1:1" ht="20.100000000000001" customHeight="1" x14ac:dyDescent="0.25">
      <c r="A668" s="13" t="s">
        <v>521</v>
      </c>
    </row>
    <row r="669" spans="1:1" ht="20.100000000000001" customHeight="1" x14ac:dyDescent="0.25">
      <c r="A669" s="13" t="s">
        <v>521</v>
      </c>
    </row>
    <row r="670" spans="1:1" ht="20.100000000000001" customHeight="1" x14ac:dyDescent="0.25">
      <c r="A670" s="13" t="s">
        <v>521</v>
      </c>
    </row>
    <row r="671" spans="1:1" ht="20.100000000000001" customHeight="1" x14ac:dyDescent="0.25">
      <c r="A671" s="13" t="s">
        <v>521</v>
      </c>
    </row>
    <row r="672" spans="1:1" ht="20.100000000000001" customHeight="1" x14ac:dyDescent="0.25">
      <c r="A672" s="13" t="s">
        <v>521</v>
      </c>
    </row>
    <row r="673" spans="1:1" ht="20.100000000000001" customHeight="1" x14ac:dyDescent="0.25">
      <c r="A673" s="13" t="s">
        <v>521</v>
      </c>
    </row>
    <row r="674" spans="1:1" ht="20.100000000000001" customHeight="1" x14ac:dyDescent="0.25">
      <c r="A674" s="13" t="s">
        <v>521</v>
      </c>
    </row>
    <row r="675" spans="1:1" ht="20.100000000000001" customHeight="1" x14ac:dyDescent="0.25">
      <c r="A675" s="13" t="s">
        <v>521</v>
      </c>
    </row>
    <row r="676" spans="1:1" ht="20.100000000000001" customHeight="1" x14ac:dyDescent="0.25">
      <c r="A676" s="13" t="s">
        <v>521</v>
      </c>
    </row>
    <row r="677" spans="1:1" ht="20.100000000000001" customHeight="1" x14ac:dyDescent="0.25">
      <c r="A677" s="13" t="s">
        <v>521</v>
      </c>
    </row>
    <row r="678" spans="1:1" ht="20.100000000000001" customHeight="1" x14ac:dyDescent="0.25">
      <c r="A678" s="13" t="s">
        <v>521</v>
      </c>
    </row>
    <row r="679" spans="1:1" ht="20.100000000000001" customHeight="1" x14ac:dyDescent="0.25">
      <c r="A679" s="13" t="s">
        <v>521</v>
      </c>
    </row>
    <row r="680" spans="1:1" ht="20.100000000000001" customHeight="1" x14ac:dyDescent="0.25">
      <c r="A680" s="13" t="s">
        <v>521</v>
      </c>
    </row>
    <row r="681" spans="1:1" ht="20.100000000000001" customHeight="1" x14ac:dyDescent="0.25">
      <c r="A681" s="13" t="s">
        <v>521</v>
      </c>
    </row>
    <row r="682" spans="1:1" ht="20.100000000000001" customHeight="1" x14ac:dyDescent="0.25">
      <c r="A682" s="13" t="s">
        <v>521</v>
      </c>
    </row>
    <row r="683" spans="1:1" ht="20.100000000000001" customHeight="1" x14ac:dyDescent="0.25">
      <c r="A683" s="13" t="s">
        <v>521</v>
      </c>
    </row>
    <row r="684" spans="1:1" ht="20.100000000000001" customHeight="1" x14ac:dyDescent="0.25">
      <c r="A684" s="13" t="s">
        <v>521</v>
      </c>
    </row>
    <row r="685" spans="1:1" ht="20.100000000000001" customHeight="1" x14ac:dyDescent="0.25">
      <c r="A685" s="13" t="s">
        <v>521</v>
      </c>
    </row>
    <row r="686" spans="1:1" ht="20.100000000000001" customHeight="1" x14ac:dyDescent="0.25">
      <c r="A686" s="13" t="s">
        <v>521</v>
      </c>
    </row>
    <row r="687" spans="1:1" ht="20.100000000000001" customHeight="1" x14ac:dyDescent="0.25">
      <c r="A687" s="13" t="s">
        <v>521</v>
      </c>
    </row>
    <row r="688" spans="1:1" ht="20.100000000000001" customHeight="1" x14ac:dyDescent="0.25">
      <c r="A688" s="13" t="s">
        <v>521</v>
      </c>
    </row>
    <row r="689" spans="1:1" ht="20.100000000000001" customHeight="1" x14ac:dyDescent="0.25">
      <c r="A689" s="13" t="s">
        <v>521</v>
      </c>
    </row>
    <row r="690" spans="1:1" ht="20.100000000000001" customHeight="1" x14ac:dyDescent="0.25">
      <c r="A690" s="13" t="s">
        <v>521</v>
      </c>
    </row>
    <row r="691" spans="1:1" ht="20.100000000000001" customHeight="1" x14ac:dyDescent="0.25">
      <c r="A691" s="13" t="s">
        <v>521</v>
      </c>
    </row>
    <row r="692" spans="1:1" ht="20.100000000000001" customHeight="1" x14ac:dyDescent="0.25">
      <c r="A692" s="13" t="s">
        <v>521</v>
      </c>
    </row>
    <row r="693" spans="1:1" ht="20.100000000000001" customHeight="1" x14ac:dyDescent="0.25">
      <c r="A693" s="13" t="s">
        <v>521</v>
      </c>
    </row>
    <row r="694" spans="1:1" ht="20.100000000000001" customHeight="1" x14ac:dyDescent="0.25">
      <c r="A694" s="13" t="s">
        <v>521</v>
      </c>
    </row>
    <row r="695" spans="1:1" ht="20.100000000000001" customHeight="1" x14ac:dyDescent="0.25">
      <c r="A695" s="13" t="s">
        <v>521</v>
      </c>
    </row>
    <row r="696" spans="1:1" ht="20.100000000000001" customHeight="1" x14ac:dyDescent="0.25">
      <c r="A696" s="13" t="s">
        <v>521</v>
      </c>
    </row>
    <row r="697" spans="1:1" ht="20.100000000000001" customHeight="1" x14ac:dyDescent="0.25">
      <c r="A697" s="13" t="s">
        <v>521</v>
      </c>
    </row>
    <row r="698" spans="1:1" ht="20.100000000000001" customHeight="1" x14ac:dyDescent="0.25">
      <c r="A698" s="13" t="s">
        <v>521</v>
      </c>
    </row>
    <row r="699" spans="1:1" ht="20.100000000000001" customHeight="1" x14ac:dyDescent="0.25">
      <c r="A699" s="13" t="s">
        <v>521</v>
      </c>
    </row>
    <row r="700" spans="1:1" ht="20.100000000000001" customHeight="1" x14ac:dyDescent="0.25">
      <c r="A700" s="13" t="s">
        <v>521</v>
      </c>
    </row>
    <row r="701" spans="1:1" ht="20.100000000000001" customHeight="1" x14ac:dyDescent="0.25">
      <c r="A701" s="13" t="s">
        <v>521</v>
      </c>
    </row>
    <row r="702" spans="1:1" ht="20.100000000000001" customHeight="1" x14ac:dyDescent="0.25">
      <c r="A702" s="13" t="s">
        <v>521</v>
      </c>
    </row>
    <row r="703" spans="1:1" ht="20.100000000000001" customHeight="1" x14ac:dyDescent="0.25">
      <c r="A703" s="13" t="s">
        <v>521</v>
      </c>
    </row>
    <row r="704" spans="1:1" ht="20.100000000000001" customHeight="1" x14ac:dyDescent="0.25">
      <c r="A704" s="13" t="s">
        <v>521</v>
      </c>
    </row>
    <row r="705" spans="1:1" ht="20.100000000000001" customHeight="1" x14ac:dyDescent="0.25">
      <c r="A705" s="13" t="s">
        <v>521</v>
      </c>
    </row>
    <row r="706" spans="1:1" ht="20.100000000000001" customHeight="1" x14ac:dyDescent="0.25">
      <c r="A706" s="13" t="s">
        <v>521</v>
      </c>
    </row>
    <row r="707" spans="1:1" ht="20.100000000000001" customHeight="1" x14ac:dyDescent="0.25">
      <c r="A707" s="13" t="s">
        <v>521</v>
      </c>
    </row>
    <row r="708" spans="1:1" ht="20.100000000000001" customHeight="1" x14ac:dyDescent="0.25">
      <c r="A708" s="13" t="s">
        <v>521</v>
      </c>
    </row>
    <row r="709" spans="1:1" ht="20.100000000000001" customHeight="1" x14ac:dyDescent="0.25">
      <c r="A709" s="13" t="s">
        <v>521</v>
      </c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scale="65" orientation="landscape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8FA327-9CDF-4288-AC11-5A50D9F19FAA}">
          <x14:formula1>
            <xm:f>AREA!$A$2:$A$12</xm:f>
          </x14:formula1>
          <xm:sqref>G2:G55 F2:F445</xm:sqref>
        </x14:dataValidation>
        <x14:dataValidation type="list" allowBlank="1" showInputMessage="1" showErrorMessage="1" xr:uid="{F1272CC8-53E1-4ABC-819C-1ABB1F6A56CE}">
          <x14:formula1>
            <xm:f>AREA!$A$17:$A$20</xm:f>
          </x14:formula1>
          <xm:sqref>G2:G445</xm:sqref>
        </x14:dataValidation>
        <x14:dataValidation type="list" allowBlank="1" showInputMessage="1" showErrorMessage="1" xr:uid="{5F812086-EF87-4834-BC2B-1F63F564BDF7}">
          <x14:formula1>
            <xm:f>AREA!$A$17:$A$21</xm:f>
          </x14:formula1>
          <xm:sqref>G56:G445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7D7-06D7-4B3D-BE31-9F6AF9EE4610}">
  <sheetPr>
    <tabColor theme="9" tint="0.39997558519241921"/>
  </sheetPr>
  <dimension ref="A1:W447"/>
  <sheetViews>
    <sheetView zoomScale="93" zoomScaleNormal="93" workbookViewId="0">
      <selection activeCell="I458" sqref="I458"/>
    </sheetView>
  </sheetViews>
  <sheetFormatPr baseColWidth="10" defaultRowHeight="20.100000000000001" customHeight="1" x14ac:dyDescent="0.25"/>
  <cols>
    <col min="1" max="1" width="13.85546875" style="1" customWidth="1"/>
    <col min="2" max="2" width="17" style="2" customWidth="1"/>
    <col min="3" max="3" width="32.85546875" style="3" customWidth="1"/>
    <col min="4" max="4" width="16.140625" style="3" customWidth="1"/>
    <col min="5" max="5" width="21.42578125" customWidth="1"/>
    <col min="6" max="6" width="36.7109375" style="3" customWidth="1"/>
    <col min="7" max="7" width="39.28515625" customWidth="1"/>
    <col min="8" max="8" width="60.42578125" style="3" customWidth="1"/>
    <col min="9" max="9" width="24.5703125" style="4" customWidth="1"/>
    <col min="10" max="10" width="19.5703125" style="6" customWidth="1"/>
    <col min="11" max="11" width="17" style="5" customWidth="1"/>
    <col min="12" max="12" width="91.42578125" style="5" customWidth="1"/>
    <col min="13" max="13" width="31" style="3" customWidth="1"/>
    <col min="14" max="14" width="21.5703125" style="3" customWidth="1"/>
    <col min="15" max="15" width="15.42578125" style="3" customWidth="1"/>
    <col min="16" max="17" width="23.7109375" style="3" customWidth="1"/>
    <col min="18" max="18" width="18.140625" style="3" customWidth="1"/>
    <col min="19" max="19" width="23.7109375" style="3" customWidth="1"/>
    <col min="20" max="21" width="22.5703125" style="3" customWidth="1"/>
    <col min="22" max="22" width="15.7109375" style="3" customWidth="1"/>
    <col min="23" max="23" width="25.140625" style="5" customWidth="1"/>
    <col min="24" max="16384" width="11.42578125" style="3"/>
  </cols>
  <sheetData>
    <row r="1" spans="1:23" s="26" customFormat="1" ht="30" customHeight="1" x14ac:dyDescent="0.25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317</v>
      </c>
      <c r="G1" s="26" t="s">
        <v>5</v>
      </c>
      <c r="H1" s="26" t="s">
        <v>6</v>
      </c>
      <c r="I1" s="27" t="s">
        <v>7</v>
      </c>
      <c r="J1" s="27" t="s">
        <v>389</v>
      </c>
      <c r="K1" s="27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7" t="s">
        <v>17</v>
      </c>
      <c r="U1" s="26" t="s">
        <v>18</v>
      </c>
    </row>
    <row r="2" spans="1:23" ht="20.100000000000001" hidden="1" customHeight="1" x14ac:dyDescent="0.25">
      <c r="A2" s="7">
        <v>44926</v>
      </c>
      <c r="B2" s="2" t="s">
        <v>37</v>
      </c>
      <c r="C2" s="2" t="s">
        <v>38</v>
      </c>
      <c r="D2" s="2" t="s">
        <v>42</v>
      </c>
      <c r="E2" s="3" t="s">
        <v>43</v>
      </c>
      <c r="F2" s="3" t="s">
        <v>19</v>
      </c>
      <c r="G2" s="2"/>
      <c r="H2" s="8" t="s">
        <v>23</v>
      </c>
      <c r="I2" s="5">
        <v>40000</v>
      </c>
      <c r="J2" s="5">
        <f>Tabla24567894[[#This Row],[TOTAL FACTURA]]*0.7</f>
        <v>28000</v>
      </c>
      <c r="K2" s="9">
        <f t="shared" ref="K2:K65" si="0">I2-J2</f>
        <v>12000</v>
      </c>
      <c r="L2" s="4" t="s">
        <v>24</v>
      </c>
      <c r="M2" s="10">
        <v>150000</v>
      </c>
      <c r="N2" s="10">
        <f>Tabla24567894[[#This Row],[MONTO DE COMPRA]]/1.19</f>
        <v>126050.42016806723</v>
      </c>
      <c r="O2" s="10">
        <f>Tabla24567894[[#This Row],[Columna1]]*19%</f>
        <v>23949.579831932773</v>
      </c>
      <c r="P2" s="10">
        <v>180000</v>
      </c>
      <c r="Q2" s="10">
        <f>Tabla24567894[[#This Row],[VENTA ]]/1.19</f>
        <v>151260.50420168068</v>
      </c>
      <c r="R2" s="10">
        <f>Tabla24567894[[#This Row],[Columna2]]*19%</f>
        <v>28739.495798319331</v>
      </c>
      <c r="S2" s="10">
        <f>Tabla24567894[[#This Row],[IVA VENTA ]]-Tabla24567894[[#This Row],[IV COMPRA]]</f>
        <v>4789.9159663865576</v>
      </c>
      <c r="T2" s="10">
        <f>(Tabla24567894[[#This Row],[VENTA ]]-(Tabla24567894[[#This Row],[MONTO DE COMPRA]]+Tabla24567894[[#This Row],[DIFERENCIA IVA ]]))</f>
        <v>25210.084033613442</v>
      </c>
      <c r="W2" s="3"/>
    </row>
    <row r="3" spans="1:23" s="15" customFormat="1" ht="20.100000000000001" hidden="1" customHeight="1" x14ac:dyDescent="0.25">
      <c r="A3" s="7">
        <v>44926</v>
      </c>
      <c r="B3" s="14"/>
      <c r="C3" s="14" t="s">
        <v>44</v>
      </c>
      <c r="D3" s="14" t="s">
        <v>45</v>
      </c>
      <c r="E3" s="15" t="s">
        <v>31</v>
      </c>
      <c r="F3" s="15" t="s">
        <v>19</v>
      </c>
      <c r="G3" s="14"/>
      <c r="H3" s="16" t="s">
        <v>46</v>
      </c>
      <c r="I3" s="17">
        <v>40000</v>
      </c>
      <c r="J3" s="5">
        <f>Tabla24567894[[#This Row],[TOTAL FACTURA]]*0.7</f>
        <v>28000</v>
      </c>
      <c r="K3" s="9">
        <f t="shared" si="0"/>
        <v>12000</v>
      </c>
      <c r="L3" s="4"/>
      <c r="M3" s="10"/>
      <c r="N3" s="10">
        <f>Tabla24567894[[#This Row],[MONTO DE COMPRA]]/1.19</f>
        <v>0</v>
      </c>
      <c r="O3" s="10">
        <f>Tabla24567894[[#This Row],[Columna1]]*19%</f>
        <v>0</v>
      </c>
      <c r="P3" s="10"/>
      <c r="Q3" s="10">
        <f>Tabla24567894[[#This Row],[VENTA ]]/1.19</f>
        <v>0</v>
      </c>
      <c r="R3" s="10">
        <f>Tabla24567894[[#This Row],[Columna2]]*19%</f>
        <v>0</v>
      </c>
      <c r="S3" s="10">
        <f>Tabla24567894[[#This Row],[IVA VENTA ]]-Tabla24567894[[#This Row],[IV COMPRA]]</f>
        <v>0</v>
      </c>
      <c r="T3" s="10">
        <f>(Tabla24567894[[#This Row],[VENTA ]]-(Tabla24567894[[#This Row],[MONTO DE COMPRA]]+Tabla24567894[[#This Row],[DIFERENCIA IVA ]]))</f>
        <v>0</v>
      </c>
      <c r="U3" s="17"/>
    </row>
    <row r="4" spans="1:23" s="15" customFormat="1" ht="20.100000000000001" hidden="1" customHeight="1" x14ac:dyDescent="0.25">
      <c r="A4" s="13">
        <v>44928</v>
      </c>
      <c r="B4" s="14"/>
      <c r="C4" s="14" t="s">
        <v>47</v>
      </c>
      <c r="D4" s="14" t="s">
        <v>48</v>
      </c>
      <c r="E4" s="15" t="s">
        <v>28</v>
      </c>
      <c r="F4" s="15" t="s">
        <v>19</v>
      </c>
      <c r="G4" s="14"/>
      <c r="H4" s="16" t="s">
        <v>50</v>
      </c>
      <c r="I4" s="17">
        <v>25000</v>
      </c>
      <c r="J4" s="5">
        <f>Tabla24567894[[#This Row],[TOTAL FACTURA]]*0.7</f>
        <v>17500</v>
      </c>
      <c r="K4" s="9">
        <f t="shared" si="0"/>
        <v>7500</v>
      </c>
      <c r="L4" s="4" t="s">
        <v>49</v>
      </c>
      <c r="M4" s="10">
        <f>66000+8000</f>
        <v>74000</v>
      </c>
      <c r="N4" s="10">
        <f>Tabla24567894[[#This Row],[MONTO DE COMPRA]]/1.19</f>
        <v>62184.873949579836</v>
      </c>
      <c r="O4" s="10">
        <f>Tabla24567894[[#This Row],[Columna1]]*19%</f>
        <v>11815.126050420169</v>
      </c>
      <c r="P4" s="10">
        <v>90000</v>
      </c>
      <c r="Q4" s="10">
        <f>Tabla24567894[[#This Row],[VENTA ]]/1.19</f>
        <v>75630.252100840342</v>
      </c>
      <c r="R4" s="10">
        <f>Tabla24567894[[#This Row],[Columna2]]*19%</f>
        <v>14369.747899159665</v>
      </c>
      <c r="S4" s="10">
        <f>Tabla24567894[[#This Row],[IVA VENTA ]]-Tabla24567894[[#This Row],[IV COMPRA]]</f>
        <v>2554.6218487394963</v>
      </c>
      <c r="T4" s="10">
        <f>(Tabla24567894[[#This Row],[VENTA ]]-(Tabla24567894[[#This Row],[MONTO DE COMPRA]]+Tabla24567894[[#This Row],[DIFERENCIA IVA ]]))</f>
        <v>13445.378151260506</v>
      </c>
      <c r="U4" s="17"/>
    </row>
    <row r="5" spans="1:23" s="15" customFormat="1" ht="20.100000000000001" hidden="1" customHeight="1" x14ac:dyDescent="0.25">
      <c r="A5" s="13">
        <v>44928</v>
      </c>
      <c r="B5" s="14" t="s">
        <v>52</v>
      </c>
      <c r="C5" s="14" t="s">
        <v>51</v>
      </c>
      <c r="D5" s="14" t="s">
        <v>36</v>
      </c>
      <c r="E5" s="14" t="s">
        <v>27</v>
      </c>
      <c r="F5" s="15" t="s">
        <v>26</v>
      </c>
      <c r="G5" s="14"/>
      <c r="H5" s="16" t="s">
        <v>20</v>
      </c>
      <c r="I5" s="17">
        <v>15000</v>
      </c>
      <c r="J5" s="5">
        <f>Tabla24567894[[#This Row],[TOTAL FACTURA]]*0.6</f>
        <v>9000</v>
      </c>
      <c r="K5" s="9">
        <f t="shared" si="0"/>
        <v>6000</v>
      </c>
      <c r="L5" s="4"/>
      <c r="M5" s="10"/>
      <c r="N5" s="10">
        <f>Tabla24567894[[#This Row],[MONTO DE COMPRA]]/1.19</f>
        <v>0</v>
      </c>
      <c r="O5" s="10">
        <f>Tabla24567894[[#This Row],[Columna1]]*19%</f>
        <v>0</v>
      </c>
      <c r="P5" s="10"/>
      <c r="Q5" s="10">
        <f>Tabla24567894[[#This Row],[VENTA ]]/1.19</f>
        <v>0</v>
      </c>
      <c r="R5" s="10">
        <f>Tabla24567894[[#This Row],[Columna2]]*19%</f>
        <v>0</v>
      </c>
      <c r="S5" s="10">
        <f>Tabla24567894[[#This Row],[IVA VENTA ]]-Tabla24567894[[#This Row],[IV COMPRA]]</f>
        <v>0</v>
      </c>
      <c r="T5" s="10">
        <f>(Tabla24567894[[#This Row],[VENTA ]]-(Tabla24567894[[#This Row],[MONTO DE COMPRA]]+Tabla24567894[[#This Row],[DIFERENCIA IVA ]]))</f>
        <v>0</v>
      </c>
      <c r="U5" s="17"/>
    </row>
    <row r="6" spans="1:23" s="15" customFormat="1" ht="20.100000000000001" hidden="1" customHeight="1" x14ac:dyDescent="0.25">
      <c r="A6" s="13">
        <v>44928</v>
      </c>
      <c r="B6" s="14"/>
      <c r="C6" s="14" t="s">
        <v>53</v>
      </c>
      <c r="D6" s="14" t="s">
        <v>54</v>
      </c>
      <c r="E6" s="15" t="s">
        <v>55</v>
      </c>
      <c r="F6" s="15" t="s">
        <v>26</v>
      </c>
      <c r="G6" s="14"/>
      <c r="H6" s="16" t="s">
        <v>21</v>
      </c>
      <c r="I6" s="17">
        <v>30000</v>
      </c>
      <c r="J6" s="5">
        <f>Tabla24567894[[#This Row],[TOTAL FACTURA]]*0.6</f>
        <v>18000</v>
      </c>
      <c r="K6" s="9">
        <f t="shared" si="0"/>
        <v>12000</v>
      </c>
      <c r="L6" s="4" t="s">
        <v>22</v>
      </c>
      <c r="M6" s="10">
        <v>176000</v>
      </c>
      <c r="N6" s="10">
        <f>Tabla24567894[[#This Row],[MONTO DE COMPRA]]/1.19</f>
        <v>147899.15966386555</v>
      </c>
      <c r="O6" s="10">
        <f>Tabla24567894[[#This Row],[Columna1]]*19%</f>
        <v>28100.840336134454</v>
      </c>
      <c r="P6" s="10">
        <v>230000</v>
      </c>
      <c r="Q6" s="10">
        <f>Tabla24567894[[#This Row],[VENTA ]]/1.19</f>
        <v>193277.31092436975</v>
      </c>
      <c r="R6" s="10">
        <f>Tabla24567894[[#This Row],[Columna2]]*19%</f>
        <v>36722.689075630253</v>
      </c>
      <c r="S6" s="10">
        <f>Tabla24567894[[#This Row],[IVA VENTA ]]-Tabla24567894[[#This Row],[IV COMPRA]]</f>
        <v>8621.8487394957992</v>
      </c>
      <c r="T6" s="10">
        <f>(Tabla24567894[[#This Row],[VENTA ]]-(Tabla24567894[[#This Row],[MONTO DE COMPRA]]+Tabla24567894[[#This Row],[DIFERENCIA IVA ]]))</f>
        <v>45378.151260504208</v>
      </c>
      <c r="U6" s="17"/>
    </row>
    <row r="7" spans="1:23" s="15" customFormat="1" ht="20.100000000000001" hidden="1" customHeight="1" x14ac:dyDescent="0.25">
      <c r="A7" s="13">
        <v>44928</v>
      </c>
      <c r="B7" s="14" t="s">
        <v>59</v>
      </c>
      <c r="C7" s="14" t="s">
        <v>56</v>
      </c>
      <c r="D7" s="14" t="s">
        <v>57</v>
      </c>
      <c r="E7" s="15" t="s">
        <v>32</v>
      </c>
      <c r="F7" s="15" t="s">
        <v>19</v>
      </c>
      <c r="G7" s="14"/>
      <c r="H7" s="16" t="s">
        <v>58</v>
      </c>
      <c r="I7" s="17">
        <v>60000</v>
      </c>
      <c r="J7" s="5">
        <f>Tabla24567894[[#This Row],[TOTAL FACTURA]]*0.7</f>
        <v>42000</v>
      </c>
      <c r="K7" s="9">
        <f t="shared" si="0"/>
        <v>18000</v>
      </c>
      <c r="L7" s="4"/>
      <c r="M7" s="10"/>
      <c r="N7" s="10">
        <f>Tabla24567894[[#This Row],[MONTO DE COMPRA]]/1.19</f>
        <v>0</v>
      </c>
      <c r="O7" s="10">
        <f>Tabla24567894[[#This Row],[Columna1]]*19%</f>
        <v>0</v>
      </c>
      <c r="P7" s="10"/>
      <c r="Q7" s="10">
        <f>Tabla24567894[[#This Row],[VENTA ]]/1.19</f>
        <v>0</v>
      </c>
      <c r="R7" s="10">
        <f>Tabla24567894[[#This Row],[Columna2]]*19%</f>
        <v>0</v>
      </c>
      <c r="S7" s="10">
        <f>Tabla24567894[[#This Row],[IVA VENTA ]]-Tabla24567894[[#This Row],[IV COMPRA]]</f>
        <v>0</v>
      </c>
      <c r="T7" s="10">
        <f>(Tabla24567894[[#This Row],[VENTA ]]-(Tabla24567894[[#This Row],[MONTO DE COMPRA]]+Tabla24567894[[#This Row],[DIFERENCIA IVA ]]))</f>
        <v>0</v>
      </c>
      <c r="U7" s="17"/>
    </row>
    <row r="8" spans="1:23" s="15" customFormat="1" ht="20.100000000000001" hidden="1" customHeight="1" x14ac:dyDescent="0.25">
      <c r="A8" s="13">
        <v>44928</v>
      </c>
      <c r="B8" s="14"/>
      <c r="C8" s="14" t="s">
        <v>60</v>
      </c>
      <c r="D8" s="14" t="s">
        <v>61</v>
      </c>
      <c r="E8" s="15" t="s">
        <v>27</v>
      </c>
      <c r="F8" s="15" t="s">
        <v>26</v>
      </c>
      <c r="G8" s="14"/>
      <c r="H8" s="16" t="s">
        <v>20</v>
      </c>
      <c r="I8" s="17">
        <v>10000</v>
      </c>
      <c r="J8" s="5">
        <f>Tabla24567894[[#This Row],[TOTAL FACTURA]]*0.6</f>
        <v>6000</v>
      </c>
      <c r="K8" s="9">
        <f t="shared" si="0"/>
        <v>4000</v>
      </c>
      <c r="L8" s="4"/>
      <c r="M8" s="10"/>
      <c r="N8" s="10">
        <f>Tabla24567894[[#This Row],[MONTO DE COMPRA]]/1.19</f>
        <v>0</v>
      </c>
      <c r="O8" s="10">
        <f>Tabla24567894[[#This Row],[Columna1]]*19%</f>
        <v>0</v>
      </c>
      <c r="P8" s="10"/>
      <c r="Q8" s="10">
        <f>Tabla24567894[[#This Row],[VENTA ]]/1.19</f>
        <v>0</v>
      </c>
      <c r="R8" s="10">
        <f>Tabla24567894[[#This Row],[Columna2]]*19%</f>
        <v>0</v>
      </c>
      <c r="S8" s="10">
        <f>Tabla24567894[[#This Row],[IVA VENTA ]]-Tabla24567894[[#This Row],[IV COMPRA]]</f>
        <v>0</v>
      </c>
      <c r="T8" s="10">
        <f>(Tabla24567894[[#This Row],[VENTA ]]-(Tabla24567894[[#This Row],[MONTO DE COMPRA]]+Tabla24567894[[#This Row],[DIFERENCIA IVA ]]))</f>
        <v>0</v>
      </c>
      <c r="U8" s="17"/>
    </row>
    <row r="9" spans="1:23" s="15" customFormat="1" ht="35.25" hidden="1" customHeight="1" x14ac:dyDescent="0.25">
      <c r="A9" s="13">
        <v>44928</v>
      </c>
      <c r="B9" s="14"/>
      <c r="C9" s="14" t="s">
        <v>62</v>
      </c>
      <c r="D9" s="14" t="s">
        <v>63</v>
      </c>
      <c r="E9" s="15" t="s">
        <v>64</v>
      </c>
      <c r="F9" s="15" t="s">
        <v>19</v>
      </c>
      <c r="G9" s="14"/>
      <c r="H9" s="16" t="s">
        <v>65</v>
      </c>
      <c r="I9" s="17">
        <v>200000</v>
      </c>
      <c r="J9" s="5">
        <f>Tabla24567894[[#This Row],[TOTAL FACTURA]]*0.7</f>
        <v>140000</v>
      </c>
      <c r="K9" s="9">
        <f t="shared" si="0"/>
        <v>60000</v>
      </c>
      <c r="L9" s="4" t="s">
        <v>66</v>
      </c>
      <c r="M9" s="10">
        <f>108000+40000</f>
        <v>148000</v>
      </c>
      <c r="N9" s="10"/>
      <c r="O9" s="10">
        <f>Tabla24567894[[#This Row],[Columna1]]*19%</f>
        <v>0</v>
      </c>
      <c r="P9" s="10">
        <v>180000</v>
      </c>
      <c r="Q9" s="10"/>
      <c r="R9" s="10">
        <f>Tabla24567894[[#This Row],[Columna2]]*19%</f>
        <v>0</v>
      </c>
      <c r="S9" s="10">
        <f>Tabla24567894[[#This Row],[IVA VENTA ]]-Tabla24567894[[#This Row],[IV COMPRA]]</f>
        <v>0</v>
      </c>
      <c r="T9" s="10">
        <f>(Tabla24567894[[#This Row],[VENTA ]]-(Tabla24567894[[#This Row],[MONTO DE COMPRA]]+Tabla24567894[[#This Row],[DIFERENCIA IVA ]]))</f>
        <v>32000</v>
      </c>
      <c r="U9" s="17"/>
    </row>
    <row r="10" spans="1:23" s="15" customFormat="1" ht="20.100000000000001" hidden="1" customHeight="1" x14ac:dyDescent="0.25">
      <c r="A10" s="13">
        <v>44928</v>
      </c>
      <c r="B10" s="14"/>
      <c r="C10" s="14" t="s">
        <v>67</v>
      </c>
      <c r="D10" s="14" t="s">
        <v>30</v>
      </c>
      <c r="E10" s="15" t="s">
        <v>34</v>
      </c>
      <c r="F10" s="15" t="s">
        <v>26</v>
      </c>
      <c r="G10" s="14"/>
      <c r="H10" s="16" t="s">
        <v>68</v>
      </c>
      <c r="I10" s="17">
        <v>30000</v>
      </c>
      <c r="J10" s="5">
        <f>Tabla24567894[[#This Row],[TOTAL FACTURA]]*0.6</f>
        <v>18000</v>
      </c>
      <c r="K10" s="9">
        <f t="shared" si="0"/>
        <v>12000</v>
      </c>
      <c r="L10" s="4"/>
      <c r="M10" s="10"/>
      <c r="N10" s="10">
        <f>Tabla24567894[[#This Row],[MONTO DE COMPRA]]/1.19</f>
        <v>0</v>
      </c>
      <c r="O10" s="10">
        <f>Tabla24567894[[#This Row],[Columna1]]*19%</f>
        <v>0</v>
      </c>
      <c r="P10" s="10"/>
      <c r="Q10" s="10">
        <f>Tabla24567894[[#This Row],[VENTA ]]/1.19</f>
        <v>0</v>
      </c>
      <c r="R10" s="10">
        <f>Tabla24567894[[#This Row],[Columna2]]*19%</f>
        <v>0</v>
      </c>
      <c r="S10" s="10">
        <f>Tabla24567894[[#This Row],[IVA VENTA ]]-Tabla24567894[[#This Row],[IV COMPRA]]</f>
        <v>0</v>
      </c>
      <c r="T10" s="10">
        <f>(Tabla24567894[[#This Row],[VENTA ]]-(Tabla24567894[[#This Row],[MONTO DE COMPRA]]+Tabla24567894[[#This Row],[DIFERENCIA IVA ]]))</f>
        <v>0</v>
      </c>
      <c r="U10" s="17"/>
    </row>
    <row r="11" spans="1:23" s="15" customFormat="1" ht="20.100000000000001" hidden="1" customHeight="1" x14ac:dyDescent="0.25">
      <c r="A11" s="13">
        <v>44929</v>
      </c>
      <c r="B11" s="14"/>
      <c r="C11" s="14"/>
      <c r="D11" s="14" t="s">
        <v>69</v>
      </c>
      <c r="E11" s="15" t="s">
        <v>70</v>
      </c>
      <c r="F11" s="15" t="s">
        <v>19</v>
      </c>
      <c r="G11" s="14"/>
      <c r="H11" s="16" t="s">
        <v>71</v>
      </c>
      <c r="I11" s="17">
        <v>30000</v>
      </c>
      <c r="J11" s="5">
        <f>Tabla24567894[[#This Row],[TOTAL FACTURA]]*0.7</f>
        <v>21000</v>
      </c>
      <c r="K11" s="9">
        <f t="shared" si="0"/>
        <v>9000</v>
      </c>
      <c r="L11" s="4"/>
      <c r="M11" s="10"/>
      <c r="N11" s="10">
        <f>Tabla24567894[[#This Row],[MONTO DE COMPRA]]/1.19</f>
        <v>0</v>
      </c>
      <c r="O11" s="10">
        <f>Tabla24567894[[#This Row],[Columna1]]*19%</f>
        <v>0</v>
      </c>
      <c r="P11" s="10"/>
      <c r="Q11" s="10">
        <f>Tabla24567894[[#This Row],[VENTA ]]/1.19</f>
        <v>0</v>
      </c>
      <c r="R11" s="10">
        <f>Tabla24567894[[#This Row],[Columna2]]*19%</f>
        <v>0</v>
      </c>
      <c r="S11" s="10">
        <f>Tabla24567894[[#This Row],[IVA VENTA ]]-Tabla24567894[[#This Row],[IV COMPRA]]</f>
        <v>0</v>
      </c>
      <c r="T11" s="10">
        <f>(Tabla24567894[[#This Row],[VENTA ]]-(Tabla24567894[[#This Row],[MONTO DE COMPRA]]+Tabla24567894[[#This Row],[DIFERENCIA IVA ]]))</f>
        <v>0</v>
      </c>
      <c r="U11" s="17"/>
    </row>
    <row r="12" spans="1:23" s="15" customFormat="1" ht="20.100000000000001" hidden="1" customHeight="1" x14ac:dyDescent="0.25">
      <c r="A12" s="13">
        <v>44929</v>
      </c>
      <c r="B12" s="14" t="s">
        <v>76</v>
      </c>
      <c r="C12" s="14" t="s">
        <v>72</v>
      </c>
      <c r="D12" s="14" t="s">
        <v>73</v>
      </c>
      <c r="E12" s="15" t="s">
        <v>74</v>
      </c>
      <c r="F12" s="15" t="s">
        <v>19</v>
      </c>
      <c r="G12" s="14"/>
      <c r="H12" s="16" t="s">
        <v>211</v>
      </c>
      <c r="I12" s="17">
        <v>30000</v>
      </c>
      <c r="J12" s="5">
        <f>Tabla24567894[[#This Row],[TOTAL FACTURA]]*0.7</f>
        <v>21000</v>
      </c>
      <c r="K12" s="9">
        <f t="shared" si="0"/>
        <v>9000</v>
      </c>
      <c r="L12" s="4" t="s">
        <v>75</v>
      </c>
      <c r="M12" s="10">
        <v>95000</v>
      </c>
      <c r="N12" s="10">
        <f>Tabla24567894[[#This Row],[MONTO DE COMPRA]]/1.19</f>
        <v>79831.932773109249</v>
      </c>
      <c r="O12" s="10">
        <f>Tabla24567894[[#This Row],[Columna1]]*19%</f>
        <v>15168.067226890758</v>
      </c>
      <c r="P12" s="10">
        <v>136000</v>
      </c>
      <c r="Q12" s="10">
        <f>Tabla24567894[[#This Row],[VENTA ]]/1.19</f>
        <v>114285.71428571429</v>
      </c>
      <c r="R12" s="10">
        <f>Tabla24567894[[#This Row],[Columna2]]*19%</f>
        <v>21714.285714285714</v>
      </c>
      <c r="S12" s="10">
        <f>Tabla24567894[[#This Row],[IVA VENTA ]]-Tabla24567894[[#This Row],[IV COMPRA]]</f>
        <v>6546.2184873949554</v>
      </c>
      <c r="T12" s="10">
        <f>(Tabla24567894[[#This Row],[VENTA ]]-(Tabla24567894[[#This Row],[MONTO DE COMPRA]]+Tabla24567894[[#This Row],[DIFERENCIA IVA ]]))</f>
        <v>34453.781512605041</v>
      </c>
      <c r="U12" s="17"/>
    </row>
    <row r="13" spans="1:23" s="15" customFormat="1" ht="20.100000000000001" hidden="1" customHeight="1" x14ac:dyDescent="0.25">
      <c r="A13" s="13">
        <v>44929</v>
      </c>
      <c r="B13" s="14" t="s">
        <v>82</v>
      </c>
      <c r="C13" s="14" t="s">
        <v>77</v>
      </c>
      <c r="D13" s="14" t="s">
        <v>78</v>
      </c>
      <c r="E13" s="15" t="s">
        <v>79</v>
      </c>
      <c r="F13" s="15" t="s">
        <v>19</v>
      </c>
      <c r="G13" s="14"/>
      <c r="H13" s="16" t="s">
        <v>80</v>
      </c>
      <c r="I13" s="17">
        <v>40000</v>
      </c>
      <c r="J13" s="5">
        <f>Tabla24567894[[#This Row],[TOTAL FACTURA]]*0.7</f>
        <v>28000</v>
      </c>
      <c r="K13" s="9">
        <f t="shared" si="0"/>
        <v>12000</v>
      </c>
      <c r="L13" s="4" t="s">
        <v>81</v>
      </c>
      <c r="M13" s="10">
        <v>140000</v>
      </c>
      <c r="N13" s="10">
        <f>Tabla24567894[[#This Row],[MONTO DE COMPRA]]/1.19</f>
        <v>117647.05882352941</v>
      </c>
      <c r="O13" s="10">
        <f>Tabla24567894[[#This Row],[Columna1]]*19%</f>
        <v>22352.941176470587</v>
      </c>
      <c r="P13" s="10">
        <v>160000</v>
      </c>
      <c r="Q13" s="10">
        <f>Tabla24567894[[#This Row],[VENTA ]]/1.19</f>
        <v>134453.78151260506</v>
      </c>
      <c r="R13" s="10">
        <f>Tabla24567894[[#This Row],[Columna2]]*19%</f>
        <v>25546.218487394959</v>
      </c>
      <c r="S13" s="10">
        <f>Tabla24567894[[#This Row],[IVA VENTA ]]-Tabla24567894[[#This Row],[IV COMPRA]]</f>
        <v>3193.2773109243717</v>
      </c>
      <c r="T13" s="10">
        <f>(Tabla24567894[[#This Row],[VENTA ]]-(Tabla24567894[[#This Row],[MONTO DE COMPRA]]+Tabla24567894[[#This Row],[DIFERENCIA IVA ]]))</f>
        <v>16806.722689075628</v>
      </c>
      <c r="U13" s="17"/>
    </row>
    <row r="14" spans="1:23" s="15" customFormat="1" ht="20.100000000000001" hidden="1" customHeight="1" x14ac:dyDescent="0.25">
      <c r="A14" s="13">
        <v>44929</v>
      </c>
      <c r="B14" s="14"/>
      <c r="C14" s="14"/>
      <c r="D14" s="14" t="s">
        <v>25</v>
      </c>
      <c r="F14" s="15" t="s">
        <v>19</v>
      </c>
      <c r="G14" s="14"/>
      <c r="H14" s="16" t="s">
        <v>84</v>
      </c>
      <c r="I14" s="17">
        <v>90000</v>
      </c>
      <c r="J14" s="5">
        <f>Tabla24567894[[#This Row],[TOTAL FACTURA]]*0.7</f>
        <v>62999.999999999993</v>
      </c>
      <c r="K14" s="9">
        <f t="shared" si="0"/>
        <v>27000.000000000007</v>
      </c>
      <c r="L14" s="4" t="s">
        <v>85</v>
      </c>
      <c r="M14" s="10"/>
      <c r="N14" s="10">
        <f>Tabla24567894[[#This Row],[MONTO DE COMPRA]]/1.19</f>
        <v>0</v>
      </c>
      <c r="O14" s="10">
        <f>Tabla24567894[[#This Row],[Columna1]]*19%</f>
        <v>0</v>
      </c>
      <c r="P14" s="10"/>
      <c r="Q14" s="10">
        <f>Tabla24567894[[#This Row],[VENTA ]]/1.19</f>
        <v>0</v>
      </c>
      <c r="R14" s="10">
        <f>Tabla24567894[[#This Row],[Columna2]]*19%</f>
        <v>0</v>
      </c>
      <c r="S14" s="10">
        <f>Tabla24567894[[#This Row],[IVA VENTA ]]-Tabla24567894[[#This Row],[IV COMPRA]]</f>
        <v>0</v>
      </c>
      <c r="T14" s="10">
        <f>(Tabla24567894[[#This Row],[VENTA ]]-(Tabla24567894[[#This Row],[MONTO DE COMPRA]]+Tabla24567894[[#This Row],[DIFERENCIA IVA ]]))</f>
        <v>0</v>
      </c>
      <c r="U14" s="17"/>
    </row>
    <row r="15" spans="1:23" s="15" customFormat="1" ht="20.100000000000001" hidden="1" customHeight="1" x14ac:dyDescent="0.25">
      <c r="A15" s="13">
        <v>44929</v>
      </c>
      <c r="B15" s="14"/>
      <c r="C15" s="14" t="s">
        <v>83</v>
      </c>
      <c r="D15" s="14" t="s">
        <v>57</v>
      </c>
      <c r="E15" s="15" t="s">
        <v>86</v>
      </c>
      <c r="F15" s="15" t="s">
        <v>19</v>
      </c>
      <c r="G15" s="14"/>
      <c r="H15" s="16" t="s">
        <v>87</v>
      </c>
      <c r="I15" s="17">
        <v>30000</v>
      </c>
      <c r="J15" s="5">
        <f>Tabla24567894[[#This Row],[TOTAL FACTURA]]*0.7</f>
        <v>21000</v>
      </c>
      <c r="K15" s="9">
        <f t="shared" si="0"/>
        <v>9000</v>
      </c>
      <c r="L15" s="4"/>
      <c r="M15" s="10"/>
      <c r="N15" s="10">
        <f>Tabla24567894[[#This Row],[MONTO DE COMPRA]]/1.19</f>
        <v>0</v>
      </c>
      <c r="O15" s="10">
        <f>Tabla24567894[[#This Row],[Columna1]]*19%</f>
        <v>0</v>
      </c>
      <c r="P15" s="10"/>
      <c r="Q15" s="10">
        <f>Tabla24567894[[#This Row],[VENTA ]]/1.19</f>
        <v>0</v>
      </c>
      <c r="R15" s="10">
        <f>Tabla24567894[[#This Row],[Columna2]]*19%</f>
        <v>0</v>
      </c>
      <c r="S15" s="10">
        <f>Tabla24567894[[#This Row],[IVA VENTA ]]-Tabla24567894[[#This Row],[IV COMPRA]]</f>
        <v>0</v>
      </c>
      <c r="T15" s="10">
        <f>(Tabla24567894[[#This Row],[VENTA ]]-(Tabla24567894[[#This Row],[MONTO DE COMPRA]]+Tabla24567894[[#This Row],[DIFERENCIA IVA ]]))</f>
        <v>0</v>
      </c>
      <c r="U15" s="17"/>
    </row>
    <row r="16" spans="1:23" s="15" customFormat="1" ht="20.100000000000001" hidden="1" customHeight="1" x14ac:dyDescent="0.25">
      <c r="A16" s="13">
        <v>44929</v>
      </c>
      <c r="B16" s="14"/>
      <c r="C16" s="14" t="s">
        <v>29</v>
      </c>
      <c r="D16" s="14"/>
      <c r="E16" s="15" t="s">
        <v>34</v>
      </c>
      <c r="F16" s="15" t="s">
        <v>39</v>
      </c>
      <c r="G16" s="14"/>
      <c r="H16" s="16" t="s">
        <v>88</v>
      </c>
      <c r="I16" s="17">
        <v>20000</v>
      </c>
      <c r="J16" s="5">
        <v>20000</v>
      </c>
      <c r="K16" s="9">
        <f t="shared" si="0"/>
        <v>0</v>
      </c>
      <c r="L16" s="4"/>
      <c r="M16" s="10"/>
      <c r="N16" s="10">
        <f>Tabla24567894[[#This Row],[MONTO DE COMPRA]]/1.19</f>
        <v>0</v>
      </c>
      <c r="O16" s="10">
        <f>Tabla24567894[[#This Row],[Columna1]]*19%</f>
        <v>0</v>
      </c>
      <c r="P16" s="10"/>
      <c r="Q16" s="10">
        <f>Tabla24567894[[#This Row],[VENTA ]]/1.19</f>
        <v>0</v>
      </c>
      <c r="R16" s="10">
        <f>Tabla24567894[[#This Row],[Columna2]]*19%</f>
        <v>0</v>
      </c>
      <c r="S16" s="10">
        <f>Tabla24567894[[#This Row],[IVA VENTA ]]-Tabla24567894[[#This Row],[IV COMPRA]]</f>
        <v>0</v>
      </c>
      <c r="T16" s="10">
        <f>(Tabla24567894[[#This Row],[VENTA ]]-(Tabla24567894[[#This Row],[MONTO DE COMPRA]]+Tabla24567894[[#This Row],[DIFERENCIA IVA ]]))</f>
        <v>0</v>
      </c>
      <c r="U16" s="17"/>
    </row>
    <row r="17" spans="1:21" s="15" customFormat="1" ht="20.100000000000001" hidden="1" customHeight="1" x14ac:dyDescent="0.25">
      <c r="A17" s="13">
        <v>44929</v>
      </c>
      <c r="B17" s="14" t="s">
        <v>89</v>
      </c>
      <c r="C17" s="14" t="s">
        <v>90</v>
      </c>
      <c r="D17" s="14" t="s">
        <v>91</v>
      </c>
      <c r="E17" s="15" t="s">
        <v>92</v>
      </c>
      <c r="F17" s="15" t="s">
        <v>19</v>
      </c>
      <c r="G17" s="14"/>
      <c r="H17" s="16" t="s">
        <v>93</v>
      </c>
      <c r="I17" s="17">
        <v>30000</v>
      </c>
      <c r="J17" s="5">
        <f>Tabla24567894[[#This Row],[TOTAL FACTURA]]*0.7</f>
        <v>21000</v>
      </c>
      <c r="K17" s="9">
        <f t="shared" si="0"/>
        <v>9000</v>
      </c>
      <c r="L17" s="4"/>
      <c r="M17" s="10"/>
      <c r="N17" s="10">
        <f>Tabla24567894[[#This Row],[MONTO DE COMPRA]]/1.19</f>
        <v>0</v>
      </c>
      <c r="O17" s="10">
        <f>Tabla24567894[[#This Row],[Columna1]]*19%</f>
        <v>0</v>
      </c>
      <c r="P17" s="10"/>
      <c r="Q17" s="10">
        <f>Tabla24567894[[#This Row],[VENTA ]]/1.19</f>
        <v>0</v>
      </c>
      <c r="R17" s="10">
        <f>Tabla24567894[[#This Row],[Columna2]]*19%</f>
        <v>0</v>
      </c>
      <c r="S17" s="10">
        <f>Tabla24567894[[#This Row],[IVA VENTA ]]-Tabla24567894[[#This Row],[IV COMPRA]]</f>
        <v>0</v>
      </c>
      <c r="T17" s="10">
        <f>(Tabla24567894[[#This Row],[VENTA ]]-(Tabla24567894[[#This Row],[MONTO DE COMPRA]]+Tabla24567894[[#This Row],[DIFERENCIA IVA ]]))</f>
        <v>0</v>
      </c>
      <c r="U17" s="17"/>
    </row>
    <row r="18" spans="1:21" s="15" customFormat="1" ht="20.100000000000001" hidden="1" customHeight="1" x14ac:dyDescent="0.25">
      <c r="A18" s="13">
        <v>44929</v>
      </c>
      <c r="B18" s="14" t="s">
        <v>76</v>
      </c>
      <c r="C18" s="14" t="s">
        <v>90</v>
      </c>
      <c r="D18" s="14" t="s">
        <v>94</v>
      </c>
      <c r="E18" s="18" t="s">
        <v>95</v>
      </c>
      <c r="F18" s="15" t="s">
        <v>19</v>
      </c>
      <c r="G18" s="14"/>
      <c r="H18" s="16" t="s">
        <v>96</v>
      </c>
      <c r="I18" s="17">
        <v>130000</v>
      </c>
      <c r="J18" s="5">
        <f>Tabla24567894[[#This Row],[TOTAL FACTURA]]*0.7</f>
        <v>91000</v>
      </c>
      <c r="K18" s="9">
        <f t="shared" si="0"/>
        <v>39000</v>
      </c>
      <c r="L18" s="4"/>
      <c r="M18" s="10"/>
      <c r="N18" s="10">
        <f>Tabla24567894[[#This Row],[MONTO DE COMPRA]]/1.19</f>
        <v>0</v>
      </c>
      <c r="O18" s="10">
        <f>Tabla24567894[[#This Row],[Columna1]]*19%</f>
        <v>0</v>
      </c>
      <c r="P18" s="10"/>
      <c r="Q18" s="10">
        <f>Tabla24567894[[#This Row],[VENTA ]]/1.19</f>
        <v>0</v>
      </c>
      <c r="R18" s="10">
        <f>Tabla24567894[[#This Row],[Columna2]]*19%</f>
        <v>0</v>
      </c>
      <c r="S18" s="10">
        <f>Tabla24567894[[#This Row],[IVA VENTA ]]-Tabla24567894[[#This Row],[IV COMPRA]]</f>
        <v>0</v>
      </c>
      <c r="T18" s="10">
        <f>(Tabla24567894[[#This Row],[VENTA ]]-(Tabla24567894[[#This Row],[MONTO DE COMPRA]]+Tabla24567894[[#This Row],[DIFERENCIA IVA ]]))</f>
        <v>0</v>
      </c>
      <c r="U18" s="17"/>
    </row>
    <row r="19" spans="1:21" s="15" customFormat="1" ht="20.100000000000001" hidden="1" customHeight="1" x14ac:dyDescent="0.25">
      <c r="A19" s="13">
        <v>44929</v>
      </c>
      <c r="B19" s="14" t="s">
        <v>76</v>
      </c>
      <c r="C19" s="14" t="s">
        <v>90</v>
      </c>
      <c r="D19" s="14" t="s">
        <v>94</v>
      </c>
      <c r="E19" s="18" t="s">
        <v>95</v>
      </c>
      <c r="F19" s="15" t="s">
        <v>35</v>
      </c>
      <c r="G19" s="14"/>
      <c r="H19" s="16" t="s">
        <v>97</v>
      </c>
      <c r="I19" s="17">
        <v>180000</v>
      </c>
      <c r="J19" s="5">
        <f>Tabla24567894[[#This Row],[TOTAL FACTURA]]*0.6</f>
        <v>108000</v>
      </c>
      <c r="K19" s="9">
        <f t="shared" si="0"/>
        <v>72000</v>
      </c>
      <c r="L19" s="4"/>
      <c r="M19" s="10"/>
      <c r="N19" s="10">
        <f>Tabla24567894[[#This Row],[MONTO DE COMPRA]]/1.19</f>
        <v>0</v>
      </c>
      <c r="O19" s="10">
        <f>Tabla24567894[[#This Row],[Columna1]]*19%</f>
        <v>0</v>
      </c>
      <c r="P19" s="10"/>
      <c r="Q19" s="10">
        <f>Tabla24567894[[#This Row],[VENTA ]]/1.19</f>
        <v>0</v>
      </c>
      <c r="R19" s="10">
        <f>Tabla24567894[[#This Row],[Columna2]]*19%</f>
        <v>0</v>
      </c>
      <c r="S19" s="10">
        <f>Tabla24567894[[#This Row],[IVA VENTA ]]-Tabla24567894[[#This Row],[IV COMPRA]]</f>
        <v>0</v>
      </c>
      <c r="T19" s="10">
        <f>(Tabla24567894[[#This Row],[VENTA ]]-(Tabla24567894[[#This Row],[MONTO DE COMPRA]]+Tabla24567894[[#This Row],[DIFERENCIA IVA ]]))</f>
        <v>0</v>
      </c>
      <c r="U19" s="17"/>
    </row>
    <row r="20" spans="1:21" s="15" customFormat="1" ht="20.100000000000001" hidden="1" customHeight="1" x14ac:dyDescent="0.25">
      <c r="A20" s="13">
        <v>44932</v>
      </c>
      <c r="B20" s="14"/>
      <c r="C20" s="2" t="s">
        <v>212</v>
      </c>
      <c r="D20" s="14" t="s">
        <v>217</v>
      </c>
      <c r="E20" s="15" t="s">
        <v>214</v>
      </c>
      <c r="F20" s="15" t="s">
        <v>35</v>
      </c>
      <c r="G20" s="14"/>
      <c r="H20" s="16" t="s">
        <v>218</v>
      </c>
      <c r="I20" s="17">
        <v>180000</v>
      </c>
      <c r="J20" s="5">
        <f>Tabla24567894[[#This Row],[TOTAL FACTURA]]*0.6</f>
        <v>108000</v>
      </c>
      <c r="K20" s="30">
        <f t="shared" si="0"/>
        <v>72000</v>
      </c>
      <c r="L20" s="4"/>
      <c r="M20" s="10"/>
      <c r="N20" s="10">
        <f>Tabla24567894[[#This Row],[MONTO DE COMPRA]]/1.19</f>
        <v>0</v>
      </c>
      <c r="O20" s="10">
        <f>Tabla24567894[[#This Row],[Columna1]]*19%</f>
        <v>0</v>
      </c>
      <c r="P20" s="10"/>
      <c r="Q20" s="10">
        <f>Tabla24567894[[#This Row],[VENTA ]]/1.19</f>
        <v>0</v>
      </c>
      <c r="R20" s="10">
        <f>Tabla24567894[[#This Row],[Columna2]]*19%</f>
        <v>0</v>
      </c>
      <c r="S20" s="10">
        <f>Tabla24567894[[#This Row],[IVA VENTA ]]-Tabla24567894[[#This Row],[IV COMPRA]]</f>
        <v>0</v>
      </c>
      <c r="T20" s="10">
        <f>(Tabla24567894[[#This Row],[VENTA ]]-(Tabla24567894[[#This Row],[MONTO DE COMPRA]]+Tabla24567894[[#This Row],[DIFERENCIA IVA ]]))</f>
        <v>0</v>
      </c>
      <c r="U20" s="17"/>
    </row>
    <row r="21" spans="1:21" s="15" customFormat="1" ht="20.100000000000001" hidden="1" customHeight="1" x14ac:dyDescent="0.25">
      <c r="A21" s="13">
        <v>44930</v>
      </c>
      <c r="B21" s="14"/>
      <c r="C21" s="14"/>
      <c r="D21" s="15" t="s">
        <v>98</v>
      </c>
      <c r="E21" s="15" t="s">
        <v>99</v>
      </c>
      <c r="F21" s="15" t="s">
        <v>35</v>
      </c>
      <c r="H21" s="16" t="s">
        <v>100</v>
      </c>
      <c r="I21" s="17">
        <v>30000</v>
      </c>
      <c r="J21" s="5">
        <f>Tabla24567894[[#This Row],[TOTAL FACTURA]]*0.6</f>
        <v>18000</v>
      </c>
      <c r="K21" s="9">
        <f t="shared" si="0"/>
        <v>12000</v>
      </c>
      <c r="L21" s="4"/>
      <c r="M21" s="10"/>
      <c r="N21" s="10">
        <f>Tabla24567894[[#This Row],[MONTO DE COMPRA]]/1.19</f>
        <v>0</v>
      </c>
      <c r="O21" s="10">
        <f>Tabla24567894[[#This Row],[Columna1]]*19%</f>
        <v>0</v>
      </c>
      <c r="P21" s="10"/>
      <c r="Q21" s="10">
        <f>Tabla24567894[[#This Row],[VENTA ]]/1.19</f>
        <v>0</v>
      </c>
      <c r="R21" s="10">
        <f>Tabla24567894[[#This Row],[Columna2]]*19%</f>
        <v>0</v>
      </c>
      <c r="S21" s="10">
        <f>Tabla24567894[[#This Row],[IVA VENTA ]]-Tabla24567894[[#This Row],[IV COMPRA]]</f>
        <v>0</v>
      </c>
      <c r="T21" s="10">
        <f>(Tabla24567894[[#This Row],[VENTA ]]-(Tabla24567894[[#This Row],[MONTO DE COMPRA]]+Tabla24567894[[#This Row],[DIFERENCIA IVA ]]))</f>
        <v>0</v>
      </c>
      <c r="U21" s="17"/>
    </row>
    <row r="22" spans="1:21" s="15" customFormat="1" ht="20.100000000000001" hidden="1" customHeight="1" x14ac:dyDescent="0.25">
      <c r="A22" s="13">
        <v>44930</v>
      </c>
      <c r="B22" s="14"/>
      <c r="C22" s="14"/>
      <c r="D22" s="15" t="s">
        <v>98</v>
      </c>
      <c r="E22" s="15" t="s">
        <v>99</v>
      </c>
      <c r="F22" s="15" t="s">
        <v>33</v>
      </c>
      <c r="H22" s="16" t="s">
        <v>101</v>
      </c>
      <c r="I22" s="17">
        <v>30000</v>
      </c>
      <c r="J22" s="5">
        <f>Tabla24567894[[#This Row],[TOTAL FACTURA]]*0.5</f>
        <v>15000</v>
      </c>
      <c r="K22" s="9">
        <f t="shared" si="0"/>
        <v>15000</v>
      </c>
      <c r="L22" s="4"/>
      <c r="M22" s="10"/>
      <c r="N22" s="10">
        <f>Tabla24567894[[#This Row],[MONTO DE COMPRA]]/1.19</f>
        <v>0</v>
      </c>
      <c r="O22" s="10">
        <f>Tabla24567894[[#This Row],[Columna1]]*19%</f>
        <v>0</v>
      </c>
      <c r="P22" s="10"/>
      <c r="Q22" s="10">
        <f>Tabla24567894[[#This Row],[VENTA ]]/1.19</f>
        <v>0</v>
      </c>
      <c r="R22" s="10">
        <f>Tabla24567894[[#This Row],[Columna2]]*19%</f>
        <v>0</v>
      </c>
      <c r="S22" s="10">
        <f>Tabla24567894[[#This Row],[IVA VENTA ]]-Tabla24567894[[#This Row],[IV COMPRA]]</f>
        <v>0</v>
      </c>
      <c r="T22" s="10">
        <f>(Tabla24567894[[#This Row],[VENTA ]]-(Tabla24567894[[#This Row],[MONTO DE COMPRA]]+Tabla24567894[[#This Row],[DIFERENCIA IVA ]]))</f>
        <v>0</v>
      </c>
      <c r="U22" s="17"/>
    </row>
    <row r="23" spans="1:21" s="15" customFormat="1" ht="20.100000000000001" hidden="1" customHeight="1" x14ac:dyDescent="0.25">
      <c r="A23" s="13">
        <v>44930</v>
      </c>
      <c r="B23" s="14"/>
      <c r="C23" s="14"/>
      <c r="D23" s="15" t="s">
        <v>98</v>
      </c>
      <c r="E23" s="15" t="s">
        <v>99</v>
      </c>
      <c r="F23" s="15" t="s">
        <v>39</v>
      </c>
      <c r="H23" s="16" t="s">
        <v>102</v>
      </c>
      <c r="I23" s="17">
        <v>40000</v>
      </c>
      <c r="J23" s="5">
        <v>30000</v>
      </c>
      <c r="K23" s="9">
        <f t="shared" si="0"/>
        <v>10000</v>
      </c>
      <c r="L23" s="4"/>
      <c r="M23" s="10"/>
      <c r="N23" s="10">
        <f>Tabla24567894[[#This Row],[MONTO DE COMPRA]]/1.19</f>
        <v>0</v>
      </c>
      <c r="O23" s="10">
        <f>Tabla24567894[[#This Row],[Columna1]]*19%</f>
        <v>0</v>
      </c>
      <c r="P23" s="10"/>
      <c r="Q23" s="10">
        <f>Tabla24567894[[#This Row],[VENTA ]]/1.19</f>
        <v>0</v>
      </c>
      <c r="R23" s="10">
        <f>Tabla24567894[[#This Row],[Columna2]]*19%</f>
        <v>0</v>
      </c>
      <c r="S23" s="10">
        <f>Tabla24567894[[#This Row],[IVA VENTA ]]-Tabla24567894[[#This Row],[IV COMPRA]]</f>
        <v>0</v>
      </c>
      <c r="T23" s="10">
        <f>(Tabla24567894[[#This Row],[VENTA ]]-(Tabla24567894[[#This Row],[MONTO DE COMPRA]]+Tabla24567894[[#This Row],[DIFERENCIA IVA ]]))</f>
        <v>0</v>
      </c>
      <c r="U23" s="17"/>
    </row>
    <row r="24" spans="1:21" s="15" customFormat="1" ht="20.100000000000001" hidden="1" customHeight="1" x14ac:dyDescent="0.25">
      <c r="A24" s="13">
        <v>44930</v>
      </c>
      <c r="B24" s="14" t="s">
        <v>118</v>
      </c>
      <c r="C24" s="14" t="s">
        <v>103</v>
      </c>
      <c r="D24" s="14" t="s">
        <v>104</v>
      </c>
      <c r="E24" s="15" t="s">
        <v>105</v>
      </c>
      <c r="F24" s="15" t="s">
        <v>19</v>
      </c>
      <c r="G24" s="14"/>
      <c r="H24" s="16" t="s">
        <v>106</v>
      </c>
      <c r="I24" s="17">
        <v>210000</v>
      </c>
      <c r="J24" s="5">
        <f>Tabla24567894[[#This Row],[TOTAL FACTURA]]*0.7</f>
        <v>147000</v>
      </c>
      <c r="K24" s="9">
        <f t="shared" si="0"/>
        <v>63000</v>
      </c>
      <c r="L24" s="4" t="s">
        <v>107</v>
      </c>
      <c r="M24" s="10">
        <f>79000+5000</f>
        <v>84000</v>
      </c>
      <c r="N24" s="10">
        <f>Tabla24567894[[#This Row],[MONTO DE COMPRA]]/1.19</f>
        <v>70588.23529411765</v>
      </c>
      <c r="O24" s="10">
        <f>Tabla24567894[[#This Row],[Columna1]]*19%</f>
        <v>13411.764705882353</v>
      </c>
      <c r="P24" s="10">
        <v>110000</v>
      </c>
      <c r="Q24" s="10">
        <f>Tabla24567894[[#This Row],[VENTA ]]/1.19</f>
        <v>92436.97478991597</v>
      </c>
      <c r="R24" s="10">
        <f>Tabla24567894[[#This Row],[Columna2]]*19%</f>
        <v>17563.025210084033</v>
      </c>
      <c r="S24" s="10">
        <f>Tabla24567894[[#This Row],[IVA VENTA ]]-Tabla24567894[[#This Row],[IV COMPRA]]</f>
        <v>4151.2605042016803</v>
      </c>
      <c r="T24" s="10">
        <f>(Tabla24567894[[#This Row],[VENTA ]]-(Tabla24567894[[#This Row],[MONTO DE COMPRA]]+Tabla24567894[[#This Row],[DIFERENCIA IVA ]]))</f>
        <v>21848.73949579832</v>
      </c>
      <c r="U24" s="17"/>
    </row>
    <row r="25" spans="1:21" s="15" customFormat="1" ht="20.100000000000001" hidden="1" customHeight="1" x14ac:dyDescent="0.25">
      <c r="A25" s="13">
        <v>44930</v>
      </c>
      <c r="B25" s="14"/>
      <c r="C25" s="14"/>
      <c r="D25" s="14" t="s">
        <v>108</v>
      </c>
      <c r="E25" s="15" t="s">
        <v>109</v>
      </c>
      <c r="F25" s="15" t="s">
        <v>19</v>
      </c>
      <c r="G25" s="14"/>
      <c r="H25" s="16" t="s">
        <v>234</v>
      </c>
      <c r="I25" s="17">
        <v>15000</v>
      </c>
      <c r="J25" s="5">
        <f>Tabla24567894[[#This Row],[TOTAL FACTURA]]*0.7</f>
        <v>10500</v>
      </c>
      <c r="K25" s="9">
        <f t="shared" si="0"/>
        <v>4500</v>
      </c>
      <c r="L25" s="4"/>
      <c r="M25" s="10"/>
      <c r="N25" s="10">
        <f>Tabla24567894[[#This Row],[MONTO DE COMPRA]]/1.19</f>
        <v>0</v>
      </c>
      <c r="O25" s="10">
        <f>Tabla24567894[[#This Row],[Columna1]]*19%</f>
        <v>0</v>
      </c>
      <c r="P25" s="10"/>
      <c r="Q25" s="10">
        <f>Tabla24567894[[#This Row],[VENTA ]]/1.19</f>
        <v>0</v>
      </c>
      <c r="R25" s="10">
        <f>Tabla24567894[[#This Row],[Columna2]]*19%</f>
        <v>0</v>
      </c>
      <c r="S25" s="10">
        <f>Tabla24567894[[#This Row],[IVA VENTA ]]-Tabla24567894[[#This Row],[IV COMPRA]]</f>
        <v>0</v>
      </c>
      <c r="T25" s="10">
        <f>(Tabla24567894[[#This Row],[VENTA ]]-(Tabla24567894[[#This Row],[MONTO DE COMPRA]]+Tabla24567894[[#This Row],[DIFERENCIA IVA ]]))</f>
        <v>0</v>
      </c>
      <c r="U25" s="17"/>
    </row>
    <row r="26" spans="1:21" s="15" customFormat="1" ht="20.100000000000001" hidden="1" customHeight="1" x14ac:dyDescent="0.25">
      <c r="A26" s="13">
        <v>44930</v>
      </c>
      <c r="B26" s="14"/>
      <c r="C26" s="14"/>
      <c r="D26" s="14" t="s">
        <v>110</v>
      </c>
      <c r="F26" s="15" t="s">
        <v>35</v>
      </c>
      <c r="G26" s="14"/>
      <c r="H26" s="16" t="s">
        <v>111</v>
      </c>
      <c r="I26" s="17">
        <v>30000</v>
      </c>
      <c r="J26" s="5">
        <f>Tabla24567894[[#This Row],[TOTAL FACTURA]]*0.6</f>
        <v>18000</v>
      </c>
      <c r="K26" s="9">
        <f t="shared" si="0"/>
        <v>12000</v>
      </c>
      <c r="L26" s="4"/>
      <c r="M26" s="10"/>
      <c r="N26" s="10">
        <f>Tabla24567894[[#This Row],[MONTO DE COMPRA]]/1.19</f>
        <v>0</v>
      </c>
      <c r="O26" s="10">
        <f>Tabla24567894[[#This Row],[Columna1]]*19%</f>
        <v>0</v>
      </c>
      <c r="P26" s="10"/>
      <c r="Q26" s="10">
        <f>Tabla24567894[[#This Row],[VENTA ]]/1.19</f>
        <v>0</v>
      </c>
      <c r="R26" s="10">
        <f>Tabla24567894[[#This Row],[Columna2]]*19%</f>
        <v>0</v>
      </c>
      <c r="S26" s="10">
        <f>Tabla24567894[[#This Row],[IVA VENTA ]]-Tabla24567894[[#This Row],[IV COMPRA]]</f>
        <v>0</v>
      </c>
      <c r="T26" s="10">
        <f>(Tabla24567894[[#This Row],[VENTA ]]-(Tabla24567894[[#This Row],[MONTO DE COMPRA]]+Tabla24567894[[#This Row],[DIFERENCIA IVA ]]))</f>
        <v>0</v>
      </c>
      <c r="U26" s="17"/>
    </row>
    <row r="27" spans="1:21" s="15" customFormat="1" ht="20.100000000000001" hidden="1" customHeight="1" x14ac:dyDescent="0.25">
      <c r="A27" s="13">
        <v>44930</v>
      </c>
      <c r="B27" s="14"/>
      <c r="C27" s="14"/>
      <c r="D27" s="14"/>
      <c r="F27" s="15" t="s">
        <v>33</v>
      </c>
      <c r="G27" s="14"/>
      <c r="H27" s="16" t="s">
        <v>101</v>
      </c>
      <c r="I27" s="17">
        <v>25000</v>
      </c>
      <c r="J27" s="5">
        <f>Tabla24567894[[#This Row],[TOTAL FACTURA]]*0.5</f>
        <v>12500</v>
      </c>
      <c r="K27" s="9">
        <f t="shared" si="0"/>
        <v>12500</v>
      </c>
      <c r="L27" s="4"/>
      <c r="M27" s="10"/>
      <c r="N27" s="10">
        <f>Tabla24567894[[#This Row],[MONTO DE COMPRA]]/1.19</f>
        <v>0</v>
      </c>
      <c r="O27" s="10">
        <f>Tabla24567894[[#This Row],[Columna1]]*19%</f>
        <v>0</v>
      </c>
      <c r="P27" s="10"/>
      <c r="Q27" s="10">
        <f>Tabla24567894[[#This Row],[VENTA ]]/1.19</f>
        <v>0</v>
      </c>
      <c r="R27" s="10">
        <f>Tabla24567894[[#This Row],[Columna2]]*19%</f>
        <v>0</v>
      </c>
      <c r="S27" s="10">
        <f>Tabla24567894[[#This Row],[IVA VENTA ]]-Tabla24567894[[#This Row],[IV COMPRA]]</f>
        <v>0</v>
      </c>
      <c r="T27" s="10">
        <f>(Tabla24567894[[#This Row],[VENTA ]]-(Tabla24567894[[#This Row],[MONTO DE COMPRA]]+Tabla24567894[[#This Row],[DIFERENCIA IVA ]]))</f>
        <v>0</v>
      </c>
      <c r="U27" s="17"/>
    </row>
    <row r="28" spans="1:21" s="15" customFormat="1" ht="20.100000000000001" hidden="1" customHeight="1" x14ac:dyDescent="0.25">
      <c r="A28" s="13">
        <v>44930</v>
      </c>
      <c r="B28" s="14" t="s">
        <v>117</v>
      </c>
      <c r="C28" s="14" t="s">
        <v>112</v>
      </c>
      <c r="D28" s="14" t="s">
        <v>113</v>
      </c>
      <c r="E28" s="15" t="s">
        <v>114</v>
      </c>
      <c r="F28" s="15" t="s">
        <v>19</v>
      </c>
      <c r="G28" s="14"/>
      <c r="H28" s="16" t="s">
        <v>115</v>
      </c>
      <c r="I28" s="17">
        <v>150000</v>
      </c>
      <c r="J28" s="5">
        <f>Tabla24567894[[#This Row],[TOTAL FACTURA]]*0.7</f>
        <v>105000</v>
      </c>
      <c r="K28" s="9">
        <f t="shared" si="0"/>
        <v>45000</v>
      </c>
      <c r="L28" s="4" t="s">
        <v>116</v>
      </c>
      <c r="M28" s="10">
        <f>29445+40000+14000</f>
        <v>83445</v>
      </c>
      <c r="N28" s="10">
        <f>Tabla24567894[[#This Row],[MONTO DE COMPRA]]/1.19</f>
        <v>70121.848739495807</v>
      </c>
      <c r="O28" s="10">
        <f>Tabla24567894[[#This Row],[Columna1]]*19%</f>
        <v>13323.151260504203</v>
      </c>
      <c r="P28" s="10">
        <v>224000</v>
      </c>
      <c r="Q28" s="10">
        <f>Tabla24567894[[#This Row],[VENTA ]]/1.19</f>
        <v>188235.29411764708</v>
      </c>
      <c r="R28" s="10">
        <f>Tabla24567894[[#This Row],[Columna2]]*19%</f>
        <v>35764.705882352944</v>
      </c>
      <c r="S28" s="10">
        <f>Tabla24567894[[#This Row],[IVA VENTA ]]-Tabla24567894[[#This Row],[IV COMPRA]]</f>
        <v>22441.554621848743</v>
      </c>
      <c r="T28" s="10">
        <f>(Tabla24567894[[#This Row],[VENTA ]]-(Tabla24567894[[#This Row],[MONTO DE COMPRA]]+Tabla24567894[[#This Row],[DIFERENCIA IVA ]]))</f>
        <v>118113.44537815126</v>
      </c>
      <c r="U28" s="17"/>
    </row>
    <row r="29" spans="1:21" s="15" customFormat="1" ht="45" hidden="1" customHeight="1" x14ac:dyDescent="0.25">
      <c r="A29" s="13">
        <v>44930</v>
      </c>
      <c r="B29" s="14"/>
      <c r="C29" s="2" t="s">
        <v>212</v>
      </c>
      <c r="D29" s="14" t="s">
        <v>213</v>
      </c>
      <c r="E29" s="15" t="s">
        <v>214</v>
      </c>
      <c r="F29" s="15" t="s">
        <v>19</v>
      </c>
      <c r="G29" s="14"/>
      <c r="H29" s="16" t="s">
        <v>215</v>
      </c>
      <c r="I29" s="17">
        <v>540000</v>
      </c>
      <c r="J29" s="5">
        <f>Tabla24567894[[#This Row],[TOTAL FACTURA]]*0.7</f>
        <v>378000</v>
      </c>
      <c r="K29" s="30">
        <f t="shared" si="0"/>
        <v>162000</v>
      </c>
      <c r="L29" s="4" t="s">
        <v>237</v>
      </c>
      <c r="M29" s="10">
        <f>308236+43986+39247+35000</f>
        <v>426469</v>
      </c>
      <c r="N29" s="10">
        <f>Tabla24567894[[#This Row],[MONTO DE COMPRA]]/1.19</f>
        <v>358377.31092436978</v>
      </c>
      <c r="O29" s="10">
        <f>Tabla24567894[[#This Row],[Columna1]]*19%</f>
        <v>68091.68907563026</v>
      </c>
      <c r="P29" s="10">
        <v>650000</v>
      </c>
      <c r="Q29" s="10">
        <f>Tabla24567894[[#This Row],[VENTA ]]/1.19</f>
        <v>546218.48739495804</v>
      </c>
      <c r="R29" s="10">
        <f>Tabla24567894[[#This Row],[Columna2]]*19%</f>
        <v>103781.51260504202</v>
      </c>
      <c r="S29" s="10">
        <f>Tabla24567894[[#This Row],[IVA VENTA ]]-Tabla24567894[[#This Row],[IV COMPRA]]</f>
        <v>35689.823529411762</v>
      </c>
      <c r="T29" s="10">
        <f>(Tabla24567894[[#This Row],[VENTA ]]-(Tabla24567894[[#This Row],[MONTO DE COMPRA]]+Tabla24567894[[#This Row],[DIFERENCIA IVA ]]))</f>
        <v>187841.17647058825</v>
      </c>
      <c r="U29" s="17"/>
    </row>
    <row r="30" spans="1:21" s="15" customFormat="1" ht="20.100000000000001" hidden="1" customHeight="1" x14ac:dyDescent="0.25">
      <c r="A30" s="13">
        <v>44931</v>
      </c>
      <c r="B30" s="14" t="s">
        <v>120</v>
      </c>
      <c r="C30" s="14" t="s">
        <v>119</v>
      </c>
      <c r="D30" s="14" t="s">
        <v>121</v>
      </c>
      <c r="E30" s="15" t="s">
        <v>122</v>
      </c>
      <c r="F30" s="15" t="s">
        <v>19</v>
      </c>
      <c r="G30" s="14"/>
      <c r="H30" s="16" t="s">
        <v>123</v>
      </c>
      <c r="I30" s="17">
        <v>10000</v>
      </c>
      <c r="J30" s="5">
        <f>Tabla24567894[[#This Row],[TOTAL FACTURA]]*0.7</f>
        <v>7000</v>
      </c>
      <c r="K30" s="9">
        <f t="shared" si="0"/>
        <v>3000</v>
      </c>
      <c r="L30" s="4"/>
      <c r="M30" s="10"/>
      <c r="N30" s="10">
        <f>Tabla24567894[[#This Row],[MONTO DE COMPRA]]/1.19</f>
        <v>0</v>
      </c>
      <c r="O30" s="10">
        <f>Tabla24567894[[#This Row],[Columna1]]*19%</f>
        <v>0</v>
      </c>
      <c r="P30" s="10"/>
      <c r="Q30" s="10">
        <f>Tabla24567894[[#This Row],[VENTA ]]/1.19</f>
        <v>0</v>
      </c>
      <c r="R30" s="10">
        <f>Tabla24567894[[#This Row],[Columna2]]*19%</f>
        <v>0</v>
      </c>
      <c r="S30" s="10">
        <f>Tabla24567894[[#This Row],[IVA VENTA ]]-Tabla24567894[[#This Row],[IV COMPRA]]</f>
        <v>0</v>
      </c>
      <c r="T30" s="10">
        <f>(Tabla24567894[[#This Row],[VENTA ]]-(Tabla24567894[[#This Row],[MONTO DE COMPRA]]+Tabla24567894[[#This Row],[DIFERENCIA IVA ]]))</f>
        <v>0</v>
      </c>
      <c r="U30" s="17"/>
    </row>
    <row r="31" spans="1:21" s="15" customFormat="1" ht="20.100000000000001" hidden="1" customHeight="1" x14ac:dyDescent="0.25">
      <c r="A31" s="13">
        <v>44931</v>
      </c>
      <c r="B31" s="14" t="s">
        <v>120</v>
      </c>
      <c r="C31" s="14" t="s">
        <v>119</v>
      </c>
      <c r="D31" s="14" t="s">
        <v>121</v>
      </c>
      <c r="E31" s="15" t="s">
        <v>122</v>
      </c>
      <c r="F31" s="15" t="s">
        <v>26</v>
      </c>
      <c r="G31" s="14"/>
      <c r="H31" s="16" t="s">
        <v>124</v>
      </c>
      <c r="I31" s="17">
        <v>15000</v>
      </c>
      <c r="J31" s="5">
        <f>Tabla24567894[[#This Row],[TOTAL FACTURA]]*0.6</f>
        <v>9000</v>
      </c>
      <c r="K31" s="9">
        <f t="shared" si="0"/>
        <v>6000</v>
      </c>
      <c r="L31" s="4" t="s">
        <v>125</v>
      </c>
      <c r="M31" s="10">
        <v>8000</v>
      </c>
      <c r="N31" s="10">
        <f>Tabla24567894[[#This Row],[MONTO DE COMPRA]]/1.19</f>
        <v>6722.6890756302528</v>
      </c>
      <c r="O31" s="10">
        <f>Tabla24567894[[#This Row],[Columna1]]*19%</f>
        <v>1277.3109243697481</v>
      </c>
      <c r="P31" s="10">
        <v>15000</v>
      </c>
      <c r="Q31" s="10">
        <f>Tabla24567894[[#This Row],[VENTA ]]/1.19</f>
        <v>12605.042016806723</v>
      </c>
      <c r="R31" s="10">
        <f>Tabla24567894[[#This Row],[Columna2]]*19%</f>
        <v>2394.9579831932774</v>
      </c>
      <c r="S31" s="10">
        <f>Tabla24567894[[#This Row],[IVA VENTA ]]-Tabla24567894[[#This Row],[IV COMPRA]]</f>
        <v>1117.6470588235293</v>
      </c>
      <c r="T31" s="10">
        <f>(Tabla24567894[[#This Row],[VENTA ]]-(Tabla24567894[[#This Row],[MONTO DE COMPRA]]+Tabla24567894[[#This Row],[DIFERENCIA IVA ]]))</f>
        <v>5882.3529411764703</v>
      </c>
      <c r="U31" s="17"/>
    </row>
    <row r="32" spans="1:21" s="15" customFormat="1" ht="20.100000000000001" hidden="1" customHeight="1" x14ac:dyDescent="0.25">
      <c r="A32" s="13">
        <v>44931</v>
      </c>
      <c r="B32" s="14"/>
      <c r="C32" s="14" t="s">
        <v>126</v>
      </c>
      <c r="D32" s="14" t="s">
        <v>127</v>
      </c>
      <c r="E32" s="15" t="s">
        <v>128</v>
      </c>
      <c r="F32" s="15" t="s">
        <v>19</v>
      </c>
      <c r="G32" s="14"/>
      <c r="H32" s="16" t="s">
        <v>129</v>
      </c>
      <c r="I32" s="17">
        <v>60000</v>
      </c>
      <c r="J32" s="5">
        <f>Tabla24567894[[#This Row],[TOTAL FACTURA]]*0.7</f>
        <v>42000</v>
      </c>
      <c r="K32" s="9">
        <f t="shared" si="0"/>
        <v>18000</v>
      </c>
      <c r="L32" s="4"/>
      <c r="M32" s="10"/>
      <c r="N32" s="10">
        <f>Tabla24567894[[#This Row],[MONTO DE COMPRA]]/1.19</f>
        <v>0</v>
      </c>
      <c r="O32" s="10">
        <f>Tabla24567894[[#This Row],[Columna1]]*19%</f>
        <v>0</v>
      </c>
      <c r="P32" s="10"/>
      <c r="Q32" s="10">
        <f>Tabla24567894[[#This Row],[VENTA ]]/1.19</f>
        <v>0</v>
      </c>
      <c r="R32" s="10">
        <f>Tabla24567894[[#This Row],[Columna2]]*19%</f>
        <v>0</v>
      </c>
      <c r="S32" s="10">
        <f>Tabla24567894[[#This Row],[IVA VENTA ]]-Tabla24567894[[#This Row],[IV COMPRA]]</f>
        <v>0</v>
      </c>
      <c r="T32" s="10">
        <f>(Tabla24567894[[#This Row],[VENTA ]]-(Tabla24567894[[#This Row],[MONTO DE COMPRA]]+Tabla24567894[[#This Row],[DIFERENCIA IVA ]]))</f>
        <v>0</v>
      </c>
      <c r="U32" s="17"/>
    </row>
    <row r="33" spans="1:21" s="15" customFormat="1" ht="20.100000000000001" hidden="1" customHeight="1" x14ac:dyDescent="0.25">
      <c r="A33" s="13">
        <v>44931</v>
      </c>
      <c r="B33" s="14" t="s">
        <v>131</v>
      </c>
      <c r="C33" s="14" t="s">
        <v>130</v>
      </c>
      <c r="D33" s="14" t="s">
        <v>131</v>
      </c>
      <c r="E33" s="15" t="s">
        <v>132</v>
      </c>
      <c r="F33" s="15" t="s">
        <v>33</v>
      </c>
      <c r="G33" s="14"/>
      <c r="H33" s="16" t="s">
        <v>133</v>
      </c>
      <c r="I33" s="17">
        <v>20000</v>
      </c>
      <c r="J33" s="5">
        <f>Tabla24567894[[#This Row],[TOTAL FACTURA]]*0.5</f>
        <v>10000</v>
      </c>
      <c r="K33" s="9">
        <f t="shared" si="0"/>
        <v>10000</v>
      </c>
      <c r="L33" s="4"/>
      <c r="M33" s="10"/>
      <c r="N33" s="10">
        <f>Tabla24567894[[#This Row],[MONTO DE COMPRA]]/1.19</f>
        <v>0</v>
      </c>
      <c r="O33" s="10">
        <f>Tabla24567894[[#This Row],[Columna1]]*19%</f>
        <v>0</v>
      </c>
      <c r="P33" s="10"/>
      <c r="Q33" s="10">
        <f>Tabla24567894[[#This Row],[VENTA ]]/1.19</f>
        <v>0</v>
      </c>
      <c r="R33" s="10">
        <f>Tabla24567894[[#This Row],[Columna2]]*19%</f>
        <v>0</v>
      </c>
      <c r="S33" s="10">
        <f>Tabla24567894[[#This Row],[IVA VENTA ]]-Tabla24567894[[#This Row],[IV COMPRA]]</f>
        <v>0</v>
      </c>
      <c r="T33" s="10">
        <f>(Tabla24567894[[#This Row],[VENTA ]]-(Tabla24567894[[#This Row],[MONTO DE COMPRA]]+Tabla24567894[[#This Row],[DIFERENCIA IVA ]]))</f>
        <v>0</v>
      </c>
      <c r="U33" s="17"/>
    </row>
    <row r="34" spans="1:21" s="15" customFormat="1" ht="20.100000000000001" hidden="1" customHeight="1" x14ac:dyDescent="0.25">
      <c r="A34" s="13">
        <v>44931</v>
      </c>
      <c r="B34" s="14"/>
      <c r="C34" s="14" t="s">
        <v>134</v>
      </c>
      <c r="D34" s="14" t="s">
        <v>135</v>
      </c>
      <c r="E34" s="15" t="s">
        <v>136</v>
      </c>
      <c r="F34" s="15" t="s">
        <v>19</v>
      </c>
      <c r="G34" s="14"/>
      <c r="H34" s="16" t="s">
        <v>137</v>
      </c>
      <c r="I34" s="17">
        <v>50000</v>
      </c>
      <c r="J34" s="5">
        <f>Tabla24567894[[#This Row],[TOTAL FACTURA]]*0.7</f>
        <v>35000</v>
      </c>
      <c r="K34" s="9">
        <f t="shared" si="0"/>
        <v>15000</v>
      </c>
      <c r="L34" s="4"/>
      <c r="M34" s="10"/>
      <c r="N34" s="10">
        <f>Tabla24567894[[#This Row],[MONTO DE COMPRA]]/1.19</f>
        <v>0</v>
      </c>
      <c r="O34" s="10">
        <f>Tabla24567894[[#This Row],[Columna1]]*19%</f>
        <v>0</v>
      </c>
      <c r="P34" s="10"/>
      <c r="Q34" s="10">
        <f>Tabla24567894[[#This Row],[VENTA ]]/1.19</f>
        <v>0</v>
      </c>
      <c r="R34" s="10">
        <f>Tabla24567894[[#This Row],[Columna2]]*19%</f>
        <v>0</v>
      </c>
      <c r="S34" s="10">
        <f>Tabla24567894[[#This Row],[IVA VENTA ]]-Tabla24567894[[#This Row],[IV COMPRA]]</f>
        <v>0</v>
      </c>
      <c r="T34" s="10">
        <f>(Tabla24567894[[#This Row],[VENTA ]]-(Tabla24567894[[#This Row],[MONTO DE COMPRA]]+Tabla24567894[[#This Row],[DIFERENCIA IVA ]]))</f>
        <v>0</v>
      </c>
      <c r="U34" s="17"/>
    </row>
    <row r="35" spans="1:21" s="15" customFormat="1" ht="20.100000000000001" hidden="1" customHeight="1" x14ac:dyDescent="0.25">
      <c r="A35" s="13">
        <v>44931</v>
      </c>
      <c r="B35" s="14"/>
      <c r="C35" s="14"/>
      <c r="D35" s="14" t="s">
        <v>138</v>
      </c>
      <c r="E35" s="15" t="s">
        <v>139</v>
      </c>
      <c r="F35" s="15" t="s">
        <v>19</v>
      </c>
      <c r="G35" s="14"/>
      <c r="H35" s="16" t="s">
        <v>20</v>
      </c>
      <c r="I35" s="17">
        <v>10000</v>
      </c>
      <c r="J35" s="5">
        <f>Tabla24567894[[#This Row],[TOTAL FACTURA]]*0.7</f>
        <v>7000</v>
      </c>
      <c r="K35" s="9">
        <f t="shared" si="0"/>
        <v>3000</v>
      </c>
      <c r="L35" s="4"/>
      <c r="M35" s="10"/>
      <c r="N35" s="10">
        <f>Tabla24567894[[#This Row],[MONTO DE COMPRA]]/1.19</f>
        <v>0</v>
      </c>
      <c r="O35" s="10">
        <f>Tabla24567894[[#This Row],[Columna1]]*19%</f>
        <v>0</v>
      </c>
      <c r="P35" s="10"/>
      <c r="Q35" s="10">
        <f>Tabla24567894[[#This Row],[VENTA ]]/1.19</f>
        <v>0</v>
      </c>
      <c r="R35" s="10">
        <f>Tabla24567894[[#This Row],[Columna2]]*19%</f>
        <v>0</v>
      </c>
      <c r="S35" s="10">
        <f>Tabla24567894[[#This Row],[IVA VENTA ]]-Tabla24567894[[#This Row],[IV COMPRA]]</f>
        <v>0</v>
      </c>
      <c r="T35" s="10">
        <f>(Tabla24567894[[#This Row],[VENTA ]]-(Tabla24567894[[#This Row],[MONTO DE COMPRA]]+Tabla24567894[[#This Row],[DIFERENCIA IVA ]]))</f>
        <v>0</v>
      </c>
      <c r="U35" s="17"/>
    </row>
    <row r="36" spans="1:21" s="15" customFormat="1" ht="20.100000000000001" hidden="1" customHeight="1" x14ac:dyDescent="0.25">
      <c r="A36" s="13">
        <v>44931</v>
      </c>
      <c r="B36" s="14"/>
      <c r="C36" s="14" t="s">
        <v>140</v>
      </c>
      <c r="D36" s="14" t="s">
        <v>141</v>
      </c>
      <c r="E36" s="15" t="s">
        <v>142</v>
      </c>
      <c r="F36" s="15" t="s">
        <v>19</v>
      </c>
      <c r="G36" s="14"/>
      <c r="H36" s="16" t="s">
        <v>143</v>
      </c>
      <c r="I36" s="17">
        <v>30000</v>
      </c>
      <c r="J36" s="5">
        <f>Tabla24567894[[#This Row],[TOTAL FACTURA]]*0.7</f>
        <v>21000</v>
      </c>
      <c r="K36" s="9">
        <f t="shared" si="0"/>
        <v>9000</v>
      </c>
      <c r="L36" s="4"/>
      <c r="M36" s="10"/>
      <c r="N36" s="10">
        <f>Tabla24567894[[#This Row],[MONTO DE COMPRA]]/1.19</f>
        <v>0</v>
      </c>
      <c r="O36" s="10">
        <f>Tabla24567894[[#This Row],[Columna1]]*19%</f>
        <v>0</v>
      </c>
      <c r="P36" s="10"/>
      <c r="Q36" s="10">
        <f>Tabla24567894[[#This Row],[VENTA ]]/1.19</f>
        <v>0</v>
      </c>
      <c r="R36" s="10">
        <f>Tabla24567894[[#This Row],[Columna2]]*19%</f>
        <v>0</v>
      </c>
      <c r="S36" s="10">
        <f>Tabla24567894[[#This Row],[IVA VENTA ]]-Tabla24567894[[#This Row],[IV COMPRA]]</f>
        <v>0</v>
      </c>
      <c r="T36" s="10">
        <f>(Tabla24567894[[#This Row],[VENTA ]]-(Tabla24567894[[#This Row],[MONTO DE COMPRA]]+Tabla24567894[[#This Row],[DIFERENCIA IVA ]]))</f>
        <v>0</v>
      </c>
      <c r="U36" s="17"/>
    </row>
    <row r="37" spans="1:21" s="15" customFormat="1" ht="20.100000000000001" hidden="1" customHeight="1" x14ac:dyDescent="0.25">
      <c r="A37" s="13">
        <v>44931</v>
      </c>
      <c r="B37" s="14"/>
      <c r="C37" s="14" t="s">
        <v>144</v>
      </c>
      <c r="D37" s="14" t="s">
        <v>145</v>
      </c>
      <c r="E37" s="15" t="s">
        <v>146</v>
      </c>
      <c r="F37" s="15" t="s">
        <v>19</v>
      </c>
      <c r="G37" s="14"/>
      <c r="H37" s="16" t="s">
        <v>147</v>
      </c>
      <c r="I37" s="17">
        <v>15000</v>
      </c>
      <c r="J37" s="5">
        <f>Tabla24567894[[#This Row],[TOTAL FACTURA]]*0.7</f>
        <v>10500</v>
      </c>
      <c r="K37" s="9">
        <f t="shared" si="0"/>
        <v>4500</v>
      </c>
      <c r="L37" s="4"/>
      <c r="M37" s="10"/>
      <c r="N37" s="10">
        <f>Tabla24567894[[#This Row],[MONTO DE COMPRA]]/1.19</f>
        <v>0</v>
      </c>
      <c r="O37" s="10">
        <f>Tabla24567894[[#This Row],[Columna1]]*19%</f>
        <v>0</v>
      </c>
      <c r="P37" s="10"/>
      <c r="Q37" s="10">
        <f>Tabla24567894[[#This Row],[VENTA ]]/1.19</f>
        <v>0</v>
      </c>
      <c r="R37" s="10">
        <f>Tabla24567894[[#This Row],[Columna2]]*19%</f>
        <v>0</v>
      </c>
      <c r="S37" s="10">
        <f>Tabla24567894[[#This Row],[IVA VENTA ]]-Tabla24567894[[#This Row],[IV COMPRA]]</f>
        <v>0</v>
      </c>
      <c r="T37" s="10">
        <f>(Tabla24567894[[#This Row],[VENTA ]]-(Tabla24567894[[#This Row],[MONTO DE COMPRA]]+Tabla24567894[[#This Row],[DIFERENCIA IVA ]]))</f>
        <v>0</v>
      </c>
      <c r="U37" s="17"/>
    </row>
    <row r="38" spans="1:21" s="15" customFormat="1" ht="20.100000000000001" hidden="1" customHeight="1" x14ac:dyDescent="0.25">
      <c r="A38" s="13">
        <v>44931</v>
      </c>
      <c r="B38" s="14" t="s">
        <v>152</v>
      </c>
      <c r="C38" s="14" t="s">
        <v>148</v>
      </c>
      <c r="D38" s="14" t="s">
        <v>149</v>
      </c>
      <c r="E38" s="15" t="s">
        <v>150</v>
      </c>
      <c r="F38" s="15" t="s">
        <v>19</v>
      </c>
      <c r="G38" s="14"/>
      <c r="H38" s="16" t="s">
        <v>151</v>
      </c>
      <c r="I38" s="17">
        <v>60000</v>
      </c>
      <c r="J38" s="5">
        <f>Tabla24567894[[#This Row],[TOTAL FACTURA]]*0.7</f>
        <v>42000</v>
      </c>
      <c r="K38" s="9">
        <f t="shared" si="0"/>
        <v>18000</v>
      </c>
      <c r="L38" s="4" t="s">
        <v>22</v>
      </c>
      <c r="M38" s="10">
        <v>83000</v>
      </c>
      <c r="N38" s="10">
        <f>Tabla24567894[[#This Row],[MONTO DE COMPRA]]/1.19</f>
        <v>69747.899159663866</v>
      </c>
      <c r="O38" s="10">
        <f>Tabla24567894[[#This Row],[Columna1]]*19%</f>
        <v>13252.100840336134</v>
      </c>
      <c r="P38" s="10">
        <v>114000</v>
      </c>
      <c r="Q38" s="10">
        <f>Tabla24567894[[#This Row],[VENTA ]]/1.19</f>
        <v>95798.319327731093</v>
      </c>
      <c r="R38" s="10">
        <f>Tabla24567894[[#This Row],[Columna2]]*19%</f>
        <v>18201.680672268907</v>
      </c>
      <c r="S38" s="10">
        <f>Tabla24567894[[#This Row],[IVA VENTA ]]-Tabla24567894[[#This Row],[IV COMPRA]]</f>
        <v>4949.5798319327732</v>
      </c>
      <c r="T38" s="10">
        <f>(Tabla24567894[[#This Row],[VENTA ]]-(Tabla24567894[[#This Row],[MONTO DE COMPRA]]+Tabla24567894[[#This Row],[DIFERENCIA IVA ]]))</f>
        <v>26050.420168067227</v>
      </c>
      <c r="U38" s="17"/>
    </row>
    <row r="39" spans="1:21" s="15" customFormat="1" ht="20.100000000000001" hidden="1" customHeight="1" x14ac:dyDescent="0.25">
      <c r="A39" s="13">
        <v>44931</v>
      </c>
      <c r="B39" s="14"/>
      <c r="C39" s="11"/>
      <c r="D39" s="14"/>
      <c r="E39" s="15" t="s">
        <v>153</v>
      </c>
      <c r="F39" s="15" t="s">
        <v>19</v>
      </c>
      <c r="G39" s="14"/>
      <c r="H39" s="16" t="s">
        <v>154</v>
      </c>
      <c r="I39" s="17">
        <v>50000</v>
      </c>
      <c r="J39" s="5">
        <f>Tabla24567894[[#This Row],[TOTAL FACTURA]]*0.7</f>
        <v>35000</v>
      </c>
      <c r="K39" s="9">
        <f t="shared" si="0"/>
        <v>15000</v>
      </c>
      <c r="L39" s="4"/>
      <c r="M39" s="10"/>
      <c r="N39" s="10">
        <f>Tabla24567894[[#This Row],[MONTO DE COMPRA]]/1.19</f>
        <v>0</v>
      </c>
      <c r="O39" s="10">
        <f>Tabla24567894[[#This Row],[Columna1]]*19%</f>
        <v>0</v>
      </c>
      <c r="P39" s="10"/>
      <c r="Q39" s="10">
        <f>Tabla24567894[[#This Row],[VENTA ]]/1.19</f>
        <v>0</v>
      </c>
      <c r="R39" s="10">
        <f>Tabla24567894[[#This Row],[Columna2]]*19%</f>
        <v>0</v>
      </c>
      <c r="S39" s="10">
        <f>Tabla24567894[[#This Row],[IVA VENTA ]]-Tabla24567894[[#This Row],[IV COMPRA]]</f>
        <v>0</v>
      </c>
      <c r="T39" s="10">
        <f>(Tabla24567894[[#This Row],[VENTA ]]-(Tabla24567894[[#This Row],[MONTO DE COMPRA]]+Tabla24567894[[#This Row],[DIFERENCIA IVA ]]))</f>
        <v>0</v>
      </c>
      <c r="U39" s="17"/>
    </row>
    <row r="40" spans="1:21" s="15" customFormat="1" ht="20.100000000000001" hidden="1" customHeight="1" x14ac:dyDescent="0.25">
      <c r="A40" s="13">
        <v>44931</v>
      </c>
      <c r="B40" s="14"/>
      <c r="C40" s="14" t="s">
        <v>155</v>
      </c>
      <c r="D40" s="14" t="s">
        <v>156</v>
      </c>
      <c r="E40" s="15" t="s">
        <v>157</v>
      </c>
      <c r="F40" s="15" t="s">
        <v>19</v>
      </c>
      <c r="G40" s="14"/>
      <c r="H40" s="16" t="s">
        <v>158</v>
      </c>
      <c r="I40" s="17">
        <v>100000</v>
      </c>
      <c r="J40" s="5">
        <f>Tabla24567894[[#This Row],[TOTAL FACTURA]]*0.7</f>
        <v>70000</v>
      </c>
      <c r="K40" s="9">
        <f t="shared" si="0"/>
        <v>30000</v>
      </c>
      <c r="L40" s="4" t="s">
        <v>159</v>
      </c>
      <c r="M40" s="10">
        <f>233000+6000</f>
        <v>239000</v>
      </c>
      <c r="N40" s="10">
        <f>Tabla24567894[[#This Row],[MONTO DE COMPRA]]/1.19</f>
        <v>200840.3361344538</v>
      </c>
      <c r="O40" s="10">
        <f>Tabla24567894[[#This Row],[Columna1]]*19%</f>
        <v>38159.663865546223</v>
      </c>
      <c r="P40" s="10">
        <v>315000</v>
      </c>
      <c r="Q40" s="10">
        <f>Tabla24567894[[#This Row],[VENTA ]]/1.19</f>
        <v>264705.8823529412</v>
      </c>
      <c r="R40" s="10">
        <f>Tabla24567894[[#This Row],[Columna2]]*19%</f>
        <v>50294.117647058833</v>
      </c>
      <c r="S40" s="10">
        <f>Tabla24567894[[#This Row],[IVA VENTA ]]-Tabla24567894[[#This Row],[IV COMPRA]]</f>
        <v>12134.45378151261</v>
      </c>
      <c r="T40" s="10">
        <f>(Tabla24567894[[#This Row],[VENTA ]]-(Tabla24567894[[#This Row],[MONTO DE COMPRA]]+Tabla24567894[[#This Row],[DIFERENCIA IVA ]]))</f>
        <v>63865.546218487376</v>
      </c>
      <c r="U40" s="17"/>
    </row>
    <row r="41" spans="1:21" s="15" customFormat="1" ht="20.100000000000001" hidden="1" customHeight="1" x14ac:dyDescent="0.25">
      <c r="A41" s="13">
        <v>44931</v>
      </c>
      <c r="B41" s="14"/>
      <c r="C41" s="14" t="s">
        <v>160</v>
      </c>
      <c r="D41" s="14" t="s">
        <v>161</v>
      </c>
      <c r="E41" s="15" t="s">
        <v>162</v>
      </c>
      <c r="F41" s="15" t="s">
        <v>19</v>
      </c>
      <c r="G41" s="14"/>
      <c r="H41" s="16" t="s">
        <v>151</v>
      </c>
      <c r="I41" s="17">
        <v>40000</v>
      </c>
      <c r="J41" s="5">
        <f>Tabla24567894[[#This Row],[TOTAL FACTURA]]*0.7</f>
        <v>28000</v>
      </c>
      <c r="K41" s="9">
        <f t="shared" si="0"/>
        <v>12000</v>
      </c>
      <c r="L41" s="4"/>
      <c r="M41" s="10"/>
      <c r="N41" s="10">
        <f>Tabla24567894[[#This Row],[MONTO DE COMPRA]]/1.19</f>
        <v>0</v>
      </c>
      <c r="O41" s="10">
        <f>Tabla24567894[[#This Row],[Columna1]]*19%</f>
        <v>0</v>
      </c>
      <c r="P41" s="10"/>
      <c r="Q41" s="10">
        <f>Tabla24567894[[#This Row],[VENTA ]]/1.19</f>
        <v>0</v>
      </c>
      <c r="R41" s="10">
        <f>Tabla24567894[[#This Row],[Columna2]]*19%</f>
        <v>0</v>
      </c>
      <c r="S41" s="10">
        <f>Tabla24567894[[#This Row],[IVA VENTA ]]-Tabla24567894[[#This Row],[IV COMPRA]]</f>
        <v>0</v>
      </c>
      <c r="T41" s="10">
        <f>(Tabla24567894[[#This Row],[VENTA ]]-(Tabla24567894[[#This Row],[MONTO DE COMPRA]]+Tabla24567894[[#This Row],[DIFERENCIA IVA ]]))</f>
        <v>0</v>
      </c>
      <c r="U41" s="17"/>
    </row>
    <row r="42" spans="1:21" s="15" customFormat="1" ht="20.100000000000001" hidden="1" customHeight="1" x14ac:dyDescent="0.25">
      <c r="A42" s="13">
        <v>44931</v>
      </c>
      <c r="B42" s="14"/>
      <c r="C42" s="14"/>
      <c r="D42" s="14" t="s">
        <v>164</v>
      </c>
      <c r="E42" s="15" t="s">
        <v>163</v>
      </c>
      <c r="F42" s="15" t="s">
        <v>19</v>
      </c>
      <c r="G42" s="14"/>
      <c r="H42" s="16" t="s">
        <v>165</v>
      </c>
      <c r="I42" s="17">
        <v>20000</v>
      </c>
      <c r="J42" s="5">
        <f>Tabla24567894[[#This Row],[TOTAL FACTURA]]*0.7</f>
        <v>14000</v>
      </c>
      <c r="K42" s="9">
        <f t="shared" si="0"/>
        <v>6000</v>
      </c>
      <c r="L42" s="4"/>
      <c r="M42" s="10"/>
      <c r="N42" s="10">
        <f>Tabla24567894[[#This Row],[MONTO DE COMPRA]]/1.19</f>
        <v>0</v>
      </c>
      <c r="O42" s="10">
        <f>Tabla24567894[[#This Row],[Columna1]]*19%</f>
        <v>0</v>
      </c>
      <c r="P42" s="10"/>
      <c r="Q42" s="10">
        <f>Tabla24567894[[#This Row],[VENTA ]]/1.19</f>
        <v>0</v>
      </c>
      <c r="R42" s="10">
        <f>Tabla24567894[[#This Row],[Columna2]]*19%</f>
        <v>0</v>
      </c>
      <c r="S42" s="10">
        <f>Tabla24567894[[#This Row],[IVA VENTA ]]-Tabla24567894[[#This Row],[IV COMPRA]]</f>
        <v>0</v>
      </c>
      <c r="T42" s="10">
        <f>(Tabla24567894[[#This Row],[VENTA ]]-(Tabla24567894[[#This Row],[MONTO DE COMPRA]]+Tabla24567894[[#This Row],[DIFERENCIA IVA ]]))</f>
        <v>0</v>
      </c>
      <c r="U42" s="17"/>
    </row>
    <row r="43" spans="1:21" s="15" customFormat="1" ht="20.100000000000001" hidden="1" customHeight="1" x14ac:dyDescent="0.25">
      <c r="A43" s="13">
        <v>44931</v>
      </c>
      <c r="B43" s="14" t="s">
        <v>168</v>
      </c>
      <c r="C43" s="14" t="s">
        <v>167</v>
      </c>
      <c r="D43" s="14" t="s">
        <v>169</v>
      </c>
      <c r="E43" s="15" t="s">
        <v>132</v>
      </c>
      <c r="F43" s="15" t="s">
        <v>19</v>
      </c>
      <c r="G43" s="14"/>
      <c r="H43" s="16" t="s">
        <v>170</v>
      </c>
      <c r="I43" s="17">
        <v>60000</v>
      </c>
      <c r="J43" s="5">
        <f>Tabla24567894[[#This Row],[TOTAL FACTURA]]*0.7</f>
        <v>42000</v>
      </c>
      <c r="K43" s="9">
        <f t="shared" si="0"/>
        <v>18000</v>
      </c>
      <c r="L43" s="4" t="s">
        <v>22</v>
      </c>
      <c r="M43" s="10">
        <v>152000</v>
      </c>
      <c r="N43" s="10">
        <f>Tabla24567894[[#This Row],[MONTO DE COMPRA]]/1.19</f>
        <v>127731.0924369748</v>
      </c>
      <c r="O43" s="10">
        <f>Tabla24567894[[#This Row],[Columna1]]*19%</f>
        <v>24268.907563025212</v>
      </c>
      <c r="P43" s="10">
        <v>200000</v>
      </c>
      <c r="Q43" s="10">
        <f>Tabla24567894[[#This Row],[VENTA ]]/1.19</f>
        <v>168067.22689075631</v>
      </c>
      <c r="R43" s="10">
        <f>Tabla24567894[[#This Row],[Columna2]]*19%</f>
        <v>31932.773109243699</v>
      </c>
      <c r="S43" s="10">
        <f>Tabla24567894[[#This Row],[IVA VENTA ]]-Tabla24567894[[#This Row],[IV COMPRA]]</f>
        <v>7663.865546218487</v>
      </c>
      <c r="T43" s="10">
        <f>(Tabla24567894[[#This Row],[VENTA ]]-(Tabla24567894[[#This Row],[MONTO DE COMPRA]]+Tabla24567894[[#This Row],[DIFERENCIA IVA ]]))</f>
        <v>40336.134453781502</v>
      </c>
      <c r="U43" s="17"/>
    </row>
    <row r="44" spans="1:21" s="15" customFormat="1" ht="20.100000000000001" hidden="1" customHeight="1" x14ac:dyDescent="0.25">
      <c r="A44" s="13">
        <v>44931</v>
      </c>
      <c r="B44" s="14" t="s">
        <v>173</v>
      </c>
      <c r="C44" s="14" t="s">
        <v>171</v>
      </c>
      <c r="D44" s="14" t="s">
        <v>172</v>
      </c>
      <c r="E44" s="15" t="s">
        <v>142</v>
      </c>
      <c r="F44" s="15" t="s">
        <v>19</v>
      </c>
      <c r="G44" s="14"/>
      <c r="H44" s="16" t="s">
        <v>151</v>
      </c>
      <c r="I44" s="17">
        <v>60000</v>
      </c>
      <c r="J44" s="5">
        <f>Tabla24567894[[#This Row],[TOTAL FACTURA]]*0.7</f>
        <v>42000</v>
      </c>
      <c r="K44" s="9">
        <f t="shared" si="0"/>
        <v>18000</v>
      </c>
      <c r="L44" s="4"/>
      <c r="M44" s="10"/>
      <c r="N44" s="10">
        <f>Tabla24567894[[#This Row],[MONTO DE COMPRA]]/1.19</f>
        <v>0</v>
      </c>
      <c r="O44" s="10">
        <f>Tabla24567894[[#This Row],[Columna1]]*19%</f>
        <v>0</v>
      </c>
      <c r="P44" s="10"/>
      <c r="Q44" s="10">
        <f>Tabla24567894[[#This Row],[VENTA ]]/1.19</f>
        <v>0</v>
      </c>
      <c r="R44" s="10">
        <f>Tabla24567894[[#This Row],[Columna2]]*19%</f>
        <v>0</v>
      </c>
      <c r="S44" s="10">
        <f>Tabla24567894[[#This Row],[IVA VENTA ]]-Tabla24567894[[#This Row],[IV COMPRA]]</f>
        <v>0</v>
      </c>
      <c r="T44" s="10">
        <f>(Tabla24567894[[#This Row],[VENTA ]]-(Tabla24567894[[#This Row],[MONTO DE COMPRA]]+Tabla24567894[[#This Row],[DIFERENCIA IVA ]]))</f>
        <v>0</v>
      </c>
      <c r="U44" s="17"/>
    </row>
    <row r="45" spans="1:21" s="15" customFormat="1" ht="20.100000000000001" hidden="1" customHeight="1" x14ac:dyDescent="0.25">
      <c r="A45" s="13">
        <v>44931</v>
      </c>
      <c r="B45" s="14"/>
      <c r="C45" s="14" t="s">
        <v>144</v>
      </c>
      <c r="D45" s="14" t="s">
        <v>174</v>
      </c>
      <c r="E45" s="15" t="s">
        <v>175</v>
      </c>
      <c r="F45" s="15" t="s">
        <v>19</v>
      </c>
      <c r="G45" s="14"/>
      <c r="H45" s="16" t="s">
        <v>176</v>
      </c>
      <c r="I45" s="17">
        <v>80000</v>
      </c>
      <c r="J45" s="5">
        <f>Tabla24567894[[#This Row],[TOTAL FACTURA]]*0.7</f>
        <v>56000</v>
      </c>
      <c r="K45" s="9">
        <f t="shared" si="0"/>
        <v>24000</v>
      </c>
      <c r="L45" s="4" t="s">
        <v>178</v>
      </c>
      <c r="M45" s="10"/>
      <c r="N45" s="10">
        <f>Tabla24567894[[#This Row],[MONTO DE COMPRA]]/1.19</f>
        <v>0</v>
      </c>
      <c r="O45" s="10">
        <f>Tabla24567894[[#This Row],[Columna1]]*19%</f>
        <v>0</v>
      </c>
      <c r="P45" s="10"/>
      <c r="Q45" s="10">
        <f>Tabla24567894[[#This Row],[VENTA ]]/1.19</f>
        <v>0</v>
      </c>
      <c r="R45" s="10">
        <f>Tabla24567894[[#This Row],[Columna2]]*19%</f>
        <v>0</v>
      </c>
      <c r="S45" s="10">
        <f>Tabla24567894[[#This Row],[IVA VENTA ]]-Tabla24567894[[#This Row],[IV COMPRA]]</f>
        <v>0</v>
      </c>
      <c r="T45" s="10">
        <f>(Tabla24567894[[#This Row],[VENTA ]]-(Tabla24567894[[#This Row],[MONTO DE COMPRA]]+Tabla24567894[[#This Row],[DIFERENCIA IVA ]]))</f>
        <v>0</v>
      </c>
      <c r="U45" s="17"/>
    </row>
    <row r="46" spans="1:21" s="15" customFormat="1" ht="20.100000000000001" hidden="1" customHeight="1" x14ac:dyDescent="0.25">
      <c r="A46" s="13">
        <v>44931</v>
      </c>
      <c r="B46" s="14"/>
      <c r="C46" s="14" t="s">
        <v>144</v>
      </c>
      <c r="D46" s="14" t="s">
        <v>174</v>
      </c>
      <c r="E46" s="15" t="s">
        <v>175</v>
      </c>
      <c r="F46" s="15" t="s">
        <v>33</v>
      </c>
      <c r="G46" s="14"/>
      <c r="H46" s="16" t="s">
        <v>177</v>
      </c>
      <c r="I46" s="17">
        <v>30000</v>
      </c>
      <c r="J46" s="5">
        <f>Tabla24567894[[#This Row],[TOTAL FACTURA]]*0.5</f>
        <v>15000</v>
      </c>
      <c r="K46" s="9">
        <f t="shared" si="0"/>
        <v>15000</v>
      </c>
      <c r="L46" s="4"/>
      <c r="M46" s="10"/>
      <c r="N46" s="10">
        <f>Tabla24567894[[#This Row],[MONTO DE COMPRA]]/1.19</f>
        <v>0</v>
      </c>
      <c r="O46" s="10">
        <f>Tabla24567894[[#This Row],[Columna1]]*19%</f>
        <v>0</v>
      </c>
      <c r="P46" s="10"/>
      <c r="Q46" s="10">
        <f>Tabla24567894[[#This Row],[VENTA ]]/1.19</f>
        <v>0</v>
      </c>
      <c r="R46" s="10">
        <f>Tabla24567894[[#This Row],[Columna2]]*19%</f>
        <v>0</v>
      </c>
      <c r="S46" s="10">
        <f>Tabla24567894[[#This Row],[IVA VENTA ]]-Tabla24567894[[#This Row],[IV COMPRA]]</f>
        <v>0</v>
      </c>
      <c r="T46" s="10">
        <f>(Tabla24567894[[#This Row],[VENTA ]]-(Tabla24567894[[#This Row],[MONTO DE COMPRA]]+Tabla24567894[[#This Row],[DIFERENCIA IVA ]]))</f>
        <v>0</v>
      </c>
      <c r="U46" s="17"/>
    </row>
    <row r="47" spans="1:21" s="15" customFormat="1" ht="20.100000000000001" hidden="1" customHeight="1" x14ac:dyDescent="0.25">
      <c r="A47" s="13">
        <v>44931</v>
      </c>
      <c r="B47" s="14" t="s">
        <v>183</v>
      </c>
      <c r="C47" s="14" t="s">
        <v>179</v>
      </c>
      <c r="D47" s="14" t="s">
        <v>180</v>
      </c>
      <c r="E47" s="15" t="s">
        <v>181</v>
      </c>
      <c r="F47" s="15" t="s">
        <v>19</v>
      </c>
      <c r="G47" s="14"/>
      <c r="H47" s="16" t="s">
        <v>182</v>
      </c>
      <c r="I47" s="17">
        <v>160000</v>
      </c>
      <c r="J47" s="5">
        <f>Tabla24567894[[#This Row],[TOTAL FACTURA]]*0.7</f>
        <v>112000</v>
      </c>
      <c r="K47" s="9">
        <f t="shared" si="0"/>
        <v>48000</v>
      </c>
      <c r="L47" s="4"/>
      <c r="M47" s="10"/>
      <c r="N47" s="10">
        <f>Tabla24567894[[#This Row],[MONTO DE COMPRA]]/1.19</f>
        <v>0</v>
      </c>
      <c r="O47" s="10">
        <f>Tabla24567894[[#This Row],[Columna1]]*19%</f>
        <v>0</v>
      </c>
      <c r="P47" s="10"/>
      <c r="Q47" s="10">
        <f>Tabla24567894[[#This Row],[VENTA ]]/1.19</f>
        <v>0</v>
      </c>
      <c r="R47" s="10">
        <f>Tabla24567894[[#This Row],[Columna2]]*19%</f>
        <v>0</v>
      </c>
      <c r="S47" s="10">
        <f>Tabla24567894[[#This Row],[IVA VENTA ]]-Tabla24567894[[#This Row],[IV COMPRA]]</f>
        <v>0</v>
      </c>
      <c r="T47" s="10">
        <f>(Tabla24567894[[#This Row],[VENTA ]]-(Tabla24567894[[#This Row],[MONTO DE COMPRA]]+Tabla24567894[[#This Row],[DIFERENCIA IVA ]]))</f>
        <v>0</v>
      </c>
      <c r="U47" s="17"/>
    </row>
    <row r="48" spans="1:21" s="15" customFormat="1" ht="20.100000000000001" hidden="1" customHeight="1" x14ac:dyDescent="0.25">
      <c r="A48" s="13">
        <v>44932</v>
      </c>
      <c r="B48" s="14"/>
      <c r="C48" s="14" t="s">
        <v>185</v>
      </c>
      <c r="D48" s="14" t="s">
        <v>186</v>
      </c>
      <c r="E48" s="15" t="s">
        <v>34</v>
      </c>
      <c r="F48" s="15" t="s">
        <v>19</v>
      </c>
      <c r="G48" s="14"/>
      <c r="H48" s="16" t="s">
        <v>187</v>
      </c>
      <c r="I48" s="17">
        <v>80000</v>
      </c>
      <c r="J48" s="5">
        <f>Tabla24567894[[#This Row],[TOTAL FACTURA]]*0.7</f>
        <v>56000</v>
      </c>
      <c r="K48" s="9">
        <f t="shared" si="0"/>
        <v>24000</v>
      </c>
      <c r="L48" s="4" t="s">
        <v>188</v>
      </c>
      <c r="M48" s="10">
        <v>10000</v>
      </c>
      <c r="N48" s="10"/>
      <c r="O48" s="10"/>
      <c r="P48" s="10">
        <v>5000</v>
      </c>
      <c r="Q48" s="10">
        <f>Tabla24567894[[#This Row],[VENTA ]]/1.19</f>
        <v>4201.680672268908</v>
      </c>
      <c r="R48" s="10"/>
      <c r="S48" s="10">
        <f>Tabla24567894[[#This Row],[IVA VENTA ]]-Tabla24567894[[#This Row],[IV COMPRA]]</f>
        <v>0</v>
      </c>
      <c r="T48" s="10">
        <f>(Tabla24567894[[#This Row],[VENTA ]]-(Tabla24567894[[#This Row],[MONTO DE COMPRA]]+Tabla24567894[[#This Row],[DIFERENCIA IVA ]]))</f>
        <v>-5000</v>
      </c>
      <c r="U48" s="17"/>
    </row>
    <row r="49" spans="1:21" s="15" customFormat="1" ht="20.100000000000001" hidden="1" customHeight="1" x14ac:dyDescent="0.25">
      <c r="A49" s="13">
        <v>44932</v>
      </c>
      <c r="B49" s="14"/>
      <c r="C49" s="14" t="s">
        <v>189</v>
      </c>
      <c r="D49" s="14" t="s">
        <v>190</v>
      </c>
      <c r="E49" s="15" t="s">
        <v>216</v>
      </c>
      <c r="F49" s="15" t="s">
        <v>19</v>
      </c>
      <c r="G49" s="14"/>
      <c r="H49" s="16" t="s">
        <v>235</v>
      </c>
      <c r="I49" s="17">
        <v>60000</v>
      </c>
      <c r="J49" s="5">
        <f>Tabla24567894[[#This Row],[TOTAL FACTURA]]*0.7</f>
        <v>42000</v>
      </c>
      <c r="K49" s="9">
        <f t="shared" si="0"/>
        <v>18000</v>
      </c>
      <c r="L49" s="4"/>
      <c r="M49" s="10"/>
      <c r="N49" s="10">
        <f>Tabla24567894[[#This Row],[MONTO DE COMPRA]]/1.19</f>
        <v>0</v>
      </c>
      <c r="O49" s="10">
        <f>Tabla24567894[[#This Row],[Columna1]]*19%</f>
        <v>0</v>
      </c>
      <c r="P49" s="10"/>
      <c r="Q49" s="10">
        <f>Tabla24567894[[#This Row],[VENTA ]]/1.19</f>
        <v>0</v>
      </c>
      <c r="R49" s="10">
        <f>Tabla24567894[[#This Row],[Columna2]]*19%</f>
        <v>0</v>
      </c>
      <c r="S49" s="10">
        <f>Tabla24567894[[#This Row],[IVA VENTA ]]-Tabla24567894[[#This Row],[IV COMPRA]]</f>
        <v>0</v>
      </c>
      <c r="T49" s="10">
        <f>(Tabla24567894[[#This Row],[VENTA ]]-(Tabla24567894[[#This Row],[MONTO DE COMPRA]]+Tabla24567894[[#This Row],[DIFERENCIA IVA ]]))</f>
        <v>0</v>
      </c>
      <c r="U49" s="17"/>
    </row>
    <row r="50" spans="1:21" s="15" customFormat="1" ht="20.100000000000001" hidden="1" customHeight="1" x14ac:dyDescent="0.25">
      <c r="A50" s="13">
        <v>44932</v>
      </c>
      <c r="B50" s="14" t="s">
        <v>193</v>
      </c>
      <c r="C50" s="14" t="s">
        <v>191</v>
      </c>
      <c r="D50" s="14" t="s">
        <v>192</v>
      </c>
      <c r="E50" s="15" t="s">
        <v>162</v>
      </c>
      <c r="F50" s="15" t="s">
        <v>19</v>
      </c>
      <c r="G50" s="14"/>
      <c r="H50" s="16" t="s">
        <v>194</v>
      </c>
      <c r="I50" s="17">
        <v>100000</v>
      </c>
      <c r="J50" s="5">
        <f>Tabla24567894[[#This Row],[TOTAL FACTURA]]*0.7</f>
        <v>70000</v>
      </c>
      <c r="K50" s="9">
        <f t="shared" si="0"/>
        <v>30000</v>
      </c>
      <c r="L50" s="4" t="s">
        <v>195</v>
      </c>
      <c r="M50" s="10">
        <v>10000</v>
      </c>
      <c r="N50" s="10">
        <f>Tabla24567894[[#This Row],[MONTO DE COMPRA]]/1.19</f>
        <v>8403.361344537816</v>
      </c>
      <c r="O50" s="10">
        <f>Tabla24567894[[#This Row],[Columna1]]*19%</f>
        <v>1596.6386554621849</v>
      </c>
      <c r="P50" s="10">
        <v>20000</v>
      </c>
      <c r="Q50" s="10">
        <f>Tabla24567894[[#This Row],[VENTA ]]/1.19</f>
        <v>16806.722689075632</v>
      </c>
      <c r="R50" s="10">
        <f>Tabla24567894[[#This Row],[Columna2]]*19%</f>
        <v>3193.2773109243699</v>
      </c>
      <c r="S50" s="10">
        <f>Tabla24567894[[#This Row],[IVA VENTA ]]-Tabla24567894[[#This Row],[IV COMPRA]]</f>
        <v>1596.6386554621849</v>
      </c>
      <c r="T50" s="10">
        <f>(Tabla24567894[[#This Row],[VENTA ]]-(Tabla24567894[[#This Row],[MONTO DE COMPRA]]+Tabla24567894[[#This Row],[DIFERENCIA IVA ]]))</f>
        <v>8403.3613445378141</v>
      </c>
      <c r="U50" s="17"/>
    </row>
    <row r="51" spans="1:21" s="15" customFormat="1" ht="20.100000000000001" hidden="1" customHeight="1" x14ac:dyDescent="0.25">
      <c r="A51" s="13">
        <v>44932</v>
      </c>
      <c r="B51" s="14"/>
      <c r="C51" s="14" t="s">
        <v>196</v>
      </c>
      <c r="D51" s="14" t="s">
        <v>197</v>
      </c>
      <c r="E51" s="15" t="s">
        <v>198</v>
      </c>
      <c r="F51" s="15" t="s">
        <v>26</v>
      </c>
      <c r="G51" s="14"/>
      <c r="H51" s="16" t="s">
        <v>199</v>
      </c>
      <c r="I51" s="17">
        <v>40000</v>
      </c>
      <c r="J51" s="5">
        <f>Tabla24567894[[#This Row],[TOTAL FACTURA]]*0.6</f>
        <v>24000</v>
      </c>
      <c r="K51" s="9">
        <f t="shared" si="0"/>
        <v>16000</v>
      </c>
      <c r="L51" s="4"/>
      <c r="M51" s="10"/>
      <c r="N51" s="10">
        <f>Tabla24567894[[#This Row],[MONTO DE COMPRA]]/1.19</f>
        <v>0</v>
      </c>
      <c r="O51" s="10">
        <f>Tabla24567894[[#This Row],[Columna1]]*19%</f>
        <v>0</v>
      </c>
      <c r="P51" s="10"/>
      <c r="Q51" s="10">
        <f>Tabla24567894[[#This Row],[VENTA ]]/1.19</f>
        <v>0</v>
      </c>
      <c r="R51" s="10">
        <f>Tabla24567894[[#This Row],[Columna2]]*19%</f>
        <v>0</v>
      </c>
      <c r="S51" s="10">
        <f>Tabla24567894[[#This Row],[IVA VENTA ]]-Tabla24567894[[#This Row],[IV COMPRA]]</f>
        <v>0</v>
      </c>
      <c r="T51" s="10">
        <f>(Tabla24567894[[#This Row],[VENTA ]]-(Tabla24567894[[#This Row],[MONTO DE COMPRA]]+Tabla24567894[[#This Row],[DIFERENCIA IVA ]]))</f>
        <v>0</v>
      </c>
      <c r="U51" s="17"/>
    </row>
    <row r="52" spans="1:21" s="15" customFormat="1" ht="20.100000000000001" hidden="1" customHeight="1" x14ac:dyDescent="0.25">
      <c r="A52" s="13">
        <v>44932</v>
      </c>
      <c r="B52" s="14"/>
      <c r="C52" s="14"/>
      <c r="D52" s="14" t="s">
        <v>200</v>
      </c>
      <c r="E52" s="15" t="s">
        <v>34</v>
      </c>
      <c r="F52" s="15" t="s">
        <v>26</v>
      </c>
      <c r="G52" s="14"/>
      <c r="H52" s="16" t="s">
        <v>201</v>
      </c>
      <c r="I52" s="17">
        <v>10000</v>
      </c>
      <c r="J52" s="5">
        <f>Tabla24567894[[#This Row],[TOTAL FACTURA]]*0.6</f>
        <v>6000</v>
      </c>
      <c r="K52" s="9">
        <f t="shared" si="0"/>
        <v>4000</v>
      </c>
      <c r="L52" s="4"/>
      <c r="M52" s="10"/>
      <c r="N52" s="10">
        <f>Tabla24567894[[#This Row],[MONTO DE COMPRA]]/1.19</f>
        <v>0</v>
      </c>
      <c r="O52" s="10">
        <f>Tabla24567894[[#This Row],[Columna1]]*19%</f>
        <v>0</v>
      </c>
      <c r="P52" s="10"/>
      <c r="Q52" s="10">
        <f>Tabla24567894[[#This Row],[VENTA ]]/1.19</f>
        <v>0</v>
      </c>
      <c r="R52" s="10">
        <f>Tabla24567894[[#This Row],[Columna2]]*19%</f>
        <v>0</v>
      </c>
      <c r="S52" s="10">
        <f>Tabla24567894[[#This Row],[IVA VENTA ]]-Tabla24567894[[#This Row],[IV COMPRA]]</f>
        <v>0</v>
      </c>
      <c r="T52" s="10">
        <f>(Tabla24567894[[#This Row],[VENTA ]]-(Tabla24567894[[#This Row],[MONTO DE COMPRA]]+Tabla24567894[[#This Row],[DIFERENCIA IVA ]]))</f>
        <v>0</v>
      </c>
      <c r="U52" s="17"/>
    </row>
    <row r="53" spans="1:21" s="15" customFormat="1" ht="20.100000000000001" hidden="1" customHeight="1" x14ac:dyDescent="0.25">
      <c r="A53" s="13">
        <v>44932</v>
      </c>
      <c r="B53" s="14"/>
      <c r="C53" s="14" t="s">
        <v>202</v>
      </c>
      <c r="D53" s="14" t="s">
        <v>203</v>
      </c>
      <c r="E53" s="15" t="s">
        <v>204</v>
      </c>
      <c r="F53" s="15" t="s">
        <v>19</v>
      </c>
      <c r="G53" s="14"/>
      <c r="H53" s="16" t="s">
        <v>205</v>
      </c>
      <c r="I53" s="17">
        <v>60000</v>
      </c>
      <c r="J53" s="5">
        <f>Tabla24567894[[#This Row],[TOTAL FACTURA]]*0.7</f>
        <v>42000</v>
      </c>
      <c r="K53" s="9">
        <f t="shared" si="0"/>
        <v>18000</v>
      </c>
      <c r="L53" s="4"/>
      <c r="M53" s="10"/>
      <c r="N53" s="10">
        <f>Tabla24567894[[#This Row],[MONTO DE COMPRA]]/1.19</f>
        <v>0</v>
      </c>
      <c r="O53" s="10">
        <f>Tabla24567894[[#This Row],[Columna1]]*19%</f>
        <v>0</v>
      </c>
      <c r="P53" s="10"/>
      <c r="Q53" s="10">
        <f>Tabla24567894[[#This Row],[VENTA ]]/1.19</f>
        <v>0</v>
      </c>
      <c r="R53" s="10">
        <f>Tabla24567894[[#This Row],[Columna2]]*19%</f>
        <v>0</v>
      </c>
      <c r="S53" s="10">
        <f>Tabla24567894[[#This Row],[IVA VENTA ]]-Tabla24567894[[#This Row],[IV COMPRA]]</f>
        <v>0</v>
      </c>
      <c r="T53" s="10">
        <f>(Tabla24567894[[#This Row],[VENTA ]]-(Tabla24567894[[#This Row],[MONTO DE COMPRA]]+Tabla24567894[[#This Row],[DIFERENCIA IVA ]]))</f>
        <v>0</v>
      </c>
      <c r="U53" s="17"/>
    </row>
    <row r="54" spans="1:21" s="15" customFormat="1" ht="20.100000000000001" hidden="1" customHeight="1" x14ac:dyDescent="0.25">
      <c r="A54" s="13">
        <v>44932</v>
      </c>
      <c r="B54" s="14"/>
      <c r="C54" s="14" t="s">
        <v>29</v>
      </c>
      <c r="D54" s="14" t="s">
        <v>30</v>
      </c>
      <c r="F54" s="15" t="s">
        <v>35</v>
      </c>
      <c r="G54" s="14"/>
      <c r="H54" s="16" t="s">
        <v>206</v>
      </c>
      <c r="I54" s="17">
        <v>50000</v>
      </c>
      <c r="J54" s="5">
        <f>Tabla24567894[[#This Row],[TOTAL FACTURA]]*0.6</f>
        <v>30000</v>
      </c>
      <c r="K54" s="9">
        <f t="shared" si="0"/>
        <v>20000</v>
      </c>
      <c r="L54" s="4"/>
      <c r="M54" s="10"/>
      <c r="N54" s="10">
        <f>Tabla24567894[[#This Row],[MONTO DE COMPRA]]/1.19</f>
        <v>0</v>
      </c>
      <c r="O54" s="10">
        <f>Tabla24567894[[#This Row],[Columna1]]*19%</f>
        <v>0</v>
      </c>
      <c r="P54" s="10"/>
      <c r="Q54" s="10">
        <f>Tabla24567894[[#This Row],[VENTA ]]/1.19</f>
        <v>0</v>
      </c>
      <c r="R54" s="10">
        <f>Tabla24567894[[#This Row],[Columna2]]*19%</f>
        <v>0</v>
      </c>
      <c r="S54" s="10">
        <f>Tabla24567894[[#This Row],[IVA VENTA ]]-Tabla24567894[[#This Row],[IV COMPRA]]</f>
        <v>0</v>
      </c>
      <c r="T54" s="10">
        <f>(Tabla24567894[[#This Row],[VENTA ]]-(Tabla24567894[[#This Row],[MONTO DE COMPRA]]+Tabla24567894[[#This Row],[DIFERENCIA IVA ]]))</f>
        <v>0</v>
      </c>
      <c r="U54" s="17"/>
    </row>
    <row r="55" spans="1:21" s="15" customFormat="1" ht="20.100000000000001" hidden="1" customHeight="1" x14ac:dyDescent="0.25">
      <c r="A55" s="13">
        <v>44932</v>
      </c>
      <c r="B55" s="14"/>
      <c r="C55" s="14" t="s">
        <v>207</v>
      </c>
      <c r="D55" s="14" t="s">
        <v>208</v>
      </c>
      <c r="E55" s="15" t="s">
        <v>209</v>
      </c>
      <c r="F55" s="15" t="s">
        <v>19</v>
      </c>
      <c r="G55" s="14"/>
      <c r="H55" s="16" t="s">
        <v>210</v>
      </c>
      <c r="I55" s="17">
        <v>40000</v>
      </c>
      <c r="J55" s="5">
        <f>Tabla24567894[[#This Row],[TOTAL FACTURA]]*0.7</f>
        <v>28000</v>
      </c>
      <c r="K55" s="9">
        <f t="shared" si="0"/>
        <v>12000</v>
      </c>
      <c r="L55" s="4"/>
      <c r="M55" s="10"/>
      <c r="N55" s="10">
        <f>Tabla24567894[[#This Row],[MONTO DE COMPRA]]/1.19</f>
        <v>0</v>
      </c>
      <c r="O55" s="10">
        <f>Tabla24567894[[#This Row],[Columna1]]*19%</f>
        <v>0</v>
      </c>
      <c r="P55" s="10"/>
      <c r="Q55" s="10">
        <f>Tabla24567894[[#This Row],[VENTA ]]/1.19</f>
        <v>0</v>
      </c>
      <c r="R55" s="10">
        <f>Tabla24567894[[#This Row],[Columna2]]*19%</f>
        <v>0</v>
      </c>
      <c r="S55" s="10">
        <f>Tabla24567894[[#This Row],[IVA VENTA ]]-Tabla24567894[[#This Row],[IV COMPRA]]</f>
        <v>0</v>
      </c>
      <c r="T55" s="10">
        <f>(Tabla24567894[[#This Row],[VENTA ]]-(Tabla24567894[[#This Row],[MONTO DE COMPRA]]+Tabla24567894[[#This Row],[DIFERENCIA IVA ]]))</f>
        <v>0</v>
      </c>
      <c r="U55" s="17"/>
    </row>
    <row r="56" spans="1:21" s="15" customFormat="1" ht="57.75" hidden="1" customHeight="1" x14ac:dyDescent="0.25">
      <c r="A56" s="13">
        <v>44933</v>
      </c>
      <c r="B56" s="14" t="s">
        <v>184</v>
      </c>
      <c r="C56" s="14" t="s">
        <v>144</v>
      </c>
      <c r="D56" s="14" t="s">
        <v>166</v>
      </c>
      <c r="E56" s="15" t="s">
        <v>28</v>
      </c>
      <c r="F56" s="15" t="s">
        <v>19</v>
      </c>
      <c r="G56" s="14"/>
      <c r="H56" s="16" t="s">
        <v>238</v>
      </c>
      <c r="I56" s="17">
        <v>290000</v>
      </c>
      <c r="J56" s="5">
        <f>Tabla24567894[[#This Row],[TOTAL FACTURA]]*0.7</f>
        <v>203000</v>
      </c>
      <c r="K56" s="9">
        <f t="shared" si="0"/>
        <v>87000</v>
      </c>
      <c r="L56" s="4" t="s">
        <v>236</v>
      </c>
      <c r="M56" s="10">
        <f>3400+27000+322823+370000</f>
        <v>723223</v>
      </c>
      <c r="N56" s="10">
        <f>Tabla24567894[[#This Row],[MONTO DE COMPRA]]/1.19</f>
        <v>607750.42016806721</v>
      </c>
      <c r="O56" s="10">
        <f>Tabla24567894[[#This Row],[Columna1]]*19%</f>
        <v>115472.57983193277</v>
      </c>
      <c r="P56" s="10">
        <v>985000</v>
      </c>
      <c r="Q56" s="10">
        <f>Tabla24567894[[#This Row],[VENTA ]]/1.19</f>
        <v>827731.09243697487</v>
      </c>
      <c r="R56" s="10">
        <f>Tabla24567894[[#This Row],[Columna2]]*19%</f>
        <v>157268.90756302522</v>
      </c>
      <c r="S56" s="10">
        <f>Tabla24567894[[#This Row],[IVA VENTA ]]-Tabla24567894[[#This Row],[IV COMPRA]]</f>
        <v>41796.327731092446</v>
      </c>
      <c r="T56" s="10">
        <f>(Tabla24567894[[#This Row],[VENTA ]]-(Tabla24567894[[#This Row],[MONTO DE COMPRA]]+Tabla24567894[[#This Row],[DIFERENCIA IVA ]]))</f>
        <v>219980.67226890754</v>
      </c>
      <c r="U56" s="17"/>
    </row>
    <row r="57" spans="1:21" s="15" customFormat="1" ht="20.100000000000001" hidden="1" customHeight="1" x14ac:dyDescent="0.25">
      <c r="A57" s="13">
        <v>44933</v>
      </c>
      <c r="B57" s="14"/>
      <c r="C57" s="14" t="s">
        <v>239</v>
      </c>
      <c r="D57" s="15" t="s">
        <v>240</v>
      </c>
      <c r="E57" s="15" t="s">
        <v>146</v>
      </c>
      <c r="F57" s="15" t="s">
        <v>19</v>
      </c>
      <c r="G57" s="15" t="s">
        <v>314</v>
      </c>
      <c r="H57" s="16" t="s">
        <v>124</v>
      </c>
      <c r="I57" s="17">
        <v>45000</v>
      </c>
      <c r="J57" s="61">
        <f>IF(G:G="FRENOS",(Tabla24567894[[#This Row],[TOTAL FACTURA]]*0.8),(Tabla24567894[[#This Row],[TOTAL FACTURA]]*0.5))</f>
        <v>36000</v>
      </c>
      <c r="K57" s="9">
        <f t="shared" si="0"/>
        <v>9000</v>
      </c>
      <c r="L57" s="4" t="s">
        <v>241</v>
      </c>
      <c r="M57" s="10"/>
      <c r="N57" s="10">
        <f>Tabla24567894[[#This Row],[MONTO DE COMPRA]]/1.19</f>
        <v>0</v>
      </c>
      <c r="O57" s="10">
        <f>Tabla24567894[[#This Row],[Columna1]]*19%</f>
        <v>0</v>
      </c>
      <c r="P57" s="10"/>
      <c r="Q57" s="10">
        <f>Tabla24567894[[#This Row],[VENTA ]]/1.19</f>
        <v>0</v>
      </c>
      <c r="R57" s="10">
        <f>Tabla24567894[[#This Row],[Columna2]]*19%</f>
        <v>0</v>
      </c>
      <c r="S57" s="10">
        <f>Tabla24567894[[#This Row],[IVA VENTA ]]-Tabla24567894[[#This Row],[IV COMPRA]]</f>
        <v>0</v>
      </c>
      <c r="T57" s="10">
        <f>(Tabla24567894[[#This Row],[VENTA ]]-(Tabla24567894[[#This Row],[MONTO DE COMPRA]]+Tabla24567894[[#This Row],[DIFERENCIA IVA ]]))</f>
        <v>0</v>
      </c>
      <c r="U57" s="17"/>
    </row>
    <row r="58" spans="1:21" s="15" customFormat="1" ht="20.100000000000001" hidden="1" customHeight="1" x14ac:dyDescent="0.25">
      <c r="A58" s="13">
        <v>44933</v>
      </c>
      <c r="B58" s="14" t="s">
        <v>245</v>
      </c>
      <c r="C58" s="14" t="s">
        <v>242</v>
      </c>
      <c r="D58" s="14" t="s">
        <v>243</v>
      </c>
      <c r="E58" s="15" t="s">
        <v>34</v>
      </c>
      <c r="F58" s="15" t="s">
        <v>26</v>
      </c>
      <c r="G58" s="14" t="s">
        <v>314</v>
      </c>
      <c r="H58" s="16" t="s">
        <v>176</v>
      </c>
      <c r="I58" s="17">
        <v>30000</v>
      </c>
      <c r="J58" s="17">
        <f>IF(G:G="FRENOS",(Tabla24567894[[#This Row],[TOTAL FACTURA]]*0.8),(Tabla24567894[[#This Row],[TOTAL FACTURA]]*0.5))</f>
        <v>24000</v>
      </c>
      <c r="K58" s="9">
        <f t="shared" si="0"/>
        <v>6000</v>
      </c>
      <c r="L58" s="4" t="s">
        <v>244</v>
      </c>
      <c r="M58" s="10">
        <v>12000</v>
      </c>
      <c r="N58" s="10">
        <f>Tabla24567894[[#This Row],[MONTO DE COMPRA]]/1.19</f>
        <v>10084.033613445379</v>
      </c>
      <c r="O58" s="10">
        <f>Tabla24567894[[#This Row],[Columna1]]*19%</f>
        <v>1915.966386554622</v>
      </c>
      <c r="P58" s="10">
        <v>25000</v>
      </c>
      <c r="Q58" s="10">
        <f>Tabla24567894[[#This Row],[VENTA ]]/1.19</f>
        <v>21008.403361344539</v>
      </c>
      <c r="R58" s="10">
        <f>Tabla24567894[[#This Row],[Columna2]]*19%</f>
        <v>3991.5966386554624</v>
      </c>
      <c r="S58" s="10">
        <f>Tabla24567894[[#This Row],[IVA VENTA ]]-Tabla24567894[[#This Row],[IV COMPRA]]</f>
        <v>2075.6302521008402</v>
      </c>
      <c r="T58" s="10">
        <f>(Tabla24567894[[#This Row],[VENTA ]]-(Tabla24567894[[#This Row],[MONTO DE COMPRA]]+Tabla24567894[[#This Row],[DIFERENCIA IVA ]]))</f>
        <v>10924.36974789916</v>
      </c>
      <c r="U58" s="17"/>
    </row>
    <row r="59" spans="1:21" s="15" customFormat="1" ht="20.100000000000001" hidden="1" customHeight="1" x14ac:dyDescent="0.25">
      <c r="A59" s="13">
        <v>44936</v>
      </c>
      <c r="B59" s="14"/>
      <c r="C59" s="14" t="s">
        <v>246</v>
      </c>
      <c r="D59" s="14" t="s">
        <v>247</v>
      </c>
      <c r="E59" s="15" t="s">
        <v>248</v>
      </c>
      <c r="F59" s="15" t="s">
        <v>19</v>
      </c>
      <c r="G59" s="14" t="s">
        <v>224</v>
      </c>
      <c r="H59" s="16" t="s">
        <v>249</v>
      </c>
      <c r="I59" s="17">
        <v>50000</v>
      </c>
      <c r="J59" s="61">
        <f>IF(G:G="FRENOS",(Tabla24567894[[#This Row],[TOTAL FACTURA]]*0.8),(Tabla24567894[[#This Row],[TOTAL FACTURA]]*0.5))</f>
        <v>25000</v>
      </c>
      <c r="K59" s="9">
        <f t="shared" si="0"/>
        <v>25000</v>
      </c>
      <c r="L59" s="4"/>
      <c r="M59" s="10"/>
      <c r="N59" s="10">
        <f>Tabla24567894[[#This Row],[MONTO DE COMPRA]]/1.19</f>
        <v>0</v>
      </c>
      <c r="O59" s="10">
        <f>Tabla24567894[[#This Row],[Columna1]]*19%</f>
        <v>0</v>
      </c>
      <c r="P59" s="10"/>
      <c r="Q59" s="10">
        <f>Tabla24567894[[#This Row],[VENTA ]]/1.19</f>
        <v>0</v>
      </c>
      <c r="R59" s="10">
        <f>Tabla24567894[[#This Row],[Columna2]]*19%</f>
        <v>0</v>
      </c>
      <c r="S59" s="10">
        <f>Tabla24567894[[#This Row],[IVA VENTA ]]-Tabla24567894[[#This Row],[IV COMPRA]]</f>
        <v>0</v>
      </c>
      <c r="T59" s="10">
        <f>(Tabla24567894[[#This Row],[VENTA ]]-(Tabla24567894[[#This Row],[MONTO DE COMPRA]]+Tabla24567894[[#This Row],[DIFERENCIA IVA ]]))</f>
        <v>0</v>
      </c>
      <c r="U59" s="17"/>
    </row>
    <row r="60" spans="1:21" s="15" customFormat="1" ht="20.100000000000001" hidden="1" customHeight="1" x14ac:dyDescent="0.25">
      <c r="A60" s="13">
        <v>44936</v>
      </c>
      <c r="B60" s="14" t="s">
        <v>253</v>
      </c>
      <c r="C60" s="14" t="s">
        <v>250</v>
      </c>
      <c r="D60" s="14" t="s">
        <v>251</v>
      </c>
      <c r="E60" s="15" t="s">
        <v>142</v>
      </c>
      <c r="F60" s="15" t="s">
        <v>19</v>
      </c>
      <c r="G60" s="14" t="s">
        <v>314</v>
      </c>
      <c r="H60" s="16" t="s">
        <v>311</v>
      </c>
      <c r="I60" s="17">
        <v>30000</v>
      </c>
      <c r="J60" s="61">
        <v>124000</v>
      </c>
      <c r="K60" s="9">
        <f t="shared" si="0"/>
        <v>-94000</v>
      </c>
      <c r="L60" s="4" t="s">
        <v>252</v>
      </c>
      <c r="M60" s="10">
        <v>162000</v>
      </c>
      <c r="N60" s="10">
        <f>Tabla24567894[[#This Row],[MONTO DE COMPRA]]/1.19</f>
        <v>136134.45378151262</v>
      </c>
      <c r="O60" s="10">
        <f>Tabla24567894[[#This Row],[Columna1]]*19%</f>
        <v>25865.546218487398</v>
      </c>
      <c r="P60" s="10">
        <v>210000</v>
      </c>
      <c r="Q60" s="10">
        <f>Tabla24567894[[#This Row],[VENTA ]]/1.19</f>
        <v>176470.58823529413</v>
      </c>
      <c r="R60" s="10">
        <f>Tabla24567894[[#This Row],[Columna2]]*19%</f>
        <v>33529.411764705881</v>
      </c>
      <c r="S60" s="10">
        <f>Tabla24567894[[#This Row],[IVA VENTA ]]-Tabla24567894[[#This Row],[IV COMPRA]]</f>
        <v>7663.8655462184834</v>
      </c>
      <c r="T60" s="10">
        <f>(Tabla24567894[[#This Row],[VENTA ]]-(Tabla24567894[[#This Row],[MONTO DE COMPRA]]+Tabla24567894[[#This Row],[DIFERENCIA IVA ]]))</f>
        <v>40336.134453781531</v>
      </c>
      <c r="U60" s="17"/>
    </row>
    <row r="61" spans="1:21" s="15" customFormat="1" ht="20.100000000000001" hidden="1" customHeight="1" x14ac:dyDescent="0.25">
      <c r="A61" s="13">
        <v>44936</v>
      </c>
      <c r="B61" s="14" t="s">
        <v>253</v>
      </c>
      <c r="C61" s="14" t="s">
        <v>250</v>
      </c>
      <c r="D61" s="14" t="s">
        <v>251</v>
      </c>
      <c r="E61" s="15" t="s">
        <v>142</v>
      </c>
      <c r="F61" s="15" t="s">
        <v>26</v>
      </c>
      <c r="G61" s="14" t="s">
        <v>224</v>
      </c>
      <c r="H61" s="16" t="s">
        <v>254</v>
      </c>
      <c r="I61" s="17">
        <v>200000</v>
      </c>
      <c r="J61" s="61">
        <f>IF(G:G="FRENOS",(Tabla24567894[[#This Row],[TOTAL FACTURA]]*0.8),(Tabla24567894[[#This Row],[TOTAL FACTURA]]*0.5))</f>
        <v>100000</v>
      </c>
      <c r="K61" s="9">
        <f t="shared" si="0"/>
        <v>100000</v>
      </c>
      <c r="L61" s="4"/>
      <c r="M61" s="10"/>
      <c r="N61" s="10">
        <f>Tabla24567894[[#This Row],[MONTO DE COMPRA]]/1.19</f>
        <v>0</v>
      </c>
      <c r="O61" s="10">
        <f>Tabla24567894[[#This Row],[Columna1]]*19%</f>
        <v>0</v>
      </c>
      <c r="P61" s="10"/>
      <c r="Q61" s="10">
        <f>Tabla24567894[[#This Row],[VENTA ]]/1.19</f>
        <v>0</v>
      </c>
      <c r="R61" s="10">
        <f>Tabla24567894[[#This Row],[Columna2]]*19%</f>
        <v>0</v>
      </c>
      <c r="S61" s="10">
        <f>Tabla24567894[[#This Row],[IVA VENTA ]]-Tabla24567894[[#This Row],[IV COMPRA]]</f>
        <v>0</v>
      </c>
      <c r="T61" s="10">
        <f>(Tabla24567894[[#This Row],[VENTA ]]-(Tabla24567894[[#This Row],[MONTO DE COMPRA]]+Tabla24567894[[#This Row],[DIFERENCIA IVA ]]))</f>
        <v>0</v>
      </c>
      <c r="U61" s="17"/>
    </row>
    <row r="62" spans="1:21" s="15" customFormat="1" ht="20.100000000000001" hidden="1" customHeight="1" x14ac:dyDescent="0.25">
      <c r="A62" s="13">
        <v>44936</v>
      </c>
      <c r="B62" s="14"/>
      <c r="C62" s="14" t="s">
        <v>255</v>
      </c>
      <c r="D62" s="14" t="s">
        <v>256</v>
      </c>
      <c r="E62" s="18" t="s">
        <v>257</v>
      </c>
      <c r="F62" s="15" t="s">
        <v>19</v>
      </c>
      <c r="G62" s="14" t="s">
        <v>314</v>
      </c>
      <c r="H62" s="16" t="s">
        <v>23</v>
      </c>
      <c r="I62" s="17">
        <v>30000</v>
      </c>
      <c r="J62" s="61">
        <f>IF(G:G="FRENOS",(Tabla24567894[[#This Row],[TOTAL FACTURA]]*0.8),(Tabla24567894[[#This Row],[TOTAL FACTURA]]*0.5))</f>
        <v>24000</v>
      </c>
      <c r="K62" s="9">
        <f t="shared" si="0"/>
        <v>6000</v>
      </c>
      <c r="L62" s="4"/>
      <c r="M62" s="10"/>
      <c r="N62" s="10">
        <f>Tabla24567894[[#This Row],[MONTO DE COMPRA]]/1.19</f>
        <v>0</v>
      </c>
      <c r="O62" s="10">
        <f>Tabla24567894[[#This Row],[Columna1]]*19%</f>
        <v>0</v>
      </c>
      <c r="P62" s="10"/>
      <c r="Q62" s="10">
        <f>Tabla24567894[[#This Row],[VENTA ]]/1.19</f>
        <v>0</v>
      </c>
      <c r="R62" s="10">
        <f>Tabla24567894[[#This Row],[Columna2]]*19%</f>
        <v>0</v>
      </c>
      <c r="S62" s="10">
        <f>Tabla24567894[[#This Row],[IVA VENTA ]]-Tabla24567894[[#This Row],[IV COMPRA]]</f>
        <v>0</v>
      </c>
      <c r="T62" s="10">
        <f>(Tabla24567894[[#This Row],[VENTA ]]-(Tabla24567894[[#This Row],[MONTO DE COMPRA]]+Tabla24567894[[#This Row],[DIFERENCIA IVA ]]))</f>
        <v>0</v>
      </c>
      <c r="U62" s="17"/>
    </row>
    <row r="63" spans="1:21" s="15" customFormat="1" ht="36" hidden="1" customHeight="1" x14ac:dyDescent="0.25">
      <c r="A63" s="13">
        <v>44936</v>
      </c>
      <c r="B63" s="14" t="s">
        <v>262</v>
      </c>
      <c r="C63" s="14"/>
      <c r="D63" s="14" t="s">
        <v>258</v>
      </c>
      <c r="E63" s="18" t="s">
        <v>259</v>
      </c>
      <c r="F63" s="15" t="s">
        <v>26</v>
      </c>
      <c r="G63" s="14" t="s">
        <v>314</v>
      </c>
      <c r="H63" s="16" t="s">
        <v>260</v>
      </c>
      <c r="I63" s="17">
        <v>40000</v>
      </c>
      <c r="J63" s="61">
        <f>IF(G:G="FRENOS",(Tabla24567894[[#This Row],[TOTAL FACTURA]]*0.8),(Tabla24567894[[#This Row],[TOTAL FACTURA]]*0.5))</f>
        <v>32000</v>
      </c>
      <c r="K63" s="9">
        <f t="shared" si="0"/>
        <v>8000</v>
      </c>
      <c r="L63" s="4" t="s">
        <v>261</v>
      </c>
      <c r="M63" s="10">
        <f>18000+8000</f>
        <v>26000</v>
      </c>
      <c r="N63" s="10">
        <f>Tabla24567894[[#This Row],[MONTO DE COMPRA]]/1.19</f>
        <v>21848.73949579832</v>
      </c>
      <c r="O63" s="10">
        <f>Tabla24567894[[#This Row],[Columna1]]*19%</f>
        <v>4151.2605042016812</v>
      </c>
      <c r="P63" s="10">
        <v>50000</v>
      </c>
      <c r="Q63" s="10">
        <f>Tabla24567894[[#This Row],[VENTA ]]/1.19</f>
        <v>42016.806722689078</v>
      </c>
      <c r="R63" s="10">
        <f>Tabla24567894[[#This Row],[Columna2]]*19%</f>
        <v>7983.1932773109247</v>
      </c>
      <c r="S63" s="10">
        <f>Tabla24567894[[#This Row],[IVA VENTA ]]-Tabla24567894[[#This Row],[IV COMPRA]]</f>
        <v>3831.9327731092435</v>
      </c>
      <c r="T63" s="10">
        <f>(Tabla24567894[[#This Row],[VENTA ]]-(Tabla24567894[[#This Row],[MONTO DE COMPRA]]+Tabla24567894[[#This Row],[DIFERENCIA IVA ]]))</f>
        <v>20168.067226890758</v>
      </c>
      <c r="U63" s="17"/>
    </row>
    <row r="64" spans="1:21" s="15" customFormat="1" ht="20.100000000000001" hidden="1" customHeight="1" x14ac:dyDescent="0.25">
      <c r="A64" s="13">
        <v>44937</v>
      </c>
      <c r="B64" s="14"/>
      <c r="C64" s="14" t="s">
        <v>263</v>
      </c>
      <c r="D64" s="14" t="s">
        <v>264</v>
      </c>
      <c r="E64" s="15" t="s">
        <v>265</v>
      </c>
      <c r="F64" s="15" t="s">
        <v>19</v>
      </c>
      <c r="G64" s="14" t="s">
        <v>314</v>
      </c>
      <c r="H64" s="16" t="s">
        <v>20</v>
      </c>
      <c r="I64" s="17">
        <v>10000</v>
      </c>
      <c r="J64" s="61">
        <f>IF(G:G="FRENOS",(Tabla24567894[[#This Row],[TOTAL FACTURA]]*0.8),(Tabla24567894[[#This Row],[TOTAL FACTURA]]*0.5))</f>
        <v>8000</v>
      </c>
      <c r="K64" s="9">
        <f t="shared" si="0"/>
        <v>2000</v>
      </c>
      <c r="L64" s="4"/>
      <c r="M64" s="10"/>
      <c r="N64" s="10">
        <f>Tabla24567894[[#This Row],[MONTO DE COMPRA]]/1.19</f>
        <v>0</v>
      </c>
      <c r="O64" s="10">
        <f>Tabla24567894[[#This Row],[Columna1]]*19%</f>
        <v>0</v>
      </c>
      <c r="P64" s="10"/>
      <c r="Q64" s="10">
        <f>Tabla24567894[[#This Row],[VENTA ]]/1.19</f>
        <v>0</v>
      </c>
      <c r="R64" s="10">
        <f>Tabla24567894[[#This Row],[Columna2]]*19%</f>
        <v>0</v>
      </c>
      <c r="S64" s="10">
        <f>Tabla24567894[[#This Row],[IVA VENTA ]]-Tabla24567894[[#This Row],[IV COMPRA]]</f>
        <v>0</v>
      </c>
      <c r="T64" s="10">
        <f>(Tabla24567894[[#This Row],[VENTA ]]-(Tabla24567894[[#This Row],[MONTO DE COMPRA]]+Tabla24567894[[#This Row],[DIFERENCIA IVA ]]))</f>
        <v>0</v>
      </c>
      <c r="U64" s="17"/>
    </row>
    <row r="65" spans="1:21" s="15" customFormat="1" ht="39.75" hidden="1" customHeight="1" x14ac:dyDescent="0.25">
      <c r="A65" s="13">
        <v>44937</v>
      </c>
      <c r="B65" s="14"/>
      <c r="C65" s="14" t="s">
        <v>242</v>
      </c>
      <c r="D65" s="14" t="s">
        <v>266</v>
      </c>
      <c r="E65" s="15" t="s">
        <v>34</v>
      </c>
      <c r="F65" s="15" t="s">
        <v>19</v>
      </c>
      <c r="G65" s="14" t="s">
        <v>314</v>
      </c>
      <c r="H65" s="16" t="s">
        <v>267</v>
      </c>
      <c r="I65" s="17">
        <v>110000</v>
      </c>
      <c r="J65" s="61">
        <f>IF(G:G="FRENOS",(Tabla24567894[[#This Row],[TOTAL FACTURA]]*0.8),(Tabla24567894[[#This Row],[TOTAL FACTURA]]*0.5))</f>
        <v>88000</v>
      </c>
      <c r="K65" s="9">
        <f t="shared" si="0"/>
        <v>22000</v>
      </c>
      <c r="L65" s="4" t="s">
        <v>159</v>
      </c>
      <c r="M65" s="10">
        <f>39851.11+4800+50000+27000</f>
        <v>121651.11</v>
      </c>
      <c r="N65" s="10">
        <f>Tabla24567894[[#This Row],[MONTO DE COMPRA]]/1.19</f>
        <v>102227.82352941178</v>
      </c>
      <c r="O65" s="10">
        <f>Tabla24567894[[#This Row],[Columna1]]*19%</f>
        <v>19423.286470588238</v>
      </c>
      <c r="P65" s="10">
        <f>35000+80000+80000</f>
        <v>195000</v>
      </c>
      <c r="Q65" s="10">
        <f>Tabla24567894[[#This Row],[VENTA ]]/1.19</f>
        <v>163865.5462184874</v>
      </c>
      <c r="R65" s="10">
        <f>Tabla24567894[[#This Row],[Columna2]]*19%</f>
        <v>31134.453781512606</v>
      </c>
      <c r="S65" s="10">
        <f>Tabla24567894[[#This Row],[IVA VENTA ]]-Tabla24567894[[#This Row],[IV COMPRA]]</f>
        <v>11711.167310924367</v>
      </c>
      <c r="T65" s="10">
        <f>(Tabla24567894[[#This Row],[VENTA ]]-(Tabla24567894[[#This Row],[MONTO DE COMPRA]]+Tabla24567894[[#This Row],[DIFERENCIA IVA ]]))</f>
        <v>61637.722689075628</v>
      </c>
      <c r="U65" s="17"/>
    </row>
    <row r="66" spans="1:21" s="15" customFormat="1" ht="47.25" hidden="1" customHeight="1" x14ac:dyDescent="0.25">
      <c r="A66" s="13">
        <v>44937</v>
      </c>
      <c r="B66" s="14" t="s">
        <v>269</v>
      </c>
      <c r="C66" s="14" t="s">
        <v>268</v>
      </c>
      <c r="D66" s="14" t="s">
        <v>270</v>
      </c>
      <c r="E66" s="15" t="s">
        <v>163</v>
      </c>
      <c r="F66" s="15" t="s">
        <v>19</v>
      </c>
      <c r="G66" s="14" t="s">
        <v>314</v>
      </c>
      <c r="H66" s="16" t="s">
        <v>271</v>
      </c>
      <c r="I66" s="17">
        <v>130000</v>
      </c>
      <c r="J66" s="61">
        <f>IF(G:G="FRENOS",(Tabla24567894[[#This Row],[TOTAL FACTURA]]*0.8),(Tabla24567894[[#This Row],[TOTAL FACTURA]]*0.5))</f>
        <v>104000</v>
      </c>
      <c r="K66" s="9">
        <f t="shared" ref="K66:K132" si="1">I66-J66</f>
        <v>26000</v>
      </c>
      <c r="L66" s="4" t="s">
        <v>272</v>
      </c>
      <c r="M66" s="10">
        <f>196000+27000+60000</f>
        <v>283000</v>
      </c>
      <c r="N66" s="10">
        <f>Tabla24567894[[#This Row],[MONTO DE COMPRA]]/1.19</f>
        <v>237815.12605042019</v>
      </c>
      <c r="O66" s="10">
        <f>Tabla24567894[[#This Row],[Columna1]]*19%</f>
        <v>45184.873949579836</v>
      </c>
      <c r="P66" s="10">
        <f>110000+210000+50000+80000</f>
        <v>450000</v>
      </c>
      <c r="Q66" s="10">
        <f>Tabla24567894[[#This Row],[VENTA ]]/1.19</f>
        <v>378151.26050420169</v>
      </c>
      <c r="R66" s="10">
        <f>Tabla24567894[[#This Row],[Columna2]]*19%</f>
        <v>71848.73949579832</v>
      </c>
      <c r="S66" s="10">
        <f>Tabla24567894[[#This Row],[IVA VENTA ]]-Tabla24567894[[#This Row],[IV COMPRA]]</f>
        <v>26663.865546218483</v>
      </c>
      <c r="T66" s="10">
        <f>(Tabla24567894[[#This Row],[VENTA ]]-(Tabla24567894[[#This Row],[MONTO DE COMPRA]]+Tabla24567894[[#This Row],[DIFERENCIA IVA ]]))</f>
        <v>140336.13445378153</v>
      </c>
      <c r="U66" s="17"/>
    </row>
    <row r="67" spans="1:21" s="15" customFormat="1" ht="20.100000000000001" hidden="1" customHeight="1" x14ac:dyDescent="0.25">
      <c r="A67" s="13">
        <v>44938</v>
      </c>
      <c r="B67" s="14"/>
      <c r="C67" s="14" t="s">
        <v>275</v>
      </c>
      <c r="D67" s="14" t="s">
        <v>273</v>
      </c>
      <c r="E67" s="15" t="s">
        <v>274</v>
      </c>
      <c r="F67" s="15" t="s">
        <v>26</v>
      </c>
      <c r="G67" s="14" t="s">
        <v>314</v>
      </c>
      <c r="H67" s="16" t="s">
        <v>20</v>
      </c>
      <c r="I67" s="17">
        <v>10000</v>
      </c>
      <c r="J67" s="61">
        <f>IF(G:G="FRENOS",(Tabla24567894[[#This Row],[TOTAL FACTURA]]*0.8),(Tabla24567894[[#This Row],[TOTAL FACTURA]]*0.5))</f>
        <v>8000</v>
      </c>
      <c r="K67" s="9">
        <f t="shared" si="1"/>
        <v>2000</v>
      </c>
      <c r="L67" s="4"/>
      <c r="M67" s="10"/>
      <c r="N67" s="10">
        <f>Tabla24567894[[#This Row],[MONTO DE COMPRA]]/1.19</f>
        <v>0</v>
      </c>
      <c r="O67" s="10">
        <f>Tabla24567894[[#This Row],[Columna1]]*19%</f>
        <v>0</v>
      </c>
      <c r="P67" s="10"/>
      <c r="Q67" s="10">
        <f>Tabla24567894[[#This Row],[VENTA ]]/1.19</f>
        <v>0</v>
      </c>
      <c r="R67" s="10">
        <f>Tabla24567894[[#This Row],[Columna2]]*19%</f>
        <v>0</v>
      </c>
      <c r="S67" s="10">
        <f>Tabla24567894[[#This Row],[IVA VENTA ]]-Tabla24567894[[#This Row],[IV COMPRA]]</f>
        <v>0</v>
      </c>
      <c r="T67" s="10">
        <f>(Tabla24567894[[#This Row],[VENTA ]]-(Tabla24567894[[#This Row],[MONTO DE COMPRA]]+Tabla24567894[[#This Row],[DIFERENCIA IVA ]]))</f>
        <v>0</v>
      </c>
      <c r="U67" s="17"/>
    </row>
    <row r="68" spans="1:21" s="15" customFormat="1" ht="20.100000000000001" hidden="1" customHeight="1" x14ac:dyDescent="0.25">
      <c r="A68" s="13">
        <v>44938</v>
      </c>
      <c r="B68" s="14" t="s">
        <v>279</v>
      </c>
      <c r="C68" s="14" t="s">
        <v>276</v>
      </c>
      <c r="D68" s="14" t="s">
        <v>277</v>
      </c>
      <c r="E68" s="15" t="s">
        <v>162</v>
      </c>
      <c r="F68" s="15" t="s">
        <v>19</v>
      </c>
      <c r="G68" s="14" t="s">
        <v>314</v>
      </c>
      <c r="H68" s="16" t="s">
        <v>278</v>
      </c>
      <c r="I68" s="17">
        <v>60000</v>
      </c>
      <c r="J68" s="61">
        <f>IF(G:G="FRENOS",(Tabla24567894[[#This Row],[TOTAL FACTURA]]*0.8),(Tabla24567894[[#This Row],[TOTAL FACTURA]]*0.5))</f>
        <v>48000</v>
      </c>
      <c r="K68" s="9">
        <f t="shared" si="1"/>
        <v>12000</v>
      </c>
      <c r="L68" s="4"/>
      <c r="M68" s="10"/>
      <c r="N68" s="10">
        <f>Tabla24567894[[#This Row],[MONTO DE COMPRA]]/1.19</f>
        <v>0</v>
      </c>
      <c r="O68" s="10">
        <f>Tabla24567894[[#This Row],[Columna1]]*19%</f>
        <v>0</v>
      </c>
      <c r="P68" s="10"/>
      <c r="Q68" s="10">
        <f>Tabla24567894[[#This Row],[VENTA ]]/1.19</f>
        <v>0</v>
      </c>
      <c r="R68" s="10">
        <f>Tabla24567894[[#This Row],[Columna2]]*19%</f>
        <v>0</v>
      </c>
      <c r="S68" s="10">
        <f>Tabla24567894[[#This Row],[IVA VENTA ]]-Tabla24567894[[#This Row],[IV COMPRA]]</f>
        <v>0</v>
      </c>
      <c r="T68" s="10">
        <f>(Tabla24567894[[#This Row],[VENTA ]]-(Tabla24567894[[#This Row],[MONTO DE COMPRA]]+Tabla24567894[[#This Row],[DIFERENCIA IVA ]]))</f>
        <v>0</v>
      </c>
      <c r="U68" s="17"/>
    </row>
    <row r="69" spans="1:21" s="15" customFormat="1" ht="20.100000000000001" hidden="1" customHeight="1" x14ac:dyDescent="0.25">
      <c r="A69" s="13">
        <v>44938</v>
      </c>
      <c r="B69" s="14" t="s">
        <v>283</v>
      </c>
      <c r="C69" s="14" t="s">
        <v>280</v>
      </c>
      <c r="D69" s="14" t="s">
        <v>281</v>
      </c>
      <c r="E69" s="15" t="s">
        <v>321</v>
      </c>
      <c r="F69" s="15" t="s">
        <v>19</v>
      </c>
      <c r="G69" s="14" t="s">
        <v>314</v>
      </c>
      <c r="H69" s="16" t="s">
        <v>282</v>
      </c>
      <c r="I69" s="17">
        <v>30000</v>
      </c>
      <c r="J69" s="61">
        <f>IF(G:G="FRENOS",(Tabla24567894[[#This Row],[TOTAL FACTURA]]*0.8),(Tabla24567894[[#This Row],[TOTAL FACTURA]]*0.5))</f>
        <v>24000</v>
      </c>
      <c r="K69" s="9">
        <f t="shared" si="1"/>
        <v>6000</v>
      </c>
      <c r="L69" s="4"/>
      <c r="M69" s="10"/>
      <c r="N69" s="10">
        <f>Tabla24567894[[#This Row],[MONTO DE COMPRA]]/1.19</f>
        <v>0</v>
      </c>
      <c r="O69" s="10">
        <f>Tabla24567894[[#This Row],[Columna1]]*19%</f>
        <v>0</v>
      </c>
      <c r="P69" s="10"/>
      <c r="Q69" s="10">
        <f>Tabla24567894[[#This Row],[VENTA ]]/1.19</f>
        <v>0</v>
      </c>
      <c r="R69" s="10">
        <f>Tabla24567894[[#This Row],[Columna2]]*19%</f>
        <v>0</v>
      </c>
      <c r="S69" s="10">
        <f>Tabla24567894[[#This Row],[IVA VENTA ]]-Tabla24567894[[#This Row],[IV COMPRA]]</f>
        <v>0</v>
      </c>
      <c r="T69" s="10">
        <f>(Tabla24567894[[#This Row],[VENTA ]]-(Tabla24567894[[#This Row],[MONTO DE COMPRA]]+Tabla24567894[[#This Row],[DIFERENCIA IVA ]]))</f>
        <v>0</v>
      </c>
      <c r="U69" s="17"/>
    </row>
    <row r="70" spans="1:21" s="15" customFormat="1" ht="20.100000000000001" hidden="1" customHeight="1" x14ac:dyDescent="0.25">
      <c r="A70" s="13">
        <v>44938</v>
      </c>
      <c r="B70" s="14" t="s">
        <v>283</v>
      </c>
      <c r="C70" s="14" t="s">
        <v>280</v>
      </c>
      <c r="D70" s="14" t="s">
        <v>281</v>
      </c>
      <c r="F70" s="15" t="s">
        <v>26</v>
      </c>
      <c r="G70" s="14" t="s">
        <v>314</v>
      </c>
      <c r="H70" s="16" t="s">
        <v>282</v>
      </c>
      <c r="I70" s="17">
        <v>50000</v>
      </c>
      <c r="J70" s="61">
        <f>IF(G:G="FRENOS",(Tabla24567894[[#This Row],[TOTAL FACTURA]]*0.8),(Tabla24567894[[#This Row],[TOTAL FACTURA]]*0.5))</f>
        <v>40000</v>
      </c>
      <c r="K70" s="9">
        <f t="shared" si="1"/>
        <v>10000</v>
      </c>
      <c r="L70" s="4"/>
      <c r="M70" s="10"/>
      <c r="N70" s="10">
        <f>Tabla24567894[[#This Row],[MONTO DE COMPRA]]/1.19</f>
        <v>0</v>
      </c>
      <c r="O70" s="10">
        <f>Tabla24567894[[#This Row],[Columna1]]*19%</f>
        <v>0</v>
      </c>
      <c r="P70" s="10"/>
      <c r="Q70" s="10">
        <f>Tabla24567894[[#This Row],[VENTA ]]/1.19</f>
        <v>0</v>
      </c>
      <c r="R70" s="10">
        <f>Tabla24567894[[#This Row],[Columna2]]*19%</f>
        <v>0</v>
      </c>
      <c r="S70" s="10">
        <f>Tabla24567894[[#This Row],[IVA VENTA ]]-Tabla24567894[[#This Row],[IV COMPRA]]</f>
        <v>0</v>
      </c>
      <c r="T70" s="10">
        <f>(Tabla24567894[[#This Row],[VENTA ]]-(Tabla24567894[[#This Row],[MONTO DE COMPRA]]+Tabla24567894[[#This Row],[DIFERENCIA IVA ]]))</f>
        <v>0</v>
      </c>
      <c r="U70" s="17"/>
    </row>
    <row r="71" spans="1:21" s="15" customFormat="1" ht="43.5" hidden="1" customHeight="1" x14ac:dyDescent="0.25">
      <c r="A71" s="13">
        <v>44938</v>
      </c>
      <c r="B71" s="14" t="s">
        <v>284</v>
      </c>
      <c r="C71" s="14" t="s">
        <v>285</v>
      </c>
      <c r="D71" s="14" t="s">
        <v>289</v>
      </c>
      <c r="E71" s="15" t="s">
        <v>31</v>
      </c>
      <c r="F71" s="15" t="s">
        <v>19</v>
      </c>
      <c r="G71" s="14" t="s">
        <v>224</v>
      </c>
      <c r="H71" s="16" t="s">
        <v>286</v>
      </c>
      <c r="I71" s="17">
        <v>120000</v>
      </c>
      <c r="J71" s="61">
        <f>IF(G:G="FRENOS",(Tabla24567894[[#This Row],[TOTAL FACTURA]]*0.8),(Tabla24567894[[#This Row],[TOTAL FACTURA]]*0.5))</f>
        <v>60000</v>
      </c>
      <c r="K71" s="9">
        <f t="shared" si="1"/>
        <v>60000</v>
      </c>
      <c r="L71" s="4" t="s">
        <v>287</v>
      </c>
      <c r="M71" s="10">
        <v>175000</v>
      </c>
      <c r="N71" s="10">
        <f>Tabla24567894[[#This Row],[MONTO DE COMPRA]]/1.19</f>
        <v>147058.82352941178</v>
      </c>
      <c r="O71" s="10">
        <f>Tabla24567894[[#This Row],[Columna1]]*19%</f>
        <v>27941.176470588238</v>
      </c>
      <c r="P71" s="10">
        <v>220000</v>
      </c>
      <c r="Q71" s="10">
        <f>Tabla24567894[[#This Row],[VENTA ]]/1.19</f>
        <v>184873.94957983194</v>
      </c>
      <c r="R71" s="10">
        <f>Tabla24567894[[#This Row],[Columna2]]*19%</f>
        <v>35126.050420168067</v>
      </c>
      <c r="S71" s="10">
        <f>Tabla24567894[[#This Row],[IVA VENTA ]]-Tabla24567894[[#This Row],[IV COMPRA]]</f>
        <v>7184.8739495798291</v>
      </c>
      <c r="T71" s="10">
        <f>(Tabla24567894[[#This Row],[VENTA ]]-(Tabla24567894[[#This Row],[MONTO DE COMPRA]]+Tabla24567894[[#This Row],[DIFERENCIA IVA ]]))</f>
        <v>37815.126050420164</v>
      </c>
      <c r="U71" s="17"/>
    </row>
    <row r="72" spans="1:21" s="15" customFormat="1" ht="20.100000000000001" hidden="1" customHeight="1" x14ac:dyDescent="0.25">
      <c r="A72" s="13">
        <v>44938</v>
      </c>
      <c r="B72" s="14" t="s">
        <v>284</v>
      </c>
      <c r="C72" s="14" t="s">
        <v>285</v>
      </c>
      <c r="D72" s="14" t="s">
        <v>289</v>
      </c>
      <c r="E72" s="15" t="s">
        <v>31</v>
      </c>
      <c r="F72" s="15" t="s">
        <v>19</v>
      </c>
      <c r="G72" s="14" t="s">
        <v>314</v>
      </c>
      <c r="H72" s="16" t="s">
        <v>288</v>
      </c>
      <c r="I72" s="17">
        <v>100000</v>
      </c>
      <c r="J72" s="61">
        <f>IF(G:G="FRENOS",(Tabla24567894[[#This Row],[TOTAL FACTURA]]*0.8),(Tabla24567894[[#This Row],[TOTAL FACTURA]]*0.5))</f>
        <v>80000</v>
      </c>
      <c r="K72" s="9">
        <f t="shared" si="1"/>
        <v>20000</v>
      </c>
      <c r="L72" s="4" t="s">
        <v>290</v>
      </c>
      <c r="M72" s="10">
        <v>27000</v>
      </c>
      <c r="N72" s="10">
        <f>Tabla24567894[[#This Row],[MONTO DE COMPRA]]/1.19</f>
        <v>22689.0756302521</v>
      </c>
      <c r="O72" s="10">
        <f>Tabla24567894[[#This Row],[Columna1]]*19%</f>
        <v>4310.9243697478987</v>
      </c>
      <c r="P72" s="10">
        <v>35000</v>
      </c>
      <c r="Q72" s="10">
        <f>Tabla24567894[[#This Row],[VENTA ]]/1.19</f>
        <v>29411.764705882353</v>
      </c>
      <c r="R72" s="10">
        <f>Tabla24567894[[#This Row],[Columna2]]*19%</f>
        <v>5588.2352941176468</v>
      </c>
      <c r="S72" s="10">
        <f>Tabla24567894[[#This Row],[IVA VENTA ]]-Tabla24567894[[#This Row],[IV COMPRA]]</f>
        <v>1277.3109243697481</v>
      </c>
      <c r="T72" s="10">
        <f>(Tabla24567894[[#This Row],[VENTA ]]-(Tabla24567894[[#This Row],[MONTO DE COMPRA]]+Tabla24567894[[#This Row],[DIFERENCIA IVA ]]))</f>
        <v>6722.6890756302528</v>
      </c>
      <c r="U72" s="17"/>
    </row>
    <row r="73" spans="1:21" s="15" customFormat="1" ht="41.25" hidden="1" customHeight="1" x14ac:dyDescent="0.25">
      <c r="A73" s="13">
        <v>44938</v>
      </c>
      <c r="B73" s="14" t="s">
        <v>291</v>
      </c>
      <c r="C73" s="14" t="s">
        <v>292</v>
      </c>
      <c r="D73" s="14" t="s">
        <v>98</v>
      </c>
      <c r="E73" s="15" t="s">
        <v>99</v>
      </c>
      <c r="F73" s="15" t="s">
        <v>19</v>
      </c>
      <c r="G73" s="14" t="s">
        <v>314</v>
      </c>
      <c r="H73" s="16" t="s">
        <v>293</v>
      </c>
      <c r="I73" s="17">
        <v>80000</v>
      </c>
      <c r="J73" s="61">
        <f>IF(G:G="FRENOS",(Tabla24567894[[#This Row],[TOTAL FACTURA]]*0.8),(Tabla24567894[[#This Row],[TOTAL FACTURA]]*0.5))</f>
        <v>64000</v>
      </c>
      <c r="K73" s="9">
        <f t="shared" si="1"/>
        <v>16000</v>
      </c>
      <c r="L73" s="4" t="s">
        <v>188</v>
      </c>
      <c r="M73" s="10">
        <v>4800</v>
      </c>
      <c r="N73" s="10">
        <f>Tabla24567894[[#This Row],[MONTO DE COMPRA]]/1.19</f>
        <v>4033.6134453781515</v>
      </c>
      <c r="O73" s="10">
        <f>Tabla24567894[[#This Row],[Columna1]]*19%</f>
        <v>766.38655462184875</v>
      </c>
      <c r="P73" s="10">
        <v>10000</v>
      </c>
      <c r="Q73" s="10">
        <f>Tabla24567894[[#This Row],[VENTA ]]/1.19</f>
        <v>8403.361344537816</v>
      </c>
      <c r="R73" s="10">
        <f>Tabla24567894[[#This Row],[Columna2]]*19%</f>
        <v>1596.6386554621849</v>
      </c>
      <c r="S73" s="10">
        <f>Tabla24567894[[#This Row],[IVA VENTA ]]-Tabla24567894[[#This Row],[IV COMPRA]]</f>
        <v>830.2521008403362</v>
      </c>
      <c r="T73" s="10">
        <f>(Tabla24567894[[#This Row],[VENTA ]]-(Tabla24567894[[#This Row],[MONTO DE COMPRA]]+Tabla24567894[[#This Row],[DIFERENCIA IVA ]]))</f>
        <v>4369.7478991596636</v>
      </c>
      <c r="U73" s="17"/>
    </row>
    <row r="74" spans="1:21" s="15" customFormat="1" ht="20.100000000000001" hidden="1" customHeight="1" x14ac:dyDescent="0.25">
      <c r="A74" s="13">
        <v>44938</v>
      </c>
      <c r="B74" s="14" t="s">
        <v>291</v>
      </c>
      <c r="C74" s="14" t="s">
        <v>292</v>
      </c>
      <c r="D74" s="14" t="s">
        <v>98</v>
      </c>
      <c r="E74" s="15" t="s">
        <v>99</v>
      </c>
      <c r="F74" s="15" t="s">
        <v>35</v>
      </c>
      <c r="G74" s="14" t="s">
        <v>224</v>
      </c>
      <c r="H74" s="16" t="s">
        <v>294</v>
      </c>
      <c r="I74" s="17">
        <v>600000</v>
      </c>
      <c r="J74" s="61">
        <f>IF(G:G="FRENOS",(Tabla24567894[[#This Row],[TOTAL FACTURA]]*0.8),(Tabla24567894[[#This Row],[TOTAL FACTURA]]*0.5))</f>
        <v>300000</v>
      </c>
      <c r="K74" s="9">
        <f t="shared" si="1"/>
        <v>300000</v>
      </c>
      <c r="L74" s="4" t="s">
        <v>295</v>
      </c>
      <c r="M74" s="10">
        <v>560000</v>
      </c>
      <c r="N74" s="10">
        <f>Tabla24567894[[#This Row],[MONTO DE COMPRA]]/1.19</f>
        <v>470588.23529411765</v>
      </c>
      <c r="O74" s="10">
        <f>Tabla24567894[[#This Row],[Columna1]]*19%</f>
        <v>89411.76470588235</v>
      </c>
      <c r="P74" s="10">
        <v>717000</v>
      </c>
      <c r="Q74" s="10">
        <f>Tabla24567894[[#This Row],[VENTA ]]/1.19</f>
        <v>602521.00840336143</v>
      </c>
      <c r="R74" s="10">
        <f>Tabla24567894[[#This Row],[Columna2]]*19%</f>
        <v>114478.99159663868</v>
      </c>
      <c r="S74" s="10">
        <f>Tabla24567894[[#This Row],[IVA VENTA ]]-Tabla24567894[[#This Row],[IV COMPRA]]</f>
        <v>25067.226890756327</v>
      </c>
      <c r="T74" s="10">
        <f>(Tabla24567894[[#This Row],[VENTA ]]-(Tabla24567894[[#This Row],[MONTO DE COMPRA]]+Tabla24567894[[#This Row],[DIFERENCIA IVA ]]))</f>
        <v>131932.77310924372</v>
      </c>
      <c r="U74" s="17"/>
    </row>
    <row r="75" spans="1:21" s="15" customFormat="1" ht="20.100000000000001" hidden="1" customHeight="1" x14ac:dyDescent="0.25">
      <c r="A75" s="13">
        <v>44938</v>
      </c>
      <c r="B75" s="14" t="s">
        <v>296</v>
      </c>
      <c r="C75" s="14" t="s">
        <v>297</v>
      </c>
      <c r="D75" s="14" t="s">
        <v>298</v>
      </c>
      <c r="E75" s="15" t="s">
        <v>163</v>
      </c>
      <c r="F75" s="15" t="s">
        <v>19</v>
      </c>
      <c r="G75" s="14" t="s">
        <v>314</v>
      </c>
      <c r="H75" s="16" t="s">
        <v>299</v>
      </c>
      <c r="I75" s="17">
        <v>50000</v>
      </c>
      <c r="J75" s="61">
        <f>IF(G:G="FRENOS",(Tabla24567894[[#This Row],[TOTAL FACTURA]]*0.8),(Tabla24567894[[#This Row],[TOTAL FACTURA]]*0.5))</f>
        <v>40000</v>
      </c>
      <c r="K75" s="9">
        <f t="shared" si="1"/>
        <v>10000</v>
      </c>
      <c r="L75" s="4" t="s">
        <v>300</v>
      </c>
      <c r="M75" s="10">
        <v>140000</v>
      </c>
      <c r="N75" s="10">
        <f>Tabla24567894[[#This Row],[MONTO DE COMPRA]]/1.19</f>
        <v>117647.05882352941</v>
      </c>
      <c r="O75" s="10">
        <f>Tabla24567894[[#This Row],[Columna1]]*19%</f>
        <v>22352.941176470587</v>
      </c>
      <c r="P75" s="10">
        <f>165000+27000</f>
        <v>192000</v>
      </c>
      <c r="Q75" s="10">
        <f>Tabla24567894[[#This Row],[VENTA ]]/1.19</f>
        <v>161344.53781512607</v>
      </c>
      <c r="R75" s="10">
        <f>Tabla24567894[[#This Row],[Columna2]]*19%</f>
        <v>30655.462184873952</v>
      </c>
      <c r="S75" s="10">
        <f>Tabla24567894[[#This Row],[IVA VENTA ]]-Tabla24567894[[#This Row],[IV COMPRA]]</f>
        <v>8302.5210084033642</v>
      </c>
      <c r="T75" s="10">
        <f>(Tabla24567894[[#This Row],[VENTA ]]-(Tabla24567894[[#This Row],[MONTO DE COMPRA]]+Tabla24567894[[#This Row],[DIFERENCIA IVA ]]))</f>
        <v>43697.478991596639</v>
      </c>
      <c r="U75" s="17"/>
    </row>
    <row r="76" spans="1:21" s="15" customFormat="1" ht="25.5" hidden="1" customHeight="1" x14ac:dyDescent="0.25">
      <c r="A76" s="13">
        <v>44938</v>
      </c>
      <c r="B76" s="14" t="s">
        <v>302</v>
      </c>
      <c r="C76" s="14" t="s">
        <v>301</v>
      </c>
      <c r="D76" s="14" t="s">
        <v>303</v>
      </c>
      <c r="E76" s="15" t="s">
        <v>304</v>
      </c>
      <c r="F76" s="15" t="s">
        <v>19</v>
      </c>
      <c r="G76" s="14" t="s">
        <v>314</v>
      </c>
      <c r="H76" s="60" t="s">
        <v>313</v>
      </c>
      <c r="I76" s="17">
        <v>100000</v>
      </c>
      <c r="J76" s="61">
        <f>IF(G:G="FRENOS",(Tabla24567894[[#This Row],[TOTAL FACTURA]]*0.8),(Tabla24567894[[#This Row],[TOTAL FACTURA]]*0.5))</f>
        <v>80000</v>
      </c>
      <c r="K76" s="9">
        <f t="shared" si="1"/>
        <v>20000</v>
      </c>
      <c r="L76" s="4" t="s">
        <v>305</v>
      </c>
      <c r="M76" s="10">
        <f>622000+27000</f>
        <v>649000</v>
      </c>
      <c r="N76" s="10">
        <f>Tabla24567894[[#This Row],[MONTO DE COMPRA]]/1.19</f>
        <v>545378.15126050427</v>
      </c>
      <c r="O76" s="10">
        <f>Tabla24567894[[#This Row],[Columna1]]*19%</f>
        <v>103621.84873949581</v>
      </c>
      <c r="P76" s="10">
        <v>852000</v>
      </c>
      <c r="Q76" s="10">
        <f>Tabla24567894[[#This Row],[VENTA ]]/1.19</f>
        <v>715966.38655462186</v>
      </c>
      <c r="R76" s="10">
        <f>Tabla24567894[[#This Row],[Columna2]]*19%</f>
        <v>136033.61344537814</v>
      </c>
      <c r="S76" s="10">
        <f>Tabla24567894[[#This Row],[IVA VENTA ]]-Tabla24567894[[#This Row],[IV COMPRA]]</f>
        <v>32411.764705882335</v>
      </c>
      <c r="T76" s="10">
        <f>(Tabla24567894[[#This Row],[VENTA ]]-(Tabla24567894[[#This Row],[MONTO DE COMPRA]]+Tabla24567894[[#This Row],[DIFERENCIA IVA ]]))</f>
        <v>170588.23529411771</v>
      </c>
      <c r="U76" s="17"/>
    </row>
    <row r="77" spans="1:21" s="15" customFormat="1" ht="20.100000000000001" hidden="1" customHeight="1" x14ac:dyDescent="0.25">
      <c r="A77" s="13">
        <v>44939</v>
      </c>
      <c r="B77" s="14"/>
      <c r="C77" s="14" t="s">
        <v>306</v>
      </c>
      <c r="D77" s="14" t="s">
        <v>307</v>
      </c>
      <c r="E77" s="15" t="s">
        <v>308</v>
      </c>
      <c r="F77" s="15" t="s">
        <v>19</v>
      </c>
      <c r="G77" s="14" t="s">
        <v>314</v>
      </c>
      <c r="H77" s="16" t="s">
        <v>312</v>
      </c>
      <c r="I77" s="17">
        <v>40000</v>
      </c>
      <c r="J77" s="61">
        <f>IF(G:G="FRENOS",(Tabla24567894[[#This Row],[TOTAL FACTURA]]*0.8),(Tabla24567894[[#This Row],[TOTAL FACTURA]]*0.5))</f>
        <v>32000</v>
      </c>
      <c r="K77" s="9">
        <f t="shared" si="1"/>
        <v>8000</v>
      </c>
      <c r="L77" s="4"/>
      <c r="M77" s="10"/>
      <c r="N77" s="10">
        <f>Tabla24567894[[#This Row],[MONTO DE COMPRA]]/1.19</f>
        <v>0</v>
      </c>
      <c r="O77" s="10">
        <f>Tabla24567894[[#This Row],[Columna1]]*19%</f>
        <v>0</v>
      </c>
      <c r="P77" s="10"/>
      <c r="Q77" s="10">
        <f>Tabla24567894[[#This Row],[VENTA ]]/1.19</f>
        <v>0</v>
      </c>
      <c r="R77" s="10">
        <f>Tabla24567894[[#This Row],[Columna2]]*19%</f>
        <v>0</v>
      </c>
      <c r="S77" s="10">
        <f>Tabla24567894[[#This Row],[IVA VENTA ]]-Tabla24567894[[#This Row],[IV COMPRA]]</f>
        <v>0</v>
      </c>
      <c r="T77" s="10">
        <f>(Tabla24567894[[#This Row],[VENTA ]]-(Tabla24567894[[#This Row],[MONTO DE COMPRA]]+Tabla24567894[[#This Row],[DIFERENCIA IVA ]]))</f>
        <v>0</v>
      </c>
      <c r="U77" s="17"/>
    </row>
    <row r="78" spans="1:21" s="15" customFormat="1" ht="20.100000000000001" hidden="1" customHeight="1" x14ac:dyDescent="0.25">
      <c r="A78" s="13">
        <v>44939</v>
      </c>
      <c r="B78" s="14"/>
      <c r="C78" s="14"/>
      <c r="D78" s="14"/>
      <c r="E78" s="15" t="s">
        <v>309</v>
      </c>
      <c r="F78" s="15" t="s">
        <v>19</v>
      </c>
      <c r="G78" s="14" t="s">
        <v>224</v>
      </c>
      <c r="H78" s="16" t="s">
        <v>310</v>
      </c>
      <c r="I78" s="17">
        <v>50000</v>
      </c>
      <c r="J78" s="61">
        <f>IF(G:G="FRENOS",(Tabla24567894[[#This Row],[TOTAL FACTURA]]*0.8),(Tabla24567894[[#This Row],[TOTAL FACTURA]]*0.5))</f>
        <v>25000</v>
      </c>
      <c r="K78" s="9">
        <f t="shared" si="1"/>
        <v>25000</v>
      </c>
      <c r="L78" s="4"/>
      <c r="M78" s="10"/>
      <c r="N78" s="10">
        <f>Tabla24567894[[#This Row],[MONTO DE COMPRA]]/1.19</f>
        <v>0</v>
      </c>
      <c r="O78" s="10">
        <f>Tabla24567894[[#This Row],[Columna1]]*19%</f>
        <v>0</v>
      </c>
      <c r="P78" s="10"/>
      <c r="Q78" s="10">
        <f>Tabla24567894[[#This Row],[VENTA ]]/1.19</f>
        <v>0</v>
      </c>
      <c r="R78" s="10">
        <f>Tabla24567894[[#This Row],[Columna2]]*19%</f>
        <v>0</v>
      </c>
      <c r="S78" s="10">
        <f>Tabla24567894[[#This Row],[IVA VENTA ]]-Tabla24567894[[#This Row],[IV COMPRA]]</f>
        <v>0</v>
      </c>
      <c r="T78" s="10">
        <f>(Tabla24567894[[#This Row],[VENTA ]]-(Tabla24567894[[#This Row],[MONTO DE COMPRA]]+Tabla24567894[[#This Row],[DIFERENCIA IVA ]]))</f>
        <v>0</v>
      </c>
      <c r="U78" s="17"/>
    </row>
    <row r="79" spans="1:21" s="15" customFormat="1" ht="20.100000000000001" hidden="1" customHeight="1" x14ac:dyDescent="0.25">
      <c r="A79" s="13">
        <v>44940</v>
      </c>
      <c r="B79" s="14" t="s">
        <v>322</v>
      </c>
      <c r="C79" s="14" t="s">
        <v>323</v>
      </c>
      <c r="D79" s="14" t="s">
        <v>324</v>
      </c>
      <c r="E79" s="15" t="s">
        <v>325</v>
      </c>
      <c r="F79" s="15" t="s">
        <v>19</v>
      </c>
      <c r="G79" s="14" t="s">
        <v>224</v>
      </c>
      <c r="H79" s="16" t="s">
        <v>326</v>
      </c>
      <c r="I79" s="17">
        <v>100000</v>
      </c>
      <c r="J79" s="17">
        <f>IF(G:G="FRENOS",(Tabla24567894[[#This Row],[TOTAL FACTURA]]*0.8),(Tabla24567894[[#This Row],[TOTAL FACTURA]]*0.5))</f>
        <v>50000</v>
      </c>
      <c r="K79" s="9">
        <f t="shared" si="1"/>
        <v>50000</v>
      </c>
      <c r="L79" s="4"/>
      <c r="M79" s="10"/>
      <c r="N79" s="10">
        <f>Tabla24567894[[#This Row],[MONTO DE COMPRA]]/1.19</f>
        <v>0</v>
      </c>
      <c r="O79" s="10">
        <f>Tabla24567894[[#This Row],[Columna1]]*19%</f>
        <v>0</v>
      </c>
      <c r="P79" s="10"/>
      <c r="Q79" s="10">
        <f>Tabla24567894[[#This Row],[VENTA ]]/1.19</f>
        <v>0</v>
      </c>
      <c r="R79" s="10">
        <f>Tabla24567894[[#This Row],[Columna2]]*19%</f>
        <v>0</v>
      </c>
      <c r="S79" s="10">
        <f>Tabla24567894[[#This Row],[IVA VENTA ]]-Tabla24567894[[#This Row],[IV COMPRA]]</f>
        <v>0</v>
      </c>
      <c r="T79" s="10">
        <f>(Tabla24567894[[#This Row],[VENTA ]]-(Tabla24567894[[#This Row],[MONTO DE COMPRA]]+Tabla24567894[[#This Row],[DIFERENCIA IVA ]]))</f>
        <v>0</v>
      </c>
      <c r="U79" s="17"/>
    </row>
    <row r="80" spans="1:21" s="15" customFormat="1" ht="20.100000000000001" hidden="1" customHeight="1" x14ac:dyDescent="0.25">
      <c r="A80" s="13">
        <v>44940</v>
      </c>
      <c r="B80" s="14" t="s">
        <v>327</v>
      </c>
      <c r="C80" s="14" t="s">
        <v>126</v>
      </c>
      <c r="D80" s="14"/>
      <c r="E80" s="15" t="s">
        <v>328</v>
      </c>
      <c r="F80" s="15" t="s">
        <v>19</v>
      </c>
      <c r="G80" s="14" t="s">
        <v>224</v>
      </c>
      <c r="H80" s="18" t="s">
        <v>329</v>
      </c>
      <c r="I80" s="17">
        <v>30000</v>
      </c>
      <c r="J80" s="17">
        <f>IF(G:G="FRENOS",(Tabla24567894[[#This Row],[TOTAL FACTURA]]*0.8),(Tabla24567894[[#This Row],[TOTAL FACTURA]]*0.5))</f>
        <v>15000</v>
      </c>
      <c r="K80" s="9">
        <f t="shared" si="1"/>
        <v>15000</v>
      </c>
      <c r="L80" s="4"/>
      <c r="M80" s="10"/>
      <c r="N80" s="10">
        <f>Tabla24567894[[#This Row],[MONTO DE COMPRA]]/1.19</f>
        <v>0</v>
      </c>
      <c r="O80" s="10">
        <f>Tabla24567894[[#This Row],[Columna1]]*19%</f>
        <v>0</v>
      </c>
      <c r="P80" s="10"/>
      <c r="Q80" s="10">
        <f>Tabla24567894[[#This Row],[VENTA ]]/1.19</f>
        <v>0</v>
      </c>
      <c r="R80" s="10">
        <f>Tabla24567894[[#This Row],[Columna2]]*19%</f>
        <v>0</v>
      </c>
      <c r="S80" s="10">
        <f>Tabla24567894[[#This Row],[IVA VENTA ]]-Tabla24567894[[#This Row],[IV COMPRA]]</f>
        <v>0</v>
      </c>
      <c r="T80" s="10">
        <f>(Tabla24567894[[#This Row],[VENTA ]]-(Tabla24567894[[#This Row],[MONTO DE COMPRA]]+Tabla24567894[[#This Row],[DIFERENCIA IVA ]]))</f>
        <v>0</v>
      </c>
      <c r="U80" s="17"/>
    </row>
    <row r="81" spans="1:21" s="15" customFormat="1" ht="20.100000000000001" hidden="1" customHeight="1" x14ac:dyDescent="0.25">
      <c r="A81" s="13">
        <v>44940</v>
      </c>
      <c r="B81" s="14" t="s">
        <v>330</v>
      </c>
      <c r="C81" s="14" t="s">
        <v>331</v>
      </c>
      <c r="D81" s="14" t="s">
        <v>332</v>
      </c>
      <c r="E81" s="15" t="s">
        <v>333</v>
      </c>
      <c r="F81" s="15" t="s">
        <v>19</v>
      </c>
      <c r="G81" s="14" t="s">
        <v>314</v>
      </c>
      <c r="H81" s="18" t="s">
        <v>334</v>
      </c>
      <c r="I81" s="17">
        <v>30000</v>
      </c>
      <c r="J81" s="17">
        <f>IF(G:G="FRENOS",(Tabla24567894[[#This Row],[TOTAL FACTURA]]*0.8),(Tabla24567894[[#This Row],[TOTAL FACTURA]]*0.5))</f>
        <v>24000</v>
      </c>
      <c r="K81" s="9">
        <f t="shared" si="1"/>
        <v>6000</v>
      </c>
      <c r="L81" s="4" t="s">
        <v>335</v>
      </c>
      <c r="M81" s="10">
        <v>62000</v>
      </c>
      <c r="N81" s="10">
        <f>Tabla24567894[[#This Row],[MONTO DE COMPRA]]/1.19</f>
        <v>52100.840336134454</v>
      </c>
      <c r="O81" s="10">
        <f>Tabla24567894[[#This Row],[Columna1]]*19%</f>
        <v>9899.1596638655465</v>
      </c>
      <c r="P81" s="10">
        <v>120000</v>
      </c>
      <c r="Q81" s="10">
        <f>Tabla24567894[[#This Row],[VENTA ]]/1.19</f>
        <v>100840.33613445378</v>
      </c>
      <c r="R81" s="10">
        <f>Tabla24567894[[#This Row],[Columna2]]*19%</f>
        <v>19159.663865546219</v>
      </c>
      <c r="S81" s="10">
        <f>Tabla24567894[[#This Row],[IVA VENTA ]]-Tabla24567894[[#This Row],[IV COMPRA]]</f>
        <v>9260.5042016806728</v>
      </c>
      <c r="T81" s="10">
        <f>(Tabla24567894[[#This Row],[VENTA ]]-(Tabla24567894[[#This Row],[MONTO DE COMPRA]]+Tabla24567894[[#This Row],[DIFERENCIA IVA ]]))</f>
        <v>48739.495798319331</v>
      </c>
      <c r="U81" s="17"/>
    </row>
    <row r="82" spans="1:21" s="15" customFormat="1" ht="20.100000000000001" hidden="1" customHeight="1" x14ac:dyDescent="0.25">
      <c r="A82" s="13">
        <v>44940</v>
      </c>
      <c r="B82" s="14" t="s">
        <v>336</v>
      </c>
      <c r="C82" s="14" t="s">
        <v>212</v>
      </c>
      <c r="D82" s="14" t="s">
        <v>217</v>
      </c>
      <c r="E82" s="15" t="s">
        <v>337</v>
      </c>
      <c r="F82" s="15" t="s">
        <v>19</v>
      </c>
      <c r="G82" s="14" t="s">
        <v>224</v>
      </c>
      <c r="H82" s="16" t="s">
        <v>338</v>
      </c>
      <c r="I82" s="17">
        <v>60000</v>
      </c>
      <c r="J82" s="17">
        <f>IF(G:G="FRENOS",(Tabla24567894[[#This Row],[TOTAL FACTURA]]*0.8),(Tabla24567894[[#This Row],[TOTAL FACTURA]]*0.5))</f>
        <v>30000</v>
      </c>
      <c r="K82" s="9">
        <f t="shared" si="1"/>
        <v>30000</v>
      </c>
      <c r="L82" s="4"/>
      <c r="M82" s="10"/>
      <c r="N82" s="10">
        <f>Tabla24567894[[#This Row],[MONTO DE COMPRA]]/1.19</f>
        <v>0</v>
      </c>
      <c r="O82" s="10">
        <f>Tabla24567894[[#This Row],[Columna1]]*19%</f>
        <v>0</v>
      </c>
      <c r="P82" s="10"/>
      <c r="Q82" s="10">
        <f>Tabla24567894[[#This Row],[VENTA ]]/1.19</f>
        <v>0</v>
      </c>
      <c r="R82" s="10">
        <f>Tabla24567894[[#This Row],[Columna2]]*19%</f>
        <v>0</v>
      </c>
      <c r="S82" s="10">
        <f>Tabla24567894[[#This Row],[IVA VENTA ]]-Tabla24567894[[#This Row],[IV COMPRA]]</f>
        <v>0</v>
      </c>
      <c r="T82" s="10">
        <f>(Tabla24567894[[#This Row],[VENTA ]]-(Tabla24567894[[#This Row],[MONTO DE COMPRA]]+Tabla24567894[[#This Row],[DIFERENCIA IVA ]]))</f>
        <v>0</v>
      </c>
      <c r="U82" s="17"/>
    </row>
    <row r="83" spans="1:21" s="15" customFormat="1" ht="20.100000000000001" hidden="1" customHeight="1" x14ac:dyDescent="0.25">
      <c r="A83" s="13">
        <v>44942</v>
      </c>
      <c r="B83" s="14"/>
      <c r="C83" s="14" t="s">
        <v>339</v>
      </c>
      <c r="D83" s="14" t="s">
        <v>340</v>
      </c>
      <c r="E83" s="15" t="s">
        <v>341</v>
      </c>
      <c r="F83" s="15" t="s">
        <v>19</v>
      </c>
      <c r="G83" s="14" t="s">
        <v>314</v>
      </c>
      <c r="H83" s="16" t="s">
        <v>342</v>
      </c>
      <c r="I83" s="17">
        <v>40000</v>
      </c>
      <c r="J83" s="17">
        <f>IF(G:G="FRENOS",(Tabla24567894[[#This Row],[TOTAL FACTURA]]*0.8),(Tabla24567894[[#This Row],[TOTAL FACTURA]]*0.5))</f>
        <v>32000</v>
      </c>
      <c r="K83" s="9">
        <f t="shared" si="1"/>
        <v>8000</v>
      </c>
      <c r="L83" s="4" t="s">
        <v>343</v>
      </c>
      <c r="M83" s="10">
        <v>200000</v>
      </c>
      <c r="N83" s="10"/>
      <c r="O83" s="10">
        <f>Tabla24567894[[#This Row],[Columna1]]*19%</f>
        <v>0</v>
      </c>
      <c r="P83" s="10">
        <v>266000</v>
      </c>
      <c r="Q83" s="10"/>
      <c r="R83" s="10">
        <f>Tabla24567894[[#This Row],[Columna2]]*19%</f>
        <v>0</v>
      </c>
      <c r="S83" s="10">
        <f>Tabla24567894[[#This Row],[IVA VENTA ]]-Tabla24567894[[#This Row],[IV COMPRA]]</f>
        <v>0</v>
      </c>
      <c r="T83" s="10">
        <f>(Tabla24567894[[#This Row],[VENTA ]]-(Tabla24567894[[#This Row],[MONTO DE COMPRA]]+Tabla24567894[[#This Row],[DIFERENCIA IVA ]]))</f>
        <v>66000</v>
      </c>
      <c r="U83" s="17"/>
    </row>
    <row r="84" spans="1:21" s="15" customFormat="1" ht="20.100000000000001" hidden="1" customHeight="1" x14ac:dyDescent="0.25">
      <c r="A84" s="13">
        <v>44942</v>
      </c>
      <c r="B84" s="14"/>
      <c r="C84" s="14"/>
      <c r="D84" s="14" t="s">
        <v>344</v>
      </c>
      <c r="E84" s="15" t="s">
        <v>345</v>
      </c>
      <c r="G84" s="14" t="s">
        <v>315</v>
      </c>
      <c r="H84" s="16" t="s">
        <v>346</v>
      </c>
      <c r="I84" s="17">
        <v>250000</v>
      </c>
      <c r="J84" s="17"/>
      <c r="K84" s="9">
        <f t="shared" si="1"/>
        <v>250000</v>
      </c>
      <c r="L84" s="4" t="s">
        <v>347</v>
      </c>
      <c r="M84" s="10">
        <f>260943+2000+32000</f>
        <v>294943</v>
      </c>
      <c r="N84" s="10">
        <f>Tabla24567894[[#This Row],[MONTO DE COMPRA]]/1.19</f>
        <v>247851.26050420169</v>
      </c>
      <c r="O84" s="10">
        <f>Tabla24567894[[#This Row],[Columna1]]*19%</f>
        <v>47091.73949579832</v>
      </c>
      <c r="P84" s="10">
        <v>409000</v>
      </c>
      <c r="Q84" s="10">
        <f>Tabla24567894[[#This Row],[VENTA ]]/1.19</f>
        <v>343697.47899159667</v>
      </c>
      <c r="R84" s="10">
        <f>Tabla24567894[[#This Row],[Columna2]]*19%</f>
        <v>65302.521008403368</v>
      </c>
      <c r="S84" s="10">
        <f>Tabla24567894[[#This Row],[IVA VENTA ]]-Tabla24567894[[#This Row],[IV COMPRA]]</f>
        <v>18210.781512605048</v>
      </c>
      <c r="T84" s="10">
        <f>(Tabla24567894[[#This Row],[VENTA ]]-(Tabla24567894[[#This Row],[MONTO DE COMPRA]]+Tabla24567894[[#This Row],[DIFERENCIA IVA ]]))</f>
        <v>95846.218487394974</v>
      </c>
      <c r="U84" s="17"/>
    </row>
    <row r="85" spans="1:21" s="15" customFormat="1" ht="20.100000000000001" hidden="1" customHeight="1" x14ac:dyDescent="0.25">
      <c r="A85" s="13">
        <v>44942</v>
      </c>
      <c r="B85" s="14" t="s">
        <v>350</v>
      </c>
      <c r="C85" s="14" t="s">
        <v>103</v>
      </c>
      <c r="D85" s="15" t="s">
        <v>104</v>
      </c>
      <c r="E85" s="15" t="s">
        <v>105</v>
      </c>
      <c r="F85" s="15" t="s">
        <v>35</v>
      </c>
      <c r="G85" s="14" t="s">
        <v>224</v>
      </c>
      <c r="H85" s="16" t="s">
        <v>348</v>
      </c>
      <c r="I85" s="17">
        <v>200000</v>
      </c>
      <c r="J85" s="17">
        <f>IF(G:G="FRENOS",(Tabla24567894[[#This Row],[TOTAL FACTURA]]*0.8),(Tabla24567894[[#This Row],[TOTAL FACTURA]]*0.5))</f>
        <v>100000</v>
      </c>
      <c r="K85" s="9">
        <f t="shared" si="1"/>
        <v>100000</v>
      </c>
      <c r="L85" s="4" t="s">
        <v>349</v>
      </c>
      <c r="M85" s="10">
        <v>555000</v>
      </c>
      <c r="N85" s="10">
        <f>Tabla24567894[[#This Row],[MONTO DE COMPRA]]/1.19</f>
        <v>466386.55462184874</v>
      </c>
      <c r="O85" s="10">
        <f>Tabla24567894[[#This Row],[Columna1]]*19%</f>
        <v>88613.445378151257</v>
      </c>
      <c r="P85" s="10">
        <v>672000</v>
      </c>
      <c r="Q85" s="10">
        <f>Tabla24567894[[#This Row],[VENTA ]]/1.19</f>
        <v>564705.8823529412</v>
      </c>
      <c r="R85" s="10">
        <f>Tabla24567894[[#This Row],[Columna2]]*19%</f>
        <v>107294.11764705883</v>
      </c>
      <c r="S85" s="10">
        <f>Tabla24567894[[#This Row],[IVA VENTA ]]-Tabla24567894[[#This Row],[IV COMPRA]]</f>
        <v>18680.672268907569</v>
      </c>
      <c r="T85" s="10">
        <f>(Tabla24567894[[#This Row],[VENTA ]]-(Tabla24567894[[#This Row],[MONTO DE COMPRA]]+Tabla24567894[[#This Row],[DIFERENCIA IVA ]]))</f>
        <v>98319.32773109246</v>
      </c>
      <c r="U85" s="17"/>
    </row>
    <row r="86" spans="1:21" s="15" customFormat="1" ht="20.100000000000001" hidden="1" customHeight="1" x14ac:dyDescent="0.25">
      <c r="A86" s="13">
        <v>44944</v>
      </c>
      <c r="B86" s="14"/>
      <c r="C86" s="14" t="s">
        <v>351</v>
      </c>
      <c r="D86" s="14" t="s">
        <v>352</v>
      </c>
      <c r="E86" s="15" t="s">
        <v>34</v>
      </c>
      <c r="F86" s="15" t="s">
        <v>19</v>
      </c>
      <c r="G86" s="14" t="s">
        <v>314</v>
      </c>
      <c r="H86" s="16" t="s">
        <v>21</v>
      </c>
      <c r="I86" s="17">
        <v>30000</v>
      </c>
      <c r="J86" s="17">
        <f>IF(G:G="FRENOS",(Tabla24567894[[#This Row],[TOTAL FACTURA]]*0.8),(Tabla24567894[[#This Row],[TOTAL FACTURA]]*0.5))</f>
        <v>24000</v>
      </c>
      <c r="K86" s="9">
        <f t="shared" si="1"/>
        <v>6000</v>
      </c>
      <c r="L86" s="4"/>
      <c r="M86" s="10"/>
      <c r="N86" s="10">
        <f>Tabla24567894[[#This Row],[MONTO DE COMPRA]]/1.19</f>
        <v>0</v>
      </c>
      <c r="O86" s="10">
        <f>Tabla24567894[[#This Row],[Columna1]]*19%</f>
        <v>0</v>
      </c>
      <c r="P86" s="10"/>
      <c r="Q86" s="10">
        <f>Tabla24567894[[#This Row],[VENTA ]]/1.19</f>
        <v>0</v>
      </c>
      <c r="R86" s="10">
        <f>Tabla24567894[[#This Row],[Columna2]]*19%</f>
        <v>0</v>
      </c>
      <c r="S86" s="10">
        <f>Tabla24567894[[#This Row],[IVA VENTA ]]-Tabla24567894[[#This Row],[IV COMPRA]]</f>
        <v>0</v>
      </c>
      <c r="T86" s="10">
        <f>(Tabla24567894[[#This Row],[VENTA ]]-(Tabla24567894[[#This Row],[MONTO DE COMPRA]]+Tabla24567894[[#This Row],[DIFERENCIA IVA ]]))</f>
        <v>0</v>
      </c>
      <c r="U86" s="17"/>
    </row>
    <row r="87" spans="1:21" s="15" customFormat="1" ht="20.100000000000001" hidden="1" customHeight="1" x14ac:dyDescent="0.25">
      <c r="A87" s="13">
        <v>44944</v>
      </c>
      <c r="B87" s="14"/>
      <c r="C87" s="14" t="s">
        <v>90</v>
      </c>
      <c r="D87" s="14" t="s">
        <v>353</v>
      </c>
      <c r="E87" s="15" t="s">
        <v>95</v>
      </c>
      <c r="F87" s="15" t="s">
        <v>19</v>
      </c>
      <c r="G87" s="14" t="s">
        <v>224</v>
      </c>
      <c r="H87" s="16" t="s">
        <v>354</v>
      </c>
      <c r="I87" s="17">
        <v>250000</v>
      </c>
      <c r="J87" s="17">
        <f>IF(G:G="FRENOS",(Tabla24567894[[#This Row],[TOTAL FACTURA]]*0.8),(Tabla24567894[[#This Row],[TOTAL FACTURA]]*0.5))</f>
        <v>125000</v>
      </c>
      <c r="K87" s="9">
        <f t="shared" si="1"/>
        <v>125000</v>
      </c>
      <c r="L87" s="4" t="s">
        <v>355</v>
      </c>
      <c r="M87" s="10">
        <v>40000</v>
      </c>
      <c r="N87" s="10">
        <f>Tabla24567894[[#This Row],[MONTO DE COMPRA]]/1.19</f>
        <v>33613.445378151264</v>
      </c>
      <c r="O87" s="10">
        <f>Tabla24567894[[#This Row],[Columna1]]*19%</f>
        <v>6386.5546218487398</v>
      </c>
      <c r="P87" s="10">
        <v>48000</v>
      </c>
      <c r="Q87" s="10">
        <f>Tabla24567894[[#This Row],[VENTA ]]/1.19</f>
        <v>40336.134453781517</v>
      </c>
      <c r="R87" s="10">
        <f>Tabla24567894[[#This Row],[Columna2]]*19%</f>
        <v>7663.8655462184879</v>
      </c>
      <c r="S87" s="10">
        <f>Tabla24567894[[#This Row],[IVA VENTA ]]-Tabla24567894[[#This Row],[IV COMPRA]]</f>
        <v>1277.3109243697481</v>
      </c>
      <c r="T87" s="10">
        <f>(Tabla24567894[[#This Row],[VENTA ]]-(Tabla24567894[[#This Row],[MONTO DE COMPRA]]+Tabla24567894[[#This Row],[DIFERENCIA IVA ]]))</f>
        <v>6722.6890756302528</v>
      </c>
      <c r="U87" s="17"/>
    </row>
    <row r="88" spans="1:21" s="15" customFormat="1" ht="20.100000000000001" hidden="1" customHeight="1" x14ac:dyDescent="0.25">
      <c r="A88" s="13">
        <v>44945</v>
      </c>
      <c r="B88" s="14"/>
      <c r="C88" s="14"/>
      <c r="D88" s="14" t="s">
        <v>356</v>
      </c>
      <c r="E88" s="15" t="s">
        <v>34</v>
      </c>
      <c r="F88" s="15" t="s">
        <v>19</v>
      </c>
      <c r="G88" s="14" t="s">
        <v>314</v>
      </c>
      <c r="H88" s="16" t="s">
        <v>20</v>
      </c>
      <c r="I88" s="17">
        <v>10000</v>
      </c>
      <c r="J88" s="17">
        <f>IF(G:G="FRENOS",(Tabla24567894[[#This Row],[TOTAL FACTURA]]*0.8),(Tabla24567894[[#This Row],[TOTAL FACTURA]]*0.5))</f>
        <v>8000</v>
      </c>
      <c r="K88" s="9">
        <f t="shared" si="1"/>
        <v>2000</v>
      </c>
      <c r="L88" s="4"/>
      <c r="M88" s="10"/>
      <c r="N88" s="10">
        <f>Tabla24567894[[#This Row],[MONTO DE COMPRA]]/1.19</f>
        <v>0</v>
      </c>
      <c r="O88" s="10">
        <f>Tabla24567894[[#This Row],[Columna1]]*19%</f>
        <v>0</v>
      </c>
      <c r="P88" s="10"/>
      <c r="Q88" s="10">
        <f>Tabla24567894[[#This Row],[VENTA ]]/1.19</f>
        <v>0</v>
      </c>
      <c r="R88" s="10">
        <f>Tabla24567894[[#This Row],[Columna2]]*19%</f>
        <v>0</v>
      </c>
      <c r="S88" s="10">
        <f>Tabla24567894[[#This Row],[IVA VENTA ]]-Tabla24567894[[#This Row],[IV COMPRA]]</f>
        <v>0</v>
      </c>
      <c r="T88" s="10">
        <f>(Tabla24567894[[#This Row],[VENTA ]]-(Tabla24567894[[#This Row],[MONTO DE COMPRA]]+Tabla24567894[[#This Row],[DIFERENCIA IVA ]]))</f>
        <v>0</v>
      </c>
      <c r="U88" s="17"/>
    </row>
    <row r="89" spans="1:21" s="15" customFormat="1" ht="20.100000000000001" hidden="1" customHeight="1" x14ac:dyDescent="0.25">
      <c r="A89" s="13">
        <v>44945</v>
      </c>
      <c r="B89" s="14"/>
      <c r="C89" s="14" t="s">
        <v>357</v>
      </c>
      <c r="D89" s="14" t="s">
        <v>358</v>
      </c>
      <c r="E89" s="15" t="s">
        <v>359</v>
      </c>
      <c r="F89" s="15" t="s">
        <v>26</v>
      </c>
      <c r="G89" s="14" t="s">
        <v>314</v>
      </c>
      <c r="H89" s="16" t="s">
        <v>360</v>
      </c>
      <c r="I89" s="17">
        <v>40000</v>
      </c>
      <c r="J89" s="17">
        <f>IF(G:G="FRENOS",(Tabla24567894[[#This Row],[TOTAL FACTURA]]*0.8),(Tabla24567894[[#This Row],[TOTAL FACTURA]]*0.5))</f>
        <v>32000</v>
      </c>
      <c r="K89" s="9">
        <f t="shared" si="1"/>
        <v>8000</v>
      </c>
      <c r="L89" s="4"/>
      <c r="M89" s="10"/>
      <c r="N89" s="10">
        <f>Tabla24567894[[#This Row],[MONTO DE COMPRA]]/1.19</f>
        <v>0</v>
      </c>
      <c r="O89" s="10">
        <f>Tabla24567894[[#This Row],[Columna1]]*19%</f>
        <v>0</v>
      </c>
      <c r="P89" s="10"/>
      <c r="Q89" s="10">
        <f>Tabla24567894[[#This Row],[VENTA ]]/1.19</f>
        <v>0</v>
      </c>
      <c r="R89" s="10">
        <f>Tabla24567894[[#This Row],[Columna2]]*19%</f>
        <v>0</v>
      </c>
      <c r="S89" s="10">
        <f>Tabla24567894[[#This Row],[IVA VENTA ]]-Tabla24567894[[#This Row],[IV COMPRA]]</f>
        <v>0</v>
      </c>
      <c r="T89" s="10">
        <f>(Tabla24567894[[#This Row],[VENTA ]]-(Tabla24567894[[#This Row],[MONTO DE COMPRA]]+Tabla24567894[[#This Row],[DIFERENCIA IVA ]]))</f>
        <v>0</v>
      </c>
      <c r="U89" s="17"/>
    </row>
    <row r="90" spans="1:21" s="15" customFormat="1" ht="20.100000000000001" hidden="1" customHeight="1" x14ac:dyDescent="0.25">
      <c r="A90" s="13">
        <v>44945</v>
      </c>
      <c r="B90" s="14"/>
      <c r="C90" s="14" t="s">
        <v>275</v>
      </c>
      <c r="D90" s="14"/>
      <c r="E90" s="14" t="s">
        <v>361</v>
      </c>
      <c r="F90" s="15" t="s">
        <v>35</v>
      </c>
      <c r="G90" s="14" t="s">
        <v>224</v>
      </c>
      <c r="H90" s="16" t="s">
        <v>362</v>
      </c>
      <c r="I90" s="17">
        <v>220000</v>
      </c>
      <c r="J90" s="17">
        <f>IF(G:G="FRENOS",(Tabla24567894[[#This Row],[TOTAL FACTURA]]*0.8),(Tabla24567894[[#This Row],[TOTAL FACTURA]]*0.5))</f>
        <v>110000</v>
      </c>
      <c r="K90" s="9">
        <f t="shared" si="1"/>
        <v>110000</v>
      </c>
      <c r="L90" s="4"/>
      <c r="M90" s="10"/>
      <c r="N90" s="10">
        <f>Tabla24567894[[#This Row],[MONTO DE COMPRA]]/1.19</f>
        <v>0</v>
      </c>
      <c r="O90" s="10">
        <f>Tabla24567894[[#This Row],[Columna1]]*19%</f>
        <v>0</v>
      </c>
      <c r="P90" s="10"/>
      <c r="Q90" s="10">
        <f>Tabla24567894[[#This Row],[VENTA ]]/1.19</f>
        <v>0</v>
      </c>
      <c r="R90" s="10">
        <f>Tabla24567894[[#This Row],[Columna2]]*19%</f>
        <v>0</v>
      </c>
      <c r="S90" s="10">
        <f>Tabla24567894[[#This Row],[IVA VENTA ]]-Tabla24567894[[#This Row],[IV COMPRA]]</f>
        <v>0</v>
      </c>
      <c r="T90" s="10">
        <f>(Tabla24567894[[#This Row],[VENTA ]]-(Tabla24567894[[#This Row],[MONTO DE COMPRA]]+Tabla24567894[[#This Row],[DIFERENCIA IVA ]]))</f>
        <v>0</v>
      </c>
      <c r="U90" s="17"/>
    </row>
    <row r="91" spans="1:21" s="15" customFormat="1" ht="43.5" hidden="1" customHeight="1" x14ac:dyDescent="0.25">
      <c r="A91" s="13">
        <v>44945</v>
      </c>
      <c r="B91" s="14"/>
      <c r="C91" s="14" t="s">
        <v>364</v>
      </c>
      <c r="D91" s="14" t="s">
        <v>363</v>
      </c>
      <c r="E91" s="15" t="s">
        <v>142</v>
      </c>
      <c r="F91" s="15" t="s">
        <v>35</v>
      </c>
      <c r="G91" s="14" t="s">
        <v>224</v>
      </c>
      <c r="H91" s="16" t="s">
        <v>365</v>
      </c>
      <c r="I91" s="17">
        <v>370000</v>
      </c>
      <c r="J91" s="17">
        <f>IF(G:G="FRENOS",(Tabla24567894[[#This Row],[TOTAL FACTURA]]*0.8),(Tabla24567894[[#This Row],[TOTAL FACTURA]]*0.5))</f>
        <v>185000</v>
      </c>
      <c r="K91" s="9">
        <f t="shared" si="1"/>
        <v>185000</v>
      </c>
      <c r="L91" s="4" t="s">
        <v>366</v>
      </c>
      <c r="M91" s="10">
        <f>190000+95000+10000+17000</f>
        <v>312000</v>
      </c>
      <c r="N91" s="10"/>
      <c r="O91" s="10">
        <f>Tabla24567894[[#This Row],[Columna1]]*19%</f>
        <v>0</v>
      </c>
      <c r="P91" s="10">
        <v>345000</v>
      </c>
      <c r="Q91" s="10"/>
      <c r="R91" s="10">
        <f>Tabla24567894[[#This Row],[Columna2]]*19%</f>
        <v>0</v>
      </c>
      <c r="S91" s="10">
        <f>Tabla24567894[[#This Row],[IVA VENTA ]]-Tabla24567894[[#This Row],[IV COMPRA]]</f>
        <v>0</v>
      </c>
      <c r="T91" s="10">
        <f>(Tabla24567894[[#This Row],[VENTA ]]-(Tabla24567894[[#This Row],[MONTO DE COMPRA]]+Tabla24567894[[#This Row],[DIFERENCIA IVA ]]))</f>
        <v>33000</v>
      </c>
      <c r="U91" s="17"/>
    </row>
    <row r="92" spans="1:21" s="15" customFormat="1" ht="20.100000000000001" hidden="1" customHeight="1" x14ac:dyDescent="0.25">
      <c r="A92" s="13">
        <v>44946</v>
      </c>
      <c r="B92" s="14"/>
      <c r="C92" s="14" t="s">
        <v>367</v>
      </c>
      <c r="D92" s="14" t="s">
        <v>368</v>
      </c>
      <c r="E92" s="15" t="s">
        <v>369</v>
      </c>
      <c r="F92" s="15" t="s">
        <v>19</v>
      </c>
      <c r="G92" s="14" t="s">
        <v>314</v>
      </c>
      <c r="H92" s="16" t="s">
        <v>370</v>
      </c>
      <c r="I92" s="17">
        <v>40000</v>
      </c>
      <c r="J92" s="17">
        <f>IF(G:G="FRENOS",(Tabla24567894[[#This Row],[TOTAL FACTURA]]*0.8),(Tabla24567894[[#This Row],[TOTAL FACTURA]]*0.5))</f>
        <v>32000</v>
      </c>
      <c r="K92" s="9">
        <f t="shared" si="1"/>
        <v>8000</v>
      </c>
      <c r="L92" s="4"/>
      <c r="M92" s="10"/>
      <c r="N92" s="10">
        <f>Tabla24567894[[#This Row],[MONTO DE COMPRA]]/1.19</f>
        <v>0</v>
      </c>
      <c r="O92" s="10">
        <f>Tabla24567894[[#This Row],[Columna1]]*19%</f>
        <v>0</v>
      </c>
      <c r="P92" s="10"/>
      <c r="Q92" s="10">
        <f>Tabla24567894[[#This Row],[VENTA ]]/1.19</f>
        <v>0</v>
      </c>
      <c r="R92" s="10">
        <f>Tabla24567894[[#This Row],[Columna2]]*19%</f>
        <v>0</v>
      </c>
      <c r="S92" s="10">
        <f>Tabla24567894[[#This Row],[IVA VENTA ]]-Tabla24567894[[#This Row],[IV COMPRA]]</f>
        <v>0</v>
      </c>
      <c r="T92" s="10">
        <f>(Tabla24567894[[#This Row],[VENTA ]]-(Tabla24567894[[#This Row],[MONTO DE COMPRA]]+Tabla24567894[[#This Row],[DIFERENCIA IVA ]]))</f>
        <v>0</v>
      </c>
      <c r="U92" s="17"/>
    </row>
    <row r="93" spans="1:21" s="15" customFormat="1" ht="20.100000000000001" hidden="1" customHeight="1" x14ac:dyDescent="0.25">
      <c r="A93" s="13">
        <v>44946</v>
      </c>
      <c r="B93" s="14"/>
      <c r="C93" s="14" t="s">
        <v>371</v>
      </c>
      <c r="D93" s="14" t="s">
        <v>372</v>
      </c>
      <c r="E93" s="15" t="s">
        <v>34</v>
      </c>
      <c r="F93" s="15" t="s">
        <v>19</v>
      </c>
      <c r="G93" s="14" t="s">
        <v>224</v>
      </c>
      <c r="H93" s="16" t="s">
        <v>182</v>
      </c>
      <c r="I93" s="17">
        <v>180000</v>
      </c>
      <c r="J93" s="17">
        <f>IF(G:G="FRENOS",(Tabla24567894[[#This Row],[TOTAL FACTURA]]*0.8),(Tabla24567894[[#This Row],[TOTAL FACTURA]]*0.5))</f>
        <v>90000</v>
      </c>
      <c r="K93" s="9">
        <f t="shared" si="1"/>
        <v>90000</v>
      </c>
      <c r="L93" s="4"/>
      <c r="M93" s="10"/>
      <c r="N93" s="10">
        <f>Tabla24567894[[#This Row],[MONTO DE COMPRA]]/1.19</f>
        <v>0</v>
      </c>
      <c r="O93" s="10">
        <f>Tabla24567894[[#This Row],[Columna1]]*19%</f>
        <v>0</v>
      </c>
      <c r="P93" s="10"/>
      <c r="Q93" s="10">
        <f>Tabla24567894[[#This Row],[VENTA ]]/1.19</f>
        <v>0</v>
      </c>
      <c r="R93" s="10">
        <f>Tabla24567894[[#This Row],[Columna2]]*19%</f>
        <v>0</v>
      </c>
      <c r="S93" s="10">
        <f>Tabla24567894[[#This Row],[IVA VENTA ]]-Tabla24567894[[#This Row],[IV COMPRA]]</f>
        <v>0</v>
      </c>
      <c r="T93" s="10">
        <f>(Tabla24567894[[#This Row],[VENTA ]]-(Tabla24567894[[#This Row],[MONTO DE COMPRA]]+Tabla24567894[[#This Row],[DIFERENCIA IVA ]]))</f>
        <v>0</v>
      </c>
      <c r="U93" s="17"/>
    </row>
    <row r="94" spans="1:21" s="15" customFormat="1" ht="20.100000000000001" hidden="1" customHeight="1" x14ac:dyDescent="0.25">
      <c r="A94" s="13">
        <v>44946</v>
      </c>
      <c r="B94" s="14"/>
      <c r="C94" s="14" t="s">
        <v>373</v>
      </c>
      <c r="D94" s="14" t="s">
        <v>374</v>
      </c>
      <c r="E94" s="15" t="s">
        <v>375</v>
      </c>
      <c r="F94" s="15" t="s">
        <v>19</v>
      </c>
      <c r="G94" s="14" t="s">
        <v>314</v>
      </c>
      <c r="H94" s="16" t="s">
        <v>384</v>
      </c>
      <c r="I94" s="17">
        <v>40000</v>
      </c>
      <c r="J94" s="17">
        <f>IF(G:G="FRENOS",(Tabla24567894[[#This Row],[TOTAL FACTURA]]*0.8),(Tabla24567894[[#This Row],[TOTAL FACTURA]]*0.5))</f>
        <v>32000</v>
      </c>
      <c r="K94" s="9">
        <f t="shared" si="1"/>
        <v>8000</v>
      </c>
      <c r="L94" s="4"/>
      <c r="M94" s="10"/>
      <c r="N94" s="10">
        <f>Tabla24567894[[#This Row],[MONTO DE COMPRA]]/1.19</f>
        <v>0</v>
      </c>
      <c r="O94" s="10">
        <f>Tabla24567894[[#This Row],[Columna1]]*19%</f>
        <v>0</v>
      </c>
      <c r="P94" s="10"/>
      <c r="Q94" s="10">
        <f>Tabla24567894[[#This Row],[VENTA ]]/1.19</f>
        <v>0</v>
      </c>
      <c r="R94" s="10">
        <f>Tabla24567894[[#This Row],[Columna2]]*19%</f>
        <v>0</v>
      </c>
      <c r="S94" s="10">
        <f>Tabla24567894[[#This Row],[IVA VENTA ]]-Tabla24567894[[#This Row],[IV COMPRA]]</f>
        <v>0</v>
      </c>
      <c r="T94" s="10">
        <f>(Tabla24567894[[#This Row],[VENTA ]]-(Tabla24567894[[#This Row],[MONTO DE COMPRA]]+Tabla24567894[[#This Row],[DIFERENCIA IVA ]]))</f>
        <v>0</v>
      </c>
      <c r="U94" s="17"/>
    </row>
    <row r="95" spans="1:21" s="15" customFormat="1" ht="20.100000000000001" hidden="1" customHeight="1" x14ac:dyDescent="0.25">
      <c r="A95" s="13">
        <v>44946</v>
      </c>
      <c r="B95" s="14"/>
      <c r="C95" s="14" t="s">
        <v>376</v>
      </c>
      <c r="D95" s="14"/>
      <c r="E95" s="15" t="s">
        <v>383</v>
      </c>
      <c r="F95" s="15" t="s">
        <v>19</v>
      </c>
      <c r="G95" s="14" t="s">
        <v>224</v>
      </c>
      <c r="H95" s="16" t="s">
        <v>377</v>
      </c>
      <c r="I95" s="17">
        <v>220000</v>
      </c>
      <c r="J95" s="17">
        <f>IF(G:G="FRENOS",(Tabla24567894[[#This Row],[TOTAL FACTURA]]*0.8),(Tabla24567894[[#This Row],[TOTAL FACTURA]]*0.5))</f>
        <v>110000</v>
      </c>
      <c r="K95" s="9">
        <f t="shared" si="1"/>
        <v>110000</v>
      </c>
      <c r="L95" s="4" t="s">
        <v>378</v>
      </c>
      <c r="M95" s="10">
        <v>690000</v>
      </c>
      <c r="N95" s="10">
        <f>Tabla24567894[[#This Row],[MONTO DE COMPRA]]/1.19</f>
        <v>579831.93277310929</v>
      </c>
      <c r="O95" s="10">
        <f>Tabla24567894[[#This Row],[Columna1]]*19%</f>
        <v>110168.06722689077</v>
      </c>
      <c r="P95" s="10">
        <f>480000+300000</f>
        <v>780000</v>
      </c>
      <c r="Q95" s="10">
        <f>Tabla24567894[[#This Row],[VENTA ]]/1.19</f>
        <v>655462.18487394962</v>
      </c>
      <c r="R95" s="10">
        <f>Tabla24567894[[#This Row],[Columna2]]*19%</f>
        <v>124537.81512605042</v>
      </c>
      <c r="S95" s="10">
        <f>Tabla24567894[[#This Row],[IVA VENTA ]]-Tabla24567894[[#This Row],[IV COMPRA]]</f>
        <v>14369.747899159658</v>
      </c>
      <c r="T95" s="10">
        <f>(Tabla24567894[[#This Row],[VENTA ]]-(Tabla24567894[[#This Row],[MONTO DE COMPRA]]+Tabla24567894[[#This Row],[DIFERENCIA IVA ]]))</f>
        <v>75630.252100840327</v>
      </c>
      <c r="U95" s="17"/>
    </row>
    <row r="96" spans="1:21" s="15" customFormat="1" ht="29.25" hidden="1" customHeight="1" x14ac:dyDescent="0.25">
      <c r="A96" s="13">
        <v>44946</v>
      </c>
      <c r="B96" s="14"/>
      <c r="C96" s="14" t="s">
        <v>379</v>
      </c>
      <c r="D96" s="14" t="s">
        <v>380</v>
      </c>
      <c r="E96" s="15" t="s">
        <v>381</v>
      </c>
      <c r="F96" s="15" t="s">
        <v>19</v>
      </c>
      <c r="G96" s="14" t="s">
        <v>224</v>
      </c>
      <c r="H96" s="16" t="s">
        <v>382</v>
      </c>
      <c r="I96" s="17">
        <v>140000</v>
      </c>
      <c r="J96" s="17">
        <f>IF(G:G="FRENOS",(Tabla24567894[[#This Row],[TOTAL FACTURA]]*0.8),(Tabla24567894[[#This Row],[TOTAL FACTURA]]*0.5))</f>
        <v>70000</v>
      </c>
      <c r="K96" s="9">
        <f t="shared" si="1"/>
        <v>70000</v>
      </c>
      <c r="L96" s="4"/>
      <c r="M96" s="10"/>
      <c r="N96" s="10">
        <f>Tabla24567894[[#This Row],[MONTO DE COMPRA]]/1.19</f>
        <v>0</v>
      </c>
      <c r="O96" s="10">
        <f>Tabla24567894[[#This Row],[Columna1]]*19%</f>
        <v>0</v>
      </c>
      <c r="P96" s="10"/>
      <c r="Q96" s="10">
        <f>Tabla24567894[[#This Row],[VENTA ]]/1.19</f>
        <v>0</v>
      </c>
      <c r="R96" s="10">
        <f>Tabla24567894[[#This Row],[Columna2]]*19%</f>
        <v>0</v>
      </c>
      <c r="S96" s="10">
        <f>Tabla24567894[[#This Row],[IVA VENTA ]]-Tabla24567894[[#This Row],[IV COMPRA]]</f>
        <v>0</v>
      </c>
      <c r="T96" s="10">
        <f>(Tabla24567894[[#This Row],[VENTA ]]-(Tabla24567894[[#This Row],[MONTO DE COMPRA]]+Tabla24567894[[#This Row],[DIFERENCIA IVA ]]))</f>
        <v>0</v>
      </c>
      <c r="U96" s="17"/>
    </row>
    <row r="97" spans="1:21" s="15" customFormat="1" ht="20.100000000000001" hidden="1" customHeight="1" x14ac:dyDescent="0.25">
      <c r="A97" s="13">
        <v>44946</v>
      </c>
      <c r="B97" s="14"/>
      <c r="C97" s="14" t="s">
        <v>386</v>
      </c>
      <c r="D97" s="14" t="s">
        <v>387</v>
      </c>
      <c r="E97" s="15" t="s">
        <v>390</v>
      </c>
      <c r="F97" s="15" t="s">
        <v>35</v>
      </c>
      <c r="G97" s="14" t="s">
        <v>224</v>
      </c>
      <c r="H97" s="16" t="s">
        <v>388</v>
      </c>
      <c r="I97" s="17">
        <v>500000</v>
      </c>
      <c r="J97" s="17">
        <f>IF(G:G="FRENOS",(Tabla24567894[[#This Row],[TOTAL FACTURA]]*0.8),(Tabla24567894[[#This Row],[TOTAL FACTURA]]*0.5))</f>
        <v>250000</v>
      </c>
      <c r="K97" s="9">
        <f t="shared" si="1"/>
        <v>250000</v>
      </c>
      <c r="L97" s="4"/>
      <c r="M97" s="10"/>
      <c r="N97" s="10">
        <f>Tabla24567894[[#This Row],[MONTO DE COMPRA]]/1.19</f>
        <v>0</v>
      </c>
      <c r="O97" s="10">
        <f>Tabla24567894[[#This Row],[Columna1]]*19%</f>
        <v>0</v>
      </c>
      <c r="P97" s="10"/>
      <c r="Q97" s="10">
        <f>Tabla24567894[[#This Row],[VENTA ]]/1.19</f>
        <v>0</v>
      </c>
      <c r="R97" s="10">
        <f>Tabla24567894[[#This Row],[Columna2]]*19%</f>
        <v>0</v>
      </c>
      <c r="S97" s="10">
        <f>Tabla24567894[[#This Row],[IVA VENTA ]]-Tabla24567894[[#This Row],[IV COMPRA]]</f>
        <v>0</v>
      </c>
      <c r="T97" s="10">
        <f>(Tabla24567894[[#This Row],[VENTA ]]-(Tabla24567894[[#This Row],[MONTO DE COMPRA]]+Tabla24567894[[#This Row],[DIFERENCIA IVA ]]))</f>
        <v>0</v>
      </c>
      <c r="U97" s="17"/>
    </row>
    <row r="98" spans="1:21" s="15" customFormat="1" ht="20.100000000000001" hidden="1" customHeight="1" x14ac:dyDescent="0.25">
      <c r="A98" s="13">
        <v>44949</v>
      </c>
      <c r="B98" s="14"/>
      <c r="C98" s="14" t="s">
        <v>391</v>
      </c>
      <c r="D98" s="14" t="s">
        <v>392</v>
      </c>
      <c r="E98" s="15" t="s">
        <v>345</v>
      </c>
      <c r="F98" s="15" t="s">
        <v>35</v>
      </c>
      <c r="G98" s="14" t="s">
        <v>224</v>
      </c>
      <c r="H98" s="16" t="s">
        <v>393</v>
      </c>
      <c r="I98" s="17">
        <v>250000</v>
      </c>
      <c r="J98" s="17">
        <f>IF(G:G="FRENOS",(Tabla24567894[[#This Row],[TOTAL FACTURA]]*0.8),(Tabla24567894[[#This Row],[TOTAL FACTURA]]*0.5))</f>
        <v>125000</v>
      </c>
      <c r="K98" s="9">
        <f t="shared" si="1"/>
        <v>125000</v>
      </c>
      <c r="L98" s="4" t="s">
        <v>394</v>
      </c>
      <c r="M98" s="10">
        <v>420000</v>
      </c>
      <c r="N98" s="10">
        <f>Tabla24567894[[#This Row],[MONTO DE COMPRA]]/1.19</f>
        <v>352941.17647058825</v>
      </c>
      <c r="O98" s="10">
        <f>Tabla24567894[[#This Row],[Columna1]]*19%</f>
        <v>67058.823529411762</v>
      </c>
      <c r="P98" s="10">
        <f>280000+175000</f>
        <v>455000</v>
      </c>
      <c r="Q98" s="10">
        <f>Tabla24567894[[#This Row],[VENTA ]]/1.19</f>
        <v>382352.9411764706</v>
      </c>
      <c r="R98" s="10">
        <f>Tabla24567894[[#This Row],[Columna2]]*19%</f>
        <v>72647.058823529413</v>
      </c>
      <c r="S98" s="10">
        <f>Tabla24567894[[#This Row],[IVA VENTA ]]-Tabla24567894[[#This Row],[IV COMPRA]]</f>
        <v>5588.2352941176505</v>
      </c>
      <c r="T98" s="10">
        <f>(Tabla24567894[[#This Row],[VENTA ]]-(Tabla24567894[[#This Row],[MONTO DE COMPRA]]+Tabla24567894[[#This Row],[DIFERENCIA IVA ]]))</f>
        <v>29411.76470588235</v>
      </c>
      <c r="U98" s="17"/>
    </row>
    <row r="99" spans="1:21" s="15" customFormat="1" ht="20.100000000000001" hidden="1" customHeight="1" x14ac:dyDescent="0.25">
      <c r="A99" s="13">
        <v>44949</v>
      </c>
      <c r="B99" s="14"/>
      <c r="C99" s="14"/>
      <c r="D99" s="14" t="s">
        <v>395</v>
      </c>
      <c r="E99" s="15" t="s">
        <v>28</v>
      </c>
      <c r="F99" s="15" t="s">
        <v>19</v>
      </c>
      <c r="G99" s="14" t="s">
        <v>224</v>
      </c>
      <c r="H99" s="16" t="s">
        <v>396</v>
      </c>
      <c r="I99" s="17">
        <v>30000</v>
      </c>
      <c r="J99" s="17">
        <f>IF(G:G="FRENOS",(Tabla24567894[[#This Row],[TOTAL FACTURA]]*0.8),(Tabla24567894[[#This Row],[TOTAL FACTURA]]*0.5))</f>
        <v>15000</v>
      </c>
      <c r="K99" s="9">
        <f t="shared" si="1"/>
        <v>15000</v>
      </c>
      <c r="L99" s="4"/>
      <c r="M99" s="10"/>
      <c r="N99" s="10">
        <f>Tabla24567894[[#This Row],[MONTO DE COMPRA]]/1.19</f>
        <v>0</v>
      </c>
      <c r="O99" s="10">
        <f>Tabla24567894[[#This Row],[Columna1]]*19%</f>
        <v>0</v>
      </c>
      <c r="P99" s="10"/>
      <c r="Q99" s="10">
        <f>Tabla24567894[[#This Row],[VENTA ]]/1.19</f>
        <v>0</v>
      </c>
      <c r="R99" s="10">
        <f>Tabla24567894[[#This Row],[Columna2]]*19%</f>
        <v>0</v>
      </c>
      <c r="S99" s="10">
        <f>Tabla24567894[[#This Row],[IVA VENTA ]]-Tabla24567894[[#This Row],[IV COMPRA]]</f>
        <v>0</v>
      </c>
      <c r="T99" s="10">
        <f>(Tabla24567894[[#This Row],[VENTA ]]-(Tabla24567894[[#This Row],[MONTO DE COMPRA]]+Tabla24567894[[#This Row],[DIFERENCIA IVA ]]))</f>
        <v>0</v>
      </c>
      <c r="U99" s="17"/>
    </row>
    <row r="100" spans="1:21" s="15" customFormat="1" ht="20.100000000000001" hidden="1" customHeight="1" x14ac:dyDescent="0.25">
      <c r="A100" s="13">
        <v>44949</v>
      </c>
      <c r="B100" s="14"/>
      <c r="C100" s="14" t="s">
        <v>144</v>
      </c>
      <c r="D100" s="14" t="s">
        <v>174</v>
      </c>
      <c r="E100" s="15" t="s">
        <v>175</v>
      </c>
      <c r="F100" s="15" t="s">
        <v>19</v>
      </c>
      <c r="G100" s="14" t="s">
        <v>314</v>
      </c>
      <c r="H100" s="16" t="s">
        <v>397</v>
      </c>
      <c r="I100" s="17">
        <v>30000</v>
      </c>
      <c r="J100" s="17">
        <v>30000</v>
      </c>
      <c r="K100" s="9">
        <f t="shared" si="1"/>
        <v>0</v>
      </c>
      <c r="L100" s="4"/>
      <c r="M100" s="10"/>
      <c r="N100" s="10">
        <f>Tabla24567894[[#This Row],[MONTO DE COMPRA]]/1.19</f>
        <v>0</v>
      </c>
      <c r="O100" s="10">
        <f>Tabla24567894[[#This Row],[Columna1]]*19%</f>
        <v>0</v>
      </c>
      <c r="P100" s="10"/>
      <c r="Q100" s="10">
        <f>Tabla24567894[[#This Row],[VENTA ]]/1.19</f>
        <v>0</v>
      </c>
      <c r="R100" s="10">
        <f>Tabla24567894[[#This Row],[Columna2]]*19%</f>
        <v>0</v>
      </c>
      <c r="S100" s="10">
        <f>Tabla24567894[[#This Row],[IVA VENTA ]]-Tabla24567894[[#This Row],[IV COMPRA]]</f>
        <v>0</v>
      </c>
      <c r="T100" s="10">
        <f>(Tabla24567894[[#This Row],[VENTA ]]-(Tabla24567894[[#This Row],[MONTO DE COMPRA]]+Tabla24567894[[#This Row],[DIFERENCIA IVA ]]))</f>
        <v>0</v>
      </c>
      <c r="U100" s="17"/>
    </row>
    <row r="101" spans="1:21" s="15" customFormat="1" ht="20.100000000000001" hidden="1" customHeight="1" x14ac:dyDescent="0.25">
      <c r="A101" s="13">
        <v>44950</v>
      </c>
      <c r="B101" s="14"/>
      <c r="C101" s="14" t="s">
        <v>398</v>
      </c>
      <c r="D101" s="14" t="s">
        <v>399</v>
      </c>
      <c r="E101" s="15" t="s">
        <v>321</v>
      </c>
      <c r="F101" s="15" t="s">
        <v>19</v>
      </c>
      <c r="G101" s="14" t="s">
        <v>314</v>
      </c>
      <c r="H101" s="18" t="s">
        <v>400</v>
      </c>
      <c r="I101" s="17">
        <v>60000</v>
      </c>
      <c r="J101" s="17">
        <f>IF(G:G="FRENOS",(Tabla24567894[[#This Row],[TOTAL FACTURA]]*0.8),(Tabla24567894[[#This Row],[TOTAL FACTURA]]*0.5))</f>
        <v>48000</v>
      </c>
      <c r="K101" s="9">
        <f t="shared" si="1"/>
        <v>12000</v>
      </c>
      <c r="L101" s="4" t="s">
        <v>401</v>
      </c>
      <c r="M101" s="10">
        <v>8000</v>
      </c>
      <c r="N101" s="10">
        <f>Tabla24567894[[#This Row],[MONTO DE COMPRA]]/1.19</f>
        <v>6722.6890756302528</v>
      </c>
      <c r="O101" s="10">
        <f>Tabla24567894[[#This Row],[Columna1]]*19%</f>
        <v>1277.3109243697481</v>
      </c>
      <c r="P101" s="10">
        <v>10000</v>
      </c>
      <c r="Q101" s="10">
        <f>Tabla24567894[[#This Row],[VENTA ]]/1.19</f>
        <v>8403.361344537816</v>
      </c>
      <c r="R101" s="10">
        <f>Tabla24567894[[#This Row],[Columna2]]*19%</f>
        <v>1596.6386554621849</v>
      </c>
      <c r="S101" s="10">
        <f>Tabla24567894[[#This Row],[IVA VENTA ]]-Tabla24567894[[#This Row],[IV COMPRA]]</f>
        <v>319.32773109243681</v>
      </c>
      <c r="T101" s="10">
        <f>(Tabla24567894[[#This Row],[VENTA ]]-(Tabla24567894[[#This Row],[MONTO DE COMPRA]]+Tabla24567894[[#This Row],[DIFERENCIA IVA ]]))</f>
        <v>1680.6722689075632</v>
      </c>
      <c r="U101" s="17"/>
    </row>
    <row r="102" spans="1:21" s="15" customFormat="1" ht="21" hidden="1" customHeight="1" x14ac:dyDescent="0.25">
      <c r="A102" s="13">
        <v>44982</v>
      </c>
      <c r="B102" s="14"/>
      <c r="C102" s="14" t="s">
        <v>715</v>
      </c>
      <c r="D102" s="14" t="s">
        <v>716</v>
      </c>
      <c r="E102" s="15" t="s">
        <v>717</v>
      </c>
      <c r="F102" s="15" t="s">
        <v>19</v>
      </c>
      <c r="G102" s="14" t="s">
        <v>224</v>
      </c>
      <c r="H102" s="15" t="s">
        <v>535</v>
      </c>
      <c r="I102" s="73">
        <v>50000</v>
      </c>
      <c r="J102" s="17">
        <f>IF(G:G="FRENOS",(Tabla24567894[[#This Row],[TOTAL FACTURA]]*0.8),(Tabla24567894[[#This Row],[TOTAL FACTURA]]*0.5))</f>
        <v>25000</v>
      </c>
      <c r="K102" s="9">
        <f t="shared" si="1"/>
        <v>25000</v>
      </c>
      <c r="L102" s="4"/>
      <c r="M102" s="10"/>
      <c r="N102" s="10">
        <f>Tabla24567894[[#This Row],[MONTO DE COMPRA]]/1.19</f>
        <v>0</v>
      </c>
      <c r="O102" s="10">
        <f>Tabla24567894[[#This Row],[Columna1]]*19%</f>
        <v>0</v>
      </c>
      <c r="P102" s="10"/>
      <c r="Q102" s="10">
        <f>Tabla24567894[[#This Row],[VENTA ]]/1.19</f>
        <v>0</v>
      </c>
      <c r="R102" s="10">
        <f>Tabla24567894[[#This Row],[Columna2]]*19%</f>
        <v>0</v>
      </c>
      <c r="S102" s="10">
        <f>Tabla24567894[[#This Row],[IVA VENTA ]]-Tabla24567894[[#This Row],[IV COMPRA]]</f>
        <v>0</v>
      </c>
      <c r="T102" s="10">
        <f>(Tabla24567894[[#This Row],[VENTA ]]-(Tabla24567894[[#This Row],[MONTO DE COMPRA]]+Tabla24567894[[#This Row],[DIFERENCIA IVA ]]))</f>
        <v>0</v>
      </c>
      <c r="U102" s="17"/>
    </row>
    <row r="103" spans="1:21" s="15" customFormat="1" ht="21" hidden="1" customHeight="1" x14ac:dyDescent="0.25">
      <c r="A103" s="13">
        <v>44982</v>
      </c>
      <c r="B103" s="14"/>
      <c r="C103" s="14" t="s">
        <v>60</v>
      </c>
      <c r="D103" s="14" t="s">
        <v>61</v>
      </c>
      <c r="E103" s="15" t="s">
        <v>718</v>
      </c>
      <c r="F103" s="15" t="s">
        <v>19</v>
      </c>
      <c r="G103" s="14" t="s">
        <v>314</v>
      </c>
      <c r="H103" s="18" t="s">
        <v>201</v>
      </c>
      <c r="I103" s="73">
        <v>10000</v>
      </c>
      <c r="J103" s="17">
        <f>IF(G:G="FRENOS",(Tabla24567894[[#This Row],[TOTAL FACTURA]]*0.8),(Tabla24567894[[#This Row],[TOTAL FACTURA]]*0.5))</f>
        <v>8000</v>
      </c>
      <c r="K103" s="9">
        <f t="shared" si="1"/>
        <v>2000</v>
      </c>
      <c r="L103" s="4"/>
      <c r="M103" s="10"/>
      <c r="N103" s="10">
        <f>Tabla24567894[[#This Row],[MONTO DE COMPRA]]/1.19</f>
        <v>0</v>
      </c>
      <c r="O103" s="10">
        <f>Tabla24567894[[#This Row],[Columna1]]*19%</f>
        <v>0</v>
      </c>
      <c r="P103" s="10"/>
      <c r="Q103" s="10">
        <f>Tabla24567894[[#This Row],[VENTA ]]/1.19</f>
        <v>0</v>
      </c>
      <c r="R103" s="10">
        <f>Tabla24567894[[#This Row],[Columna2]]*19%</f>
        <v>0</v>
      </c>
      <c r="S103" s="10">
        <f>Tabla24567894[[#This Row],[IVA VENTA ]]-Tabla24567894[[#This Row],[IV COMPRA]]</f>
        <v>0</v>
      </c>
      <c r="T103" s="10">
        <f>(Tabla24567894[[#This Row],[VENTA ]]-(Tabla24567894[[#This Row],[MONTO DE COMPRA]]+Tabla24567894[[#This Row],[DIFERENCIA IVA ]]))</f>
        <v>0</v>
      </c>
      <c r="U103" s="17"/>
    </row>
    <row r="104" spans="1:21" s="15" customFormat="1" ht="20.25" hidden="1" customHeight="1" x14ac:dyDescent="0.25">
      <c r="A104" s="13">
        <v>44982</v>
      </c>
      <c r="B104" s="14"/>
      <c r="C104" s="14" t="s">
        <v>736</v>
      </c>
      <c r="D104" s="14" t="s">
        <v>719</v>
      </c>
      <c r="E104" s="15" t="s">
        <v>539</v>
      </c>
      <c r="F104" s="15" t="s">
        <v>19</v>
      </c>
      <c r="G104" s="14" t="s">
        <v>314</v>
      </c>
      <c r="H104" s="18" t="s">
        <v>201</v>
      </c>
      <c r="I104" s="73">
        <v>10000</v>
      </c>
      <c r="J104" s="17">
        <f>IF(G:G="FRENOS",(Tabla24567894[[#This Row],[TOTAL FACTURA]]*0.8),(Tabla24567894[[#This Row],[TOTAL FACTURA]]*0.5))</f>
        <v>8000</v>
      </c>
      <c r="K104" s="9">
        <f t="shared" si="1"/>
        <v>2000</v>
      </c>
      <c r="L104" s="4"/>
      <c r="M104" s="10"/>
      <c r="N104" s="10">
        <f>Tabla24567894[[#This Row],[MONTO DE COMPRA]]/1.19</f>
        <v>0</v>
      </c>
      <c r="O104" s="10">
        <f>Tabla24567894[[#This Row],[Columna1]]*19%</f>
        <v>0</v>
      </c>
      <c r="P104" s="10"/>
      <c r="Q104" s="10">
        <f>Tabla24567894[[#This Row],[VENTA ]]/1.19</f>
        <v>0</v>
      </c>
      <c r="R104" s="10">
        <f>Tabla24567894[[#This Row],[Columna2]]*19%</f>
        <v>0</v>
      </c>
      <c r="S104" s="10">
        <f>Tabla24567894[[#This Row],[IVA VENTA ]]-Tabla24567894[[#This Row],[IV COMPRA]]</f>
        <v>0</v>
      </c>
      <c r="T104" s="10">
        <f>(Tabla24567894[[#This Row],[VENTA ]]-(Tabla24567894[[#This Row],[MONTO DE COMPRA]]+Tabla24567894[[#This Row],[DIFERENCIA IVA ]]))</f>
        <v>0</v>
      </c>
      <c r="U104" s="17"/>
    </row>
    <row r="105" spans="1:21" s="15" customFormat="1" ht="20.100000000000001" hidden="1" customHeight="1" x14ac:dyDescent="0.25">
      <c r="A105" s="13">
        <v>44982</v>
      </c>
      <c r="B105" s="14"/>
      <c r="C105" s="14" t="s">
        <v>720</v>
      </c>
      <c r="D105" s="15" t="s">
        <v>721</v>
      </c>
      <c r="E105" s="15" t="s">
        <v>383</v>
      </c>
      <c r="F105" s="15" t="s">
        <v>19</v>
      </c>
      <c r="G105" s="14" t="s">
        <v>224</v>
      </c>
      <c r="H105" s="18" t="s">
        <v>669</v>
      </c>
      <c r="I105" s="73">
        <v>220000</v>
      </c>
      <c r="J105" s="17">
        <f>IF(G:G="FRENOS",(Tabla24567894[[#This Row],[TOTAL FACTURA]]*0.8),(Tabla24567894[[#This Row],[TOTAL FACTURA]]*0.5))</f>
        <v>110000</v>
      </c>
      <c r="K105" s="9">
        <f t="shared" si="1"/>
        <v>110000</v>
      </c>
      <c r="L105" s="4" t="s">
        <v>723</v>
      </c>
      <c r="M105" s="10">
        <v>310000</v>
      </c>
      <c r="N105" s="10">
        <f>Tabla24567894[[#This Row],[MONTO DE COMPRA]]/1.19</f>
        <v>260504.20168067227</v>
      </c>
      <c r="O105" s="10">
        <f>Tabla24567894[[#This Row],[Columna1]]*19%</f>
        <v>49495.798319327732</v>
      </c>
      <c r="P105" s="10">
        <v>350000</v>
      </c>
      <c r="Q105" s="10">
        <f>Tabla24567894[[#This Row],[VENTA ]]/1.19</f>
        <v>294117.64705882355</v>
      </c>
      <c r="R105" s="10">
        <f>Tabla24567894[[#This Row],[Columna2]]*19%</f>
        <v>55882.352941176476</v>
      </c>
      <c r="S105" s="10">
        <f>Tabla24567894[[#This Row],[IVA VENTA ]]-Tabla24567894[[#This Row],[IV COMPRA]]</f>
        <v>6386.5546218487434</v>
      </c>
      <c r="T105" s="10">
        <f>(Tabla24567894[[#This Row],[VENTA ]]-(Tabla24567894[[#This Row],[MONTO DE COMPRA]]+Tabla24567894[[#This Row],[DIFERENCIA IVA ]]))</f>
        <v>33613.445378151257</v>
      </c>
      <c r="U105" s="17"/>
    </row>
    <row r="106" spans="1:21" s="15" customFormat="1" ht="20.100000000000001" hidden="1" customHeight="1" x14ac:dyDescent="0.25">
      <c r="A106" s="13">
        <v>44982</v>
      </c>
      <c r="B106" s="14"/>
      <c r="C106" s="14" t="s">
        <v>722</v>
      </c>
      <c r="D106" s="14" t="s">
        <v>724</v>
      </c>
      <c r="E106" s="15" t="s">
        <v>725</v>
      </c>
      <c r="F106" s="15" t="s">
        <v>19</v>
      </c>
      <c r="G106" s="14" t="s">
        <v>224</v>
      </c>
      <c r="H106" s="18" t="s">
        <v>726</v>
      </c>
      <c r="I106" s="73">
        <v>80000</v>
      </c>
      <c r="J106" s="17">
        <f>IF(G:G="FRENOS",(Tabla24567894[[#This Row],[TOTAL FACTURA]]*0.8),(Tabla24567894[[#This Row],[TOTAL FACTURA]]*0.5))</f>
        <v>40000</v>
      </c>
      <c r="K106" s="9">
        <f t="shared" si="1"/>
        <v>40000</v>
      </c>
      <c r="L106" s="4" t="s">
        <v>727</v>
      </c>
      <c r="M106" s="10">
        <v>155000</v>
      </c>
      <c r="N106" s="10">
        <f>Tabla24567894[[#This Row],[MONTO DE COMPRA]]/1.19</f>
        <v>130252.10084033613</v>
      </c>
      <c r="O106" s="10">
        <f>Tabla24567894[[#This Row],[Columna1]]*19%</f>
        <v>24747.899159663866</v>
      </c>
      <c r="P106" s="10">
        <v>200000</v>
      </c>
      <c r="Q106" s="10">
        <f>Tabla24567894[[#This Row],[VENTA ]]/1.19</f>
        <v>168067.22689075631</v>
      </c>
      <c r="R106" s="10">
        <f>Tabla24567894[[#This Row],[Columna2]]*19%</f>
        <v>31932.773109243699</v>
      </c>
      <c r="S106" s="10">
        <f>Tabla24567894[[#This Row],[IVA VENTA ]]-Tabla24567894[[#This Row],[IV COMPRA]]</f>
        <v>7184.8739495798327</v>
      </c>
      <c r="T106" s="10">
        <f>(Tabla24567894[[#This Row],[VENTA ]]-(Tabla24567894[[#This Row],[MONTO DE COMPRA]]+Tabla24567894[[#This Row],[DIFERENCIA IVA ]]))</f>
        <v>37815.126050420164</v>
      </c>
      <c r="U106" s="17"/>
    </row>
    <row r="107" spans="1:21" s="15" customFormat="1" ht="20.25" hidden="1" customHeight="1" x14ac:dyDescent="0.25">
      <c r="A107" s="13">
        <v>44984</v>
      </c>
      <c r="B107" s="14"/>
      <c r="C107" s="14" t="s">
        <v>728</v>
      </c>
      <c r="D107" s="14" t="s">
        <v>729</v>
      </c>
      <c r="E107" s="15" t="s">
        <v>162</v>
      </c>
      <c r="F107" s="15" t="s">
        <v>19</v>
      </c>
      <c r="G107" s="14" t="s">
        <v>314</v>
      </c>
      <c r="H107" s="18" t="s">
        <v>21</v>
      </c>
      <c r="I107" s="73">
        <v>30000</v>
      </c>
      <c r="J107" s="17">
        <f>IF(G:G="FRENOS",(Tabla24567894[[#This Row],[TOTAL FACTURA]]*0.8),(Tabla24567894[[#This Row],[TOTAL FACTURA]]*0.5))</f>
        <v>24000</v>
      </c>
      <c r="K107" s="9">
        <f t="shared" si="1"/>
        <v>6000</v>
      </c>
      <c r="L107" s="4"/>
      <c r="M107" s="10"/>
      <c r="N107" s="10">
        <f>Tabla24567894[[#This Row],[MONTO DE COMPRA]]/1.19</f>
        <v>0</v>
      </c>
      <c r="O107" s="10">
        <f>Tabla24567894[[#This Row],[Columna1]]*19%</f>
        <v>0</v>
      </c>
      <c r="P107" s="10"/>
      <c r="Q107" s="10">
        <f>Tabla24567894[[#This Row],[VENTA ]]/1.19</f>
        <v>0</v>
      </c>
      <c r="R107" s="10">
        <f>Tabla24567894[[#This Row],[Columna2]]*19%</f>
        <v>0</v>
      </c>
      <c r="S107" s="10">
        <f>Tabla24567894[[#This Row],[IVA VENTA ]]-Tabla24567894[[#This Row],[IV COMPRA]]</f>
        <v>0</v>
      </c>
      <c r="T107" s="10">
        <f>(Tabla24567894[[#This Row],[VENTA ]]-(Tabla24567894[[#This Row],[MONTO DE COMPRA]]+Tabla24567894[[#This Row],[DIFERENCIA IVA ]]))</f>
        <v>0</v>
      </c>
      <c r="U107" s="17"/>
    </row>
    <row r="108" spans="1:21" s="15" customFormat="1" ht="20.100000000000001" hidden="1" customHeight="1" x14ac:dyDescent="0.25">
      <c r="A108" s="13">
        <v>44984</v>
      </c>
      <c r="B108" s="14"/>
      <c r="C108" s="14" t="s">
        <v>688</v>
      </c>
      <c r="D108" s="14" t="s">
        <v>689</v>
      </c>
      <c r="E108" s="15" t="s">
        <v>690</v>
      </c>
      <c r="F108" s="15" t="s">
        <v>19</v>
      </c>
      <c r="G108" s="14" t="s">
        <v>224</v>
      </c>
      <c r="H108" s="18" t="s">
        <v>731</v>
      </c>
      <c r="I108" s="73">
        <v>30000</v>
      </c>
      <c r="J108" s="17">
        <f>IF(G:G="FRENOS",(Tabla24567894[[#This Row],[TOTAL FACTURA]]*0.8),(Tabla24567894[[#This Row],[TOTAL FACTURA]]*0.5))</f>
        <v>15000</v>
      </c>
      <c r="K108" s="9">
        <f t="shared" si="1"/>
        <v>15000</v>
      </c>
      <c r="L108" s="4" t="s">
        <v>732</v>
      </c>
      <c r="M108" s="10">
        <v>60000</v>
      </c>
      <c r="N108" s="10">
        <f>Tabla24567894[[#This Row],[MONTO DE COMPRA]]/1.19</f>
        <v>50420.168067226892</v>
      </c>
      <c r="O108" s="10">
        <f>Tabla24567894[[#This Row],[Columna1]]*19%</f>
        <v>9579.8319327731097</v>
      </c>
      <c r="P108" s="10">
        <v>60000</v>
      </c>
      <c r="Q108" s="10">
        <f>Tabla24567894[[#This Row],[VENTA ]]/1.19</f>
        <v>50420.168067226892</v>
      </c>
      <c r="R108" s="10">
        <f>Tabla24567894[[#This Row],[Columna2]]*19%</f>
        <v>9579.8319327731097</v>
      </c>
      <c r="S108" s="10">
        <f>Tabla24567894[[#This Row],[IVA VENTA ]]-Tabla24567894[[#This Row],[IV COMPRA]]</f>
        <v>0</v>
      </c>
      <c r="T108" s="10">
        <f>(Tabla24567894[[#This Row],[VENTA ]]-(Tabla24567894[[#This Row],[MONTO DE COMPRA]]+Tabla24567894[[#This Row],[DIFERENCIA IVA ]]))</f>
        <v>0</v>
      </c>
      <c r="U108" s="17"/>
    </row>
    <row r="109" spans="1:21" s="15" customFormat="1" ht="20.100000000000001" hidden="1" customHeight="1" x14ac:dyDescent="0.25">
      <c r="A109" s="13">
        <v>44984</v>
      </c>
      <c r="B109" s="14"/>
      <c r="C109" s="14" t="s">
        <v>733</v>
      </c>
      <c r="D109" s="14"/>
      <c r="E109" s="15" t="s">
        <v>734</v>
      </c>
      <c r="F109" s="15" t="s">
        <v>19</v>
      </c>
      <c r="G109" s="14" t="s">
        <v>314</v>
      </c>
      <c r="H109" s="18" t="s">
        <v>730</v>
      </c>
      <c r="I109" s="73">
        <v>80000</v>
      </c>
      <c r="J109" s="17">
        <f>IF(G:G="FRENOS",(Tabla24567894[[#This Row],[TOTAL FACTURA]]*0.8),(Tabla24567894[[#This Row],[TOTAL FACTURA]]*0.5))</f>
        <v>64000</v>
      </c>
      <c r="K109" s="9">
        <f t="shared" si="1"/>
        <v>16000</v>
      </c>
      <c r="L109" s="4" t="s">
        <v>735</v>
      </c>
      <c r="M109" s="10">
        <v>283000</v>
      </c>
      <c r="N109" s="10">
        <f>Tabla24567894[[#This Row],[MONTO DE COMPRA]]/1.19</f>
        <v>237815.12605042019</v>
      </c>
      <c r="O109" s="10">
        <f>Tabla24567894[[#This Row],[Columna1]]*19%</f>
        <v>45184.873949579836</v>
      </c>
      <c r="P109" s="10">
        <v>358000</v>
      </c>
      <c r="Q109" s="10">
        <f>Tabla24567894[[#This Row],[VENTA ]]/1.19</f>
        <v>300840.33613445377</v>
      </c>
      <c r="R109" s="10">
        <f>Tabla24567894[[#This Row],[Columna2]]*19%</f>
        <v>57159.663865546216</v>
      </c>
      <c r="S109" s="10">
        <f>Tabla24567894[[#This Row],[IVA VENTA ]]-Tabla24567894[[#This Row],[IV COMPRA]]</f>
        <v>11974.789915966379</v>
      </c>
      <c r="T109" s="10">
        <f>(Tabla24567894[[#This Row],[VENTA ]]-(Tabla24567894[[#This Row],[MONTO DE COMPRA]]+Tabla24567894[[#This Row],[DIFERENCIA IVA ]]))</f>
        <v>63025.210084033606</v>
      </c>
      <c r="U109" s="17"/>
    </row>
    <row r="110" spans="1:21" s="15" customFormat="1" ht="20.100000000000001" hidden="1" customHeight="1" x14ac:dyDescent="0.25">
      <c r="A110" s="13">
        <v>44985</v>
      </c>
      <c r="B110" s="14"/>
      <c r="C110" s="14" t="s">
        <v>736</v>
      </c>
      <c r="D110" s="14" t="s">
        <v>719</v>
      </c>
      <c r="E110" s="15" t="s">
        <v>539</v>
      </c>
      <c r="F110" s="15" t="s">
        <v>19</v>
      </c>
      <c r="G110" s="14" t="s">
        <v>314</v>
      </c>
      <c r="H110" s="18" t="s">
        <v>737</v>
      </c>
      <c r="I110" s="73">
        <v>80000</v>
      </c>
      <c r="J110" s="17">
        <f>IF(G:G="FRENOS",(Tabla24567894[[#This Row],[TOTAL FACTURA]]*0.8),(Tabla24567894[[#This Row],[TOTAL FACTURA]]*0.5))</f>
        <v>64000</v>
      </c>
      <c r="K110" s="9">
        <f t="shared" si="1"/>
        <v>16000</v>
      </c>
      <c r="L110" s="4"/>
      <c r="M110" s="10"/>
      <c r="N110" s="10">
        <f>Tabla24567894[[#This Row],[MONTO DE COMPRA]]/1.19</f>
        <v>0</v>
      </c>
      <c r="O110" s="10">
        <f>Tabla24567894[[#This Row],[Columna1]]*19%</f>
        <v>0</v>
      </c>
      <c r="P110" s="10"/>
      <c r="Q110" s="10">
        <f>Tabla24567894[[#This Row],[VENTA ]]/1.19</f>
        <v>0</v>
      </c>
      <c r="R110" s="10">
        <f>Tabla24567894[[#This Row],[Columna2]]*19%</f>
        <v>0</v>
      </c>
      <c r="S110" s="10">
        <f>Tabla24567894[[#This Row],[IVA VENTA ]]-Tabla24567894[[#This Row],[IV COMPRA]]</f>
        <v>0</v>
      </c>
      <c r="T110" s="10">
        <f>(Tabla24567894[[#This Row],[VENTA ]]-(Tabla24567894[[#This Row],[MONTO DE COMPRA]]+Tabla24567894[[#This Row],[DIFERENCIA IVA ]]))</f>
        <v>0</v>
      </c>
      <c r="U110" s="17"/>
    </row>
    <row r="111" spans="1:21" s="15" customFormat="1" ht="20.100000000000001" hidden="1" customHeight="1" x14ac:dyDescent="0.25">
      <c r="A111" s="13">
        <v>44985</v>
      </c>
      <c r="B111" s="14" t="s">
        <v>772</v>
      </c>
      <c r="C111" s="14" t="s">
        <v>626</v>
      </c>
      <c r="D111" s="14" t="s">
        <v>738</v>
      </c>
      <c r="E111" s="15" t="s">
        <v>596</v>
      </c>
      <c r="F111" s="15" t="s">
        <v>19</v>
      </c>
      <c r="G111" s="14" t="s">
        <v>224</v>
      </c>
      <c r="H111" s="16" t="s">
        <v>773</v>
      </c>
      <c r="I111" s="73">
        <v>200000</v>
      </c>
      <c r="J111" s="17">
        <v>112000</v>
      </c>
      <c r="K111" s="30">
        <f>I111-J111</f>
        <v>88000</v>
      </c>
      <c r="L111" s="4" t="s">
        <v>774</v>
      </c>
      <c r="M111" s="10">
        <v>352000</v>
      </c>
      <c r="N111" s="10">
        <f>Tabla24567894[[#This Row],[MONTO DE COMPRA]]/1.19</f>
        <v>295798.31932773109</v>
      </c>
      <c r="O111" s="10">
        <f>Tabla24567894[[#This Row],[Columna1]]*19%</f>
        <v>56201.680672268907</v>
      </c>
      <c r="P111" s="10">
        <v>460000</v>
      </c>
      <c r="Q111" s="10">
        <f>Tabla24567894[[#This Row],[VENTA ]]/1.19</f>
        <v>386554.62184873951</v>
      </c>
      <c r="R111" s="10">
        <f>Tabla24567894[[#This Row],[Columna2]]*19%</f>
        <v>73445.378151260506</v>
      </c>
      <c r="S111" s="10">
        <f>Tabla24567894[[#This Row],[IVA VENTA ]]-Tabla24567894[[#This Row],[IV COMPRA]]</f>
        <v>17243.697478991598</v>
      </c>
      <c r="T111" s="10">
        <f>(Tabla24567894[[#This Row],[VENTA ]]-(Tabla24567894[[#This Row],[MONTO DE COMPRA]]+Tabla24567894[[#This Row],[DIFERENCIA IVA ]]))</f>
        <v>90756.302521008416</v>
      </c>
      <c r="U111" s="17"/>
    </row>
    <row r="112" spans="1:21" s="15" customFormat="1" ht="20.100000000000001" hidden="1" customHeight="1" x14ac:dyDescent="0.25">
      <c r="A112" s="13">
        <v>44985</v>
      </c>
      <c r="B112" s="14" t="s">
        <v>740</v>
      </c>
      <c r="C112" s="14" t="s">
        <v>626</v>
      </c>
      <c r="D112" s="14" t="s">
        <v>738</v>
      </c>
      <c r="E112" s="15" t="s">
        <v>596</v>
      </c>
      <c r="F112" s="15" t="s">
        <v>19</v>
      </c>
      <c r="G112" s="14" t="s">
        <v>314</v>
      </c>
      <c r="H112" s="18" t="s">
        <v>739</v>
      </c>
      <c r="I112" s="73">
        <v>15000</v>
      </c>
      <c r="J112" s="17">
        <f>IF(G:G="FRENOS",(Tabla24567894[[#This Row],[TOTAL FACTURA]]*0.8),(Tabla24567894[[#This Row],[TOTAL FACTURA]]*0.5))</f>
        <v>12000</v>
      </c>
      <c r="K112" s="9">
        <f t="shared" si="1"/>
        <v>3000</v>
      </c>
      <c r="L112" s="4"/>
      <c r="M112" s="10"/>
      <c r="N112" s="10">
        <f>Tabla24567894[[#This Row],[MONTO DE COMPRA]]/1.19</f>
        <v>0</v>
      </c>
      <c r="O112" s="10">
        <f>Tabla24567894[[#This Row],[Columna1]]*19%</f>
        <v>0</v>
      </c>
      <c r="P112" s="10"/>
      <c r="Q112" s="10">
        <f>Tabla24567894[[#This Row],[VENTA ]]/1.19</f>
        <v>0</v>
      </c>
      <c r="R112" s="10">
        <f>Tabla24567894[[#This Row],[Columna2]]*19%</f>
        <v>0</v>
      </c>
      <c r="S112" s="10">
        <f>Tabla24567894[[#This Row],[IVA VENTA ]]-Tabla24567894[[#This Row],[IV COMPRA]]</f>
        <v>0</v>
      </c>
      <c r="T112" s="10">
        <f>(Tabla24567894[[#This Row],[VENTA ]]-(Tabla24567894[[#This Row],[MONTO DE COMPRA]]+Tabla24567894[[#This Row],[DIFERENCIA IVA ]]))</f>
        <v>0</v>
      </c>
      <c r="U112" s="17"/>
    </row>
    <row r="113" spans="1:21" s="15" customFormat="1" ht="20.100000000000001" hidden="1" customHeight="1" x14ac:dyDescent="0.25">
      <c r="A113" s="13">
        <v>44985</v>
      </c>
      <c r="B113" s="14"/>
      <c r="C113" s="14"/>
      <c r="D113" s="14"/>
      <c r="F113" s="15" t="s">
        <v>26</v>
      </c>
      <c r="G113" s="14" t="s">
        <v>224</v>
      </c>
      <c r="H113" s="18" t="s">
        <v>124</v>
      </c>
      <c r="I113" s="17">
        <v>15000</v>
      </c>
      <c r="J113" s="17">
        <f>IF(G:G="FRENOS",(Tabla24567894[[#This Row],[TOTAL FACTURA]]*0.8),(Tabla24567894[[#This Row],[TOTAL FACTURA]]*0.5))</f>
        <v>7500</v>
      </c>
      <c r="K113" s="9">
        <f t="shared" si="1"/>
        <v>7500</v>
      </c>
      <c r="L113" s="4" t="s">
        <v>125</v>
      </c>
      <c r="M113" s="10">
        <v>20000</v>
      </c>
      <c r="N113" s="10">
        <f>Tabla24567894[[#This Row],[MONTO DE COMPRA]]/1.19</f>
        <v>16806.722689075632</v>
      </c>
      <c r="O113" s="10">
        <f>Tabla24567894[[#This Row],[Columna1]]*19%</f>
        <v>3193.2773109243699</v>
      </c>
      <c r="P113" s="10">
        <v>20000</v>
      </c>
      <c r="Q113" s="10">
        <f>Tabla24567894[[#This Row],[VENTA ]]/1.19</f>
        <v>16806.722689075632</v>
      </c>
      <c r="R113" s="10">
        <f>Tabla24567894[[#This Row],[Columna2]]*19%</f>
        <v>3193.2773109243699</v>
      </c>
      <c r="S113" s="10">
        <f>Tabla24567894[[#This Row],[IVA VENTA ]]-Tabla24567894[[#This Row],[IV COMPRA]]</f>
        <v>0</v>
      </c>
      <c r="T113" s="10">
        <f>(Tabla24567894[[#This Row],[VENTA ]]-(Tabla24567894[[#This Row],[MONTO DE COMPRA]]+Tabla24567894[[#This Row],[DIFERENCIA IVA ]]))</f>
        <v>0</v>
      </c>
      <c r="U113" s="17"/>
    </row>
    <row r="114" spans="1:21" s="15" customFormat="1" ht="20.100000000000001" hidden="1" customHeight="1" x14ac:dyDescent="0.25">
      <c r="A114" s="13">
        <v>44985</v>
      </c>
      <c r="B114" s="14" t="s">
        <v>743</v>
      </c>
      <c r="C114" s="14" t="s">
        <v>741</v>
      </c>
      <c r="D114" s="14" t="s">
        <v>742</v>
      </c>
      <c r="E114" s="15" t="s">
        <v>744</v>
      </c>
      <c r="F114" s="15" t="s">
        <v>19</v>
      </c>
      <c r="G114" s="14" t="s">
        <v>224</v>
      </c>
      <c r="H114" s="18" t="s">
        <v>745</v>
      </c>
      <c r="I114" s="73">
        <v>50000</v>
      </c>
      <c r="J114" s="17">
        <f>IF(G:G="FRENOS",(Tabla24567894[[#This Row],[TOTAL FACTURA]]*0.8),(Tabla24567894[[#This Row],[TOTAL FACTURA]]*0.5))</f>
        <v>25000</v>
      </c>
      <c r="K114" s="9">
        <f t="shared" si="1"/>
        <v>25000</v>
      </c>
      <c r="L114" s="4"/>
      <c r="M114" s="10"/>
      <c r="N114" s="10">
        <f>Tabla24567894[[#This Row],[MONTO DE COMPRA]]/1.19</f>
        <v>0</v>
      </c>
      <c r="O114" s="10">
        <f>Tabla24567894[[#This Row],[Columna1]]*19%</f>
        <v>0</v>
      </c>
      <c r="P114" s="10"/>
      <c r="Q114" s="10">
        <f>Tabla24567894[[#This Row],[VENTA ]]/1.19</f>
        <v>0</v>
      </c>
      <c r="R114" s="10">
        <f>Tabla24567894[[#This Row],[Columna2]]*19%</f>
        <v>0</v>
      </c>
      <c r="S114" s="10">
        <f>Tabla24567894[[#This Row],[IVA VENTA ]]-Tabla24567894[[#This Row],[IV COMPRA]]</f>
        <v>0</v>
      </c>
      <c r="T114" s="10">
        <f>(Tabla24567894[[#This Row],[VENTA ]]-(Tabla24567894[[#This Row],[MONTO DE COMPRA]]+Tabla24567894[[#This Row],[DIFERENCIA IVA ]]))</f>
        <v>0</v>
      </c>
      <c r="U114" s="17"/>
    </row>
    <row r="115" spans="1:21" s="15" customFormat="1" ht="20.100000000000001" hidden="1" customHeight="1" x14ac:dyDescent="0.25">
      <c r="A115" s="13">
        <v>44985</v>
      </c>
      <c r="B115" s="14"/>
      <c r="C115" s="14" t="s">
        <v>746</v>
      </c>
      <c r="D115" s="14" t="s">
        <v>747</v>
      </c>
      <c r="E115" s="15" t="s">
        <v>265</v>
      </c>
      <c r="F115" s="15" t="s">
        <v>19</v>
      </c>
      <c r="G115" s="14" t="s">
        <v>314</v>
      </c>
      <c r="H115" s="18" t="s">
        <v>748</v>
      </c>
      <c r="I115" s="73">
        <v>30000</v>
      </c>
      <c r="J115" s="17">
        <f>IF(G:G="FRENOS",(Tabla24567894[[#This Row],[TOTAL FACTURA]]*0.8),(Tabla24567894[[#This Row],[TOTAL FACTURA]]*0.5))</f>
        <v>24000</v>
      </c>
      <c r="K115" s="9">
        <f t="shared" si="1"/>
        <v>6000</v>
      </c>
      <c r="L115" s="4" t="s">
        <v>749</v>
      </c>
      <c r="M115" s="10">
        <v>20000</v>
      </c>
      <c r="N115" s="10">
        <f>Tabla24567894[[#This Row],[MONTO DE COMPRA]]/1.19</f>
        <v>16806.722689075632</v>
      </c>
      <c r="O115" s="10">
        <f>Tabla24567894[[#This Row],[Columna1]]*19%</f>
        <v>3193.2773109243699</v>
      </c>
      <c r="P115" s="10">
        <v>20000</v>
      </c>
      <c r="Q115" s="10">
        <f>Tabla24567894[[#This Row],[VENTA ]]/1.19</f>
        <v>16806.722689075632</v>
      </c>
      <c r="R115" s="10">
        <f>Tabla24567894[[#This Row],[Columna2]]*19%</f>
        <v>3193.2773109243699</v>
      </c>
      <c r="S115" s="10">
        <f>Tabla24567894[[#This Row],[IVA VENTA ]]-Tabla24567894[[#This Row],[IV COMPRA]]</f>
        <v>0</v>
      </c>
      <c r="T115" s="10">
        <f>(Tabla24567894[[#This Row],[VENTA ]]-(Tabla24567894[[#This Row],[MONTO DE COMPRA]]+Tabla24567894[[#This Row],[DIFERENCIA IVA ]]))</f>
        <v>0</v>
      </c>
      <c r="U115" s="17"/>
    </row>
    <row r="116" spans="1:21" s="15" customFormat="1" ht="20.100000000000001" hidden="1" customHeight="1" x14ac:dyDescent="0.25">
      <c r="A116" s="13">
        <v>44986</v>
      </c>
      <c r="B116" s="14"/>
      <c r="C116" s="14" t="s">
        <v>750</v>
      </c>
      <c r="D116" s="14" t="s">
        <v>751</v>
      </c>
      <c r="E116" s="15" t="s">
        <v>596</v>
      </c>
      <c r="F116" s="15" t="s">
        <v>19</v>
      </c>
      <c r="G116" s="14" t="s">
        <v>314</v>
      </c>
      <c r="H116" s="16" t="s">
        <v>176</v>
      </c>
      <c r="I116" s="73">
        <v>100000</v>
      </c>
      <c r="J116" s="17">
        <f>IF(G:G="FRENOS",(Tabla24567894[[#This Row],[TOTAL FACTURA]]*0.8),(Tabla24567894[[#This Row],[TOTAL FACTURA]]*0.5))</f>
        <v>80000</v>
      </c>
      <c r="K116" s="30">
        <f>I116-J116</f>
        <v>20000</v>
      </c>
      <c r="L116" s="4"/>
      <c r="M116" s="10"/>
      <c r="N116" s="10">
        <f>Tabla24567894[[#This Row],[MONTO DE COMPRA]]/1.19</f>
        <v>0</v>
      </c>
      <c r="O116" s="10">
        <f>Tabla24567894[[#This Row],[Columna1]]*19%</f>
        <v>0</v>
      </c>
      <c r="P116" s="10"/>
      <c r="Q116" s="10">
        <f>Tabla24567894[[#This Row],[VENTA ]]/1.19</f>
        <v>0</v>
      </c>
      <c r="R116" s="10">
        <f>Tabla24567894[[#This Row],[Columna2]]*19%</f>
        <v>0</v>
      </c>
      <c r="S116" s="10">
        <f>Tabla24567894[[#This Row],[IVA VENTA ]]-Tabla24567894[[#This Row],[IV COMPRA]]</f>
        <v>0</v>
      </c>
      <c r="T116" s="10">
        <f>(Tabla24567894[[#This Row],[VENTA ]]-(Tabla24567894[[#This Row],[MONTO DE COMPRA]]+Tabla24567894[[#This Row],[DIFERENCIA IVA ]]))</f>
        <v>0</v>
      </c>
      <c r="U116" s="17"/>
    </row>
    <row r="117" spans="1:21" s="15" customFormat="1" ht="32.25" hidden="1" customHeight="1" x14ac:dyDescent="0.25">
      <c r="A117" s="13">
        <v>44986</v>
      </c>
      <c r="B117" s="14"/>
      <c r="C117" s="14" t="s">
        <v>750</v>
      </c>
      <c r="D117" s="14" t="s">
        <v>751</v>
      </c>
      <c r="E117" s="15" t="s">
        <v>265</v>
      </c>
      <c r="F117" s="15" t="s">
        <v>19</v>
      </c>
      <c r="G117" s="14" t="s">
        <v>314</v>
      </c>
      <c r="H117" s="18" t="s">
        <v>20</v>
      </c>
      <c r="I117" s="73">
        <v>15000</v>
      </c>
      <c r="J117" s="17">
        <f>IF(G:G="FRENOS",(Tabla24567894[[#This Row],[TOTAL FACTURA]]*0.8),(Tabla24567894[[#This Row],[TOTAL FACTURA]]*0.5))</f>
        <v>12000</v>
      </c>
      <c r="K117" s="9">
        <f t="shared" si="1"/>
        <v>3000</v>
      </c>
      <c r="L117" s="4"/>
      <c r="M117" s="10"/>
      <c r="N117" s="10">
        <f>Tabla24567894[[#This Row],[MONTO DE COMPRA]]/1.19</f>
        <v>0</v>
      </c>
      <c r="O117" s="10">
        <f>Tabla24567894[[#This Row],[Columna1]]*19%</f>
        <v>0</v>
      </c>
      <c r="P117" s="10"/>
      <c r="Q117" s="10">
        <f>Tabla24567894[[#This Row],[VENTA ]]/1.19</f>
        <v>0</v>
      </c>
      <c r="R117" s="10">
        <f>Tabla24567894[[#This Row],[Columna2]]*19%</f>
        <v>0</v>
      </c>
      <c r="S117" s="10">
        <f>Tabla24567894[[#This Row],[IVA VENTA ]]-Tabla24567894[[#This Row],[IV COMPRA]]</f>
        <v>0</v>
      </c>
      <c r="T117" s="10">
        <f>(Tabla24567894[[#This Row],[VENTA ]]-(Tabla24567894[[#This Row],[MONTO DE COMPRA]]+Tabla24567894[[#This Row],[DIFERENCIA IVA ]]))</f>
        <v>0</v>
      </c>
      <c r="U117" s="17"/>
    </row>
    <row r="118" spans="1:21" s="15" customFormat="1" ht="20.100000000000001" hidden="1" customHeight="1" x14ac:dyDescent="0.25">
      <c r="A118" s="13">
        <v>44986</v>
      </c>
      <c r="B118" s="14"/>
      <c r="C118" s="2" t="s">
        <v>775</v>
      </c>
      <c r="D118" s="14" t="s">
        <v>776</v>
      </c>
      <c r="E118" s="15" t="s">
        <v>794</v>
      </c>
      <c r="F118" s="15" t="s">
        <v>19</v>
      </c>
      <c r="G118" s="14" t="s">
        <v>314</v>
      </c>
      <c r="H118" s="16" t="s">
        <v>778</v>
      </c>
      <c r="I118" s="73">
        <v>160000</v>
      </c>
      <c r="J118" s="17">
        <f>IF(G:G="FRENOS",(Tabla24567894[[#This Row],[TOTAL FACTURA]]*0.8),(Tabla24567894[[#This Row],[TOTAL FACTURA]]*0.5))</f>
        <v>128000</v>
      </c>
      <c r="K118" s="30">
        <f>I118-J118</f>
        <v>32000</v>
      </c>
      <c r="L118" s="4" t="s">
        <v>779</v>
      </c>
      <c r="M118" s="10">
        <v>112000</v>
      </c>
      <c r="N118" s="10">
        <f>Tabla24567894[[#This Row],[MONTO DE COMPRA]]/1.19</f>
        <v>94117.647058823539</v>
      </c>
      <c r="O118" s="10">
        <f>Tabla24567894[[#This Row],[Columna1]]*19%</f>
        <v>17882.352941176472</v>
      </c>
      <c r="P118" s="10">
        <v>150000</v>
      </c>
      <c r="Q118" s="10">
        <f>Tabla24567894[[#This Row],[VENTA ]]/1.19</f>
        <v>126050.42016806723</v>
      </c>
      <c r="R118" s="10">
        <f>Tabla24567894[[#This Row],[Columna2]]*19%</f>
        <v>23949.579831932773</v>
      </c>
      <c r="S118" s="10">
        <f>Tabla24567894[[#This Row],[IVA VENTA ]]-Tabla24567894[[#This Row],[IV COMPRA]]</f>
        <v>6067.2268907563011</v>
      </c>
      <c r="T118" s="10">
        <f>(Tabla24567894[[#This Row],[VENTA ]]-(Tabla24567894[[#This Row],[MONTO DE COMPRA]]+Tabla24567894[[#This Row],[DIFERENCIA IVA ]]))</f>
        <v>31932.773109243702</v>
      </c>
      <c r="U118" s="17"/>
    </row>
    <row r="119" spans="1:21" s="15" customFormat="1" ht="20.100000000000001" hidden="1" customHeight="1" x14ac:dyDescent="0.25">
      <c r="A119" s="13">
        <v>44986</v>
      </c>
      <c r="B119" s="14"/>
      <c r="C119" s="14" t="s">
        <v>752</v>
      </c>
      <c r="D119" s="14" t="s">
        <v>753</v>
      </c>
      <c r="E119" s="15" t="s">
        <v>777</v>
      </c>
      <c r="F119" s="15" t="s">
        <v>19</v>
      </c>
      <c r="G119" s="14" t="s">
        <v>314</v>
      </c>
      <c r="H119" s="18" t="s">
        <v>754</v>
      </c>
      <c r="I119" s="73">
        <v>40000</v>
      </c>
      <c r="J119" s="17">
        <f>IF(G:G="FRENOS",(Tabla24567894[[#This Row],[TOTAL FACTURA]]*0.8),(Tabla24567894[[#This Row],[TOTAL FACTURA]]*0.5))</f>
        <v>32000</v>
      </c>
      <c r="K119" s="9">
        <f t="shared" si="1"/>
        <v>8000</v>
      </c>
      <c r="L119" s="4" t="s">
        <v>755</v>
      </c>
      <c r="M119" s="10">
        <v>112000</v>
      </c>
      <c r="N119" s="10">
        <f>Tabla24567894[[#This Row],[MONTO DE COMPRA]]/1.19</f>
        <v>94117.647058823539</v>
      </c>
      <c r="O119" s="10">
        <f>Tabla24567894[[#This Row],[Columna1]]*19%</f>
        <v>17882.352941176472</v>
      </c>
      <c r="P119" s="10">
        <v>132000</v>
      </c>
      <c r="Q119" s="10">
        <f>Tabla24567894[[#This Row],[VENTA ]]/1.19</f>
        <v>110924.36974789917</v>
      </c>
      <c r="R119" s="10">
        <f>Tabla24567894[[#This Row],[Columna2]]*19%</f>
        <v>21075.630252100844</v>
      </c>
      <c r="S119" s="10">
        <f>Tabla24567894[[#This Row],[IVA VENTA ]]-Tabla24567894[[#This Row],[IV COMPRA]]</f>
        <v>3193.2773109243717</v>
      </c>
      <c r="T119" s="10">
        <f>(Tabla24567894[[#This Row],[VENTA ]]-(Tabla24567894[[#This Row],[MONTO DE COMPRA]]+Tabla24567894[[#This Row],[DIFERENCIA IVA ]]))</f>
        <v>16806.722689075628</v>
      </c>
      <c r="U119" s="17"/>
    </row>
    <row r="120" spans="1:21" s="15" customFormat="1" ht="20.100000000000001" hidden="1" customHeight="1" x14ac:dyDescent="0.25">
      <c r="A120" s="13">
        <v>44986</v>
      </c>
      <c r="B120" s="14"/>
      <c r="C120" s="14" t="s">
        <v>756</v>
      </c>
      <c r="D120" s="14" t="s">
        <v>757</v>
      </c>
      <c r="E120" s="15" t="s">
        <v>759</v>
      </c>
      <c r="F120" s="15" t="s">
        <v>35</v>
      </c>
      <c r="G120" s="14" t="s">
        <v>224</v>
      </c>
      <c r="H120" s="18" t="s">
        <v>758</v>
      </c>
      <c r="I120" s="17">
        <v>200000</v>
      </c>
      <c r="J120" s="17">
        <f>IF(G:G="FRENOS",(Tabla24567894[[#This Row],[TOTAL FACTURA]]*0.8),(Tabla24567894[[#This Row],[TOTAL FACTURA]]*0.5))</f>
        <v>100000</v>
      </c>
      <c r="K120" s="9">
        <f t="shared" si="1"/>
        <v>100000</v>
      </c>
      <c r="L120" s="4" t="s">
        <v>761</v>
      </c>
      <c r="M120" s="10">
        <v>250000</v>
      </c>
      <c r="N120" s="10">
        <f>Tabla24567894[[#This Row],[MONTO DE COMPRA]]/1.19</f>
        <v>210084.03361344538</v>
      </c>
      <c r="O120" s="10">
        <f>Tabla24567894[[#This Row],[Columna1]]*19%</f>
        <v>39915.966386554624</v>
      </c>
      <c r="P120" s="10">
        <v>280000</v>
      </c>
      <c r="Q120" s="10">
        <f>Tabla24567894[[#This Row],[VENTA ]]/1.19</f>
        <v>235294.11764705883</v>
      </c>
      <c r="R120" s="10">
        <f>Tabla24567894[[#This Row],[Columna2]]*19%</f>
        <v>44705.882352941175</v>
      </c>
      <c r="S120" s="10">
        <f>Tabla24567894[[#This Row],[IVA VENTA ]]-Tabla24567894[[#This Row],[IV COMPRA]]</f>
        <v>4789.9159663865503</v>
      </c>
      <c r="T120" s="10">
        <f>(Tabla24567894[[#This Row],[VENTA ]]-(Tabla24567894[[#This Row],[MONTO DE COMPRA]]+Tabla24567894[[#This Row],[DIFERENCIA IVA ]]))</f>
        <v>25210.084033613442</v>
      </c>
      <c r="U120" s="17"/>
    </row>
    <row r="121" spans="1:21" s="15" customFormat="1" ht="20.100000000000001" hidden="1" customHeight="1" x14ac:dyDescent="0.25">
      <c r="A121" s="13">
        <v>44986</v>
      </c>
      <c r="B121" s="14"/>
      <c r="C121" s="14" t="s">
        <v>756</v>
      </c>
      <c r="D121" s="14" t="s">
        <v>757</v>
      </c>
      <c r="E121" s="15" t="s">
        <v>759</v>
      </c>
      <c r="F121" s="15" t="s">
        <v>19</v>
      </c>
      <c r="G121" s="14" t="s">
        <v>224</v>
      </c>
      <c r="H121" s="18" t="s">
        <v>760</v>
      </c>
      <c r="I121" s="73">
        <v>80000</v>
      </c>
      <c r="J121" s="17">
        <v>50000</v>
      </c>
      <c r="K121" s="9">
        <f t="shared" si="1"/>
        <v>30000</v>
      </c>
      <c r="L121" s="4"/>
      <c r="M121" s="10"/>
      <c r="N121" s="10">
        <f>Tabla24567894[[#This Row],[MONTO DE COMPRA]]/1.19</f>
        <v>0</v>
      </c>
      <c r="O121" s="10">
        <f>Tabla24567894[[#This Row],[Columna1]]*19%</f>
        <v>0</v>
      </c>
      <c r="P121" s="10"/>
      <c r="Q121" s="10">
        <f>Tabla24567894[[#This Row],[VENTA ]]/1.19</f>
        <v>0</v>
      </c>
      <c r="R121" s="10">
        <f>Tabla24567894[[#This Row],[Columna2]]*19%</f>
        <v>0</v>
      </c>
      <c r="S121" s="10">
        <f>Tabla24567894[[#This Row],[IVA VENTA ]]-Tabla24567894[[#This Row],[IV COMPRA]]</f>
        <v>0</v>
      </c>
      <c r="T121" s="10">
        <f>(Tabla24567894[[#This Row],[VENTA ]]-(Tabla24567894[[#This Row],[MONTO DE COMPRA]]+Tabla24567894[[#This Row],[DIFERENCIA IVA ]]))</f>
        <v>0</v>
      </c>
      <c r="U121" s="17"/>
    </row>
    <row r="122" spans="1:21" s="15" customFormat="1" ht="20.100000000000001" hidden="1" customHeight="1" x14ac:dyDescent="0.25">
      <c r="A122" s="13">
        <v>44987</v>
      </c>
      <c r="B122" s="14"/>
      <c r="C122" s="14" t="s">
        <v>762</v>
      </c>
      <c r="D122" s="14" t="s">
        <v>763</v>
      </c>
      <c r="E122" s="15" t="s">
        <v>325</v>
      </c>
      <c r="F122" s="15" t="s">
        <v>19</v>
      </c>
      <c r="G122" s="14" t="s">
        <v>224</v>
      </c>
      <c r="H122" s="18" t="s">
        <v>764</v>
      </c>
      <c r="I122" s="73">
        <v>30000</v>
      </c>
      <c r="J122" s="17">
        <f>IF(G:G="FRENOS",(Tabla24567894[[#This Row],[TOTAL FACTURA]]*0.8),(Tabla24567894[[#This Row],[TOTAL FACTURA]]*0.5))</f>
        <v>15000</v>
      </c>
      <c r="K122" s="9">
        <f t="shared" si="1"/>
        <v>15000</v>
      </c>
      <c r="L122" s="4"/>
      <c r="M122" s="10"/>
      <c r="N122" s="10">
        <f>Tabla24567894[[#This Row],[MONTO DE COMPRA]]/1.19</f>
        <v>0</v>
      </c>
      <c r="O122" s="10">
        <f>Tabla24567894[[#This Row],[Columna1]]*19%</f>
        <v>0</v>
      </c>
      <c r="P122" s="10"/>
      <c r="Q122" s="10">
        <f>Tabla24567894[[#This Row],[VENTA ]]/1.19</f>
        <v>0</v>
      </c>
      <c r="R122" s="10">
        <f>Tabla24567894[[#This Row],[Columna2]]*19%</f>
        <v>0</v>
      </c>
      <c r="S122" s="10">
        <f>Tabla24567894[[#This Row],[IVA VENTA ]]-Tabla24567894[[#This Row],[IV COMPRA]]</f>
        <v>0</v>
      </c>
      <c r="T122" s="10">
        <f>(Tabla24567894[[#This Row],[VENTA ]]-(Tabla24567894[[#This Row],[MONTO DE COMPRA]]+Tabla24567894[[#This Row],[DIFERENCIA IVA ]]))</f>
        <v>0</v>
      </c>
      <c r="U122" s="17"/>
    </row>
    <row r="123" spans="1:21" s="15" customFormat="1" ht="20.100000000000001" hidden="1" customHeight="1" x14ac:dyDescent="0.25">
      <c r="A123" s="13">
        <v>44987</v>
      </c>
      <c r="B123" s="14"/>
      <c r="C123" s="14" t="s">
        <v>765</v>
      </c>
      <c r="D123" s="14" t="s">
        <v>766</v>
      </c>
      <c r="E123" s="15" t="s">
        <v>181</v>
      </c>
      <c r="F123" s="15" t="s">
        <v>19</v>
      </c>
      <c r="G123" s="14" t="s">
        <v>314</v>
      </c>
      <c r="H123" s="18" t="s">
        <v>21</v>
      </c>
      <c r="I123" s="73">
        <v>30000</v>
      </c>
      <c r="J123" s="17">
        <f>IF(G:G="FRENOS",(Tabla24567894[[#This Row],[TOTAL FACTURA]]*0.8),(Tabla24567894[[#This Row],[TOTAL FACTURA]]*0.5))</f>
        <v>24000</v>
      </c>
      <c r="K123" s="9">
        <f t="shared" si="1"/>
        <v>6000</v>
      </c>
      <c r="L123" s="4"/>
      <c r="M123" s="10"/>
      <c r="N123" s="10">
        <f>Tabla24567894[[#This Row],[MONTO DE COMPRA]]/1.19</f>
        <v>0</v>
      </c>
      <c r="O123" s="10">
        <f>Tabla24567894[[#This Row],[Columna1]]*19%</f>
        <v>0</v>
      </c>
      <c r="P123" s="10"/>
      <c r="Q123" s="10">
        <f>Tabla24567894[[#This Row],[VENTA ]]/1.19</f>
        <v>0</v>
      </c>
      <c r="R123" s="10">
        <f>Tabla24567894[[#This Row],[Columna2]]*19%</f>
        <v>0</v>
      </c>
      <c r="S123" s="10">
        <f>Tabla24567894[[#This Row],[IVA VENTA ]]-Tabla24567894[[#This Row],[IV COMPRA]]</f>
        <v>0</v>
      </c>
      <c r="T123" s="10">
        <f>(Tabla24567894[[#This Row],[VENTA ]]-(Tabla24567894[[#This Row],[MONTO DE COMPRA]]+Tabla24567894[[#This Row],[DIFERENCIA IVA ]]))</f>
        <v>0</v>
      </c>
      <c r="U123" s="17"/>
    </row>
    <row r="124" spans="1:21" s="15" customFormat="1" ht="20.100000000000001" hidden="1" customHeight="1" x14ac:dyDescent="0.25">
      <c r="A124" s="13">
        <v>44987</v>
      </c>
      <c r="B124" s="14">
        <v>614</v>
      </c>
      <c r="C124" s="14" t="s">
        <v>767</v>
      </c>
      <c r="D124" s="14" t="s">
        <v>768</v>
      </c>
      <c r="E124" s="14" t="s">
        <v>759</v>
      </c>
      <c r="F124" s="15" t="s">
        <v>19</v>
      </c>
      <c r="G124" s="14" t="s">
        <v>314</v>
      </c>
      <c r="H124" s="18" t="s">
        <v>769</v>
      </c>
      <c r="I124" s="73">
        <v>95000</v>
      </c>
      <c r="J124" s="17">
        <f>IF(G:G="FRENOS",(Tabla24567894[[#This Row],[TOTAL FACTURA]]*0.8),(Tabla24567894[[#This Row],[TOTAL FACTURA]]*0.5))</f>
        <v>76000</v>
      </c>
      <c r="K124" s="9">
        <f t="shared" si="1"/>
        <v>19000</v>
      </c>
      <c r="L124" s="4"/>
      <c r="M124" s="10"/>
      <c r="N124" s="10">
        <f>Tabla24567894[[#This Row],[MONTO DE COMPRA]]/1.19</f>
        <v>0</v>
      </c>
      <c r="O124" s="10">
        <f>Tabla24567894[[#This Row],[Columna1]]*19%</f>
        <v>0</v>
      </c>
      <c r="P124" s="10"/>
      <c r="Q124" s="10">
        <f>Tabla24567894[[#This Row],[VENTA ]]/1.19</f>
        <v>0</v>
      </c>
      <c r="R124" s="10">
        <f>Tabla24567894[[#This Row],[Columna2]]*19%</f>
        <v>0</v>
      </c>
      <c r="S124" s="10">
        <f>Tabla24567894[[#This Row],[IVA VENTA ]]-Tabla24567894[[#This Row],[IV COMPRA]]</f>
        <v>0</v>
      </c>
      <c r="T124" s="10">
        <f>(Tabla24567894[[#This Row],[VENTA ]]-(Tabla24567894[[#This Row],[MONTO DE COMPRA]]+Tabla24567894[[#This Row],[DIFERENCIA IVA ]]))</f>
        <v>0</v>
      </c>
      <c r="U124" s="17"/>
    </row>
    <row r="125" spans="1:21" s="15" customFormat="1" ht="20.100000000000001" hidden="1" customHeight="1" x14ac:dyDescent="0.25">
      <c r="A125" s="13">
        <v>44987</v>
      </c>
      <c r="B125" s="14"/>
      <c r="C125" s="14" t="s">
        <v>770</v>
      </c>
      <c r="D125" s="14" t="s">
        <v>771</v>
      </c>
      <c r="E125" s="15" t="s">
        <v>734</v>
      </c>
      <c r="F125" s="15" t="s">
        <v>19</v>
      </c>
      <c r="G125" s="14" t="s">
        <v>314</v>
      </c>
      <c r="H125" s="18" t="s">
        <v>20</v>
      </c>
      <c r="I125" s="73">
        <v>10000</v>
      </c>
      <c r="J125" s="17">
        <f>IF(G:G="FRENOS",(Tabla24567894[[#This Row],[TOTAL FACTURA]]*0.8),(Tabla24567894[[#This Row],[TOTAL FACTURA]]*0.5))</f>
        <v>8000</v>
      </c>
      <c r="K125" s="9">
        <f t="shared" si="1"/>
        <v>2000</v>
      </c>
      <c r="L125" s="4"/>
      <c r="M125" s="10"/>
      <c r="N125" s="10">
        <f>Tabla24567894[[#This Row],[MONTO DE COMPRA]]/1.19</f>
        <v>0</v>
      </c>
      <c r="O125" s="10">
        <f>Tabla24567894[[#This Row],[Columna1]]*19%</f>
        <v>0</v>
      </c>
      <c r="P125" s="10"/>
      <c r="Q125" s="10">
        <f>Tabla24567894[[#This Row],[VENTA ]]/1.19</f>
        <v>0</v>
      </c>
      <c r="R125" s="10">
        <f>Tabla24567894[[#This Row],[Columna2]]*19%</f>
        <v>0</v>
      </c>
      <c r="S125" s="10">
        <f>Tabla24567894[[#This Row],[IVA VENTA ]]-Tabla24567894[[#This Row],[IV COMPRA]]</f>
        <v>0</v>
      </c>
      <c r="T125" s="10">
        <f>(Tabla24567894[[#This Row],[VENTA ]]-(Tabla24567894[[#This Row],[MONTO DE COMPRA]]+Tabla24567894[[#This Row],[DIFERENCIA IVA ]]))</f>
        <v>0</v>
      </c>
      <c r="U125" s="17"/>
    </row>
    <row r="126" spans="1:21" s="15" customFormat="1" ht="20.100000000000001" hidden="1" customHeight="1" x14ac:dyDescent="0.25">
      <c r="A126" s="13">
        <v>44988</v>
      </c>
      <c r="B126" s="14" t="s">
        <v>780</v>
      </c>
      <c r="C126" s="14" t="s">
        <v>781</v>
      </c>
      <c r="D126" s="14" t="s">
        <v>782</v>
      </c>
      <c r="E126" s="15" t="s">
        <v>163</v>
      </c>
      <c r="F126" s="15" t="s">
        <v>19</v>
      </c>
      <c r="G126" s="14" t="s">
        <v>314</v>
      </c>
      <c r="H126" s="16" t="s">
        <v>194</v>
      </c>
      <c r="I126" s="73">
        <v>80000</v>
      </c>
      <c r="J126" s="17">
        <f>IF(G:G="FRENOS",(Tabla24567894[[#This Row],[TOTAL FACTURA]]*0.8),(Tabla24567894[[#This Row],[TOTAL FACTURA]]*0.5))</f>
        <v>64000</v>
      </c>
      <c r="K126" s="9">
        <f t="shared" si="1"/>
        <v>16000</v>
      </c>
      <c r="L126" s="4"/>
      <c r="M126" s="10"/>
      <c r="N126" s="10">
        <f>Tabla24567894[[#This Row],[MONTO DE COMPRA]]/1.19</f>
        <v>0</v>
      </c>
      <c r="O126" s="10">
        <f>Tabla24567894[[#This Row],[Columna1]]*19%</f>
        <v>0</v>
      </c>
      <c r="P126" s="10"/>
      <c r="Q126" s="10">
        <f>Tabla24567894[[#This Row],[VENTA ]]/1.19</f>
        <v>0</v>
      </c>
      <c r="R126" s="10">
        <f>Tabla24567894[[#This Row],[Columna2]]*19%</f>
        <v>0</v>
      </c>
      <c r="S126" s="10">
        <f>Tabla24567894[[#This Row],[IVA VENTA ]]-Tabla24567894[[#This Row],[IV COMPRA]]</f>
        <v>0</v>
      </c>
      <c r="T126" s="10">
        <f>(Tabla24567894[[#This Row],[VENTA ]]-(Tabla24567894[[#This Row],[MONTO DE COMPRA]]+Tabla24567894[[#This Row],[DIFERENCIA IVA ]]))</f>
        <v>0</v>
      </c>
      <c r="U126" s="17"/>
    </row>
    <row r="127" spans="1:21" s="15" customFormat="1" ht="20.100000000000001" hidden="1" customHeight="1" x14ac:dyDescent="0.25">
      <c r="A127" s="13">
        <v>44988</v>
      </c>
      <c r="B127" s="14" t="s">
        <v>783</v>
      </c>
      <c r="C127" s="14" t="s">
        <v>787</v>
      </c>
      <c r="D127" s="14" t="s">
        <v>784</v>
      </c>
      <c r="E127" s="15" t="s">
        <v>214</v>
      </c>
      <c r="F127" s="15" t="s">
        <v>35</v>
      </c>
      <c r="G127" s="14" t="s">
        <v>224</v>
      </c>
      <c r="H127" s="18" t="s">
        <v>785</v>
      </c>
      <c r="I127" s="17">
        <v>30000</v>
      </c>
      <c r="J127" s="17">
        <f>IF(G:G="FRENOS",(Tabla24567894[[#This Row],[TOTAL FACTURA]]*0.8),(Tabla24567894[[#This Row],[TOTAL FACTURA]]*0.5))</f>
        <v>15000</v>
      </c>
      <c r="K127" s="9">
        <f t="shared" si="1"/>
        <v>15000</v>
      </c>
      <c r="L127" s="4"/>
      <c r="M127" s="10"/>
      <c r="N127" s="10">
        <f>Tabla24567894[[#This Row],[MONTO DE COMPRA]]/1.19</f>
        <v>0</v>
      </c>
      <c r="O127" s="10">
        <f>Tabla24567894[[#This Row],[Columna1]]*19%</f>
        <v>0</v>
      </c>
      <c r="P127" s="10"/>
      <c r="Q127" s="10">
        <f>Tabla24567894[[#This Row],[VENTA ]]/1.19</f>
        <v>0</v>
      </c>
      <c r="R127" s="10">
        <f>Tabla24567894[[#This Row],[Columna2]]*19%</f>
        <v>0</v>
      </c>
      <c r="S127" s="10">
        <f>Tabla24567894[[#This Row],[IVA VENTA ]]-Tabla24567894[[#This Row],[IV COMPRA]]</f>
        <v>0</v>
      </c>
      <c r="T127" s="10">
        <f>(Tabla24567894[[#This Row],[VENTA ]]-(Tabla24567894[[#This Row],[MONTO DE COMPRA]]+Tabla24567894[[#This Row],[DIFERENCIA IVA ]]))</f>
        <v>0</v>
      </c>
      <c r="U127" s="17"/>
    </row>
    <row r="128" spans="1:21" s="15" customFormat="1" ht="20.100000000000001" hidden="1" customHeight="1" x14ac:dyDescent="0.25">
      <c r="A128" s="13">
        <v>44988</v>
      </c>
      <c r="B128" s="14"/>
      <c r="C128" s="14" t="s">
        <v>786</v>
      </c>
      <c r="D128" s="14" t="s">
        <v>788</v>
      </c>
      <c r="E128" s="15" t="s">
        <v>791</v>
      </c>
      <c r="F128" s="15" t="s">
        <v>19</v>
      </c>
      <c r="G128" s="14" t="s">
        <v>314</v>
      </c>
      <c r="H128" s="16" t="s">
        <v>789</v>
      </c>
      <c r="I128" s="73">
        <v>10000</v>
      </c>
      <c r="J128" s="17">
        <f>IF(G:G="FRENOS",(Tabla24567894[[#This Row],[TOTAL FACTURA]]*0.8),(Tabla24567894[[#This Row],[TOTAL FACTURA]]*0.5))</f>
        <v>8000</v>
      </c>
      <c r="K128" s="9">
        <f t="shared" si="1"/>
        <v>2000</v>
      </c>
      <c r="L128" s="4"/>
      <c r="M128" s="10"/>
      <c r="N128" s="10">
        <f>Tabla24567894[[#This Row],[MONTO DE COMPRA]]/1.19</f>
        <v>0</v>
      </c>
      <c r="O128" s="10">
        <f>Tabla24567894[[#This Row],[Columna1]]*19%</f>
        <v>0</v>
      </c>
      <c r="P128" s="10"/>
      <c r="Q128" s="10">
        <f>Tabla24567894[[#This Row],[VENTA ]]/1.19</f>
        <v>0</v>
      </c>
      <c r="R128" s="10">
        <f>Tabla24567894[[#This Row],[Columna2]]*19%</f>
        <v>0</v>
      </c>
      <c r="S128" s="10">
        <f>Tabla24567894[[#This Row],[IVA VENTA ]]-Tabla24567894[[#This Row],[IV COMPRA]]</f>
        <v>0</v>
      </c>
      <c r="T128" s="10">
        <f>(Tabla24567894[[#This Row],[VENTA ]]-(Tabla24567894[[#This Row],[MONTO DE COMPRA]]+Tabla24567894[[#This Row],[DIFERENCIA IVA ]]))</f>
        <v>0</v>
      </c>
      <c r="U128" s="17"/>
    </row>
    <row r="129" spans="1:21" s="15" customFormat="1" ht="20.100000000000001" hidden="1" customHeight="1" x14ac:dyDescent="0.25">
      <c r="A129" s="13">
        <v>44988</v>
      </c>
      <c r="B129" s="14"/>
      <c r="C129" s="14" t="s">
        <v>790</v>
      </c>
      <c r="D129" s="14" t="s">
        <v>164</v>
      </c>
      <c r="E129" s="15" t="s">
        <v>163</v>
      </c>
      <c r="F129" s="15" t="s">
        <v>35</v>
      </c>
      <c r="G129" s="14" t="s">
        <v>224</v>
      </c>
      <c r="H129" s="16" t="s">
        <v>792</v>
      </c>
      <c r="I129" s="17">
        <v>40000</v>
      </c>
      <c r="J129" s="17">
        <f>IF(G:G="FRENOS",(Tabla24567894[[#This Row],[TOTAL FACTURA]]*0.8),(Tabla24567894[[#This Row],[TOTAL FACTURA]]*0.5))</f>
        <v>20000</v>
      </c>
      <c r="K129" s="9">
        <f t="shared" si="1"/>
        <v>20000</v>
      </c>
      <c r="L129" s="4"/>
      <c r="M129" s="10"/>
      <c r="N129" s="10">
        <f>Tabla24567894[[#This Row],[MONTO DE COMPRA]]/1.19</f>
        <v>0</v>
      </c>
      <c r="O129" s="10">
        <f>Tabla24567894[[#This Row],[Columna1]]*19%</f>
        <v>0</v>
      </c>
      <c r="P129" s="10"/>
      <c r="Q129" s="10">
        <f>Tabla24567894[[#This Row],[VENTA ]]/1.19</f>
        <v>0</v>
      </c>
      <c r="R129" s="10">
        <f>Tabla24567894[[#This Row],[Columna2]]*19%</f>
        <v>0</v>
      </c>
      <c r="S129" s="10">
        <f>Tabla24567894[[#This Row],[IVA VENTA ]]-Tabla24567894[[#This Row],[IV COMPRA]]</f>
        <v>0</v>
      </c>
      <c r="T129" s="10">
        <f>(Tabla24567894[[#This Row],[VENTA ]]-(Tabla24567894[[#This Row],[MONTO DE COMPRA]]+Tabla24567894[[#This Row],[DIFERENCIA IVA ]]))</f>
        <v>0</v>
      </c>
      <c r="U129" s="17"/>
    </row>
    <row r="130" spans="1:21" s="15" customFormat="1" ht="20.100000000000001" hidden="1" customHeight="1" x14ac:dyDescent="0.25">
      <c r="A130" s="13">
        <v>44988</v>
      </c>
      <c r="B130" s="14"/>
      <c r="C130" s="14"/>
      <c r="D130" s="14" t="s">
        <v>793</v>
      </c>
      <c r="E130" s="15" t="s">
        <v>109</v>
      </c>
      <c r="F130" s="15" t="s">
        <v>19</v>
      </c>
      <c r="G130" s="14" t="s">
        <v>314</v>
      </c>
      <c r="H130" s="16" t="s">
        <v>84</v>
      </c>
      <c r="I130" s="73">
        <v>15000</v>
      </c>
      <c r="J130" s="17">
        <f>IF(G:G="FRENOS",(Tabla24567894[[#This Row],[TOTAL FACTURA]]*0.8),(Tabla24567894[[#This Row],[TOTAL FACTURA]]*0.5))</f>
        <v>12000</v>
      </c>
      <c r="K130" s="9">
        <f t="shared" si="1"/>
        <v>3000</v>
      </c>
      <c r="L130" s="4"/>
      <c r="M130" s="10"/>
      <c r="N130" s="10">
        <f>Tabla24567894[[#This Row],[MONTO DE COMPRA]]/1.19</f>
        <v>0</v>
      </c>
      <c r="O130" s="10">
        <f>Tabla24567894[[#This Row],[Columna1]]*19%</f>
        <v>0</v>
      </c>
      <c r="P130" s="10"/>
      <c r="Q130" s="10">
        <f>Tabla24567894[[#This Row],[VENTA ]]/1.19</f>
        <v>0</v>
      </c>
      <c r="R130" s="10">
        <f>Tabla24567894[[#This Row],[Columna2]]*19%</f>
        <v>0</v>
      </c>
      <c r="S130" s="10">
        <f>Tabla24567894[[#This Row],[IVA VENTA ]]-Tabla24567894[[#This Row],[IV COMPRA]]</f>
        <v>0</v>
      </c>
      <c r="T130" s="10">
        <f>(Tabla24567894[[#This Row],[VENTA ]]-(Tabla24567894[[#This Row],[MONTO DE COMPRA]]+Tabla24567894[[#This Row],[DIFERENCIA IVA ]]))</f>
        <v>0</v>
      </c>
      <c r="U130" s="17"/>
    </row>
    <row r="131" spans="1:21" s="15" customFormat="1" ht="20.100000000000001" hidden="1" customHeight="1" x14ac:dyDescent="0.25">
      <c r="A131" s="13">
        <v>44988</v>
      </c>
      <c r="B131" s="14"/>
      <c r="C131" s="14" t="s">
        <v>795</v>
      </c>
      <c r="D131" s="14" t="s">
        <v>796</v>
      </c>
      <c r="E131" s="15" t="s">
        <v>797</v>
      </c>
      <c r="F131" s="15" t="s">
        <v>19</v>
      </c>
      <c r="G131" s="14" t="s">
        <v>314</v>
      </c>
      <c r="H131" s="16" t="s">
        <v>137</v>
      </c>
      <c r="I131" s="73">
        <v>60000</v>
      </c>
      <c r="J131" s="17">
        <f>IF(G:G="FRENOS",(Tabla24567894[[#This Row],[TOTAL FACTURA]]*0.8),(Tabla24567894[[#This Row],[TOTAL FACTURA]]*0.5))</f>
        <v>48000</v>
      </c>
      <c r="K131" s="9">
        <f t="shared" si="1"/>
        <v>12000</v>
      </c>
      <c r="L131" s="4"/>
      <c r="M131" s="10"/>
      <c r="N131" s="10">
        <f>Tabla24567894[[#This Row],[MONTO DE COMPRA]]/1.19</f>
        <v>0</v>
      </c>
      <c r="O131" s="10">
        <f>Tabla24567894[[#This Row],[Columna1]]*19%</f>
        <v>0</v>
      </c>
      <c r="P131" s="10"/>
      <c r="Q131" s="10">
        <f>Tabla24567894[[#This Row],[VENTA ]]/1.19</f>
        <v>0</v>
      </c>
      <c r="R131" s="10">
        <f>Tabla24567894[[#This Row],[Columna2]]*19%</f>
        <v>0</v>
      </c>
      <c r="S131" s="10">
        <f>Tabla24567894[[#This Row],[IVA VENTA ]]-Tabla24567894[[#This Row],[IV COMPRA]]</f>
        <v>0</v>
      </c>
      <c r="T131" s="10">
        <f>(Tabla24567894[[#This Row],[VENTA ]]-(Tabla24567894[[#This Row],[MONTO DE COMPRA]]+Tabla24567894[[#This Row],[DIFERENCIA IVA ]]))</f>
        <v>0</v>
      </c>
      <c r="U131" s="17"/>
    </row>
    <row r="132" spans="1:21" s="15" customFormat="1" ht="20.100000000000001" hidden="1" customHeight="1" x14ac:dyDescent="0.25">
      <c r="A132" s="13">
        <v>44988</v>
      </c>
      <c r="B132" s="14"/>
      <c r="C132" s="14"/>
      <c r="D132" s="14" t="s">
        <v>798</v>
      </c>
      <c r="E132" s="15" t="s">
        <v>799</v>
      </c>
      <c r="F132" s="15" t="s">
        <v>35</v>
      </c>
      <c r="G132" s="14" t="s">
        <v>315</v>
      </c>
      <c r="H132" s="16" t="s">
        <v>800</v>
      </c>
      <c r="I132" s="17">
        <v>120000</v>
      </c>
      <c r="J132" s="17">
        <f>IF(G:G="FRENOS",(Tabla24567894[[#This Row],[TOTAL FACTURA]]*0.8),(Tabla24567894[[#This Row],[TOTAL FACTURA]]*0.5))</f>
        <v>60000</v>
      </c>
      <c r="K132" s="9">
        <f t="shared" si="1"/>
        <v>60000</v>
      </c>
      <c r="L132" s="4"/>
      <c r="M132" s="10"/>
      <c r="N132" s="10">
        <f>Tabla24567894[[#This Row],[MONTO DE COMPRA]]/1.19</f>
        <v>0</v>
      </c>
      <c r="O132" s="10">
        <f>Tabla24567894[[#This Row],[Columna1]]*19%</f>
        <v>0</v>
      </c>
      <c r="P132" s="10"/>
      <c r="Q132" s="10">
        <f>Tabla24567894[[#This Row],[VENTA ]]/1.19</f>
        <v>0</v>
      </c>
      <c r="R132" s="10">
        <f>Tabla24567894[[#This Row],[Columna2]]*19%</f>
        <v>0</v>
      </c>
      <c r="S132" s="10">
        <f>Tabla24567894[[#This Row],[IVA VENTA ]]-Tabla24567894[[#This Row],[IV COMPRA]]</f>
        <v>0</v>
      </c>
      <c r="T132" s="10">
        <f>(Tabla24567894[[#This Row],[VENTA ]]-(Tabla24567894[[#This Row],[MONTO DE COMPRA]]+Tabla24567894[[#This Row],[DIFERENCIA IVA ]]))</f>
        <v>0</v>
      </c>
      <c r="U132" s="17"/>
    </row>
    <row r="133" spans="1:21" s="15" customFormat="1" ht="33.75" hidden="1" customHeight="1" x14ac:dyDescent="0.25">
      <c r="A133" s="13">
        <v>44989</v>
      </c>
      <c r="B133" s="14" t="s">
        <v>832</v>
      </c>
      <c r="C133" s="2" t="s">
        <v>275</v>
      </c>
      <c r="D133" s="14" t="s">
        <v>273</v>
      </c>
      <c r="E133" s="15" t="s">
        <v>274</v>
      </c>
      <c r="F133" s="15" t="s">
        <v>19</v>
      </c>
      <c r="G133" s="14" t="s">
        <v>314</v>
      </c>
      <c r="H133" s="16" t="s">
        <v>863</v>
      </c>
      <c r="I133" s="73">
        <v>120000</v>
      </c>
      <c r="J133" s="17">
        <f>IF(G:G="FRENOS",(Tabla24567894[[#This Row],[TOTAL FACTURA]]*0.8),(Tabla24567894[[#This Row],[TOTAL FACTURA]]*0.5))</f>
        <v>96000</v>
      </c>
      <c r="K133" s="30">
        <f>I133-J133</f>
        <v>24000</v>
      </c>
      <c r="L133" s="4"/>
      <c r="M133" s="10"/>
      <c r="N133" s="10">
        <f>Tabla24567894[[#This Row],[MONTO DE COMPRA]]/1.19</f>
        <v>0</v>
      </c>
      <c r="O133" s="10">
        <f>Tabla24567894[[#This Row],[Columna1]]*19%</f>
        <v>0</v>
      </c>
      <c r="P133" s="10"/>
      <c r="Q133" s="10">
        <f>Tabla24567894[[#This Row],[VENTA ]]/1.19</f>
        <v>0</v>
      </c>
      <c r="R133" s="10">
        <f>Tabla24567894[[#This Row],[Columna2]]*19%</f>
        <v>0</v>
      </c>
      <c r="S133" s="10">
        <f>Tabla24567894[[#This Row],[IVA VENTA ]]-Tabla24567894[[#This Row],[IV COMPRA]]</f>
        <v>0</v>
      </c>
      <c r="T133" s="10">
        <f>(Tabla24567894[[#This Row],[VENTA ]]-(Tabla24567894[[#This Row],[MONTO DE COMPRA]]+Tabla24567894[[#This Row],[DIFERENCIA IVA ]]))</f>
        <v>0</v>
      </c>
      <c r="U133" s="17"/>
    </row>
    <row r="134" spans="1:21" s="15" customFormat="1" ht="20.100000000000001" hidden="1" customHeight="1" x14ac:dyDescent="0.25">
      <c r="A134" s="13">
        <v>44989</v>
      </c>
      <c r="B134" s="14"/>
      <c r="C134" s="14" t="s">
        <v>802</v>
      </c>
      <c r="D134" s="14" t="s">
        <v>803</v>
      </c>
      <c r="E134" s="15" t="s">
        <v>804</v>
      </c>
      <c r="F134" s="15" t="s">
        <v>19</v>
      </c>
      <c r="G134" s="14" t="s">
        <v>314</v>
      </c>
      <c r="H134" s="16" t="s">
        <v>805</v>
      </c>
      <c r="I134" s="73">
        <v>100000</v>
      </c>
      <c r="J134" s="17">
        <f>IF(G:G="FRENOS",(Tabla24567894[[#This Row],[TOTAL FACTURA]]*0.8),(Tabla24567894[[#This Row],[TOTAL FACTURA]]*0.5))</f>
        <v>80000</v>
      </c>
      <c r="K134" s="9">
        <f t="shared" ref="K134:K204" si="2">I134-J134</f>
        <v>20000</v>
      </c>
      <c r="L134" s="4" t="s">
        <v>806</v>
      </c>
      <c r="M134" s="10">
        <v>32000</v>
      </c>
      <c r="N134" s="10">
        <f>Tabla24567894[[#This Row],[MONTO DE COMPRA]]/1.19</f>
        <v>26890.756302521011</v>
      </c>
      <c r="O134" s="10">
        <f>Tabla24567894[[#This Row],[Columna1]]*19%</f>
        <v>5109.2436974789925</v>
      </c>
      <c r="P134" s="10">
        <v>40000</v>
      </c>
      <c r="Q134" s="10">
        <f>Tabla24567894[[#This Row],[VENTA ]]/1.19</f>
        <v>33613.445378151264</v>
      </c>
      <c r="R134" s="10">
        <f>Tabla24567894[[#This Row],[Columna2]]*19%</f>
        <v>6386.5546218487398</v>
      </c>
      <c r="S134" s="10">
        <f>Tabla24567894[[#This Row],[IVA VENTA ]]-Tabla24567894[[#This Row],[IV COMPRA]]</f>
        <v>1277.3109243697472</v>
      </c>
      <c r="T134" s="10">
        <f>(Tabla24567894[[#This Row],[VENTA ]]-(Tabla24567894[[#This Row],[MONTO DE COMPRA]]+Tabla24567894[[#This Row],[DIFERENCIA IVA ]]))</f>
        <v>6722.6890756302528</v>
      </c>
      <c r="U134" s="17"/>
    </row>
    <row r="135" spans="1:21" s="15" customFormat="1" ht="20.100000000000001" hidden="1" customHeight="1" x14ac:dyDescent="0.25">
      <c r="A135" s="13">
        <v>44989</v>
      </c>
      <c r="B135" s="14"/>
      <c r="C135" s="14" t="s">
        <v>807</v>
      </c>
      <c r="D135" s="14" t="s">
        <v>808</v>
      </c>
      <c r="E135" s="15" t="s">
        <v>150</v>
      </c>
      <c r="F135" s="15" t="s">
        <v>19</v>
      </c>
      <c r="G135" s="14" t="s">
        <v>314</v>
      </c>
      <c r="H135" s="16" t="s">
        <v>809</v>
      </c>
      <c r="I135" s="73">
        <v>20000</v>
      </c>
      <c r="J135" s="17">
        <f>IF(G:G="FRENOS",(Tabla24567894[[#This Row],[TOTAL FACTURA]]*0.8),(Tabla24567894[[#This Row],[TOTAL FACTURA]]*0.5))</f>
        <v>16000</v>
      </c>
      <c r="K135" s="9">
        <f t="shared" si="2"/>
        <v>4000</v>
      </c>
      <c r="L135" s="4" t="s">
        <v>810</v>
      </c>
      <c r="M135" s="10">
        <v>62000</v>
      </c>
      <c r="N135" s="10">
        <f>Tabla24567894[[#This Row],[MONTO DE COMPRA]]/1.19</f>
        <v>52100.840336134454</v>
      </c>
      <c r="O135" s="10">
        <f>Tabla24567894[[#This Row],[Columna1]]*19%</f>
        <v>9899.1596638655465</v>
      </c>
      <c r="P135" s="10">
        <v>75000</v>
      </c>
      <c r="Q135" s="10">
        <f>Tabla24567894[[#This Row],[VENTA ]]/1.19</f>
        <v>63025.210084033613</v>
      </c>
      <c r="R135" s="10">
        <f>Tabla24567894[[#This Row],[Columna2]]*19%</f>
        <v>11974.789915966387</v>
      </c>
      <c r="S135" s="10">
        <f>Tabla24567894[[#This Row],[IVA VENTA ]]-Tabla24567894[[#This Row],[IV COMPRA]]</f>
        <v>2075.6302521008402</v>
      </c>
      <c r="T135" s="10">
        <f>(Tabla24567894[[#This Row],[VENTA ]]-(Tabla24567894[[#This Row],[MONTO DE COMPRA]]+Tabla24567894[[#This Row],[DIFERENCIA IVA ]]))</f>
        <v>10924.36974789916</v>
      </c>
      <c r="U135" s="17"/>
    </row>
    <row r="136" spans="1:21" s="15" customFormat="1" ht="20.100000000000001" hidden="1" customHeight="1" x14ac:dyDescent="0.25">
      <c r="A136" s="13">
        <v>44991</v>
      </c>
      <c r="B136" s="14" t="s">
        <v>814</v>
      </c>
      <c r="C136" s="14" t="s">
        <v>811</v>
      </c>
      <c r="D136" s="14" t="s">
        <v>812</v>
      </c>
      <c r="E136" s="15" t="s">
        <v>109</v>
      </c>
      <c r="F136" s="15" t="s">
        <v>19</v>
      </c>
      <c r="G136" s="14" t="s">
        <v>224</v>
      </c>
      <c r="H136" s="16" t="s">
        <v>813</v>
      </c>
      <c r="I136" s="73">
        <v>30000</v>
      </c>
      <c r="J136" s="17">
        <f>IF(G:G="FRENOS",(Tabla24567894[[#This Row],[TOTAL FACTURA]]*0.8),(Tabla24567894[[#This Row],[TOTAL FACTURA]]*0.5))</f>
        <v>15000</v>
      </c>
      <c r="K136" s="9">
        <f t="shared" si="2"/>
        <v>15000</v>
      </c>
      <c r="L136" s="4"/>
      <c r="M136" s="10"/>
      <c r="N136" s="10">
        <f>Tabla24567894[[#This Row],[MONTO DE COMPRA]]/1.19</f>
        <v>0</v>
      </c>
      <c r="O136" s="10">
        <f>Tabla24567894[[#This Row],[Columna1]]*19%</f>
        <v>0</v>
      </c>
      <c r="P136" s="10"/>
      <c r="Q136" s="10">
        <f>Tabla24567894[[#This Row],[VENTA ]]/1.19</f>
        <v>0</v>
      </c>
      <c r="R136" s="10">
        <f>Tabla24567894[[#This Row],[Columna2]]*19%</f>
        <v>0</v>
      </c>
      <c r="S136" s="10">
        <f>Tabla24567894[[#This Row],[IVA VENTA ]]-Tabla24567894[[#This Row],[IV COMPRA]]</f>
        <v>0</v>
      </c>
      <c r="T136" s="10">
        <f>(Tabla24567894[[#This Row],[VENTA ]]-(Tabla24567894[[#This Row],[MONTO DE COMPRA]]+Tabla24567894[[#This Row],[DIFERENCIA IVA ]]))</f>
        <v>0</v>
      </c>
      <c r="U136" s="17"/>
    </row>
    <row r="137" spans="1:21" s="15" customFormat="1" ht="30.75" hidden="1" customHeight="1" x14ac:dyDescent="0.25">
      <c r="A137" s="13">
        <v>44991</v>
      </c>
      <c r="B137" s="14" t="s">
        <v>833</v>
      </c>
      <c r="C137" s="2" t="s">
        <v>834</v>
      </c>
      <c r="D137" s="14" t="s">
        <v>835</v>
      </c>
      <c r="E137" s="15" t="s">
        <v>797</v>
      </c>
      <c r="F137" s="15" t="s">
        <v>19</v>
      </c>
      <c r="G137" s="14" t="s">
        <v>224</v>
      </c>
      <c r="H137" s="16" t="s">
        <v>836</v>
      </c>
      <c r="I137" s="73">
        <v>200000</v>
      </c>
      <c r="J137" s="17">
        <f>IF(G:G="FRENOS",(Tabla24567894[[#This Row],[TOTAL FACTURA]]*0.8),(Tabla24567894[[#This Row],[TOTAL FACTURA]]*0.5))</f>
        <v>100000</v>
      </c>
      <c r="K137" s="30">
        <f>I137-J137</f>
        <v>100000</v>
      </c>
      <c r="L137" s="4"/>
      <c r="M137" s="10"/>
      <c r="N137" s="10">
        <f>Tabla24567894[[#This Row],[MONTO DE COMPRA]]/1.19</f>
        <v>0</v>
      </c>
      <c r="O137" s="10">
        <f>Tabla24567894[[#This Row],[Columna1]]*19%</f>
        <v>0</v>
      </c>
      <c r="P137" s="10"/>
      <c r="Q137" s="10">
        <f>Tabla24567894[[#This Row],[VENTA ]]/1.19</f>
        <v>0</v>
      </c>
      <c r="R137" s="10">
        <f>Tabla24567894[[#This Row],[Columna2]]*19%</f>
        <v>0</v>
      </c>
      <c r="S137" s="10">
        <f>Tabla24567894[[#This Row],[IVA VENTA ]]-Tabla24567894[[#This Row],[IV COMPRA]]</f>
        <v>0</v>
      </c>
      <c r="T137" s="10">
        <f>(Tabla24567894[[#This Row],[VENTA ]]-(Tabla24567894[[#This Row],[MONTO DE COMPRA]]+Tabla24567894[[#This Row],[DIFERENCIA IVA ]]))</f>
        <v>0</v>
      </c>
      <c r="U137" s="17"/>
    </row>
    <row r="138" spans="1:21" s="15" customFormat="1" ht="20.100000000000001" hidden="1" customHeight="1" x14ac:dyDescent="0.25">
      <c r="A138" s="13">
        <v>44991</v>
      </c>
      <c r="B138" s="14" t="s">
        <v>819</v>
      </c>
      <c r="C138" s="14" t="s">
        <v>815</v>
      </c>
      <c r="D138" s="14" t="s">
        <v>816</v>
      </c>
      <c r="E138" s="15" t="s">
        <v>345</v>
      </c>
      <c r="F138" s="15" t="s">
        <v>19</v>
      </c>
      <c r="G138" s="14" t="s">
        <v>314</v>
      </c>
      <c r="H138" s="16" t="s">
        <v>817</v>
      </c>
      <c r="I138" s="73">
        <v>70000</v>
      </c>
      <c r="J138" s="17">
        <f>IF(G:G="FRENOS",(Tabla24567894[[#This Row],[TOTAL FACTURA]]*0.8),(Tabla24567894[[#This Row],[TOTAL FACTURA]]*0.5))</f>
        <v>56000</v>
      </c>
      <c r="K138" s="9">
        <f t="shared" si="2"/>
        <v>14000</v>
      </c>
      <c r="L138" s="4" t="s">
        <v>818</v>
      </c>
      <c r="M138" s="10">
        <v>75000</v>
      </c>
      <c r="N138" s="10">
        <f>Tabla24567894[[#This Row],[MONTO DE COMPRA]]/1.19</f>
        <v>63025.210084033613</v>
      </c>
      <c r="O138" s="10">
        <f>Tabla24567894[[#This Row],[Columna1]]*19%</f>
        <v>11974.789915966387</v>
      </c>
      <c r="P138" s="10">
        <v>100000</v>
      </c>
      <c r="Q138" s="10">
        <f>Tabla24567894[[#This Row],[VENTA ]]/1.19</f>
        <v>84033.613445378156</v>
      </c>
      <c r="R138" s="10">
        <f>Tabla24567894[[#This Row],[Columna2]]*19%</f>
        <v>15966.386554621849</v>
      </c>
      <c r="S138" s="10">
        <f>Tabla24567894[[#This Row],[IVA VENTA ]]-Tabla24567894[[#This Row],[IV COMPRA]]</f>
        <v>3991.5966386554628</v>
      </c>
      <c r="T138" s="10">
        <f>(Tabla24567894[[#This Row],[VENTA ]]-(Tabla24567894[[#This Row],[MONTO DE COMPRA]]+Tabla24567894[[#This Row],[DIFERENCIA IVA ]]))</f>
        <v>21008.403361344535</v>
      </c>
      <c r="U138" s="17"/>
    </row>
    <row r="139" spans="1:21" s="15" customFormat="1" ht="31.5" hidden="1" customHeight="1" x14ac:dyDescent="0.25">
      <c r="A139" s="13">
        <v>44992</v>
      </c>
      <c r="B139" s="14"/>
      <c r="C139" s="2" t="s">
        <v>837</v>
      </c>
      <c r="D139" s="14" t="s">
        <v>703</v>
      </c>
      <c r="E139" s="15" t="s">
        <v>34</v>
      </c>
      <c r="F139" s="15" t="s">
        <v>19</v>
      </c>
      <c r="G139" s="14" t="s">
        <v>314</v>
      </c>
      <c r="H139" s="16" t="s">
        <v>838</v>
      </c>
      <c r="I139" s="73">
        <v>160000</v>
      </c>
      <c r="J139" s="17">
        <f>IF(G:G="FRENOS",(Tabla24567894[[#This Row],[TOTAL FACTURA]]*0.8),(Tabla24567894[[#This Row],[TOTAL FACTURA]]*0.5))</f>
        <v>128000</v>
      </c>
      <c r="K139" s="30">
        <f>I139-J139</f>
        <v>32000</v>
      </c>
      <c r="L139" s="4"/>
      <c r="M139" s="10"/>
      <c r="N139" s="10">
        <f>Tabla24567894[[#This Row],[MONTO DE COMPRA]]/1.19</f>
        <v>0</v>
      </c>
      <c r="O139" s="10">
        <f>Tabla24567894[[#This Row],[Columna1]]*19%</f>
        <v>0</v>
      </c>
      <c r="P139" s="10"/>
      <c r="Q139" s="10">
        <f>Tabla24567894[[#This Row],[VENTA ]]/1.19</f>
        <v>0</v>
      </c>
      <c r="R139" s="10">
        <f>Tabla24567894[[#This Row],[Columna2]]*19%</f>
        <v>0</v>
      </c>
      <c r="S139" s="10">
        <f>Tabla24567894[[#This Row],[IVA VENTA ]]-Tabla24567894[[#This Row],[IV COMPRA]]</f>
        <v>0</v>
      </c>
      <c r="T139" s="10">
        <f>(Tabla24567894[[#This Row],[VENTA ]]-(Tabla24567894[[#This Row],[MONTO DE COMPRA]]+Tabla24567894[[#This Row],[DIFERENCIA IVA ]]))</f>
        <v>0</v>
      </c>
      <c r="U139" s="17"/>
    </row>
    <row r="140" spans="1:21" s="15" customFormat="1" ht="26.25" hidden="1" customHeight="1" x14ac:dyDescent="0.25">
      <c r="A140" s="13">
        <v>44992</v>
      </c>
      <c r="B140" s="14"/>
      <c r="C140" s="14" t="s">
        <v>820</v>
      </c>
      <c r="D140" s="14" t="s">
        <v>821</v>
      </c>
      <c r="E140" s="15" t="s">
        <v>153</v>
      </c>
      <c r="F140" s="15" t="s">
        <v>19</v>
      </c>
      <c r="G140" s="14" t="s">
        <v>224</v>
      </c>
      <c r="H140" s="16" t="s">
        <v>822</v>
      </c>
      <c r="I140" s="73">
        <v>250000</v>
      </c>
      <c r="J140" s="17">
        <f>IF(G:G="FRENOS",(Tabla24567894[[#This Row],[TOTAL FACTURA]]*0.8),(Tabla24567894[[#This Row],[TOTAL FACTURA]]*0.5))</f>
        <v>125000</v>
      </c>
      <c r="K140" s="9">
        <f t="shared" si="2"/>
        <v>125000</v>
      </c>
      <c r="L140" s="4"/>
      <c r="M140" s="10"/>
      <c r="N140" s="10">
        <f>Tabla24567894[[#This Row],[MONTO DE COMPRA]]/1.19</f>
        <v>0</v>
      </c>
      <c r="O140" s="10">
        <f>Tabla24567894[[#This Row],[Columna1]]*19%</f>
        <v>0</v>
      </c>
      <c r="P140" s="10"/>
      <c r="Q140" s="10">
        <f>Tabla24567894[[#This Row],[VENTA ]]/1.19</f>
        <v>0</v>
      </c>
      <c r="R140" s="10">
        <f>Tabla24567894[[#This Row],[Columna2]]*19%</f>
        <v>0</v>
      </c>
      <c r="S140" s="10">
        <f>Tabla24567894[[#This Row],[IVA VENTA ]]-Tabla24567894[[#This Row],[IV COMPRA]]</f>
        <v>0</v>
      </c>
      <c r="T140" s="10">
        <f>(Tabla24567894[[#This Row],[VENTA ]]-(Tabla24567894[[#This Row],[MONTO DE COMPRA]]+Tabla24567894[[#This Row],[DIFERENCIA IVA ]]))</f>
        <v>0</v>
      </c>
      <c r="U140" s="17"/>
    </row>
    <row r="141" spans="1:21" s="15" customFormat="1" ht="20.100000000000001" hidden="1" customHeight="1" x14ac:dyDescent="0.25">
      <c r="A141" s="13">
        <v>44993</v>
      </c>
      <c r="B141" s="14" t="s">
        <v>823</v>
      </c>
      <c r="C141" s="14" t="s">
        <v>29</v>
      </c>
      <c r="D141" s="14" t="s">
        <v>30</v>
      </c>
      <c r="E141" s="15" t="s">
        <v>34</v>
      </c>
      <c r="F141" s="15" t="s">
        <v>19</v>
      </c>
      <c r="G141" s="14" t="s">
        <v>314</v>
      </c>
      <c r="H141" s="16" t="s">
        <v>824</v>
      </c>
      <c r="I141" s="73">
        <v>40000</v>
      </c>
      <c r="J141" s="17">
        <f>IF(G:G="FRENOS",(Tabla24567894[[#This Row],[TOTAL FACTURA]]*0.8),(Tabla24567894[[#This Row],[TOTAL FACTURA]]*0.5))</f>
        <v>32000</v>
      </c>
      <c r="K141" s="9">
        <f t="shared" si="2"/>
        <v>8000</v>
      </c>
      <c r="L141" s="4" t="s">
        <v>825</v>
      </c>
      <c r="M141" s="10">
        <v>36000</v>
      </c>
      <c r="N141" s="10">
        <f>Tabla24567894[[#This Row],[MONTO DE COMPRA]]/1.19</f>
        <v>30252.100840336137</v>
      </c>
      <c r="O141" s="10">
        <f>Tabla24567894[[#This Row],[Columna1]]*19%</f>
        <v>5747.8991596638662</v>
      </c>
      <c r="P141" s="10">
        <v>45000</v>
      </c>
      <c r="Q141" s="10">
        <f>Tabla24567894[[#This Row],[VENTA ]]/1.19</f>
        <v>37815.126050420171</v>
      </c>
      <c r="R141" s="10">
        <f>Tabla24567894[[#This Row],[Columna2]]*19%</f>
        <v>7184.8739495798327</v>
      </c>
      <c r="S141" s="10">
        <f>Tabla24567894[[#This Row],[IVA VENTA ]]-Tabla24567894[[#This Row],[IV COMPRA]]</f>
        <v>1436.9747899159665</v>
      </c>
      <c r="T141" s="10">
        <f>(Tabla24567894[[#This Row],[VENTA ]]-(Tabla24567894[[#This Row],[MONTO DE COMPRA]]+Tabla24567894[[#This Row],[DIFERENCIA IVA ]]))</f>
        <v>7563.0252100840298</v>
      </c>
      <c r="U141" s="17"/>
    </row>
    <row r="142" spans="1:21" s="15" customFormat="1" ht="20.100000000000001" hidden="1" customHeight="1" x14ac:dyDescent="0.25">
      <c r="A142" s="13">
        <v>44993</v>
      </c>
      <c r="B142" s="14"/>
      <c r="C142" s="93"/>
      <c r="D142" s="14"/>
      <c r="E142" s="15" t="s">
        <v>150</v>
      </c>
      <c r="F142" s="15" t="s">
        <v>19</v>
      </c>
      <c r="G142" s="14" t="s">
        <v>314</v>
      </c>
      <c r="H142" s="16" t="s">
        <v>20</v>
      </c>
      <c r="I142" s="73">
        <v>15000</v>
      </c>
      <c r="J142" s="17">
        <f>IF(G:G="FRENOS",(Tabla24567894[[#This Row],[TOTAL FACTURA]]*0.8),(Tabla24567894[[#This Row],[TOTAL FACTURA]]*0.5))</f>
        <v>12000</v>
      </c>
      <c r="K142" s="30">
        <f>I142-J142</f>
        <v>3000</v>
      </c>
      <c r="L142" s="4"/>
      <c r="M142" s="10"/>
      <c r="N142" s="10">
        <f>Tabla24567894[[#This Row],[MONTO DE COMPRA]]/1.19</f>
        <v>0</v>
      </c>
      <c r="O142" s="10">
        <f>Tabla24567894[[#This Row],[Columna1]]*19%</f>
        <v>0</v>
      </c>
      <c r="P142" s="10"/>
      <c r="Q142" s="10">
        <f>Tabla24567894[[#This Row],[VENTA ]]/1.19</f>
        <v>0</v>
      </c>
      <c r="R142" s="10">
        <f>Tabla24567894[[#This Row],[Columna2]]*19%</f>
        <v>0</v>
      </c>
      <c r="S142" s="10">
        <f>Tabla24567894[[#This Row],[IVA VENTA ]]-Tabla24567894[[#This Row],[IV COMPRA]]</f>
        <v>0</v>
      </c>
      <c r="T142" s="10">
        <f>(Tabla24567894[[#This Row],[VENTA ]]-(Tabla24567894[[#This Row],[MONTO DE COMPRA]]+Tabla24567894[[#This Row],[DIFERENCIA IVA ]]))</f>
        <v>0</v>
      </c>
      <c r="U142" s="17"/>
    </row>
    <row r="143" spans="1:21" s="15" customFormat="1" ht="20.100000000000001" hidden="1" customHeight="1" x14ac:dyDescent="0.25">
      <c r="A143" s="13">
        <v>44993</v>
      </c>
      <c r="B143" s="14"/>
      <c r="C143" s="14" t="s">
        <v>826</v>
      </c>
      <c r="D143" s="14" t="s">
        <v>827</v>
      </c>
      <c r="E143" s="15" t="s">
        <v>539</v>
      </c>
      <c r="F143" s="15" t="s">
        <v>19</v>
      </c>
      <c r="G143" s="14" t="s">
        <v>314</v>
      </c>
      <c r="H143" s="16" t="s">
        <v>201</v>
      </c>
      <c r="I143" s="73">
        <v>15000</v>
      </c>
      <c r="J143" s="17">
        <f>IF(G:G="FRENOS",(Tabla24567894[[#This Row],[TOTAL FACTURA]]*0.8),(Tabla24567894[[#This Row],[TOTAL FACTURA]]*0.5))</f>
        <v>12000</v>
      </c>
      <c r="K143" s="9">
        <f t="shared" si="2"/>
        <v>3000</v>
      </c>
      <c r="L143" s="4"/>
      <c r="M143" s="10"/>
      <c r="N143" s="10">
        <f>Tabla24567894[[#This Row],[MONTO DE COMPRA]]/1.19</f>
        <v>0</v>
      </c>
      <c r="O143" s="10">
        <f>Tabla24567894[[#This Row],[Columna1]]*19%</f>
        <v>0</v>
      </c>
      <c r="P143" s="10"/>
      <c r="Q143" s="10">
        <f>Tabla24567894[[#This Row],[VENTA ]]/1.19</f>
        <v>0</v>
      </c>
      <c r="R143" s="10">
        <f>Tabla24567894[[#This Row],[Columna2]]*19%</f>
        <v>0</v>
      </c>
      <c r="S143" s="10">
        <f>Tabla24567894[[#This Row],[IVA VENTA ]]-Tabla24567894[[#This Row],[IV COMPRA]]</f>
        <v>0</v>
      </c>
      <c r="T143" s="10">
        <f>(Tabla24567894[[#This Row],[VENTA ]]-(Tabla24567894[[#This Row],[MONTO DE COMPRA]]+Tabla24567894[[#This Row],[DIFERENCIA IVA ]]))</f>
        <v>0</v>
      </c>
      <c r="U143" s="17"/>
    </row>
    <row r="144" spans="1:21" s="15" customFormat="1" ht="20.100000000000001" hidden="1" customHeight="1" x14ac:dyDescent="0.25">
      <c r="A144" s="13">
        <v>44993</v>
      </c>
      <c r="B144" s="14"/>
      <c r="C144" s="14" t="s">
        <v>828</v>
      </c>
      <c r="D144" s="14" t="s">
        <v>829</v>
      </c>
      <c r="E144" s="15" t="s">
        <v>328</v>
      </c>
      <c r="F144" s="15" t="s">
        <v>19</v>
      </c>
      <c r="G144" s="14" t="s">
        <v>224</v>
      </c>
      <c r="H144" s="16" t="s">
        <v>669</v>
      </c>
      <c r="I144" s="73">
        <v>150000</v>
      </c>
      <c r="J144" s="17">
        <v>80000</v>
      </c>
      <c r="K144" s="9">
        <f t="shared" si="2"/>
        <v>70000</v>
      </c>
      <c r="L144" s="4"/>
      <c r="M144" s="10"/>
      <c r="N144" s="10">
        <f>Tabla24567894[[#This Row],[MONTO DE COMPRA]]/1.19</f>
        <v>0</v>
      </c>
      <c r="O144" s="10">
        <f>Tabla24567894[[#This Row],[Columna1]]*19%</f>
        <v>0</v>
      </c>
      <c r="P144" s="10"/>
      <c r="Q144" s="10">
        <f>Tabla24567894[[#This Row],[VENTA ]]/1.19</f>
        <v>0</v>
      </c>
      <c r="R144" s="10">
        <f>Tabla24567894[[#This Row],[Columna2]]*19%</f>
        <v>0</v>
      </c>
      <c r="S144" s="10">
        <f>Tabla24567894[[#This Row],[IVA VENTA ]]-Tabla24567894[[#This Row],[IV COMPRA]]</f>
        <v>0</v>
      </c>
      <c r="T144" s="10">
        <f>(Tabla24567894[[#This Row],[VENTA ]]-(Tabla24567894[[#This Row],[MONTO DE COMPRA]]+Tabla24567894[[#This Row],[DIFERENCIA IVA ]]))</f>
        <v>0</v>
      </c>
      <c r="U144" s="17"/>
    </row>
    <row r="145" spans="1:21" s="15" customFormat="1" ht="20.100000000000001" hidden="1" customHeight="1" x14ac:dyDescent="0.25">
      <c r="A145" s="13">
        <v>44994</v>
      </c>
      <c r="B145" s="14"/>
      <c r="C145" s="14" t="s">
        <v>830</v>
      </c>
      <c r="D145" s="14" t="s">
        <v>831</v>
      </c>
      <c r="E145" s="15" t="s">
        <v>596</v>
      </c>
      <c r="F145" s="15" t="s">
        <v>19</v>
      </c>
      <c r="G145" s="14" t="s">
        <v>314</v>
      </c>
      <c r="H145" s="16" t="s">
        <v>20</v>
      </c>
      <c r="I145" s="73">
        <v>10000</v>
      </c>
      <c r="J145" s="17">
        <f>IF(G:G="FRENOS",(Tabla24567894[[#This Row],[TOTAL FACTURA]]*0.8),(Tabla24567894[[#This Row],[TOTAL FACTURA]]*0.5))</f>
        <v>8000</v>
      </c>
      <c r="K145" s="9">
        <f t="shared" si="2"/>
        <v>2000</v>
      </c>
      <c r="L145" s="4"/>
      <c r="M145" s="10"/>
      <c r="N145" s="10">
        <f>Tabla24567894[[#This Row],[MONTO DE COMPRA]]/1.19</f>
        <v>0</v>
      </c>
      <c r="O145" s="10">
        <f>Tabla24567894[[#This Row],[Columna1]]*19%</f>
        <v>0</v>
      </c>
      <c r="P145" s="10"/>
      <c r="Q145" s="10">
        <f>Tabla24567894[[#This Row],[VENTA ]]/1.19</f>
        <v>0</v>
      </c>
      <c r="R145" s="10">
        <f>Tabla24567894[[#This Row],[Columna2]]*19%</f>
        <v>0</v>
      </c>
      <c r="S145" s="10">
        <f>Tabla24567894[[#This Row],[IVA VENTA ]]-Tabla24567894[[#This Row],[IV COMPRA]]</f>
        <v>0</v>
      </c>
      <c r="T145" s="10">
        <f>(Tabla24567894[[#This Row],[VENTA ]]-(Tabla24567894[[#This Row],[MONTO DE COMPRA]]+Tabla24567894[[#This Row],[DIFERENCIA IVA ]]))</f>
        <v>0</v>
      </c>
      <c r="U145" s="17"/>
    </row>
    <row r="146" spans="1:21" s="15" customFormat="1" ht="20.100000000000001" hidden="1" customHeight="1" x14ac:dyDescent="0.25">
      <c r="A146" s="13">
        <v>44994</v>
      </c>
      <c r="B146" s="14" t="s">
        <v>839</v>
      </c>
      <c r="C146" s="14" t="s">
        <v>830</v>
      </c>
      <c r="D146" s="14" t="s">
        <v>840</v>
      </c>
      <c r="E146" s="15" t="s">
        <v>552</v>
      </c>
      <c r="F146" s="15" t="s">
        <v>19</v>
      </c>
      <c r="G146" s="14" t="s">
        <v>224</v>
      </c>
      <c r="H146" s="16" t="s">
        <v>841</v>
      </c>
      <c r="I146" s="73">
        <v>120000</v>
      </c>
      <c r="J146" s="17">
        <f>IF(G:G="FRENOS",(Tabla24567894[[#This Row],[TOTAL FACTURA]]*0.8),(Tabla24567894[[#This Row],[TOTAL FACTURA]]*0.5))</f>
        <v>60000</v>
      </c>
      <c r="K146" s="9">
        <f t="shared" si="2"/>
        <v>60000</v>
      </c>
      <c r="L146" s="4"/>
      <c r="M146" s="10"/>
      <c r="N146" s="10">
        <f>Tabla24567894[[#This Row],[MONTO DE COMPRA]]/1.19</f>
        <v>0</v>
      </c>
      <c r="O146" s="10">
        <f>Tabla24567894[[#This Row],[Columna1]]*19%</f>
        <v>0</v>
      </c>
      <c r="P146" s="10"/>
      <c r="Q146" s="10">
        <f>Tabla24567894[[#This Row],[VENTA ]]/1.19</f>
        <v>0</v>
      </c>
      <c r="R146" s="10">
        <f>Tabla24567894[[#This Row],[Columna2]]*19%</f>
        <v>0</v>
      </c>
      <c r="S146" s="10">
        <f>Tabla24567894[[#This Row],[IVA VENTA ]]-Tabla24567894[[#This Row],[IV COMPRA]]</f>
        <v>0</v>
      </c>
      <c r="T146" s="10">
        <f>(Tabla24567894[[#This Row],[VENTA ]]-(Tabla24567894[[#This Row],[MONTO DE COMPRA]]+Tabla24567894[[#This Row],[DIFERENCIA IVA ]]))</f>
        <v>0</v>
      </c>
      <c r="U146" s="17"/>
    </row>
    <row r="147" spans="1:21" s="15" customFormat="1" ht="20.100000000000001" hidden="1" customHeight="1" x14ac:dyDescent="0.25">
      <c r="A147" s="13">
        <v>44994</v>
      </c>
      <c r="B147" s="14" t="s">
        <v>839</v>
      </c>
      <c r="C147" s="14" t="s">
        <v>830</v>
      </c>
      <c r="D147" s="14" t="s">
        <v>842</v>
      </c>
      <c r="E147" s="15" t="s">
        <v>552</v>
      </c>
      <c r="F147" s="15" t="s">
        <v>41</v>
      </c>
      <c r="G147" s="14" t="s">
        <v>224</v>
      </c>
      <c r="H147" s="16" t="s">
        <v>858</v>
      </c>
      <c r="I147" s="17">
        <v>420000</v>
      </c>
      <c r="J147" s="17">
        <f>IF(G:G="FRENOS",(Tabla24567894[[#This Row],[TOTAL FACTURA]]*0.8),(Tabla24567894[[#This Row],[TOTAL FACTURA]]*0.5))</f>
        <v>210000</v>
      </c>
      <c r="K147" s="30">
        <f>I147-J147</f>
        <v>210000</v>
      </c>
      <c r="L147" s="4"/>
      <c r="M147" s="10"/>
      <c r="N147" s="10">
        <f>Tabla24567894[[#This Row],[MONTO DE COMPRA]]/1.19</f>
        <v>0</v>
      </c>
      <c r="O147" s="10">
        <f>Tabla24567894[[#This Row],[Columna1]]*19%</f>
        <v>0</v>
      </c>
      <c r="P147" s="10"/>
      <c r="Q147" s="10">
        <f>Tabla24567894[[#This Row],[VENTA ]]/1.19</f>
        <v>0</v>
      </c>
      <c r="R147" s="10">
        <f>Tabla24567894[[#This Row],[Columna2]]*19%</f>
        <v>0</v>
      </c>
      <c r="S147" s="10">
        <f>Tabla24567894[[#This Row],[IVA VENTA ]]-Tabla24567894[[#This Row],[IV COMPRA]]</f>
        <v>0</v>
      </c>
      <c r="T147" s="10">
        <f>(Tabla24567894[[#This Row],[VENTA ]]-(Tabla24567894[[#This Row],[MONTO DE COMPRA]]+Tabla24567894[[#This Row],[DIFERENCIA IVA ]]))</f>
        <v>0</v>
      </c>
      <c r="U147" s="17"/>
    </row>
    <row r="148" spans="1:21" s="15" customFormat="1" ht="20.100000000000001" hidden="1" customHeight="1" x14ac:dyDescent="0.25">
      <c r="A148" s="13">
        <v>44994</v>
      </c>
      <c r="B148" s="14"/>
      <c r="C148" s="93"/>
      <c r="D148" s="14"/>
      <c r="E148" s="15" t="s">
        <v>265</v>
      </c>
      <c r="F148" s="15" t="s">
        <v>19</v>
      </c>
      <c r="G148" s="14" t="s">
        <v>314</v>
      </c>
      <c r="H148" s="16" t="s">
        <v>20</v>
      </c>
      <c r="I148" s="73">
        <v>10000</v>
      </c>
      <c r="J148" s="17">
        <f>IF(G:G="FRENOS",(Tabla24567894[[#This Row],[TOTAL FACTURA]]*0.8),(Tabla24567894[[#This Row],[TOTAL FACTURA]]*0.5))</f>
        <v>8000</v>
      </c>
      <c r="K148" s="30">
        <f>I148-J148</f>
        <v>2000</v>
      </c>
      <c r="L148" s="4"/>
      <c r="M148" s="10"/>
      <c r="N148" s="10">
        <f>Tabla24567894[[#This Row],[MONTO DE COMPRA]]/1.19</f>
        <v>0</v>
      </c>
      <c r="O148" s="10">
        <f>Tabla24567894[[#This Row],[Columna1]]*19%</f>
        <v>0</v>
      </c>
      <c r="P148" s="10"/>
      <c r="Q148" s="10">
        <f>Tabla24567894[[#This Row],[VENTA ]]/1.19</f>
        <v>0</v>
      </c>
      <c r="R148" s="10">
        <f>Tabla24567894[[#This Row],[Columna2]]*19%</f>
        <v>0</v>
      </c>
      <c r="S148" s="10">
        <f>Tabla24567894[[#This Row],[IVA VENTA ]]-Tabla24567894[[#This Row],[IV COMPRA]]</f>
        <v>0</v>
      </c>
      <c r="T148" s="10">
        <f>(Tabla24567894[[#This Row],[VENTA ]]-(Tabla24567894[[#This Row],[MONTO DE COMPRA]]+Tabla24567894[[#This Row],[DIFERENCIA IVA ]]))</f>
        <v>0</v>
      </c>
      <c r="U148" s="17"/>
    </row>
    <row r="149" spans="1:21" s="15" customFormat="1" ht="20.100000000000001" hidden="1" customHeight="1" x14ac:dyDescent="0.25">
      <c r="A149" s="13">
        <v>44994</v>
      </c>
      <c r="B149" s="14"/>
      <c r="C149" s="14" t="s">
        <v>843</v>
      </c>
      <c r="D149" s="14"/>
      <c r="E149" s="15" t="s">
        <v>844</v>
      </c>
      <c r="F149" s="15" t="s">
        <v>41</v>
      </c>
      <c r="G149" s="14" t="s">
        <v>224</v>
      </c>
      <c r="H149" s="16" t="s">
        <v>845</v>
      </c>
      <c r="I149" s="17">
        <v>120000</v>
      </c>
      <c r="J149" s="17">
        <f>IF(G:G="FRENOS",(Tabla24567894[[#This Row],[TOTAL FACTURA]]*0.8),(Tabla24567894[[#This Row],[TOTAL FACTURA]]*0.5))</f>
        <v>60000</v>
      </c>
      <c r="K149" s="9">
        <f t="shared" si="2"/>
        <v>60000</v>
      </c>
      <c r="L149" s="4" t="s">
        <v>546</v>
      </c>
      <c r="M149" s="10">
        <v>15000</v>
      </c>
      <c r="N149" s="10">
        <f>Tabla24567894[[#This Row],[MONTO DE COMPRA]]/1.19</f>
        <v>12605.042016806723</v>
      </c>
      <c r="O149" s="10">
        <f>Tabla24567894[[#This Row],[Columna1]]*19%</f>
        <v>2394.9579831932774</v>
      </c>
      <c r="P149" s="10">
        <v>15000</v>
      </c>
      <c r="Q149" s="10">
        <f>Tabla24567894[[#This Row],[VENTA ]]/1.19</f>
        <v>12605.042016806723</v>
      </c>
      <c r="R149" s="10">
        <f>Tabla24567894[[#This Row],[Columna2]]*19%</f>
        <v>2394.9579831932774</v>
      </c>
      <c r="S149" s="10">
        <f>Tabla24567894[[#This Row],[IVA VENTA ]]-Tabla24567894[[#This Row],[IV COMPRA]]</f>
        <v>0</v>
      </c>
      <c r="T149" s="10">
        <f>(Tabla24567894[[#This Row],[VENTA ]]-(Tabla24567894[[#This Row],[MONTO DE COMPRA]]+Tabla24567894[[#This Row],[DIFERENCIA IVA ]]))</f>
        <v>0</v>
      </c>
      <c r="U149" s="17"/>
    </row>
    <row r="150" spans="1:21" s="15" customFormat="1" ht="20.100000000000001" hidden="1" customHeight="1" x14ac:dyDescent="0.25">
      <c r="A150" s="13">
        <v>44994</v>
      </c>
      <c r="B150" s="14"/>
      <c r="C150" s="93"/>
      <c r="D150" s="14"/>
      <c r="E150" s="15" t="s">
        <v>596</v>
      </c>
      <c r="F150" s="15" t="s">
        <v>19</v>
      </c>
      <c r="G150" s="14" t="s">
        <v>314</v>
      </c>
      <c r="H150" s="16" t="s">
        <v>20</v>
      </c>
      <c r="I150" s="73">
        <v>10000</v>
      </c>
      <c r="J150" s="17">
        <f>IF(G:G="FRENOS",(Tabla24567894[[#This Row],[TOTAL FACTURA]]*0.8),(Tabla24567894[[#This Row],[TOTAL FACTURA]]*0.5))</f>
        <v>8000</v>
      </c>
      <c r="K150" s="30">
        <f>I150-J150</f>
        <v>2000</v>
      </c>
      <c r="L150" s="4"/>
      <c r="M150" s="10"/>
      <c r="N150" s="10">
        <f>Tabla24567894[[#This Row],[MONTO DE COMPRA]]/1.19</f>
        <v>0</v>
      </c>
      <c r="O150" s="10">
        <f>Tabla24567894[[#This Row],[Columna1]]*19%</f>
        <v>0</v>
      </c>
      <c r="P150" s="10"/>
      <c r="Q150" s="10">
        <f>Tabla24567894[[#This Row],[VENTA ]]/1.19</f>
        <v>0</v>
      </c>
      <c r="R150" s="10">
        <f>Tabla24567894[[#This Row],[Columna2]]*19%</f>
        <v>0</v>
      </c>
      <c r="S150" s="10">
        <f>Tabla24567894[[#This Row],[IVA VENTA ]]-Tabla24567894[[#This Row],[IV COMPRA]]</f>
        <v>0</v>
      </c>
      <c r="T150" s="10">
        <f>(Tabla24567894[[#This Row],[VENTA ]]-(Tabla24567894[[#This Row],[MONTO DE COMPRA]]+Tabla24567894[[#This Row],[DIFERENCIA IVA ]]))</f>
        <v>0</v>
      </c>
      <c r="U150" s="17"/>
    </row>
    <row r="151" spans="1:21" s="15" customFormat="1" ht="30" hidden="1" customHeight="1" x14ac:dyDescent="0.25">
      <c r="A151" s="13">
        <v>44994</v>
      </c>
      <c r="B151" s="14"/>
      <c r="C151" s="14" t="s">
        <v>846</v>
      </c>
      <c r="D151" s="14"/>
      <c r="E151" s="15" t="s">
        <v>445</v>
      </c>
      <c r="F151" s="15" t="s">
        <v>19</v>
      </c>
      <c r="G151" s="14" t="s">
        <v>314</v>
      </c>
      <c r="H151" s="16" t="s">
        <v>847</v>
      </c>
      <c r="I151" s="73">
        <v>25000</v>
      </c>
      <c r="J151" s="17">
        <f>IF(G:G="FRENOS",(Tabla24567894[[#This Row],[TOTAL FACTURA]]*0.8),(Tabla24567894[[#This Row],[TOTAL FACTURA]]*0.5))</f>
        <v>20000</v>
      </c>
      <c r="K151" s="9">
        <f t="shared" si="2"/>
        <v>5000</v>
      </c>
      <c r="L151" s="4" t="s">
        <v>401</v>
      </c>
      <c r="M151" s="10">
        <v>15000</v>
      </c>
      <c r="N151" s="10">
        <f>Tabla24567894[[#This Row],[MONTO DE COMPRA]]/1.19</f>
        <v>12605.042016806723</v>
      </c>
      <c r="O151" s="10">
        <f>Tabla24567894[[#This Row],[Columna1]]*19%</f>
        <v>2394.9579831932774</v>
      </c>
      <c r="P151" s="10">
        <v>15000</v>
      </c>
      <c r="Q151" s="10">
        <f>Tabla24567894[[#This Row],[VENTA ]]/1.19</f>
        <v>12605.042016806723</v>
      </c>
      <c r="R151" s="10">
        <f>Tabla24567894[[#This Row],[Columna2]]*19%</f>
        <v>2394.9579831932774</v>
      </c>
      <c r="S151" s="10">
        <f>Tabla24567894[[#This Row],[IVA VENTA ]]-Tabla24567894[[#This Row],[IV COMPRA]]</f>
        <v>0</v>
      </c>
      <c r="T151" s="10">
        <f>(Tabla24567894[[#This Row],[VENTA ]]-(Tabla24567894[[#This Row],[MONTO DE COMPRA]]+Tabla24567894[[#This Row],[DIFERENCIA IVA ]]))</f>
        <v>0</v>
      </c>
      <c r="U151" s="17"/>
    </row>
    <row r="152" spans="1:21" s="15" customFormat="1" ht="20.100000000000001" hidden="1" customHeight="1" x14ac:dyDescent="0.25">
      <c r="A152" s="13">
        <v>44995</v>
      </c>
      <c r="B152" s="14" t="s">
        <v>823</v>
      </c>
      <c r="C152" s="14" t="s">
        <v>850</v>
      </c>
      <c r="D152" s="15" t="s">
        <v>851</v>
      </c>
      <c r="E152" s="15" t="s">
        <v>34</v>
      </c>
      <c r="F152" s="15" t="s">
        <v>19</v>
      </c>
      <c r="G152" s="14" t="s">
        <v>314</v>
      </c>
      <c r="H152" s="20" t="s">
        <v>852</v>
      </c>
      <c r="I152" s="73">
        <v>45000</v>
      </c>
      <c r="J152" s="17">
        <f>IF(G:G="FRENOS",(Tabla24567894[[#This Row],[TOTAL FACTURA]]*0.8),(Tabla24567894[[#This Row],[TOTAL FACTURA]]*0.5))</f>
        <v>36000</v>
      </c>
      <c r="K152" s="9">
        <f t="shared" si="2"/>
        <v>9000</v>
      </c>
      <c r="L152" s="4" t="s">
        <v>853</v>
      </c>
      <c r="M152" s="10">
        <v>20000</v>
      </c>
      <c r="N152" s="10">
        <f>Tabla24567894[[#This Row],[MONTO DE COMPRA]]/1.19</f>
        <v>16806.722689075632</v>
      </c>
      <c r="O152" s="10">
        <f>Tabla24567894[[#This Row],[Columna1]]*19%</f>
        <v>3193.2773109243699</v>
      </c>
      <c r="P152" s="10">
        <v>25000</v>
      </c>
      <c r="Q152" s="10">
        <f>Tabla24567894[[#This Row],[VENTA ]]/1.19</f>
        <v>21008.403361344539</v>
      </c>
      <c r="R152" s="10">
        <f>Tabla24567894[[#This Row],[Columna2]]*19%</f>
        <v>3991.5966386554624</v>
      </c>
      <c r="S152" s="10">
        <f>Tabla24567894[[#This Row],[IVA VENTA ]]-Tabla24567894[[#This Row],[IV COMPRA]]</f>
        <v>798.31932773109247</v>
      </c>
      <c r="T152" s="10">
        <f>(Tabla24567894[[#This Row],[VENTA ]]-(Tabla24567894[[#This Row],[MONTO DE COMPRA]]+Tabla24567894[[#This Row],[DIFERENCIA IVA ]]))</f>
        <v>4201.6806722689071</v>
      </c>
      <c r="U152" s="17"/>
    </row>
    <row r="153" spans="1:21" s="15" customFormat="1" ht="20.100000000000001" hidden="1" customHeight="1" x14ac:dyDescent="0.25">
      <c r="A153" s="13">
        <v>44995</v>
      </c>
      <c r="B153" s="14"/>
      <c r="C153" s="14" t="s">
        <v>854</v>
      </c>
      <c r="D153" s="14" t="s">
        <v>855</v>
      </c>
      <c r="E153" s="15" t="s">
        <v>856</v>
      </c>
      <c r="F153" s="15" t="s">
        <v>19</v>
      </c>
      <c r="G153" s="14" t="s">
        <v>314</v>
      </c>
      <c r="H153" s="16" t="s">
        <v>857</v>
      </c>
      <c r="I153" s="73">
        <v>30000</v>
      </c>
      <c r="J153" s="17">
        <f>IF(G:G="FRENOS",(Tabla24567894[[#This Row],[TOTAL FACTURA]]*0.8),(Tabla24567894[[#This Row],[TOTAL FACTURA]]*0.5))</f>
        <v>24000</v>
      </c>
      <c r="K153" s="9">
        <f t="shared" si="2"/>
        <v>6000</v>
      </c>
      <c r="L153" s="4"/>
      <c r="M153" s="10"/>
      <c r="N153" s="10">
        <f>Tabla24567894[[#This Row],[MONTO DE COMPRA]]/1.19</f>
        <v>0</v>
      </c>
      <c r="O153" s="10">
        <f>Tabla24567894[[#This Row],[Columna1]]*19%</f>
        <v>0</v>
      </c>
      <c r="P153" s="10"/>
      <c r="Q153" s="10">
        <f>Tabla24567894[[#This Row],[VENTA ]]/1.19</f>
        <v>0</v>
      </c>
      <c r="R153" s="10">
        <f>Tabla24567894[[#This Row],[Columna2]]*19%</f>
        <v>0</v>
      </c>
      <c r="S153" s="10">
        <f>Tabla24567894[[#This Row],[IVA VENTA ]]-Tabla24567894[[#This Row],[IV COMPRA]]</f>
        <v>0</v>
      </c>
      <c r="T153" s="10">
        <f>(Tabla24567894[[#This Row],[VENTA ]]-(Tabla24567894[[#This Row],[MONTO DE COMPRA]]+Tabla24567894[[#This Row],[DIFERENCIA IVA ]]))</f>
        <v>0</v>
      </c>
      <c r="U153" s="17"/>
    </row>
    <row r="154" spans="1:21" s="15" customFormat="1" ht="20.100000000000001" hidden="1" customHeight="1" x14ac:dyDescent="0.25">
      <c r="A154" s="13">
        <v>44995</v>
      </c>
      <c r="B154" s="14"/>
      <c r="C154" s="14" t="s">
        <v>859</v>
      </c>
      <c r="D154" s="14" t="s">
        <v>161</v>
      </c>
      <c r="E154" s="15" t="s">
        <v>860</v>
      </c>
      <c r="F154" s="15" t="s">
        <v>19</v>
      </c>
      <c r="G154" s="14" t="s">
        <v>314</v>
      </c>
      <c r="H154" s="16" t="s">
        <v>861</v>
      </c>
      <c r="I154" s="73">
        <v>140000</v>
      </c>
      <c r="J154" s="17">
        <f>IF(G:G="FRENOS",(Tabla24567894[[#This Row],[TOTAL FACTURA]]*0.8),(Tabla24567894[[#This Row],[TOTAL FACTURA]]*0.5))</f>
        <v>112000</v>
      </c>
      <c r="K154" s="9">
        <f t="shared" si="2"/>
        <v>28000</v>
      </c>
      <c r="L154" s="4" t="s">
        <v>862</v>
      </c>
      <c r="M154" s="10"/>
      <c r="N154" s="10">
        <f>Tabla24567894[[#This Row],[MONTO DE COMPRA]]/1.19</f>
        <v>0</v>
      </c>
      <c r="O154" s="10">
        <f>Tabla24567894[[#This Row],[Columna1]]*19%</f>
        <v>0</v>
      </c>
      <c r="P154" s="10"/>
      <c r="Q154" s="10">
        <f>Tabla24567894[[#This Row],[VENTA ]]/1.19</f>
        <v>0</v>
      </c>
      <c r="R154" s="10">
        <f>Tabla24567894[[#This Row],[Columna2]]*19%</f>
        <v>0</v>
      </c>
      <c r="S154" s="10">
        <f>Tabla24567894[[#This Row],[IVA VENTA ]]-Tabla24567894[[#This Row],[IV COMPRA]]</f>
        <v>0</v>
      </c>
      <c r="T154" s="10">
        <f>(Tabla24567894[[#This Row],[VENTA ]]-(Tabla24567894[[#This Row],[MONTO DE COMPRA]]+Tabla24567894[[#This Row],[DIFERENCIA IVA ]]))</f>
        <v>0</v>
      </c>
      <c r="U154" s="17"/>
    </row>
    <row r="155" spans="1:21" s="15" customFormat="1" ht="20.100000000000001" hidden="1" customHeight="1" x14ac:dyDescent="0.25">
      <c r="A155" s="13">
        <v>44995</v>
      </c>
      <c r="B155" s="14"/>
      <c r="C155" s="14"/>
      <c r="D155" s="14" t="s">
        <v>864</v>
      </c>
      <c r="E155" s="15" t="s">
        <v>274</v>
      </c>
      <c r="F155" s="15" t="s">
        <v>19</v>
      </c>
      <c r="G155" s="14" t="s">
        <v>224</v>
      </c>
      <c r="H155" s="16" t="s">
        <v>865</v>
      </c>
      <c r="I155" s="73">
        <v>40000</v>
      </c>
      <c r="J155" s="17">
        <v>40000</v>
      </c>
      <c r="K155" s="9">
        <f t="shared" si="2"/>
        <v>0</v>
      </c>
      <c r="L155" s="4" t="s">
        <v>866</v>
      </c>
      <c r="M155" s="10">
        <v>20000</v>
      </c>
      <c r="N155" s="10">
        <f>Tabla24567894[[#This Row],[MONTO DE COMPRA]]/1.19</f>
        <v>16806.722689075632</v>
      </c>
      <c r="O155" s="10">
        <f>Tabla24567894[[#This Row],[Columna1]]*19%</f>
        <v>3193.2773109243699</v>
      </c>
      <c r="P155" s="10">
        <v>30000</v>
      </c>
      <c r="Q155" s="10">
        <f>Tabla24567894[[#This Row],[VENTA ]]/1.19</f>
        <v>25210.084033613446</v>
      </c>
      <c r="R155" s="10">
        <f>Tabla24567894[[#This Row],[Columna2]]*19%</f>
        <v>4789.9159663865548</v>
      </c>
      <c r="S155" s="10">
        <f>Tabla24567894[[#This Row],[IVA VENTA ]]-Tabla24567894[[#This Row],[IV COMPRA]]</f>
        <v>1596.6386554621849</v>
      </c>
      <c r="T155" s="10">
        <f>(Tabla24567894[[#This Row],[VENTA ]]-(Tabla24567894[[#This Row],[MONTO DE COMPRA]]+Tabla24567894[[#This Row],[DIFERENCIA IVA ]]))</f>
        <v>8403.3613445378141</v>
      </c>
      <c r="U155" s="17"/>
    </row>
    <row r="156" spans="1:21" s="15" customFormat="1" ht="20.100000000000001" hidden="1" customHeight="1" x14ac:dyDescent="0.25">
      <c r="A156" s="13">
        <v>44995</v>
      </c>
      <c r="B156" s="14"/>
      <c r="C156" s="14" t="s">
        <v>867</v>
      </c>
      <c r="D156" s="14" t="s">
        <v>868</v>
      </c>
      <c r="E156" s="15" t="s">
        <v>596</v>
      </c>
      <c r="F156" s="15" t="s">
        <v>19</v>
      </c>
      <c r="G156" s="14" t="s">
        <v>314</v>
      </c>
      <c r="H156" s="16" t="s">
        <v>869</v>
      </c>
      <c r="I156" s="73">
        <v>20000</v>
      </c>
      <c r="J156" s="17">
        <f>IF(G:G="FRENOS",(Tabla24567894[[#This Row],[TOTAL FACTURA]]*0.8),(Tabla24567894[[#This Row],[TOTAL FACTURA]]*0.5))</f>
        <v>16000</v>
      </c>
      <c r="K156" s="9">
        <f t="shared" si="2"/>
        <v>4000</v>
      </c>
      <c r="L156" s="4"/>
      <c r="M156" s="10"/>
      <c r="N156" s="10">
        <f>Tabla24567894[[#This Row],[MONTO DE COMPRA]]/1.19</f>
        <v>0</v>
      </c>
      <c r="O156" s="10">
        <f>Tabla24567894[[#This Row],[Columna1]]*19%</f>
        <v>0</v>
      </c>
      <c r="P156" s="10"/>
      <c r="Q156" s="10">
        <f>Tabla24567894[[#This Row],[VENTA ]]/1.19</f>
        <v>0</v>
      </c>
      <c r="R156" s="10">
        <f>Tabla24567894[[#This Row],[Columna2]]*19%</f>
        <v>0</v>
      </c>
      <c r="S156" s="10">
        <f>Tabla24567894[[#This Row],[IVA VENTA ]]-Tabla24567894[[#This Row],[IV COMPRA]]</f>
        <v>0</v>
      </c>
      <c r="T156" s="10">
        <f>(Tabla24567894[[#This Row],[VENTA ]]-(Tabla24567894[[#This Row],[MONTO DE COMPRA]]+Tabla24567894[[#This Row],[DIFERENCIA IVA ]]))</f>
        <v>0</v>
      </c>
      <c r="U156" s="17"/>
    </row>
    <row r="157" spans="1:21" s="15" customFormat="1" ht="20.100000000000001" hidden="1" customHeight="1" x14ac:dyDescent="0.25">
      <c r="A157" s="13">
        <v>44995</v>
      </c>
      <c r="B157" s="14"/>
      <c r="C157" s="14" t="s">
        <v>870</v>
      </c>
      <c r="D157" s="14" t="s">
        <v>835</v>
      </c>
      <c r="E157" s="15" t="s">
        <v>797</v>
      </c>
      <c r="F157" s="15" t="s">
        <v>41</v>
      </c>
      <c r="G157" s="14" t="s">
        <v>224</v>
      </c>
      <c r="H157" s="16" t="s">
        <v>871</v>
      </c>
      <c r="I157" s="17">
        <v>180000</v>
      </c>
      <c r="J157" s="17">
        <f>IF(G:G="FRENOS",(Tabla24567894[[#This Row],[TOTAL FACTURA]]*0.8),(Tabla24567894[[#This Row],[TOTAL FACTURA]]*0.5))</f>
        <v>90000</v>
      </c>
      <c r="K157" s="9">
        <f t="shared" si="2"/>
        <v>90000</v>
      </c>
      <c r="L157" s="4"/>
      <c r="M157" s="10"/>
      <c r="N157" s="10">
        <f>Tabla24567894[[#This Row],[MONTO DE COMPRA]]/1.19</f>
        <v>0</v>
      </c>
      <c r="O157" s="10">
        <f>Tabla24567894[[#This Row],[Columna1]]*19%</f>
        <v>0</v>
      </c>
      <c r="P157" s="10"/>
      <c r="Q157" s="10">
        <f>Tabla24567894[[#This Row],[VENTA ]]/1.19</f>
        <v>0</v>
      </c>
      <c r="R157" s="10">
        <f>Tabla24567894[[#This Row],[Columna2]]*19%</f>
        <v>0</v>
      </c>
      <c r="S157" s="10">
        <f>Tabla24567894[[#This Row],[IVA VENTA ]]-Tabla24567894[[#This Row],[IV COMPRA]]</f>
        <v>0</v>
      </c>
      <c r="T157" s="10">
        <f>(Tabla24567894[[#This Row],[VENTA ]]-(Tabla24567894[[#This Row],[MONTO DE COMPRA]]+Tabla24567894[[#This Row],[DIFERENCIA IVA ]]))</f>
        <v>0</v>
      </c>
      <c r="U157" s="17"/>
    </row>
    <row r="158" spans="1:21" s="15" customFormat="1" ht="20.100000000000001" hidden="1" customHeight="1" x14ac:dyDescent="0.25">
      <c r="A158" s="13">
        <v>44995</v>
      </c>
      <c r="B158" s="14"/>
      <c r="C158" s="14" t="s">
        <v>843</v>
      </c>
      <c r="D158" s="14" t="s">
        <v>872</v>
      </c>
      <c r="E158" s="15" t="s">
        <v>873</v>
      </c>
      <c r="F158" s="15" t="s">
        <v>41</v>
      </c>
      <c r="G158" s="14" t="s">
        <v>224</v>
      </c>
      <c r="H158" s="16" t="s">
        <v>874</v>
      </c>
      <c r="I158" s="17">
        <v>400000</v>
      </c>
      <c r="J158" s="17">
        <f>IF(G:G="FRENOS",(Tabla24567894[[#This Row],[TOTAL FACTURA]]*0.8),(Tabla24567894[[#This Row],[TOTAL FACTURA]]*0.5))</f>
        <v>200000</v>
      </c>
      <c r="K158" s="9">
        <f t="shared" si="2"/>
        <v>200000</v>
      </c>
      <c r="L158" s="4"/>
      <c r="M158" s="10"/>
      <c r="N158" s="10">
        <f>Tabla24567894[[#This Row],[MONTO DE COMPRA]]/1.19</f>
        <v>0</v>
      </c>
      <c r="O158" s="10">
        <f>Tabla24567894[[#This Row],[Columna1]]*19%</f>
        <v>0</v>
      </c>
      <c r="P158" s="10"/>
      <c r="Q158" s="10">
        <f>Tabla24567894[[#This Row],[VENTA ]]/1.19</f>
        <v>0</v>
      </c>
      <c r="R158" s="10">
        <f>Tabla24567894[[#This Row],[Columna2]]*19%</f>
        <v>0</v>
      </c>
      <c r="S158" s="10">
        <f>Tabla24567894[[#This Row],[IVA VENTA ]]-Tabla24567894[[#This Row],[IV COMPRA]]</f>
        <v>0</v>
      </c>
      <c r="T158" s="10">
        <f>(Tabla24567894[[#This Row],[VENTA ]]-(Tabla24567894[[#This Row],[MONTO DE COMPRA]]+Tabla24567894[[#This Row],[DIFERENCIA IVA ]]))</f>
        <v>0</v>
      </c>
      <c r="U158" s="17"/>
    </row>
    <row r="159" spans="1:21" s="15" customFormat="1" ht="20.100000000000001" hidden="1" customHeight="1" x14ac:dyDescent="0.25">
      <c r="A159" s="13">
        <v>44996</v>
      </c>
      <c r="B159" s="14"/>
      <c r="C159" s="14" t="s">
        <v>876</v>
      </c>
      <c r="D159" s="14" t="s">
        <v>719</v>
      </c>
      <c r="E159" s="15" t="s">
        <v>539</v>
      </c>
      <c r="F159" s="15" t="s">
        <v>19</v>
      </c>
      <c r="G159" s="14" t="s">
        <v>314</v>
      </c>
      <c r="H159" s="16" t="s">
        <v>201</v>
      </c>
      <c r="I159" s="73">
        <v>10000</v>
      </c>
      <c r="J159" s="92">
        <f>IF(G:G="FRENOS",(Tabla24567894[[#This Row],[TOTAL FACTURA]]*0.8),(Tabla24567894[[#This Row],[TOTAL FACTURA]]*0.5))</f>
        <v>8000</v>
      </c>
      <c r="K159" s="9">
        <f t="shared" si="2"/>
        <v>2000</v>
      </c>
      <c r="L159" s="4"/>
      <c r="M159" s="10"/>
      <c r="N159" s="10">
        <f>Tabla24567894[[#This Row],[MONTO DE COMPRA]]/1.19</f>
        <v>0</v>
      </c>
      <c r="O159" s="10">
        <f>Tabla24567894[[#This Row],[Columna1]]*19%</f>
        <v>0</v>
      </c>
      <c r="P159" s="10"/>
      <c r="Q159" s="10">
        <f>Tabla24567894[[#This Row],[VENTA ]]/1.19</f>
        <v>0</v>
      </c>
      <c r="R159" s="10">
        <f>Tabla24567894[[#This Row],[Columna2]]*19%</f>
        <v>0</v>
      </c>
      <c r="S159" s="10">
        <f>Tabla24567894[[#This Row],[IVA VENTA ]]-Tabla24567894[[#This Row],[IV COMPRA]]</f>
        <v>0</v>
      </c>
      <c r="T159" s="10">
        <f>(Tabla24567894[[#This Row],[VENTA ]]-(Tabla24567894[[#This Row],[MONTO DE COMPRA]]+Tabla24567894[[#This Row],[DIFERENCIA IVA ]]))</f>
        <v>0</v>
      </c>
      <c r="U159" s="17"/>
    </row>
    <row r="160" spans="1:21" s="15" customFormat="1" ht="20.100000000000001" hidden="1" customHeight="1" x14ac:dyDescent="0.25">
      <c r="A160" s="13">
        <v>44998</v>
      </c>
      <c r="B160" s="14"/>
      <c r="C160" s="14" t="s">
        <v>144</v>
      </c>
      <c r="D160" s="14" t="s">
        <v>145</v>
      </c>
      <c r="E160" s="15" t="s">
        <v>146</v>
      </c>
      <c r="F160" s="15" t="s">
        <v>19</v>
      </c>
      <c r="G160" s="14" t="s">
        <v>314</v>
      </c>
      <c r="H160" s="16" t="s">
        <v>877</v>
      </c>
      <c r="I160" s="73">
        <v>45000</v>
      </c>
      <c r="J160" s="92">
        <f>IF(G:G="FRENOS",(Tabla24567894[[#This Row],[TOTAL FACTURA]]*0.8),(Tabla24567894[[#This Row],[TOTAL FACTURA]]*0.5))</f>
        <v>36000</v>
      </c>
      <c r="K160" s="9">
        <f t="shared" si="2"/>
        <v>9000</v>
      </c>
      <c r="L160" s="4" t="s">
        <v>241</v>
      </c>
      <c r="M160" s="10">
        <v>30000</v>
      </c>
      <c r="N160" s="10">
        <f>Tabla24567894[[#This Row],[MONTO DE COMPRA]]/1.19</f>
        <v>25210.084033613446</v>
      </c>
      <c r="O160" s="10">
        <f>Tabla24567894[[#This Row],[Columna1]]*19%</f>
        <v>4789.9159663865548</v>
      </c>
      <c r="P160" s="10">
        <v>35000</v>
      </c>
      <c r="Q160" s="10">
        <f>Tabla24567894[[#This Row],[VENTA ]]/1.19</f>
        <v>29411.764705882353</v>
      </c>
      <c r="R160" s="10">
        <f>Tabla24567894[[#This Row],[Columna2]]*19%</f>
        <v>5588.2352941176468</v>
      </c>
      <c r="S160" s="10">
        <f>Tabla24567894[[#This Row],[IVA VENTA ]]-Tabla24567894[[#This Row],[IV COMPRA]]</f>
        <v>798.31932773109202</v>
      </c>
      <c r="T160" s="10">
        <f>(Tabla24567894[[#This Row],[VENTA ]]-(Tabla24567894[[#This Row],[MONTO DE COMPRA]]+Tabla24567894[[#This Row],[DIFERENCIA IVA ]]))</f>
        <v>4201.6806722689071</v>
      </c>
      <c r="U160" s="17"/>
    </row>
    <row r="161" spans="1:21" s="15" customFormat="1" ht="20.100000000000001" hidden="1" customHeight="1" x14ac:dyDescent="0.25">
      <c r="A161" s="13">
        <v>44998</v>
      </c>
      <c r="B161" s="14"/>
      <c r="C161" s="14"/>
      <c r="D161" s="14" t="s">
        <v>878</v>
      </c>
      <c r="E161" s="15" t="s">
        <v>27</v>
      </c>
      <c r="F161" s="15" t="s">
        <v>19</v>
      </c>
      <c r="G161" s="14" t="s">
        <v>314</v>
      </c>
      <c r="H161" s="16" t="s">
        <v>201</v>
      </c>
      <c r="I161" s="73">
        <v>10000</v>
      </c>
      <c r="J161" s="92">
        <f>IF(G:G="FRENOS",(Tabla24567894[[#This Row],[TOTAL FACTURA]]*0.8),(Tabla24567894[[#This Row],[TOTAL FACTURA]]*0.5))</f>
        <v>8000</v>
      </c>
      <c r="K161" s="9">
        <f t="shared" si="2"/>
        <v>2000</v>
      </c>
      <c r="L161" s="4"/>
      <c r="M161" s="10"/>
      <c r="N161" s="10">
        <f>Tabla24567894[[#This Row],[MONTO DE COMPRA]]/1.19</f>
        <v>0</v>
      </c>
      <c r="O161" s="10">
        <f>Tabla24567894[[#This Row],[Columna1]]*19%</f>
        <v>0</v>
      </c>
      <c r="P161" s="10"/>
      <c r="Q161" s="10">
        <f>Tabla24567894[[#This Row],[VENTA ]]/1.19</f>
        <v>0</v>
      </c>
      <c r="R161" s="10">
        <f>Tabla24567894[[#This Row],[Columna2]]*19%</f>
        <v>0</v>
      </c>
      <c r="S161" s="10">
        <f>Tabla24567894[[#This Row],[IVA VENTA ]]-Tabla24567894[[#This Row],[IV COMPRA]]</f>
        <v>0</v>
      </c>
      <c r="T161" s="10">
        <f>(Tabla24567894[[#This Row],[VENTA ]]-(Tabla24567894[[#This Row],[MONTO DE COMPRA]]+Tabla24567894[[#This Row],[DIFERENCIA IVA ]]))</f>
        <v>0</v>
      </c>
      <c r="U161" s="17"/>
    </row>
    <row r="162" spans="1:21" s="15" customFormat="1" ht="20.100000000000001" hidden="1" customHeight="1" x14ac:dyDescent="0.25">
      <c r="A162" s="13">
        <v>44998</v>
      </c>
      <c r="B162" s="14"/>
      <c r="C162" s="14"/>
      <c r="D162" s="14" t="s">
        <v>879</v>
      </c>
      <c r="E162" s="15" t="s">
        <v>596</v>
      </c>
      <c r="F162" s="15" t="s">
        <v>19</v>
      </c>
      <c r="G162" s="14" t="s">
        <v>314</v>
      </c>
      <c r="H162" s="16" t="s">
        <v>201</v>
      </c>
      <c r="I162" s="73">
        <v>10000</v>
      </c>
      <c r="J162" s="92">
        <f>IF(G:G="FRENOS",(Tabla24567894[[#This Row],[TOTAL FACTURA]]*0.8),(Tabla24567894[[#This Row],[TOTAL FACTURA]]*0.5))</f>
        <v>8000</v>
      </c>
      <c r="K162" s="9">
        <f t="shared" si="2"/>
        <v>2000</v>
      </c>
      <c r="L162" s="4"/>
      <c r="M162" s="10"/>
      <c r="N162" s="10">
        <f>Tabla24567894[[#This Row],[MONTO DE COMPRA]]/1.19</f>
        <v>0</v>
      </c>
      <c r="O162" s="10">
        <f>Tabla24567894[[#This Row],[Columna1]]*19%</f>
        <v>0</v>
      </c>
      <c r="P162" s="10"/>
      <c r="Q162" s="10">
        <f>Tabla24567894[[#This Row],[VENTA ]]/1.19</f>
        <v>0</v>
      </c>
      <c r="R162" s="10">
        <f>Tabla24567894[[#This Row],[Columna2]]*19%</f>
        <v>0</v>
      </c>
      <c r="S162" s="10">
        <f>Tabla24567894[[#This Row],[IVA VENTA ]]-Tabla24567894[[#This Row],[IV COMPRA]]</f>
        <v>0</v>
      </c>
      <c r="T162" s="10">
        <f>(Tabla24567894[[#This Row],[VENTA ]]-(Tabla24567894[[#This Row],[MONTO DE COMPRA]]+Tabla24567894[[#This Row],[DIFERENCIA IVA ]]))</f>
        <v>0</v>
      </c>
      <c r="U162" s="17"/>
    </row>
    <row r="163" spans="1:21" s="15" customFormat="1" ht="20.100000000000001" hidden="1" customHeight="1" x14ac:dyDescent="0.25">
      <c r="A163" s="13">
        <v>44998</v>
      </c>
      <c r="B163" s="14"/>
      <c r="C163" s="14" t="s">
        <v>880</v>
      </c>
      <c r="D163" s="14" t="s">
        <v>881</v>
      </c>
      <c r="E163" s="15" t="s">
        <v>596</v>
      </c>
      <c r="F163" s="15" t="s">
        <v>19</v>
      </c>
      <c r="G163" s="14" t="s">
        <v>314</v>
      </c>
      <c r="H163" s="16" t="s">
        <v>882</v>
      </c>
      <c r="I163" s="73">
        <v>90000</v>
      </c>
      <c r="J163" s="92">
        <f>IF(G:G="FRENOS",(Tabla24567894[[#This Row],[TOTAL FACTURA]]*0.8),(Tabla24567894[[#This Row],[TOTAL FACTURA]]*0.5))</f>
        <v>72000</v>
      </c>
      <c r="K163" s="9">
        <f t="shared" si="2"/>
        <v>18000</v>
      </c>
      <c r="L163" s="4" t="s">
        <v>883</v>
      </c>
      <c r="M163" s="10">
        <v>155000</v>
      </c>
      <c r="N163" s="10">
        <f>Tabla24567894[[#This Row],[MONTO DE COMPRA]]/1.19</f>
        <v>130252.10084033613</v>
      </c>
      <c r="O163" s="10">
        <f>Tabla24567894[[#This Row],[Columna1]]*19%</f>
        <v>24747.899159663866</v>
      </c>
      <c r="P163" s="10">
        <v>180000</v>
      </c>
      <c r="Q163" s="10">
        <f>Tabla24567894[[#This Row],[VENTA ]]/1.19</f>
        <v>151260.50420168068</v>
      </c>
      <c r="R163" s="10">
        <f>Tabla24567894[[#This Row],[Columna2]]*19%</f>
        <v>28739.495798319331</v>
      </c>
      <c r="S163" s="10">
        <f>Tabla24567894[[#This Row],[IVA VENTA ]]-Tabla24567894[[#This Row],[IV COMPRA]]</f>
        <v>3991.5966386554646</v>
      </c>
      <c r="T163" s="10">
        <f>(Tabla24567894[[#This Row],[VENTA ]]-(Tabla24567894[[#This Row],[MONTO DE COMPRA]]+Tabla24567894[[#This Row],[DIFERENCIA IVA ]]))</f>
        <v>21008.403361344535</v>
      </c>
      <c r="U163" s="17"/>
    </row>
    <row r="164" spans="1:21" s="15" customFormat="1" ht="20.100000000000001" hidden="1" customHeight="1" x14ac:dyDescent="0.25">
      <c r="A164" s="13">
        <v>44998</v>
      </c>
      <c r="B164" s="14"/>
      <c r="C164" s="14" t="s">
        <v>884</v>
      </c>
      <c r="D164" s="14" t="s">
        <v>885</v>
      </c>
      <c r="E164" s="15" t="s">
        <v>539</v>
      </c>
      <c r="F164" s="15" t="s">
        <v>19</v>
      </c>
      <c r="G164" s="14" t="s">
        <v>314</v>
      </c>
      <c r="H164" s="16" t="s">
        <v>886</v>
      </c>
      <c r="I164" s="73">
        <v>80000</v>
      </c>
      <c r="J164" s="92">
        <f>IF(G:G="FRENOS",(Tabla24567894[[#This Row],[TOTAL FACTURA]]*0.8),(Tabla24567894[[#This Row],[TOTAL FACTURA]]*0.5))</f>
        <v>64000</v>
      </c>
      <c r="K164" s="9">
        <f t="shared" si="2"/>
        <v>16000</v>
      </c>
      <c r="L164" s="4"/>
      <c r="M164" s="10"/>
      <c r="N164" s="10">
        <f>Tabla24567894[[#This Row],[MONTO DE COMPRA]]/1.19</f>
        <v>0</v>
      </c>
      <c r="O164" s="10">
        <f>Tabla24567894[[#This Row],[Columna1]]*19%</f>
        <v>0</v>
      </c>
      <c r="P164" s="10"/>
      <c r="Q164" s="10">
        <f>Tabla24567894[[#This Row],[VENTA ]]/1.19</f>
        <v>0</v>
      </c>
      <c r="R164" s="10">
        <f>Tabla24567894[[#This Row],[Columna2]]*19%</f>
        <v>0</v>
      </c>
      <c r="S164" s="10">
        <f>Tabla24567894[[#This Row],[IVA VENTA ]]-Tabla24567894[[#This Row],[IV COMPRA]]</f>
        <v>0</v>
      </c>
      <c r="T164" s="10">
        <f>(Tabla24567894[[#This Row],[VENTA ]]-(Tabla24567894[[#This Row],[MONTO DE COMPRA]]+Tabla24567894[[#This Row],[DIFERENCIA IVA ]]))</f>
        <v>0</v>
      </c>
      <c r="U164" s="17"/>
    </row>
    <row r="165" spans="1:21" s="15" customFormat="1" ht="20.100000000000001" hidden="1" customHeight="1" x14ac:dyDescent="0.25">
      <c r="A165" s="13">
        <v>44998</v>
      </c>
      <c r="B165" s="14"/>
      <c r="C165" s="14" t="s">
        <v>887</v>
      </c>
      <c r="D165" s="14" t="s">
        <v>888</v>
      </c>
      <c r="F165" s="15" t="s">
        <v>19</v>
      </c>
      <c r="G165" s="14" t="s">
        <v>314</v>
      </c>
      <c r="H165" s="16" t="s">
        <v>151</v>
      </c>
      <c r="I165" s="73">
        <v>60000</v>
      </c>
      <c r="J165" s="92">
        <f>IF(G:G="FRENOS",(Tabla24567894[[#This Row],[TOTAL FACTURA]]*0.8),(Tabla24567894[[#This Row],[TOTAL FACTURA]]*0.5))</f>
        <v>48000</v>
      </c>
      <c r="K165" s="9">
        <f t="shared" si="2"/>
        <v>12000</v>
      </c>
      <c r="L165" s="4" t="s">
        <v>889</v>
      </c>
      <c r="M165" s="10">
        <v>126000</v>
      </c>
      <c r="N165" s="10">
        <f>Tabla24567894[[#This Row],[MONTO DE COMPRA]]/1.19</f>
        <v>105882.35294117648</v>
      </c>
      <c r="O165" s="10">
        <f>Tabla24567894[[#This Row],[Columna1]]*19%</f>
        <v>20117.647058823532</v>
      </c>
      <c r="P165" s="10">
        <v>175000</v>
      </c>
      <c r="Q165" s="10">
        <f>Tabla24567894[[#This Row],[VENTA ]]/1.19</f>
        <v>147058.82352941178</v>
      </c>
      <c r="R165" s="10">
        <f>Tabla24567894[[#This Row],[Columna2]]*19%</f>
        <v>27941.176470588238</v>
      </c>
      <c r="S165" s="10">
        <f>Tabla24567894[[#This Row],[IVA VENTA ]]-Tabla24567894[[#This Row],[IV COMPRA]]</f>
        <v>7823.5294117647063</v>
      </c>
      <c r="T165" s="10">
        <f>(Tabla24567894[[#This Row],[VENTA ]]-(Tabla24567894[[#This Row],[MONTO DE COMPRA]]+Tabla24567894[[#This Row],[DIFERENCIA IVA ]]))</f>
        <v>41176.470588235301</v>
      </c>
      <c r="U165" s="17"/>
    </row>
    <row r="166" spans="1:21" s="15" customFormat="1" ht="32.25" hidden="1" customHeight="1" x14ac:dyDescent="0.25">
      <c r="A166" s="13">
        <v>44999</v>
      </c>
      <c r="B166" s="14"/>
      <c r="C166" s="14" t="s">
        <v>547</v>
      </c>
      <c r="D166" s="14"/>
      <c r="E166" s="15" t="s">
        <v>890</v>
      </c>
      <c r="F166" s="15" t="s">
        <v>19</v>
      </c>
      <c r="G166" s="14" t="s">
        <v>314</v>
      </c>
      <c r="H166" s="16" t="s">
        <v>891</v>
      </c>
      <c r="I166" s="73">
        <v>120000</v>
      </c>
      <c r="J166" s="92">
        <f>IF(G:G="FRENOS",(Tabla24567894[[#This Row],[TOTAL FACTURA]]*0.8),(Tabla24567894[[#This Row],[TOTAL FACTURA]]*0.5))</f>
        <v>96000</v>
      </c>
      <c r="K166" s="9">
        <f t="shared" si="2"/>
        <v>24000</v>
      </c>
      <c r="L166" s="4" t="s">
        <v>22</v>
      </c>
      <c r="M166" s="10">
        <v>82000</v>
      </c>
      <c r="N166" s="10">
        <f>Tabla24567894[[#This Row],[MONTO DE COMPRA]]/1.19</f>
        <v>68907.563025210082</v>
      </c>
      <c r="O166" s="10">
        <f>Tabla24567894[[#This Row],[Columna1]]*19%</f>
        <v>13092.436974789916</v>
      </c>
      <c r="P166" s="10">
        <v>95000</v>
      </c>
      <c r="Q166" s="10">
        <f>Tabla24567894[[#This Row],[VENTA ]]/1.19</f>
        <v>79831.932773109249</v>
      </c>
      <c r="R166" s="10">
        <f>Tabla24567894[[#This Row],[Columna2]]*19%</f>
        <v>15168.067226890758</v>
      </c>
      <c r="S166" s="10">
        <f>Tabla24567894[[#This Row],[IVA VENTA ]]-Tabla24567894[[#This Row],[IV COMPRA]]</f>
        <v>2075.630252100842</v>
      </c>
      <c r="T166" s="10">
        <f>(Tabla24567894[[#This Row],[VENTA ]]-(Tabla24567894[[#This Row],[MONTO DE COMPRA]]+Tabla24567894[[#This Row],[DIFERENCIA IVA ]]))</f>
        <v>10924.369747899153</v>
      </c>
      <c r="U166" s="17"/>
    </row>
    <row r="167" spans="1:21" s="15" customFormat="1" ht="20.100000000000001" hidden="1" customHeight="1" x14ac:dyDescent="0.25">
      <c r="A167" s="13">
        <v>44999</v>
      </c>
      <c r="B167" s="14"/>
      <c r="C167" s="14" t="s">
        <v>892</v>
      </c>
      <c r="D167" s="14" t="s">
        <v>893</v>
      </c>
      <c r="E167" s="15" t="s">
        <v>34</v>
      </c>
      <c r="F167" s="15" t="s">
        <v>19</v>
      </c>
      <c r="G167" s="14" t="s">
        <v>314</v>
      </c>
      <c r="H167" s="16" t="s">
        <v>912</v>
      </c>
      <c r="I167" s="73">
        <v>10000</v>
      </c>
      <c r="J167" s="92">
        <f>IF(G:G="FRENOS",(Tabla24567894[[#This Row],[TOTAL FACTURA]]*0.8),(Tabla24567894[[#This Row],[TOTAL FACTURA]]*0.5))</f>
        <v>8000</v>
      </c>
      <c r="K167" s="30">
        <f>I167-J167</f>
        <v>2000</v>
      </c>
      <c r="L167" s="4"/>
      <c r="M167" s="10"/>
      <c r="N167" s="10">
        <f>Tabla24567894[[#This Row],[MONTO DE COMPRA]]/1.19</f>
        <v>0</v>
      </c>
      <c r="O167" s="10">
        <f>Tabla24567894[[#This Row],[Columna1]]*19%</f>
        <v>0</v>
      </c>
      <c r="P167" s="10"/>
      <c r="Q167" s="10">
        <f>Tabla24567894[[#This Row],[VENTA ]]/1.19</f>
        <v>0</v>
      </c>
      <c r="R167" s="10">
        <f>Tabla24567894[[#This Row],[Columna2]]*19%</f>
        <v>0</v>
      </c>
      <c r="S167" s="10">
        <f>Tabla24567894[[#This Row],[IVA VENTA ]]-Tabla24567894[[#This Row],[IV COMPRA]]</f>
        <v>0</v>
      </c>
      <c r="T167" s="10">
        <f>(Tabla24567894[[#This Row],[VENTA ]]-(Tabla24567894[[#This Row],[MONTO DE COMPRA]]+Tabla24567894[[#This Row],[DIFERENCIA IVA ]]))</f>
        <v>0</v>
      </c>
      <c r="U167" s="17"/>
    </row>
    <row r="168" spans="1:21" s="15" customFormat="1" ht="20.100000000000001" hidden="1" customHeight="1" x14ac:dyDescent="0.25">
      <c r="A168" s="13">
        <v>44999</v>
      </c>
      <c r="B168" s="14"/>
      <c r="C168" s="14" t="s">
        <v>892</v>
      </c>
      <c r="D168" s="14" t="s">
        <v>893</v>
      </c>
      <c r="E168" s="15" t="s">
        <v>34</v>
      </c>
      <c r="F168" s="15" t="s">
        <v>41</v>
      </c>
      <c r="G168" s="14" t="s">
        <v>224</v>
      </c>
      <c r="H168" s="16" t="s">
        <v>894</v>
      </c>
      <c r="I168" s="17">
        <v>70000</v>
      </c>
      <c r="J168" s="17">
        <f>IF(G:G="FRENOS",(Tabla24567894[[#This Row],[TOTAL FACTURA]]*0.8),(Tabla24567894[[#This Row],[TOTAL FACTURA]]*0.5))</f>
        <v>35000</v>
      </c>
      <c r="K168" s="9">
        <f t="shared" si="2"/>
        <v>35000</v>
      </c>
      <c r="L168" s="4" t="s">
        <v>895</v>
      </c>
      <c r="M168" s="10">
        <v>18000</v>
      </c>
      <c r="N168" s="10">
        <f>Tabla24567894[[#This Row],[MONTO DE COMPRA]]/1.19</f>
        <v>15126.050420168069</v>
      </c>
      <c r="O168" s="10">
        <f>Tabla24567894[[#This Row],[Columna1]]*19%</f>
        <v>2873.9495798319331</v>
      </c>
      <c r="P168" s="10">
        <v>25000</v>
      </c>
      <c r="Q168" s="10">
        <f>Tabla24567894[[#This Row],[VENTA ]]/1.19</f>
        <v>21008.403361344539</v>
      </c>
      <c r="R168" s="10">
        <f>Tabla24567894[[#This Row],[Columna2]]*19%</f>
        <v>3991.5966386554624</v>
      </c>
      <c r="S168" s="10">
        <f>Tabla24567894[[#This Row],[IVA VENTA ]]-Tabla24567894[[#This Row],[IV COMPRA]]</f>
        <v>1117.6470588235293</v>
      </c>
      <c r="T168" s="10">
        <f>(Tabla24567894[[#This Row],[VENTA ]]-(Tabla24567894[[#This Row],[MONTO DE COMPRA]]+Tabla24567894[[#This Row],[DIFERENCIA IVA ]]))</f>
        <v>5882.3529411764721</v>
      </c>
      <c r="U168" s="17"/>
    </row>
    <row r="169" spans="1:21" s="15" customFormat="1" ht="20.100000000000001" hidden="1" customHeight="1" x14ac:dyDescent="0.25">
      <c r="A169" s="13">
        <v>44999</v>
      </c>
      <c r="B169" s="14"/>
      <c r="C169" s="14"/>
      <c r="D169" s="14"/>
      <c r="E169" s="15" t="s">
        <v>181</v>
      </c>
      <c r="F169" s="15" t="s">
        <v>19</v>
      </c>
      <c r="G169" s="14" t="s">
        <v>314</v>
      </c>
      <c r="H169" s="16" t="s">
        <v>896</v>
      </c>
      <c r="I169" s="73">
        <v>90000</v>
      </c>
      <c r="J169" s="92">
        <f>IF(G:G="FRENOS",(Tabla24567894[[#This Row],[TOTAL FACTURA]]*0.8),(Tabla24567894[[#This Row],[TOTAL FACTURA]]*0.5))</f>
        <v>72000</v>
      </c>
      <c r="K169" s="9">
        <f t="shared" si="2"/>
        <v>18000</v>
      </c>
      <c r="L169" s="4" t="s">
        <v>897</v>
      </c>
      <c r="M169" s="10">
        <v>335000</v>
      </c>
      <c r="N169" s="10">
        <f>Tabla24567894[[#This Row],[MONTO DE COMPRA]]/1.19</f>
        <v>281512.60504201683</v>
      </c>
      <c r="O169" s="10">
        <f>Tabla24567894[[#This Row],[Columna1]]*19%</f>
        <v>53487.394957983197</v>
      </c>
      <c r="P169" s="10">
        <v>510000</v>
      </c>
      <c r="Q169" s="10">
        <f>Tabla24567894[[#This Row],[VENTA ]]/1.19</f>
        <v>428571.42857142858</v>
      </c>
      <c r="R169" s="10">
        <f>Tabla24567894[[#This Row],[Columna2]]*19%</f>
        <v>81428.571428571435</v>
      </c>
      <c r="S169" s="10">
        <f>Tabla24567894[[#This Row],[IVA VENTA ]]-Tabla24567894[[#This Row],[IV COMPRA]]</f>
        <v>27941.176470588238</v>
      </c>
      <c r="T169" s="10">
        <f>(Tabla24567894[[#This Row],[VENTA ]]-(Tabla24567894[[#This Row],[MONTO DE COMPRA]]+Tabla24567894[[#This Row],[DIFERENCIA IVA ]]))</f>
        <v>147058.82352941175</v>
      </c>
      <c r="U169" s="17"/>
    </row>
    <row r="170" spans="1:21" s="15" customFormat="1" ht="20.100000000000001" hidden="1" customHeight="1" x14ac:dyDescent="0.25">
      <c r="A170" s="13">
        <v>45000</v>
      </c>
      <c r="B170" s="14"/>
      <c r="C170" s="14"/>
      <c r="D170" s="14"/>
      <c r="E170" s="15" t="s">
        <v>27</v>
      </c>
      <c r="F170" s="15" t="s">
        <v>19</v>
      </c>
      <c r="G170" s="14" t="s">
        <v>314</v>
      </c>
      <c r="H170" s="18" t="s">
        <v>201</v>
      </c>
      <c r="I170" s="94">
        <v>10000</v>
      </c>
      <c r="J170" s="95">
        <f>IF(G:G="FRENOS",(Tabla24567894[[#This Row],[TOTAL FACTURA]]*0.8),(Tabla24567894[[#This Row],[TOTAL FACTURA]]*0.5))</f>
        <v>8000</v>
      </c>
      <c r="K170" s="9">
        <f t="shared" si="2"/>
        <v>2000</v>
      </c>
      <c r="L170" s="4"/>
      <c r="M170" s="10"/>
      <c r="N170" s="10">
        <f>Tabla24567894[[#This Row],[MONTO DE COMPRA]]/1.19</f>
        <v>0</v>
      </c>
      <c r="O170" s="10">
        <f>Tabla24567894[[#This Row],[Columna1]]*19%</f>
        <v>0</v>
      </c>
      <c r="P170" s="10"/>
      <c r="Q170" s="10">
        <f>Tabla24567894[[#This Row],[VENTA ]]/1.19</f>
        <v>0</v>
      </c>
      <c r="R170" s="10">
        <f>Tabla24567894[[#This Row],[Columna2]]*19%</f>
        <v>0</v>
      </c>
      <c r="S170" s="10">
        <f>Tabla24567894[[#This Row],[IVA VENTA ]]-Tabla24567894[[#This Row],[IV COMPRA]]</f>
        <v>0</v>
      </c>
      <c r="T170" s="10">
        <f>(Tabla24567894[[#This Row],[VENTA ]]-(Tabla24567894[[#This Row],[MONTO DE COMPRA]]+Tabla24567894[[#This Row],[DIFERENCIA IVA ]]))</f>
        <v>0</v>
      </c>
      <c r="U170" s="19"/>
    </row>
    <row r="171" spans="1:21" s="15" customFormat="1" ht="20.100000000000001" hidden="1" customHeight="1" x14ac:dyDescent="0.25">
      <c r="A171" s="13">
        <v>45000</v>
      </c>
      <c r="B171" s="14"/>
      <c r="C171" s="14" t="s">
        <v>898</v>
      </c>
      <c r="D171" s="14" t="s">
        <v>899</v>
      </c>
      <c r="E171" s="15" t="s">
        <v>467</v>
      </c>
      <c r="F171" s="15" t="s">
        <v>19</v>
      </c>
      <c r="G171" s="14" t="s">
        <v>224</v>
      </c>
      <c r="H171" s="18" t="s">
        <v>900</v>
      </c>
      <c r="I171" s="94">
        <v>100000</v>
      </c>
      <c r="J171" s="95">
        <f>IF(G:G="FRENOS",(Tabla24567894[[#This Row],[TOTAL FACTURA]]*0.8),(Tabla24567894[[#This Row],[TOTAL FACTURA]]*0.5))</f>
        <v>50000</v>
      </c>
      <c r="K171" s="9">
        <f t="shared" si="2"/>
        <v>50000</v>
      </c>
      <c r="L171" s="4"/>
      <c r="M171" s="10"/>
      <c r="N171" s="10">
        <f>Tabla24567894[[#This Row],[MONTO DE COMPRA]]/1.19</f>
        <v>0</v>
      </c>
      <c r="O171" s="10">
        <f>Tabla24567894[[#This Row],[Columna1]]*19%</f>
        <v>0</v>
      </c>
      <c r="P171" s="10"/>
      <c r="Q171" s="10">
        <f>Tabla24567894[[#This Row],[VENTA ]]/1.19</f>
        <v>0</v>
      </c>
      <c r="R171" s="10">
        <f>Tabla24567894[[#This Row],[Columna2]]*19%</f>
        <v>0</v>
      </c>
      <c r="S171" s="10">
        <f>Tabla24567894[[#This Row],[IVA VENTA ]]-Tabla24567894[[#This Row],[IV COMPRA]]</f>
        <v>0</v>
      </c>
      <c r="T171" s="10">
        <f>(Tabla24567894[[#This Row],[VENTA ]]-(Tabla24567894[[#This Row],[MONTO DE COMPRA]]+Tabla24567894[[#This Row],[DIFERENCIA IVA ]]))</f>
        <v>0</v>
      </c>
      <c r="U171" s="19"/>
    </row>
    <row r="172" spans="1:21" s="15" customFormat="1" ht="20.100000000000001" hidden="1" customHeight="1" x14ac:dyDescent="0.25">
      <c r="A172" s="13">
        <v>45000</v>
      </c>
      <c r="B172" s="14"/>
      <c r="C172" s="14" t="s">
        <v>901</v>
      </c>
      <c r="D172" s="14" t="s">
        <v>902</v>
      </c>
      <c r="E172" s="15" t="s">
        <v>717</v>
      </c>
      <c r="F172" s="15" t="s">
        <v>19</v>
      </c>
      <c r="G172" s="14" t="s">
        <v>224</v>
      </c>
      <c r="H172" s="18" t="s">
        <v>943</v>
      </c>
      <c r="I172" s="94">
        <v>70000</v>
      </c>
      <c r="J172" s="95">
        <f>IF(G:G="FRENOS",(Tabla24567894[[#This Row],[TOTAL FACTURA]]*0.8),(Tabla24567894[[#This Row],[TOTAL FACTURA]]*0.5))</f>
        <v>35000</v>
      </c>
      <c r="K172" s="9">
        <f t="shared" si="2"/>
        <v>35000</v>
      </c>
      <c r="L172" s="4"/>
      <c r="M172" s="10"/>
      <c r="N172" s="10">
        <f>Tabla24567894[[#This Row],[MONTO DE COMPRA]]/1.19</f>
        <v>0</v>
      </c>
      <c r="O172" s="10">
        <f>Tabla24567894[[#This Row],[Columna1]]*19%</f>
        <v>0</v>
      </c>
      <c r="P172" s="10"/>
      <c r="Q172" s="10">
        <f>Tabla24567894[[#This Row],[VENTA ]]/1.19</f>
        <v>0</v>
      </c>
      <c r="R172" s="10">
        <f>Tabla24567894[[#This Row],[Columna2]]*19%</f>
        <v>0</v>
      </c>
      <c r="S172" s="10">
        <f>Tabla24567894[[#This Row],[IVA VENTA ]]-Tabla24567894[[#This Row],[IV COMPRA]]</f>
        <v>0</v>
      </c>
      <c r="T172" s="10">
        <f>(Tabla24567894[[#This Row],[VENTA ]]-(Tabla24567894[[#This Row],[MONTO DE COMPRA]]+Tabla24567894[[#This Row],[DIFERENCIA IVA ]]))</f>
        <v>0</v>
      </c>
      <c r="U172" s="19"/>
    </row>
    <row r="173" spans="1:21" s="15" customFormat="1" ht="20.100000000000001" hidden="1" customHeight="1" x14ac:dyDescent="0.25">
      <c r="A173" s="13">
        <v>45000</v>
      </c>
      <c r="B173" s="14"/>
      <c r="C173" s="14" t="s">
        <v>903</v>
      </c>
      <c r="D173" s="14" t="s">
        <v>904</v>
      </c>
      <c r="E173" s="15" t="s">
        <v>905</v>
      </c>
      <c r="F173" s="15" t="s">
        <v>19</v>
      </c>
      <c r="G173" s="14" t="s">
        <v>314</v>
      </c>
      <c r="H173" s="18" t="s">
        <v>21</v>
      </c>
      <c r="I173" s="94">
        <v>30000</v>
      </c>
      <c r="J173" s="95">
        <f>IF(G:G="FRENOS",(Tabla24567894[[#This Row],[TOTAL FACTURA]]*0.8),(Tabla24567894[[#This Row],[TOTAL FACTURA]]*0.5))</f>
        <v>24000</v>
      </c>
      <c r="K173" s="9">
        <f t="shared" si="2"/>
        <v>6000</v>
      </c>
      <c r="L173" s="4"/>
      <c r="M173" s="10"/>
      <c r="N173" s="10">
        <f>Tabla24567894[[#This Row],[MONTO DE COMPRA]]/1.19</f>
        <v>0</v>
      </c>
      <c r="O173" s="10">
        <f>Tabla24567894[[#This Row],[Columna1]]*19%</f>
        <v>0</v>
      </c>
      <c r="P173" s="10"/>
      <c r="Q173" s="10">
        <f>Tabla24567894[[#This Row],[VENTA ]]/1.19</f>
        <v>0</v>
      </c>
      <c r="R173" s="10">
        <f>Tabla24567894[[#This Row],[Columna2]]*19%</f>
        <v>0</v>
      </c>
      <c r="S173" s="10">
        <f>Tabla24567894[[#This Row],[IVA VENTA ]]-Tabla24567894[[#This Row],[IV COMPRA]]</f>
        <v>0</v>
      </c>
      <c r="T173" s="10">
        <f>(Tabla24567894[[#This Row],[VENTA ]]-(Tabla24567894[[#This Row],[MONTO DE COMPRA]]+Tabla24567894[[#This Row],[DIFERENCIA IVA ]]))</f>
        <v>0</v>
      </c>
      <c r="U173" s="19"/>
    </row>
    <row r="174" spans="1:21" s="15" customFormat="1" ht="20.100000000000001" hidden="1" customHeight="1" x14ac:dyDescent="0.25">
      <c r="A174" s="13">
        <v>45001</v>
      </c>
      <c r="B174" s="14"/>
      <c r="C174" s="14"/>
      <c r="D174" s="14" t="s">
        <v>906</v>
      </c>
      <c r="F174" s="15" t="s">
        <v>19</v>
      </c>
      <c r="G174" s="14" t="s">
        <v>314</v>
      </c>
      <c r="H174" s="18" t="s">
        <v>201</v>
      </c>
      <c r="I174" s="73">
        <v>10000</v>
      </c>
      <c r="J174" s="92">
        <f>IF(G:G="FRENOS",(Tabla24567894[[#This Row],[TOTAL FACTURA]]*0.8),(Tabla24567894[[#This Row],[TOTAL FACTURA]]*0.5))</f>
        <v>8000</v>
      </c>
      <c r="K174" s="9">
        <f t="shared" si="2"/>
        <v>2000</v>
      </c>
      <c r="L174" s="4"/>
      <c r="M174" s="10"/>
      <c r="N174" s="10">
        <f>Tabla24567894[[#This Row],[MONTO DE COMPRA]]/1.19</f>
        <v>0</v>
      </c>
      <c r="O174" s="10">
        <f>Tabla24567894[[#This Row],[Columna1]]*19%</f>
        <v>0</v>
      </c>
      <c r="P174" s="10"/>
      <c r="Q174" s="10">
        <f>Tabla24567894[[#This Row],[VENTA ]]/1.19</f>
        <v>0</v>
      </c>
      <c r="R174" s="10">
        <f>Tabla24567894[[#This Row],[Columna2]]*19%</f>
        <v>0</v>
      </c>
      <c r="S174" s="10">
        <f>Tabla24567894[[#This Row],[IVA VENTA ]]-Tabla24567894[[#This Row],[IV COMPRA]]</f>
        <v>0</v>
      </c>
      <c r="T174" s="10">
        <f>(Tabla24567894[[#This Row],[VENTA ]]-(Tabla24567894[[#This Row],[MONTO DE COMPRA]]+Tabla24567894[[#This Row],[DIFERENCIA IVA ]]))</f>
        <v>0</v>
      </c>
      <c r="U174" s="19"/>
    </row>
    <row r="175" spans="1:21" s="15" customFormat="1" ht="20.100000000000001" hidden="1" customHeight="1" x14ac:dyDescent="0.25">
      <c r="A175" s="13">
        <v>45001</v>
      </c>
      <c r="B175" s="14"/>
      <c r="C175" s="14" t="s">
        <v>907</v>
      </c>
      <c r="D175" s="14" t="s">
        <v>908</v>
      </c>
      <c r="E175" s="15" t="s">
        <v>678</v>
      </c>
      <c r="F175" s="15" t="s">
        <v>19</v>
      </c>
      <c r="G175" s="14" t="s">
        <v>314</v>
      </c>
      <c r="H175" s="18" t="s">
        <v>71</v>
      </c>
      <c r="I175" s="94">
        <v>40000</v>
      </c>
      <c r="J175" s="95">
        <f>IF(G:G="FRENOS",(Tabla24567894[[#This Row],[TOTAL FACTURA]]*0.8),(Tabla24567894[[#This Row],[TOTAL FACTURA]]*0.5))</f>
        <v>32000</v>
      </c>
      <c r="K175" s="9">
        <f t="shared" si="2"/>
        <v>8000</v>
      </c>
      <c r="L175" s="4"/>
      <c r="M175" s="10"/>
      <c r="N175" s="10">
        <f>Tabla24567894[[#This Row],[MONTO DE COMPRA]]/1.19</f>
        <v>0</v>
      </c>
      <c r="O175" s="10">
        <f>Tabla24567894[[#This Row],[Columna1]]*19%</f>
        <v>0</v>
      </c>
      <c r="P175" s="10"/>
      <c r="Q175" s="10">
        <f>Tabla24567894[[#This Row],[VENTA ]]/1.19</f>
        <v>0</v>
      </c>
      <c r="R175" s="10">
        <f>Tabla24567894[[#This Row],[Columna2]]*19%</f>
        <v>0</v>
      </c>
      <c r="S175" s="10">
        <f>Tabla24567894[[#This Row],[IVA VENTA ]]-Tabla24567894[[#This Row],[IV COMPRA]]</f>
        <v>0</v>
      </c>
      <c r="T175" s="10">
        <f>(Tabla24567894[[#This Row],[VENTA ]]-(Tabla24567894[[#This Row],[MONTO DE COMPRA]]+Tabla24567894[[#This Row],[DIFERENCIA IVA ]]))</f>
        <v>0</v>
      </c>
      <c r="U175" s="19"/>
    </row>
    <row r="176" spans="1:21" s="15" customFormat="1" ht="20.100000000000001" hidden="1" customHeight="1" x14ac:dyDescent="0.25">
      <c r="A176" s="13">
        <v>45001</v>
      </c>
      <c r="B176" s="14"/>
      <c r="C176" s="14" t="s">
        <v>909</v>
      </c>
      <c r="D176" s="14" t="s">
        <v>910</v>
      </c>
      <c r="E176" s="15" t="s">
        <v>744</v>
      </c>
      <c r="F176" s="15" t="s">
        <v>19</v>
      </c>
      <c r="G176" s="14" t="s">
        <v>224</v>
      </c>
      <c r="H176" s="18" t="s">
        <v>911</v>
      </c>
      <c r="I176" s="94">
        <v>60000</v>
      </c>
      <c r="J176" s="95">
        <f>IF(G:G="FRENOS",(Tabla24567894[[#This Row],[TOTAL FACTURA]]*0.8),(Tabla24567894[[#This Row],[TOTAL FACTURA]]*0.5))</f>
        <v>30000</v>
      </c>
      <c r="K176" s="9">
        <f t="shared" si="2"/>
        <v>30000</v>
      </c>
      <c r="L176" s="4"/>
      <c r="M176" s="10"/>
      <c r="N176" s="10">
        <f>Tabla24567894[[#This Row],[MONTO DE COMPRA]]/1.19</f>
        <v>0</v>
      </c>
      <c r="O176" s="10">
        <f>Tabla24567894[[#This Row],[Columna1]]*19%</f>
        <v>0</v>
      </c>
      <c r="P176" s="10"/>
      <c r="Q176" s="10">
        <f>Tabla24567894[[#This Row],[VENTA ]]/1.19</f>
        <v>0</v>
      </c>
      <c r="R176" s="10">
        <f>Tabla24567894[[#This Row],[Columna2]]*19%</f>
        <v>0</v>
      </c>
      <c r="S176" s="10">
        <f>Tabla24567894[[#This Row],[IVA VENTA ]]-Tabla24567894[[#This Row],[IV COMPRA]]</f>
        <v>0</v>
      </c>
      <c r="T176" s="10">
        <f>(Tabla24567894[[#This Row],[VENTA ]]-(Tabla24567894[[#This Row],[MONTO DE COMPRA]]+Tabla24567894[[#This Row],[DIFERENCIA IVA ]]))</f>
        <v>0</v>
      </c>
      <c r="U176" s="19"/>
    </row>
    <row r="177" spans="1:21" s="15" customFormat="1" ht="20.100000000000001" hidden="1" customHeight="1" x14ac:dyDescent="0.25">
      <c r="A177" s="13">
        <v>45001</v>
      </c>
      <c r="B177" s="14" t="s">
        <v>913</v>
      </c>
      <c r="C177" s="14" t="s">
        <v>909</v>
      </c>
      <c r="D177" s="14" t="s">
        <v>910</v>
      </c>
      <c r="E177" s="15" t="s">
        <v>744</v>
      </c>
      <c r="F177" s="15" t="s">
        <v>19</v>
      </c>
      <c r="G177" s="14" t="s">
        <v>314</v>
      </c>
      <c r="H177" s="16" t="s">
        <v>201</v>
      </c>
      <c r="I177" s="73">
        <v>10000</v>
      </c>
      <c r="J177" s="92">
        <f>IF(G:G="FRENOS",(Tabla24567894[[#This Row],[TOTAL FACTURA]]*0.8),(Tabla24567894[[#This Row],[TOTAL FACTURA]]*0.5))</f>
        <v>8000</v>
      </c>
      <c r="K177" s="9">
        <f t="shared" si="2"/>
        <v>2000</v>
      </c>
      <c r="L177" s="4"/>
      <c r="M177" s="10"/>
      <c r="N177" s="10">
        <f>Tabla24567894[[#This Row],[MONTO DE COMPRA]]/1.19</f>
        <v>0</v>
      </c>
      <c r="O177" s="10">
        <f>Tabla24567894[[#This Row],[Columna1]]*19%</f>
        <v>0</v>
      </c>
      <c r="P177" s="10"/>
      <c r="Q177" s="10">
        <f>Tabla24567894[[#This Row],[VENTA ]]/1.19</f>
        <v>0</v>
      </c>
      <c r="R177" s="10">
        <f>Tabla24567894[[#This Row],[Columna2]]*19%</f>
        <v>0</v>
      </c>
      <c r="S177" s="10">
        <f>Tabla24567894[[#This Row],[IVA VENTA ]]-Tabla24567894[[#This Row],[IV COMPRA]]</f>
        <v>0</v>
      </c>
      <c r="T177" s="10">
        <f>(Tabla24567894[[#This Row],[VENTA ]]-(Tabla24567894[[#This Row],[MONTO DE COMPRA]]+Tabla24567894[[#This Row],[DIFERENCIA IVA ]]))</f>
        <v>0</v>
      </c>
      <c r="U177" s="19"/>
    </row>
    <row r="178" spans="1:21" s="15" customFormat="1" ht="20.100000000000001" hidden="1" customHeight="1" x14ac:dyDescent="0.25">
      <c r="A178" s="13">
        <v>45001</v>
      </c>
      <c r="B178" s="14"/>
      <c r="C178" s="14" t="s">
        <v>914</v>
      </c>
      <c r="D178" s="14" t="s">
        <v>915</v>
      </c>
      <c r="E178" s="15" t="s">
        <v>467</v>
      </c>
      <c r="F178" s="15" t="s">
        <v>41</v>
      </c>
      <c r="G178" s="14" t="s">
        <v>224</v>
      </c>
      <c r="H178" s="18" t="s">
        <v>916</v>
      </c>
      <c r="I178" s="19">
        <v>30000</v>
      </c>
      <c r="J178" s="19">
        <f>IF(G:G="FRENOS",(Tabla24567894[[#This Row],[TOTAL FACTURA]]*0.8),(Tabla24567894[[#This Row],[TOTAL FACTURA]]*0.5))</f>
        <v>15000</v>
      </c>
      <c r="K178" s="9">
        <f t="shared" si="2"/>
        <v>15000</v>
      </c>
      <c r="L178" s="4"/>
      <c r="M178" s="10"/>
      <c r="N178" s="10">
        <f>Tabla24567894[[#This Row],[MONTO DE COMPRA]]/1.19</f>
        <v>0</v>
      </c>
      <c r="O178" s="10">
        <f>Tabla24567894[[#This Row],[Columna1]]*19%</f>
        <v>0</v>
      </c>
      <c r="P178" s="10"/>
      <c r="Q178" s="10">
        <f>Tabla24567894[[#This Row],[VENTA ]]/1.19</f>
        <v>0</v>
      </c>
      <c r="R178" s="10">
        <f>Tabla24567894[[#This Row],[Columna2]]*19%</f>
        <v>0</v>
      </c>
      <c r="S178" s="10">
        <f>Tabla24567894[[#This Row],[IVA VENTA ]]-Tabla24567894[[#This Row],[IV COMPRA]]</f>
        <v>0</v>
      </c>
      <c r="T178" s="10">
        <f>(Tabla24567894[[#This Row],[VENTA ]]-(Tabla24567894[[#This Row],[MONTO DE COMPRA]]+Tabla24567894[[#This Row],[DIFERENCIA IVA ]]))</f>
        <v>0</v>
      </c>
      <c r="U178" s="19"/>
    </row>
    <row r="179" spans="1:21" s="15" customFormat="1" ht="20.100000000000001" hidden="1" customHeight="1" x14ac:dyDescent="0.25">
      <c r="A179" s="13">
        <v>45001</v>
      </c>
      <c r="B179" s="14"/>
      <c r="C179" s="14" t="s">
        <v>917</v>
      </c>
      <c r="D179" s="14" t="s">
        <v>918</v>
      </c>
      <c r="E179" s="15" t="s">
        <v>27</v>
      </c>
      <c r="F179" s="15" t="s">
        <v>19</v>
      </c>
      <c r="G179" s="14" t="s">
        <v>314</v>
      </c>
      <c r="H179" s="18" t="s">
        <v>919</v>
      </c>
      <c r="I179" s="94">
        <v>40000</v>
      </c>
      <c r="J179" s="95">
        <f>IF(G:G="FRENOS",(Tabla24567894[[#This Row],[TOTAL FACTURA]]*0.8),(Tabla24567894[[#This Row],[TOTAL FACTURA]]*0.5))</f>
        <v>32000</v>
      </c>
      <c r="K179" s="9">
        <f t="shared" si="2"/>
        <v>8000</v>
      </c>
      <c r="L179" s="4" t="s">
        <v>920</v>
      </c>
      <c r="M179" s="10">
        <v>60000</v>
      </c>
      <c r="N179" s="10">
        <f>Tabla24567894[[#This Row],[MONTO DE COMPRA]]/1.19</f>
        <v>50420.168067226892</v>
      </c>
      <c r="O179" s="10">
        <f>Tabla24567894[[#This Row],[Columna1]]*19%</f>
        <v>9579.8319327731097</v>
      </c>
      <c r="P179" s="10">
        <v>70000</v>
      </c>
      <c r="Q179" s="10">
        <f>Tabla24567894[[#This Row],[VENTA ]]/1.19</f>
        <v>58823.529411764706</v>
      </c>
      <c r="R179" s="10">
        <f>Tabla24567894[[#This Row],[Columna2]]*19%</f>
        <v>11176.470588235294</v>
      </c>
      <c r="S179" s="10">
        <f>Tabla24567894[[#This Row],[IVA VENTA ]]-Tabla24567894[[#This Row],[IV COMPRA]]</f>
        <v>1596.638655462184</v>
      </c>
      <c r="T179" s="10">
        <f>(Tabla24567894[[#This Row],[VENTA ]]-(Tabla24567894[[#This Row],[MONTO DE COMPRA]]+Tabla24567894[[#This Row],[DIFERENCIA IVA ]]))</f>
        <v>8403.3613445378141</v>
      </c>
      <c r="U179" s="19"/>
    </row>
    <row r="180" spans="1:21" s="15" customFormat="1" ht="20.100000000000001" hidden="1" customHeight="1" x14ac:dyDescent="0.25">
      <c r="A180" s="13">
        <v>45001</v>
      </c>
      <c r="B180" s="14"/>
      <c r="C180" s="14"/>
      <c r="D180" s="14" t="s">
        <v>921</v>
      </c>
      <c r="E180" s="15" t="s">
        <v>922</v>
      </c>
      <c r="F180" s="15" t="s">
        <v>41</v>
      </c>
      <c r="G180" s="14" t="s">
        <v>224</v>
      </c>
      <c r="H180" s="18" t="s">
        <v>923</v>
      </c>
      <c r="I180" s="19">
        <v>30000</v>
      </c>
      <c r="J180" s="19">
        <f>IF(G:G="FRENOS",(Tabla24567894[[#This Row],[TOTAL FACTURA]]*0.8),(Tabla24567894[[#This Row],[TOTAL FACTURA]]*0.5))</f>
        <v>15000</v>
      </c>
      <c r="K180" s="9">
        <f t="shared" si="2"/>
        <v>15000</v>
      </c>
      <c r="L180" s="4"/>
      <c r="M180" s="10"/>
      <c r="N180" s="10">
        <f>Tabla24567894[[#This Row],[MONTO DE COMPRA]]/1.19</f>
        <v>0</v>
      </c>
      <c r="O180" s="10">
        <f>Tabla24567894[[#This Row],[Columna1]]*19%</f>
        <v>0</v>
      </c>
      <c r="P180" s="10"/>
      <c r="Q180" s="10">
        <f>Tabla24567894[[#This Row],[VENTA ]]/1.19</f>
        <v>0</v>
      </c>
      <c r="R180" s="10">
        <f>Tabla24567894[[#This Row],[Columna2]]*19%</f>
        <v>0</v>
      </c>
      <c r="S180" s="10">
        <f>Tabla24567894[[#This Row],[IVA VENTA ]]-Tabla24567894[[#This Row],[IV COMPRA]]</f>
        <v>0</v>
      </c>
      <c r="T180" s="10">
        <f>(Tabla24567894[[#This Row],[VENTA ]]-(Tabla24567894[[#This Row],[MONTO DE COMPRA]]+Tabla24567894[[#This Row],[DIFERENCIA IVA ]]))</f>
        <v>0</v>
      </c>
      <c r="U180" s="19"/>
    </row>
    <row r="181" spans="1:21" s="15" customFormat="1" ht="20.100000000000001" hidden="1" customHeight="1" x14ac:dyDescent="0.25">
      <c r="A181" s="13">
        <v>45001</v>
      </c>
      <c r="B181" s="14"/>
      <c r="C181" s="14" t="s">
        <v>924</v>
      </c>
      <c r="D181" s="14" t="s">
        <v>925</v>
      </c>
      <c r="E181" s="15" t="s">
        <v>926</v>
      </c>
      <c r="F181" s="15" t="s">
        <v>19</v>
      </c>
      <c r="G181" s="14" t="s">
        <v>314</v>
      </c>
      <c r="H181" s="18" t="s">
        <v>927</v>
      </c>
      <c r="I181" s="94">
        <v>40000</v>
      </c>
      <c r="J181" s="95">
        <f>IF(G:G="FRENOS",(Tabla24567894[[#This Row],[TOTAL FACTURA]]*0.8),(Tabla24567894[[#This Row],[TOTAL FACTURA]]*0.5))</f>
        <v>32000</v>
      </c>
      <c r="K181" s="9">
        <f t="shared" si="2"/>
        <v>8000</v>
      </c>
      <c r="L181" s="4" t="s">
        <v>928</v>
      </c>
      <c r="M181" s="10">
        <v>45000</v>
      </c>
      <c r="N181" s="10">
        <f>Tabla24567894[[#This Row],[MONTO DE COMPRA]]/1.19</f>
        <v>37815.126050420171</v>
      </c>
      <c r="O181" s="10">
        <f>Tabla24567894[[#This Row],[Columna1]]*19%</f>
        <v>7184.8739495798327</v>
      </c>
      <c r="P181" s="10">
        <v>55000</v>
      </c>
      <c r="Q181" s="10">
        <f>Tabla24567894[[#This Row],[VENTA ]]/1.19</f>
        <v>46218.487394957985</v>
      </c>
      <c r="R181" s="10">
        <f>Tabla24567894[[#This Row],[Columna2]]*19%</f>
        <v>8781.5126050420167</v>
      </c>
      <c r="S181" s="10">
        <f>Tabla24567894[[#This Row],[IVA VENTA ]]-Tabla24567894[[#This Row],[IV COMPRA]]</f>
        <v>1596.638655462184</v>
      </c>
      <c r="T181" s="10">
        <f>(Tabla24567894[[#This Row],[VENTA ]]-(Tabla24567894[[#This Row],[MONTO DE COMPRA]]+Tabla24567894[[#This Row],[DIFERENCIA IVA ]]))</f>
        <v>8403.3613445378141</v>
      </c>
      <c r="U181" s="19"/>
    </row>
    <row r="182" spans="1:21" s="15" customFormat="1" ht="20.100000000000001" hidden="1" customHeight="1" x14ac:dyDescent="0.25">
      <c r="A182" s="13">
        <v>45002</v>
      </c>
      <c r="B182" s="14"/>
      <c r="C182" s="14" t="s">
        <v>929</v>
      </c>
      <c r="D182" s="14" t="s">
        <v>930</v>
      </c>
      <c r="E182" s="15" t="s">
        <v>931</v>
      </c>
      <c r="F182" s="15" t="s">
        <v>41</v>
      </c>
      <c r="G182" s="14" t="s">
        <v>224</v>
      </c>
      <c r="H182" s="18" t="s">
        <v>932</v>
      </c>
      <c r="I182" s="19">
        <v>2200000</v>
      </c>
      <c r="J182" s="19">
        <v>1200000</v>
      </c>
      <c r="K182" s="9">
        <f t="shared" si="2"/>
        <v>1000000</v>
      </c>
      <c r="L182" s="4"/>
      <c r="M182" s="10"/>
      <c r="N182" s="10">
        <f>Tabla24567894[[#This Row],[MONTO DE COMPRA]]/1.19</f>
        <v>0</v>
      </c>
      <c r="O182" s="10">
        <f>Tabla24567894[[#This Row],[Columna1]]*19%</f>
        <v>0</v>
      </c>
      <c r="P182" s="10"/>
      <c r="Q182" s="10">
        <f>Tabla24567894[[#This Row],[VENTA ]]/1.19</f>
        <v>0</v>
      </c>
      <c r="R182" s="10">
        <f>Tabla24567894[[#This Row],[Columna2]]*19%</f>
        <v>0</v>
      </c>
      <c r="S182" s="10">
        <f>Tabla24567894[[#This Row],[IVA VENTA ]]-Tabla24567894[[#This Row],[IV COMPRA]]</f>
        <v>0</v>
      </c>
      <c r="T182" s="10">
        <f>(Tabla24567894[[#This Row],[VENTA ]]-(Tabla24567894[[#This Row],[MONTO DE COMPRA]]+Tabla24567894[[#This Row],[DIFERENCIA IVA ]]))</f>
        <v>0</v>
      </c>
      <c r="U182" s="19"/>
    </row>
    <row r="183" spans="1:21" s="15" customFormat="1" ht="20.100000000000001" hidden="1" customHeight="1" x14ac:dyDescent="0.25">
      <c r="A183" s="13">
        <v>45002</v>
      </c>
      <c r="B183" s="14"/>
      <c r="C183" s="14" t="s">
        <v>933</v>
      </c>
      <c r="D183" s="14" t="s">
        <v>934</v>
      </c>
      <c r="E183" s="15" t="s">
        <v>935</v>
      </c>
      <c r="F183" s="15" t="s">
        <v>41</v>
      </c>
      <c r="G183" s="14" t="s">
        <v>224</v>
      </c>
      <c r="H183" s="18" t="s">
        <v>936</v>
      </c>
      <c r="I183" s="95">
        <v>180000</v>
      </c>
      <c r="J183" s="19">
        <f>IF(G:G="FRENOS",(Tabla24567894[[#This Row],[TOTAL FACTURA]]*0.8),(Tabla24567894[[#This Row],[TOTAL FACTURA]]*0.5))</f>
        <v>90000</v>
      </c>
      <c r="K183" s="9">
        <f t="shared" si="2"/>
        <v>90000</v>
      </c>
      <c r="L183" s="4"/>
      <c r="M183" s="10"/>
      <c r="N183" s="10">
        <f>Tabla24567894[[#This Row],[MONTO DE COMPRA]]/1.19</f>
        <v>0</v>
      </c>
      <c r="O183" s="10">
        <f>Tabla24567894[[#This Row],[Columna1]]*19%</f>
        <v>0</v>
      </c>
      <c r="P183" s="10"/>
      <c r="Q183" s="10">
        <f>Tabla24567894[[#This Row],[VENTA ]]/1.19</f>
        <v>0</v>
      </c>
      <c r="R183" s="10">
        <f>Tabla24567894[[#This Row],[Columna2]]*19%</f>
        <v>0</v>
      </c>
      <c r="S183" s="10">
        <f>Tabla24567894[[#This Row],[IVA VENTA ]]-Tabla24567894[[#This Row],[IV COMPRA]]</f>
        <v>0</v>
      </c>
      <c r="T183" s="10">
        <f>(Tabla24567894[[#This Row],[VENTA ]]-(Tabla24567894[[#This Row],[MONTO DE COMPRA]]+Tabla24567894[[#This Row],[DIFERENCIA IVA ]]))</f>
        <v>0</v>
      </c>
      <c r="U183" s="19"/>
    </row>
    <row r="184" spans="1:21" s="15" customFormat="1" ht="20.100000000000001" hidden="1" customHeight="1" x14ac:dyDescent="0.25">
      <c r="A184" s="13">
        <v>45002</v>
      </c>
      <c r="B184" s="14"/>
      <c r="C184" s="14"/>
      <c r="D184" s="14" t="s">
        <v>938</v>
      </c>
      <c r="E184" s="15" t="s">
        <v>114</v>
      </c>
      <c r="F184" s="15" t="s">
        <v>19</v>
      </c>
      <c r="G184" s="14" t="s">
        <v>314</v>
      </c>
      <c r="H184" s="18" t="s">
        <v>937</v>
      </c>
      <c r="I184" s="94">
        <v>60000</v>
      </c>
      <c r="J184" s="95">
        <f>IF(G:G="FRENOS",(Tabla24567894[[#This Row],[TOTAL FACTURA]]*0.8),(Tabla24567894[[#This Row],[TOTAL FACTURA]]*0.5))</f>
        <v>48000</v>
      </c>
      <c r="K184" s="9">
        <f t="shared" si="2"/>
        <v>12000</v>
      </c>
      <c r="L184" s="4"/>
      <c r="M184" s="10"/>
      <c r="N184" s="10">
        <f>Tabla24567894[[#This Row],[MONTO DE COMPRA]]/1.19</f>
        <v>0</v>
      </c>
      <c r="O184" s="10">
        <f>Tabla24567894[[#This Row],[Columna1]]*19%</f>
        <v>0</v>
      </c>
      <c r="P184" s="10"/>
      <c r="Q184" s="10">
        <f>Tabla24567894[[#This Row],[VENTA ]]/1.19</f>
        <v>0</v>
      </c>
      <c r="R184" s="10">
        <f>Tabla24567894[[#This Row],[Columna2]]*19%</f>
        <v>0</v>
      </c>
      <c r="S184" s="10">
        <f>Tabla24567894[[#This Row],[IVA VENTA ]]-Tabla24567894[[#This Row],[IV COMPRA]]</f>
        <v>0</v>
      </c>
      <c r="T184" s="10">
        <f>(Tabla24567894[[#This Row],[VENTA ]]-(Tabla24567894[[#This Row],[MONTO DE COMPRA]]+Tabla24567894[[#This Row],[DIFERENCIA IVA ]]))</f>
        <v>0</v>
      </c>
      <c r="U184" s="19"/>
    </row>
    <row r="185" spans="1:21" s="15" customFormat="1" ht="20.100000000000001" hidden="1" customHeight="1" x14ac:dyDescent="0.25">
      <c r="A185" s="13">
        <v>45002</v>
      </c>
      <c r="B185" s="14"/>
      <c r="C185" s="14" t="s">
        <v>940</v>
      </c>
      <c r="D185" s="14" t="s">
        <v>938</v>
      </c>
      <c r="E185" s="15" t="s">
        <v>114</v>
      </c>
      <c r="F185" s="15" t="s">
        <v>19</v>
      </c>
      <c r="G185" s="14" t="s">
        <v>224</v>
      </c>
      <c r="H185" s="18" t="s">
        <v>939</v>
      </c>
      <c r="I185" s="94">
        <v>70000</v>
      </c>
      <c r="J185" s="95">
        <f>IF(G:G="FRENOS",(Tabla24567894[[#This Row],[TOTAL FACTURA]]*0.8),(Tabla24567894[[#This Row],[TOTAL FACTURA]]*0.5))</f>
        <v>35000</v>
      </c>
      <c r="K185" s="9">
        <f t="shared" si="2"/>
        <v>35000</v>
      </c>
      <c r="L185" s="4"/>
      <c r="M185" s="10"/>
      <c r="N185" s="10">
        <f>Tabla24567894[[#This Row],[MONTO DE COMPRA]]/1.19</f>
        <v>0</v>
      </c>
      <c r="O185" s="10">
        <f>Tabla24567894[[#This Row],[Columna1]]*19%</f>
        <v>0</v>
      </c>
      <c r="P185" s="10"/>
      <c r="Q185" s="10">
        <f>Tabla24567894[[#This Row],[VENTA ]]/1.19</f>
        <v>0</v>
      </c>
      <c r="R185" s="10">
        <f>Tabla24567894[[#This Row],[Columna2]]*19%</f>
        <v>0</v>
      </c>
      <c r="S185" s="10">
        <f>Tabla24567894[[#This Row],[IVA VENTA ]]-Tabla24567894[[#This Row],[IV COMPRA]]</f>
        <v>0</v>
      </c>
      <c r="T185" s="10">
        <f>(Tabla24567894[[#This Row],[VENTA ]]-(Tabla24567894[[#This Row],[MONTO DE COMPRA]]+Tabla24567894[[#This Row],[DIFERENCIA IVA ]]))</f>
        <v>0</v>
      </c>
      <c r="U185" s="19"/>
    </row>
    <row r="186" spans="1:21" s="15" customFormat="1" ht="20.100000000000001" hidden="1" customHeight="1" x14ac:dyDescent="0.25">
      <c r="A186" s="13">
        <v>45002</v>
      </c>
      <c r="B186" s="14"/>
      <c r="C186" s="14"/>
      <c r="D186" s="14" t="s">
        <v>941</v>
      </c>
      <c r="E186" s="15" t="s">
        <v>321</v>
      </c>
      <c r="F186" s="15" t="s">
        <v>19</v>
      </c>
      <c r="G186" s="14" t="s">
        <v>314</v>
      </c>
      <c r="H186" s="18" t="s">
        <v>20</v>
      </c>
      <c r="I186" s="94">
        <v>15000</v>
      </c>
      <c r="J186" s="95">
        <f>IF(G:G="FRENOS",(Tabla24567894[[#This Row],[TOTAL FACTURA]]*0.8),(Tabla24567894[[#This Row],[TOTAL FACTURA]]*0.5))</f>
        <v>12000</v>
      </c>
      <c r="K186" s="9">
        <f t="shared" si="2"/>
        <v>3000</v>
      </c>
      <c r="L186" s="4"/>
      <c r="M186" s="10"/>
      <c r="N186" s="10">
        <f>Tabla24567894[[#This Row],[MONTO DE COMPRA]]/1.19</f>
        <v>0</v>
      </c>
      <c r="O186" s="10">
        <f>Tabla24567894[[#This Row],[Columna1]]*19%</f>
        <v>0</v>
      </c>
      <c r="P186" s="10"/>
      <c r="Q186" s="10">
        <f>Tabla24567894[[#This Row],[VENTA ]]/1.19</f>
        <v>0</v>
      </c>
      <c r="R186" s="10">
        <f>Tabla24567894[[#This Row],[Columna2]]*19%</f>
        <v>0</v>
      </c>
      <c r="S186" s="10">
        <f>Tabla24567894[[#This Row],[IVA VENTA ]]-Tabla24567894[[#This Row],[IV COMPRA]]</f>
        <v>0</v>
      </c>
      <c r="T186" s="10">
        <f>(Tabla24567894[[#This Row],[VENTA ]]-(Tabla24567894[[#This Row],[MONTO DE COMPRA]]+Tabla24567894[[#This Row],[DIFERENCIA IVA ]]))</f>
        <v>0</v>
      </c>
      <c r="U186" s="19"/>
    </row>
    <row r="187" spans="1:21" s="15" customFormat="1" ht="20.100000000000001" hidden="1" customHeight="1" x14ac:dyDescent="0.25">
      <c r="A187" s="13">
        <v>45003</v>
      </c>
      <c r="B187" s="14"/>
      <c r="C187" s="14" t="s">
        <v>944</v>
      </c>
      <c r="D187" s="14" t="s">
        <v>945</v>
      </c>
      <c r="E187" s="15" t="s">
        <v>922</v>
      </c>
      <c r="F187" s="15" t="s">
        <v>19</v>
      </c>
      <c r="G187" s="14" t="s">
        <v>314</v>
      </c>
      <c r="H187" s="18" t="s">
        <v>176</v>
      </c>
      <c r="I187" s="94">
        <v>70000</v>
      </c>
      <c r="J187" s="19">
        <f>IF(G:G="FRENOS",(Tabla24567894[[#This Row],[TOTAL FACTURA]]*0.8),(Tabla24567894[[#This Row],[TOTAL FACTURA]]*0.5))</f>
        <v>56000</v>
      </c>
      <c r="K187" s="9">
        <f t="shared" si="2"/>
        <v>14000</v>
      </c>
      <c r="L187" s="4"/>
      <c r="M187" s="10"/>
      <c r="N187" s="10">
        <f>Tabla24567894[[#This Row],[MONTO DE COMPRA]]/1.19</f>
        <v>0</v>
      </c>
      <c r="O187" s="10">
        <f>Tabla24567894[[#This Row],[Columna1]]*19%</f>
        <v>0</v>
      </c>
      <c r="P187" s="10"/>
      <c r="Q187" s="10">
        <f>Tabla24567894[[#This Row],[VENTA ]]/1.19</f>
        <v>0</v>
      </c>
      <c r="R187" s="10">
        <f>Tabla24567894[[#This Row],[Columna2]]*19%</f>
        <v>0</v>
      </c>
      <c r="S187" s="10">
        <f>Tabla24567894[[#This Row],[IVA VENTA ]]-Tabla24567894[[#This Row],[IV COMPRA]]</f>
        <v>0</v>
      </c>
      <c r="T187" s="10">
        <f>(Tabla24567894[[#This Row],[VENTA ]]-(Tabla24567894[[#This Row],[MONTO DE COMPRA]]+Tabla24567894[[#This Row],[DIFERENCIA IVA ]]))</f>
        <v>0</v>
      </c>
      <c r="U187" s="19"/>
    </row>
    <row r="188" spans="1:21" s="15" customFormat="1" ht="20.100000000000001" hidden="1" customHeight="1" x14ac:dyDescent="0.25">
      <c r="A188" s="13">
        <v>45003</v>
      </c>
      <c r="B188" s="14"/>
      <c r="C188" s="14" t="s">
        <v>946</v>
      </c>
      <c r="D188" s="15" t="s">
        <v>947</v>
      </c>
      <c r="E188" s="15" t="s">
        <v>552</v>
      </c>
      <c r="F188" s="15" t="s">
        <v>19</v>
      </c>
      <c r="G188" s="14" t="s">
        <v>224</v>
      </c>
      <c r="H188" s="18" t="s">
        <v>948</v>
      </c>
      <c r="I188" s="94">
        <v>60000</v>
      </c>
      <c r="J188" s="19">
        <f>IF(G:G="FRENOS",(Tabla24567894[[#This Row],[TOTAL FACTURA]]*0.8),(Tabla24567894[[#This Row],[TOTAL FACTURA]]*0.5))</f>
        <v>30000</v>
      </c>
      <c r="K188" s="9">
        <f t="shared" si="2"/>
        <v>30000</v>
      </c>
      <c r="L188" s="4"/>
      <c r="M188" s="10"/>
      <c r="N188" s="10">
        <f>Tabla24567894[[#This Row],[MONTO DE COMPRA]]/1.19</f>
        <v>0</v>
      </c>
      <c r="O188" s="10">
        <f>Tabla24567894[[#This Row],[Columna1]]*19%</f>
        <v>0</v>
      </c>
      <c r="P188" s="10"/>
      <c r="Q188" s="10">
        <f>Tabla24567894[[#This Row],[VENTA ]]/1.19</f>
        <v>0</v>
      </c>
      <c r="R188" s="10">
        <f>Tabla24567894[[#This Row],[Columna2]]*19%</f>
        <v>0</v>
      </c>
      <c r="S188" s="10">
        <f>Tabla24567894[[#This Row],[IVA VENTA ]]-Tabla24567894[[#This Row],[IV COMPRA]]</f>
        <v>0</v>
      </c>
      <c r="T188" s="10">
        <f>(Tabla24567894[[#This Row],[VENTA ]]-(Tabla24567894[[#This Row],[MONTO DE COMPRA]]+Tabla24567894[[#This Row],[DIFERENCIA IVA ]]))</f>
        <v>0</v>
      </c>
      <c r="U188" s="19"/>
    </row>
    <row r="189" spans="1:21" s="15" customFormat="1" ht="20.100000000000001" hidden="1" customHeight="1" x14ac:dyDescent="0.25">
      <c r="A189" s="13">
        <v>45003</v>
      </c>
      <c r="B189" s="14"/>
      <c r="C189" s="14" t="s">
        <v>949</v>
      </c>
      <c r="D189" s="14" t="s">
        <v>950</v>
      </c>
      <c r="E189" s="15" t="s">
        <v>951</v>
      </c>
      <c r="F189" s="15" t="s">
        <v>19</v>
      </c>
      <c r="G189" s="14" t="s">
        <v>314</v>
      </c>
      <c r="H189" s="18" t="s">
        <v>952</v>
      </c>
      <c r="I189" s="94">
        <v>60000</v>
      </c>
      <c r="J189" s="19">
        <f>IF(G:G="FRENOS",(Tabla24567894[[#This Row],[TOTAL FACTURA]]*0.8),(Tabla24567894[[#This Row],[TOTAL FACTURA]]*0.5))</f>
        <v>48000</v>
      </c>
      <c r="K189" s="9">
        <f t="shared" si="2"/>
        <v>12000</v>
      </c>
      <c r="L189" s="4"/>
      <c r="M189" s="10"/>
      <c r="N189" s="10">
        <f>Tabla24567894[[#This Row],[MONTO DE COMPRA]]/1.19</f>
        <v>0</v>
      </c>
      <c r="O189" s="10">
        <f>Tabla24567894[[#This Row],[Columna1]]*19%</f>
        <v>0</v>
      </c>
      <c r="P189" s="10"/>
      <c r="Q189" s="10">
        <f>Tabla24567894[[#This Row],[VENTA ]]/1.19</f>
        <v>0</v>
      </c>
      <c r="R189" s="10">
        <f>Tabla24567894[[#This Row],[Columna2]]*19%</f>
        <v>0</v>
      </c>
      <c r="S189" s="10">
        <f>Tabla24567894[[#This Row],[IVA VENTA ]]-Tabla24567894[[#This Row],[IV COMPRA]]</f>
        <v>0</v>
      </c>
      <c r="T189" s="10">
        <f>(Tabla24567894[[#This Row],[VENTA ]]-(Tabla24567894[[#This Row],[MONTO DE COMPRA]]+Tabla24567894[[#This Row],[DIFERENCIA IVA ]]))</f>
        <v>0</v>
      </c>
      <c r="U189" s="19"/>
    </row>
    <row r="190" spans="1:21" s="15" customFormat="1" ht="31.5" customHeight="1" x14ac:dyDescent="0.25">
      <c r="A190" s="13">
        <v>45003</v>
      </c>
      <c r="B190" s="14" t="s">
        <v>957</v>
      </c>
      <c r="C190" s="14" t="s">
        <v>949</v>
      </c>
      <c r="D190" s="14" t="s">
        <v>953</v>
      </c>
      <c r="E190" s="15" t="s">
        <v>954</v>
      </c>
      <c r="F190" s="15" t="s">
        <v>41</v>
      </c>
      <c r="G190" s="14" t="s">
        <v>224</v>
      </c>
      <c r="H190" s="18" t="s">
        <v>955</v>
      </c>
      <c r="I190" s="94">
        <v>580000</v>
      </c>
      <c r="J190" s="19">
        <f>IF(G:G="FRENOS",(Tabla24567894[[#This Row],[TOTAL FACTURA]]*0.8),(Tabla24567894[[#This Row],[TOTAL FACTURA]]*0.5))</f>
        <v>290000</v>
      </c>
      <c r="K190" s="9">
        <f t="shared" si="2"/>
        <v>290000</v>
      </c>
      <c r="L190" s="4" t="s">
        <v>956</v>
      </c>
      <c r="M190" s="10">
        <v>362000</v>
      </c>
      <c r="N190" s="10">
        <f>Tabla24567894[[#This Row],[MONTO DE COMPRA]]/1.19</f>
        <v>304201.68067226891</v>
      </c>
      <c r="O190" s="10">
        <f>Tabla24567894[[#This Row],[Columna1]]*19%</f>
        <v>57798.319327731093</v>
      </c>
      <c r="P190" s="10">
        <v>422000</v>
      </c>
      <c r="Q190" s="10">
        <f>Tabla24567894[[#This Row],[VENTA ]]/1.19</f>
        <v>354621.84873949579</v>
      </c>
      <c r="R190" s="10">
        <f>Tabla24567894[[#This Row],[Columna2]]*19%</f>
        <v>67378.151260504208</v>
      </c>
      <c r="S190" s="10">
        <f>Tabla24567894[[#This Row],[IVA VENTA ]]-Tabla24567894[[#This Row],[IV COMPRA]]</f>
        <v>9579.8319327731151</v>
      </c>
      <c r="T190" s="10">
        <f>(Tabla24567894[[#This Row],[VENTA ]]-(Tabla24567894[[#This Row],[MONTO DE COMPRA]]+Tabla24567894[[#This Row],[DIFERENCIA IVA ]]))</f>
        <v>50420.168067226885</v>
      </c>
      <c r="U190" s="19"/>
    </row>
    <row r="191" spans="1:21" s="15" customFormat="1" ht="20.100000000000001" hidden="1" customHeight="1" x14ac:dyDescent="0.25">
      <c r="A191" s="13">
        <v>45003</v>
      </c>
      <c r="B191" s="14"/>
      <c r="C191" s="14" t="s">
        <v>887</v>
      </c>
      <c r="D191" s="14" t="s">
        <v>958</v>
      </c>
      <c r="E191" s="15" t="s">
        <v>959</v>
      </c>
      <c r="F191" s="15" t="s">
        <v>19</v>
      </c>
      <c r="G191" s="14" t="s">
        <v>224</v>
      </c>
      <c r="H191" s="96" t="s">
        <v>1010</v>
      </c>
      <c r="I191" s="94">
        <v>80000</v>
      </c>
      <c r="J191" s="19">
        <f>IF(G:G="FRENOS",(Tabla24567894[[#This Row],[TOTAL FACTURA]]*0.8),(Tabla24567894[[#This Row],[TOTAL FACTURA]]*0.5))</f>
        <v>40000</v>
      </c>
      <c r="K191" s="9">
        <f t="shared" si="2"/>
        <v>40000</v>
      </c>
      <c r="L191" s="4"/>
      <c r="M191" s="10"/>
      <c r="N191" s="10">
        <f>Tabla24567894[[#This Row],[MONTO DE COMPRA]]/1.19</f>
        <v>0</v>
      </c>
      <c r="O191" s="10">
        <f>Tabla24567894[[#This Row],[Columna1]]*19%</f>
        <v>0</v>
      </c>
      <c r="P191" s="10"/>
      <c r="Q191" s="10">
        <f>Tabla24567894[[#This Row],[VENTA ]]/1.19</f>
        <v>0</v>
      </c>
      <c r="R191" s="10">
        <f>Tabla24567894[[#This Row],[Columna2]]*19%</f>
        <v>0</v>
      </c>
      <c r="S191" s="10">
        <f>Tabla24567894[[#This Row],[IVA VENTA ]]-Tabla24567894[[#This Row],[IV COMPRA]]</f>
        <v>0</v>
      </c>
      <c r="T191" s="10">
        <f>(Tabla24567894[[#This Row],[VENTA ]]-(Tabla24567894[[#This Row],[MONTO DE COMPRA]]+Tabla24567894[[#This Row],[DIFERENCIA IVA ]]))</f>
        <v>0</v>
      </c>
      <c r="U191" s="19"/>
    </row>
    <row r="192" spans="1:21" s="15" customFormat="1" ht="20.100000000000001" hidden="1" customHeight="1" x14ac:dyDescent="0.25">
      <c r="A192" s="13">
        <v>45006</v>
      </c>
      <c r="B192" s="14" t="s">
        <v>965</v>
      </c>
      <c r="C192" s="14" t="s">
        <v>379</v>
      </c>
      <c r="D192" s="14" t="s">
        <v>960</v>
      </c>
      <c r="E192" s="15" t="s">
        <v>961</v>
      </c>
      <c r="F192" s="15" t="s">
        <v>19</v>
      </c>
      <c r="G192" s="14" t="s">
        <v>314</v>
      </c>
      <c r="H192" s="18" t="s">
        <v>962</v>
      </c>
      <c r="I192" s="94">
        <v>50000</v>
      </c>
      <c r="J192" s="19">
        <f>IF(G:G="FRENOS",(Tabla24567894[[#This Row],[TOTAL FACTURA]]*0.8),(Tabla24567894[[#This Row],[TOTAL FACTURA]]*0.5))</f>
        <v>40000</v>
      </c>
      <c r="K192" s="9">
        <f t="shared" si="2"/>
        <v>10000</v>
      </c>
      <c r="L192" s="4"/>
      <c r="M192" s="10"/>
      <c r="N192" s="10">
        <f>Tabla24567894[[#This Row],[MONTO DE COMPRA]]/1.19</f>
        <v>0</v>
      </c>
      <c r="O192" s="10">
        <f>Tabla24567894[[#This Row],[Columna1]]*19%</f>
        <v>0</v>
      </c>
      <c r="P192" s="10"/>
      <c r="Q192" s="10">
        <f>Tabla24567894[[#This Row],[VENTA ]]/1.19</f>
        <v>0</v>
      </c>
      <c r="R192" s="10">
        <f>Tabla24567894[[#This Row],[Columna2]]*19%</f>
        <v>0</v>
      </c>
      <c r="S192" s="10">
        <f>Tabla24567894[[#This Row],[IVA VENTA ]]-Tabla24567894[[#This Row],[IV COMPRA]]</f>
        <v>0</v>
      </c>
      <c r="T192" s="10">
        <f>(Tabla24567894[[#This Row],[VENTA ]]-(Tabla24567894[[#This Row],[MONTO DE COMPRA]]+Tabla24567894[[#This Row],[DIFERENCIA IVA ]]))</f>
        <v>0</v>
      </c>
      <c r="U192" s="19"/>
    </row>
    <row r="193" spans="1:22" s="15" customFormat="1" ht="20.100000000000001" hidden="1" customHeight="1" x14ac:dyDescent="0.25">
      <c r="A193" s="13">
        <v>45006</v>
      </c>
      <c r="B193" s="14" t="s">
        <v>966</v>
      </c>
      <c r="C193" s="14" t="s">
        <v>379</v>
      </c>
      <c r="D193" s="14" t="s">
        <v>963</v>
      </c>
      <c r="E193" s="15" t="s">
        <v>694</v>
      </c>
      <c r="F193" s="15" t="s">
        <v>19</v>
      </c>
      <c r="G193" s="14" t="s">
        <v>314</v>
      </c>
      <c r="H193" s="18" t="s">
        <v>964</v>
      </c>
      <c r="I193" s="94">
        <v>80000</v>
      </c>
      <c r="J193" s="19">
        <f>IF(G:G="FRENOS",(Tabla24567894[[#This Row],[TOTAL FACTURA]]*0.8),(Tabla24567894[[#This Row],[TOTAL FACTURA]]*0.5))</f>
        <v>64000</v>
      </c>
      <c r="K193" s="9">
        <f t="shared" si="2"/>
        <v>16000</v>
      </c>
      <c r="L193" s="4"/>
      <c r="M193" s="10"/>
      <c r="N193" s="10">
        <f>Tabla24567894[[#This Row],[MONTO DE COMPRA]]/1.19</f>
        <v>0</v>
      </c>
      <c r="O193" s="10">
        <f>Tabla24567894[[#This Row],[Columna1]]*19%</f>
        <v>0</v>
      </c>
      <c r="P193" s="10"/>
      <c r="Q193" s="10">
        <f>Tabla24567894[[#This Row],[VENTA ]]/1.19</f>
        <v>0</v>
      </c>
      <c r="R193" s="10">
        <f>Tabla24567894[[#This Row],[Columna2]]*19%</f>
        <v>0</v>
      </c>
      <c r="S193" s="10">
        <f>Tabla24567894[[#This Row],[IVA VENTA ]]-Tabla24567894[[#This Row],[IV COMPRA]]</f>
        <v>0</v>
      </c>
      <c r="T193" s="10">
        <f>(Tabla24567894[[#This Row],[VENTA ]]-(Tabla24567894[[#This Row],[MONTO DE COMPRA]]+Tabla24567894[[#This Row],[DIFERENCIA IVA ]]))</f>
        <v>0</v>
      </c>
      <c r="U193" s="19"/>
    </row>
    <row r="194" spans="1:22" s="15" customFormat="1" ht="20.100000000000001" hidden="1" customHeight="1" x14ac:dyDescent="0.25">
      <c r="A194" s="13">
        <v>45006</v>
      </c>
      <c r="B194" s="14"/>
      <c r="C194" s="14" t="s">
        <v>967</v>
      </c>
      <c r="D194" s="14" t="s">
        <v>968</v>
      </c>
      <c r="E194" s="15" t="s">
        <v>150</v>
      </c>
      <c r="F194" s="15" t="s">
        <v>19</v>
      </c>
      <c r="G194" s="14" t="s">
        <v>314</v>
      </c>
      <c r="H194" s="18" t="s">
        <v>278</v>
      </c>
      <c r="I194" s="94">
        <v>80000</v>
      </c>
      <c r="J194" s="19">
        <f>IF(G:G="FRENOS",(Tabla24567894[[#This Row],[TOTAL FACTURA]]*0.8),(Tabla24567894[[#This Row],[TOTAL FACTURA]]*0.5))</f>
        <v>64000</v>
      </c>
      <c r="K194" s="9">
        <f t="shared" si="2"/>
        <v>16000</v>
      </c>
      <c r="L194" s="4"/>
      <c r="M194" s="10"/>
      <c r="N194" s="10">
        <f>Tabla24567894[[#This Row],[MONTO DE COMPRA]]/1.19</f>
        <v>0</v>
      </c>
      <c r="O194" s="10">
        <f>Tabla24567894[[#This Row],[Columna1]]*19%</f>
        <v>0</v>
      </c>
      <c r="P194" s="10"/>
      <c r="Q194" s="10">
        <f>Tabla24567894[[#This Row],[VENTA ]]/1.19</f>
        <v>0</v>
      </c>
      <c r="R194" s="10">
        <f>Tabla24567894[[#This Row],[Columna2]]*19%</f>
        <v>0</v>
      </c>
      <c r="S194" s="10">
        <f>Tabla24567894[[#This Row],[IVA VENTA ]]-Tabla24567894[[#This Row],[IV COMPRA]]</f>
        <v>0</v>
      </c>
      <c r="T194" s="10">
        <f>(Tabla24567894[[#This Row],[VENTA ]]-(Tabla24567894[[#This Row],[MONTO DE COMPRA]]+Tabla24567894[[#This Row],[DIFERENCIA IVA ]]))</f>
        <v>0</v>
      </c>
      <c r="U194" s="19"/>
    </row>
    <row r="195" spans="1:22" s="15" customFormat="1" ht="20.100000000000001" hidden="1" customHeight="1" x14ac:dyDescent="0.25">
      <c r="A195" s="13">
        <v>45006</v>
      </c>
      <c r="B195" s="14"/>
      <c r="C195" s="14" t="s">
        <v>929</v>
      </c>
      <c r="D195" s="14" t="s">
        <v>969</v>
      </c>
      <c r="E195" s="15" t="s">
        <v>931</v>
      </c>
      <c r="F195" s="15" t="s">
        <v>19</v>
      </c>
      <c r="G195" s="14" t="s">
        <v>314</v>
      </c>
      <c r="H195" s="18" t="s">
        <v>278</v>
      </c>
      <c r="I195" s="94">
        <v>60000</v>
      </c>
      <c r="J195" s="19">
        <f>IF(G:G="FRENOS",(Tabla24567894[[#This Row],[TOTAL FACTURA]]*0.8),(Tabla24567894[[#This Row],[TOTAL FACTURA]]*0.5))</f>
        <v>48000</v>
      </c>
      <c r="K195" s="9">
        <f t="shared" si="2"/>
        <v>12000</v>
      </c>
      <c r="L195" s="4"/>
      <c r="M195" s="10"/>
      <c r="N195" s="10">
        <f>Tabla24567894[[#This Row],[MONTO DE COMPRA]]/1.19</f>
        <v>0</v>
      </c>
      <c r="O195" s="10">
        <f>Tabla24567894[[#This Row],[Columna1]]*19%</f>
        <v>0</v>
      </c>
      <c r="P195" s="10"/>
      <c r="Q195" s="10">
        <f>Tabla24567894[[#This Row],[VENTA ]]/1.19</f>
        <v>0</v>
      </c>
      <c r="R195" s="10">
        <f>Tabla24567894[[#This Row],[Columna2]]*19%</f>
        <v>0</v>
      </c>
      <c r="S195" s="10">
        <f>Tabla24567894[[#This Row],[IVA VENTA ]]-Tabla24567894[[#This Row],[IV COMPRA]]</f>
        <v>0</v>
      </c>
      <c r="T195" s="10">
        <f>(Tabla24567894[[#This Row],[VENTA ]]-(Tabla24567894[[#This Row],[MONTO DE COMPRA]]+Tabla24567894[[#This Row],[DIFERENCIA IVA ]]))</f>
        <v>0</v>
      </c>
      <c r="U195" s="19"/>
    </row>
    <row r="196" spans="1:22" s="15" customFormat="1" ht="20.100000000000001" hidden="1" customHeight="1" x14ac:dyDescent="0.25">
      <c r="A196" s="13">
        <v>45006</v>
      </c>
      <c r="B196" s="14"/>
      <c r="C196" s="14" t="s">
        <v>547</v>
      </c>
      <c r="D196" s="14" t="s">
        <v>893</v>
      </c>
      <c r="E196" s="14" t="s">
        <v>890</v>
      </c>
      <c r="F196" s="15" t="s">
        <v>19</v>
      </c>
      <c r="G196" s="14" t="s">
        <v>224</v>
      </c>
      <c r="H196" s="18" t="s">
        <v>669</v>
      </c>
      <c r="I196" s="94">
        <v>80000</v>
      </c>
      <c r="J196" s="19">
        <f>IF(G:G="FRENOS",(Tabla24567894[[#This Row],[TOTAL FACTURA]]*0.8),(Tabla24567894[[#This Row],[TOTAL FACTURA]]*0.5))</f>
        <v>40000</v>
      </c>
      <c r="K196" s="9">
        <f t="shared" si="2"/>
        <v>40000</v>
      </c>
      <c r="L196" s="4" t="s">
        <v>723</v>
      </c>
      <c r="M196" s="10">
        <v>240000</v>
      </c>
      <c r="N196" s="10">
        <f>Tabla24567894[[#This Row],[MONTO DE COMPRA]]/1.19</f>
        <v>201680.67226890757</v>
      </c>
      <c r="O196" s="10">
        <f>Tabla24567894[[#This Row],[Columna1]]*19%</f>
        <v>38319.327731092439</v>
      </c>
      <c r="P196" s="10">
        <v>288000</v>
      </c>
      <c r="Q196" s="10">
        <f>Tabla24567894[[#This Row],[VENTA ]]/1.19</f>
        <v>242016.8067226891</v>
      </c>
      <c r="R196" s="10">
        <f>Tabla24567894[[#This Row],[Columna2]]*19%</f>
        <v>45983.193277310929</v>
      </c>
      <c r="S196" s="10">
        <f>Tabla24567894[[#This Row],[IVA VENTA ]]-Tabla24567894[[#This Row],[IV COMPRA]]</f>
        <v>7663.8655462184906</v>
      </c>
      <c r="T196" s="10">
        <f>(Tabla24567894[[#This Row],[VENTA ]]-(Tabla24567894[[#This Row],[MONTO DE COMPRA]]+Tabla24567894[[#This Row],[DIFERENCIA IVA ]]))</f>
        <v>40336.134453781502</v>
      </c>
      <c r="U196" s="19"/>
    </row>
    <row r="197" spans="1:22" s="15" customFormat="1" ht="20.100000000000001" hidden="1" customHeight="1" x14ac:dyDescent="0.25">
      <c r="A197" s="13">
        <v>45006</v>
      </c>
      <c r="B197" s="14"/>
      <c r="C197" s="14" t="s">
        <v>547</v>
      </c>
      <c r="D197" s="14" t="s">
        <v>893</v>
      </c>
      <c r="E197" s="14" t="s">
        <v>890</v>
      </c>
      <c r="F197" s="15" t="s">
        <v>19</v>
      </c>
      <c r="G197" s="14" t="s">
        <v>314</v>
      </c>
      <c r="H197" s="18" t="s">
        <v>970</v>
      </c>
      <c r="I197" s="94">
        <v>60000</v>
      </c>
      <c r="J197" s="19">
        <f>IF(G:G="FRENOS",(Tabla24567894[[#This Row],[TOTAL FACTURA]]*0.8),(Tabla24567894[[#This Row],[TOTAL FACTURA]]*0.5))</f>
        <v>48000</v>
      </c>
      <c r="K197" s="9">
        <f t="shared" si="2"/>
        <v>12000</v>
      </c>
      <c r="L197" s="4" t="s">
        <v>971</v>
      </c>
      <c r="M197" s="10">
        <v>65000</v>
      </c>
      <c r="N197" s="10">
        <f>Tabla24567894[[#This Row],[MONTO DE COMPRA]]/1.19</f>
        <v>54621.848739495799</v>
      </c>
      <c r="O197" s="10">
        <f>Tabla24567894[[#This Row],[Columna1]]*19%</f>
        <v>10378.151260504203</v>
      </c>
      <c r="P197" s="10">
        <v>85000</v>
      </c>
      <c r="Q197" s="10">
        <f>Tabla24567894[[#This Row],[VENTA ]]/1.19</f>
        <v>71428.571428571435</v>
      </c>
      <c r="R197" s="10">
        <f>Tabla24567894[[#This Row],[Columna2]]*19%</f>
        <v>13571.428571428572</v>
      </c>
      <c r="S197" s="10">
        <f>Tabla24567894[[#This Row],[IVA VENTA ]]-Tabla24567894[[#This Row],[IV COMPRA]]</f>
        <v>3193.2773109243699</v>
      </c>
      <c r="T197" s="10">
        <f>(Tabla24567894[[#This Row],[VENTA ]]-(Tabla24567894[[#This Row],[MONTO DE COMPRA]]+Tabla24567894[[#This Row],[DIFERENCIA IVA ]]))</f>
        <v>16806.722689075628</v>
      </c>
      <c r="U197" s="19"/>
    </row>
    <row r="198" spans="1:22" s="15" customFormat="1" ht="20.100000000000001" customHeight="1" x14ac:dyDescent="0.25">
      <c r="A198" s="13">
        <v>45006</v>
      </c>
      <c r="B198" s="14"/>
      <c r="C198" s="14"/>
      <c r="D198" s="14" t="s">
        <v>972</v>
      </c>
      <c r="E198" s="15" t="s">
        <v>548</v>
      </c>
      <c r="F198" s="15" t="s">
        <v>41</v>
      </c>
      <c r="G198" s="14" t="s">
        <v>224</v>
      </c>
      <c r="H198" s="18" t="s">
        <v>973</v>
      </c>
      <c r="I198" s="94">
        <v>40000</v>
      </c>
      <c r="J198" s="19">
        <f>IF(G:G="FRENOS",(Tabla24567894[[#This Row],[TOTAL FACTURA]]*0.8),(Tabla24567894[[#This Row],[TOTAL FACTURA]]*0.5))</f>
        <v>20000</v>
      </c>
      <c r="K198" s="9">
        <f t="shared" si="2"/>
        <v>20000</v>
      </c>
      <c r="L198" s="4"/>
      <c r="M198" s="10"/>
      <c r="N198" s="10">
        <f>Tabla24567894[[#This Row],[MONTO DE COMPRA]]/1.19</f>
        <v>0</v>
      </c>
      <c r="O198" s="10">
        <f>Tabla24567894[[#This Row],[Columna1]]*19%</f>
        <v>0</v>
      </c>
      <c r="P198" s="10"/>
      <c r="Q198" s="10">
        <f>Tabla24567894[[#This Row],[VENTA ]]/1.19</f>
        <v>0</v>
      </c>
      <c r="R198" s="10">
        <f>Tabla24567894[[#This Row],[Columna2]]*19%</f>
        <v>0</v>
      </c>
      <c r="S198" s="10">
        <f>Tabla24567894[[#This Row],[IVA VENTA ]]-Tabla24567894[[#This Row],[IV COMPRA]]</f>
        <v>0</v>
      </c>
      <c r="T198" s="10">
        <f>(Tabla24567894[[#This Row],[VENTA ]]-(Tabla24567894[[#This Row],[MONTO DE COMPRA]]+Tabla24567894[[#This Row],[DIFERENCIA IVA ]]))</f>
        <v>0</v>
      </c>
      <c r="U198" s="19"/>
    </row>
    <row r="199" spans="1:22" s="15" customFormat="1" ht="20.100000000000001" hidden="1" customHeight="1" x14ac:dyDescent="0.25">
      <c r="A199" s="13">
        <v>45006</v>
      </c>
      <c r="B199" s="14"/>
      <c r="C199" s="14" t="s">
        <v>974</v>
      </c>
      <c r="D199" s="14" t="s">
        <v>975</v>
      </c>
      <c r="E199" s="15" t="s">
        <v>976</v>
      </c>
      <c r="F199" s="15" t="s">
        <v>19</v>
      </c>
      <c r="G199" s="14" t="s">
        <v>314</v>
      </c>
      <c r="H199" s="18" t="s">
        <v>857</v>
      </c>
      <c r="I199" s="94">
        <v>40000</v>
      </c>
      <c r="J199" s="19">
        <f>IF(G:G="FRENOS",(Tabla24567894[[#This Row],[TOTAL FACTURA]]*0.8),(Tabla24567894[[#This Row],[TOTAL FACTURA]]*0.5))</f>
        <v>32000</v>
      </c>
      <c r="K199" s="9">
        <f t="shared" si="2"/>
        <v>8000</v>
      </c>
      <c r="L199" s="4"/>
      <c r="M199" s="10"/>
      <c r="N199" s="10">
        <f>Tabla24567894[[#This Row],[MONTO DE COMPRA]]/1.19</f>
        <v>0</v>
      </c>
      <c r="O199" s="10">
        <f>Tabla24567894[[#This Row],[Columna1]]*19%</f>
        <v>0</v>
      </c>
      <c r="P199" s="10"/>
      <c r="Q199" s="10">
        <f>Tabla24567894[[#This Row],[VENTA ]]/1.19</f>
        <v>0</v>
      </c>
      <c r="R199" s="10">
        <f>Tabla24567894[[#This Row],[Columna2]]*19%</f>
        <v>0</v>
      </c>
      <c r="S199" s="10">
        <f>Tabla24567894[[#This Row],[IVA VENTA ]]-Tabla24567894[[#This Row],[IV COMPRA]]</f>
        <v>0</v>
      </c>
      <c r="T199" s="10">
        <f>(Tabla24567894[[#This Row],[VENTA ]]-(Tabla24567894[[#This Row],[MONTO DE COMPRA]]+Tabla24567894[[#This Row],[DIFERENCIA IVA ]]))</f>
        <v>0</v>
      </c>
      <c r="U199" s="19"/>
    </row>
    <row r="200" spans="1:22" s="15" customFormat="1" ht="20.100000000000001" hidden="1" customHeight="1" x14ac:dyDescent="0.25">
      <c r="A200" s="13">
        <v>45006</v>
      </c>
      <c r="B200" s="14"/>
      <c r="C200" s="14" t="s">
        <v>977</v>
      </c>
      <c r="D200" s="14" t="s">
        <v>978</v>
      </c>
      <c r="E200" s="15" t="s">
        <v>175</v>
      </c>
      <c r="F200" s="15" t="s">
        <v>19</v>
      </c>
      <c r="G200" s="14" t="s">
        <v>314</v>
      </c>
      <c r="H200" s="18" t="s">
        <v>979</v>
      </c>
      <c r="I200" s="94">
        <v>30000</v>
      </c>
      <c r="J200" s="19">
        <f>IF(G:G="FRENOS",(Tabla24567894[[#This Row],[TOTAL FACTURA]]*0.8),(Tabla24567894[[#This Row],[TOTAL FACTURA]]*0.5))</f>
        <v>24000</v>
      </c>
      <c r="K200" s="9">
        <f t="shared" si="2"/>
        <v>6000</v>
      </c>
      <c r="L200" s="4" t="s">
        <v>188</v>
      </c>
      <c r="M200" s="10">
        <v>10000</v>
      </c>
      <c r="N200" s="10">
        <f>Tabla24567894[[#This Row],[MONTO DE COMPRA]]/1.19</f>
        <v>8403.361344537816</v>
      </c>
      <c r="O200" s="10">
        <f>Tabla24567894[[#This Row],[Columna1]]*19%</f>
        <v>1596.6386554621849</v>
      </c>
      <c r="P200" s="10">
        <v>12000</v>
      </c>
      <c r="Q200" s="10">
        <f>Tabla24567894[[#This Row],[VENTA ]]/1.19</f>
        <v>10084.033613445379</v>
      </c>
      <c r="R200" s="10">
        <f>Tabla24567894[[#This Row],[Columna2]]*19%</f>
        <v>1915.966386554622</v>
      </c>
      <c r="S200" s="10">
        <f>Tabla24567894[[#This Row],[IVA VENTA ]]-Tabla24567894[[#This Row],[IV COMPRA]]</f>
        <v>319.32773109243703</v>
      </c>
      <c r="T200" s="10">
        <f>(Tabla24567894[[#This Row],[VENTA ]]-(Tabla24567894[[#This Row],[MONTO DE COMPRA]]+Tabla24567894[[#This Row],[DIFERENCIA IVA ]]))</f>
        <v>1680.6722689075632</v>
      </c>
      <c r="U200" s="19"/>
    </row>
    <row r="201" spans="1:22" s="15" customFormat="1" ht="20.100000000000001" customHeight="1" x14ac:dyDescent="0.25">
      <c r="A201" s="13">
        <v>45006</v>
      </c>
      <c r="B201" s="14"/>
      <c r="C201" s="14"/>
      <c r="D201" s="14"/>
      <c r="E201" s="15" t="s">
        <v>980</v>
      </c>
      <c r="F201" s="15" t="s">
        <v>41</v>
      </c>
      <c r="G201" s="14" t="s">
        <v>224</v>
      </c>
      <c r="H201" s="18" t="s">
        <v>981</v>
      </c>
      <c r="I201" s="94">
        <v>50000</v>
      </c>
      <c r="J201" s="19">
        <f>IF(G:G="FRENOS",(Tabla24567894[[#This Row],[TOTAL FACTURA]]*0.8),(Tabla24567894[[#This Row],[TOTAL FACTURA]]*0.5))</f>
        <v>25000</v>
      </c>
      <c r="K201" s="9">
        <f t="shared" si="2"/>
        <v>25000</v>
      </c>
      <c r="L201" s="4"/>
      <c r="M201" s="10"/>
      <c r="N201" s="10">
        <f>Tabla24567894[[#This Row],[MONTO DE COMPRA]]/1.19</f>
        <v>0</v>
      </c>
      <c r="O201" s="10">
        <f>Tabla24567894[[#This Row],[Columna1]]*19%</f>
        <v>0</v>
      </c>
      <c r="P201" s="10"/>
      <c r="Q201" s="10">
        <f>Tabla24567894[[#This Row],[VENTA ]]/1.19</f>
        <v>0</v>
      </c>
      <c r="R201" s="10">
        <f>Tabla24567894[[#This Row],[Columna2]]*19%</f>
        <v>0</v>
      </c>
      <c r="S201" s="10">
        <f>Tabla24567894[[#This Row],[IVA VENTA ]]-Tabla24567894[[#This Row],[IV COMPRA]]</f>
        <v>0</v>
      </c>
      <c r="T201" s="10">
        <f>(Tabla24567894[[#This Row],[VENTA ]]-(Tabla24567894[[#This Row],[MONTO DE COMPRA]]+Tabla24567894[[#This Row],[DIFERENCIA IVA ]]))</f>
        <v>0</v>
      </c>
      <c r="U201" s="19"/>
    </row>
    <row r="202" spans="1:22" s="15" customFormat="1" ht="20.100000000000001" hidden="1" customHeight="1" x14ac:dyDescent="0.25">
      <c r="A202" s="13">
        <v>45007</v>
      </c>
      <c r="B202" s="14"/>
      <c r="C202" s="14" t="s">
        <v>982</v>
      </c>
      <c r="D202" s="14" t="s">
        <v>983</v>
      </c>
      <c r="E202" s="15" t="s">
        <v>596</v>
      </c>
      <c r="F202" s="15" t="s">
        <v>19</v>
      </c>
      <c r="G202" s="14" t="s">
        <v>314</v>
      </c>
      <c r="H202" s="18" t="s">
        <v>984</v>
      </c>
      <c r="I202" s="94">
        <v>80000</v>
      </c>
      <c r="J202" s="19">
        <f>IF(G:G="FRENOS",(Tabla24567894[[#This Row],[TOTAL FACTURA]]*0.8),(Tabla24567894[[#This Row],[TOTAL FACTURA]]*0.5))</f>
        <v>64000</v>
      </c>
      <c r="K202" s="9">
        <f t="shared" si="2"/>
        <v>16000</v>
      </c>
      <c r="L202" s="4" t="s">
        <v>22</v>
      </c>
      <c r="M202" s="10">
        <v>108000</v>
      </c>
      <c r="N202" s="10">
        <f>Tabla24567894[[#This Row],[MONTO DE COMPRA]]/1.19</f>
        <v>90756.302521008402</v>
      </c>
      <c r="O202" s="10">
        <f>Tabla24567894[[#This Row],[Columna1]]*19%</f>
        <v>17243.697478991595</v>
      </c>
      <c r="P202" s="10">
        <v>145000</v>
      </c>
      <c r="Q202" s="10">
        <f>Tabla24567894[[#This Row],[VENTA ]]/1.19</f>
        <v>121848.73949579832</v>
      </c>
      <c r="R202" s="10">
        <f>Tabla24567894[[#This Row],[Columna2]]*19%</f>
        <v>23151.26050420168</v>
      </c>
      <c r="S202" s="10">
        <f>Tabla24567894[[#This Row],[IVA VENTA ]]-Tabla24567894[[#This Row],[IV COMPRA]]</f>
        <v>5907.5630252100855</v>
      </c>
      <c r="T202" s="10">
        <f>(Tabla24567894[[#This Row],[VENTA ]]-(Tabla24567894[[#This Row],[MONTO DE COMPRA]]+Tabla24567894[[#This Row],[DIFERENCIA IVA ]]))</f>
        <v>31092.436974789918</v>
      </c>
      <c r="U202" s="19"/>
    </row>
    <row r="203" spans="1:22" s="15" customFormat="1" ht="20.100000000000001" hidden="1" customHeight="1" x14ac:dyDescent="0.25">
      <c r="A203" s="13">
        <v>45007</v>
      </c>
      <c r="B203" s="14"/>
      <c r="C203" s="14" t="s">
        <v>982</v>
      </c>
      <c r="D203" s="14" t="s">
        <v>983</v>
      </c>
      <c r="E203" s="15" t="s">
        <v>596</v>
      </c>
      <c r="F203" s="15" t="s">
        <v>19</v>
      </c>
      <c r="G203" s="14" t="s">
        <v>224</v>
      </c>
      <c r="H203" s="18" t="s">
        <v>985</v>
      </c>
      <c r="I203" s="94">
        <v>60000</v>
      </c>
      <c r="J203" s="19">
        <f>IF(G:G="FRENOS",(Tabla24567894[[#This Row],[TOTAL FACTURA]]*0.8),(Tabla24567894[[#This Row],[TOTAL FACTURA]]*0.5))</f>
        <v>30000</v>
      </c>
      <c r="K203" s="9">
        <f t="shared" si="2"/>
        <v>30000</v>
      </c>
      <c r="L203" s="4" t="s">
        <v>986</v>
      </c>
      <c r="M203" s="10">
        <v>60000</v>
      </c>
      <c r="N203" s="10">
        <f>Tabla24567894[[#This Row],[MONTO DE COMPRA]]/1.19</f>
        <v>50420.168067226892</v>
      </c>
      <c r="O203" s="10">
        <f>Tabla24567894[[#This Row],[Columna1]]*19%</f>
        <v>9579.8319327731097</v>
      </c>
      <c r="P203" s="10">
        <v>60000</v>
      </c>
      <c r="Q203" s="10">
        <f>Tabla24567894[[#This Row],[VENTA ]]/1.19</f>
        <v>50420.168067226892</v>
      </c>
      <c r="R203" s="10">
        <f>Tabla24567894[[#This Row],[Columna2]]*19%</f>
        <v>9579.8319327731097</v>
      </c>
      <c r="S203" s="10">
        <f>Tabla24567894[[#This Row],[IVA VENTA ]]-Tabla24567894[[#This Row],[IV COMPRA]]</f>
        <v>0</v>
      </c>
      <c r="T203" s="10">
        <f>(Tabla24567894[[#This Row],[VENTA ]]-(Tabla24567894[[#This Row],[MONTO DE COMPRA]]+Tabla24567894[[#This Row],[DIFERENCIA IVA ]]))</f>
        <v>0</v>
      </c>
      <c r="U203" s="19"/>
    </row>
    <row r="204" spans="1:22" s="15" customFormat="1" ht="20.100000000000001" hidden="1" customHeight="1" x14ac:dyDescent="0.25">
      <c r="A204" s="13">
        <v>45007</v>
      </c>
      <c r="B204" s="14"/>
      <c r="C204" s="14" t="s">
        <v>987</v>
      </c>
      <c r="D204" s="21" t="s">
        <v>988</v>
      </c>
      <c r="E204" s="14" t="s">
        <v>163</v>
      </c>
      <c r="F204" s="15" t="s">
        <v>19</v>
      </c>
      <c r="G204" s="14" t="s">
        <v>314</v>
      </c>
      <c r="H204" s="18" t="s">
        <v>21</v>
      </c>
      <c r="I204" s="94">
        <v>40000</v>
      </c>
      <c r="J204" s="19">
        <f>IF(G:G="FRENOS",(Tabla24567894[[#This Row],[TOTAL FACTURA]]*0.8),(Tabla24567894[[#This Row],[TOTAL FACTURA]]*0.5))</f>
        <v>32000</v>
      </c>
      <c r="K204" s="9">
        <f t="shared" si="2"/>
        <v>8000</v>
      </c>
      <c r="L204" s="4" t="s">
        <v>22</v>
      </c>
      <c r="M204" s="10">
        <v>144000</v>
      </c>
      <c r="N204" s="10">
        <f>Tabla24567894[[#This Row],[MONTO DE COMPRA]]/1.19</f>
        <v>121008.40336134455</v>
      </c>
      <c r="O204" s="10">
        <f>Tabla24567894[[#This Row],[Columna1]]*19%</f>
        <v>22991.596638655465</v>
      </c>
      <c r="P204" s="10">
        <v>185000</v>
      </c>
      <c r="Q204" s="10">
        <f>Tabla24567894[[#This Row],[VENTA ]]/1.19</f>
        <v>155462.18487394959</v>
      </c>
      <c r="R204" s="10">
        <f>Tabla24567894[[#This Row],[Columna2]]*19%</f>
        <v>29537.815126050424</v>
      </c>
      <c r="S204" s="10">
        <f>Tabla24567894[[#This Row],[IVA VENTA ]]-Tabla24567894[[#This Row],[IV COMPRA]]</f>
        <v>6546.2184873949591</v>
      </c>
      <c r="T204" s="10">
        <f>(Tabla24567894[[#This Row],[VENTA ]]-(Tabla24567894[[#This Row],[MONTO DE COMPRA]]+Tabla24567894[[#This Row],[DIFERENCIA IVA ]]))</f>
        <v>34453.781512605026</v>
      </c>
      <c r="U204" s="19"/>
      <c r="V204" s="17"/>
    </row>
    <row r="205" spans="1:22" s="15" customFormat="1" ht="33" hidden="1" customHeight="1" x14ac:dyDescent="0.25">
      <c r="A205" s="13">
        <v>45007</v>
      </c>
      <c r="B205" s="14" t="s">
        <v>991</v>
      </c>
      <c r="C205" s="14" t="s">
        <v>987</v>
      </c>
      <c r="D205" s="21" t="s">
        <v>988</v>
      </c>
      <c r="E205" s="14" t="s">
        <v>163</v>
      </c>
      <c r="F205" s="15" t="s">
        <v>19</v>
      </c>
      <c r="G205" s="14" t="s">
        <v>224</v>
      </c>
      <c r="H205" s="18" t="s">
        <v>989</v>
      </c>
      <c r="I205" s="94">
        <v>100000</v>
      </c>
      <c r="J205" s="19">
        <f>IF(G:G="FRENOS",(Tabla24567894[[#This Row],[TOTAL FACTURA]]*0.8),(Tabla24567894[[#This Row],[TOTAL FACTURA]]*0.5))</f>
        <v>50000</v>
      </c>
      <c r="K205" s="9">
        <f t="shared" ref="K205:K268" si="3">I205-J205</f>
        <v>50000</v>
      </c>
      <c r="L205" s="4" t="s">
        <v>990</v>
      </c>
      <c r="M205" s="10">
        <v>414000</v>
      </c>
      <c r="N205" s="10">
        <f>Tabla24567894[[#This Row],[MONTO DE COMPRA]]/1.19</f>
        <v>347899.15966386558</v>
      </c>
      <c r="O205" s="10">
        <f>Tabla24567894[[#This Row],[Columna1]]*19%</f>
        <v>66100.840336134454</v>
      </c>
      <c r="P205" s="10">
        <v>520000</v>
      </c>
      <c r="Q205" s="10">
        <f>Tabla24567894[[#This Row],[VENTA ]]/1.19</f>
        <v>436974.78991596639</v>
      </c>
      <c r="R205" s="10">
        <f>Tabla24567894[[#This Row],[Columna2]]*19%</f>
        <v>83025.210084033621</v>
      </c>
      <c r="S205" s="10">
        <f>Tabla24567894[[#This Row],[IVA VENTA ]]-Tabla24567894[[#This Row],[IV COMPRA]]</f>
        <v>16924.369747899167</v>
      </c>
      <c r="T205" s="10">
        <f>(Tabla24567894[[#This Row],[VENTA ]]-(Tabla24567894[[#This Row],[MONTO DE COMPRA]]+Tabla24567894[[#This Row],[DIFERENCIA IVA ]]))</f>
        <v>89075.630252100818</v>
      </c>
      <c r="U205" s="19"/>
      <c r="V205" s="17"/>
    </row>
    <row r="206" spans="1:22" s="15" customFormat="1" ht="20.100000000000001" hidden="1" customHeight="1" x14ac:dyDescent="0.25">
      <c r="A206" s="13">
        <v>45008</v>
      </c>
      <c r="B206" s="14"/>
      <c r="C206" s="14"/>
      <c r="D206" s="21"/>
      <c r="E206" s="14" t="s">
        <v>163</v>
      </c>
      <c r="F206" s="15" t="s">
        <v>19</v>
      </c>
      <c r="G206" s="14" t="s">
        <v>314</v>
      </c>
      <c r="H206" s="18" t="s">
        <v>176</v>
      </c>
      <c r="I206" s="94">
        <v>30000</v>
      </c>
      <c r="J206" s="19">
        <f>IF(G:G="FRENOS",(Tabla24567894[[#This Row],[TOTAL FACTURA]]*0.8),(Tabla24567894[[#This Row],[TOTAL FACTURA]]*0.5))</f>
        <v>24000</v>
      </c>
      <c r="K206" s="9">
        <f t="shared" si="3"/>
        <v>6000</v>
      </c>
      <c r="L206" s="4"/>
      <c r="M206" s="10"/>
      <c r="N206" s="10">
        <f>Tabla24567894[[#This Row],[MONTO DE COMPRA]]/1.19</f>
        <v>0</v>
      </c>
      <c r="O206" s="10">
        <f>Tabla24567894[[#This Row],[Columna1]]*19%</f>
        <v>0</v>
      </c>
      <c r="P206" s="10"/>
      <c r="Q206" s="10">
        <f>Tabla24567894[[#This Row],[VENTA ]]/1.19</f>
        <v>0</v>
      </c>
      <c r="R206" s="10">
        <f>Tabla24567894[[#This Row],[Columna2]]*19%</f>
        <v>0</v>
      </c>
      <c r="S206" s="10">
        <f>Tabla24567894[[#This Row],[IVA VENTA ]]-Tabla24567894[[#This Row],[IV COMPRA]]</f>
        <v>0</v>
      </c>
      <c r="T206" s="10">
        <f>(Tabla24567894[[#This Row],[VENTA ]]-(Tabla24567894[[#This Row],[MONTO DE COMPRA]]+Tabla24567894[[#This Row],[DIFERENCIA IVA ]]))</f>
        <v>0</v>
      </c>
      <c r="U206" s="19"/>
      <c r="V206" s="17"/>
    </row>
    <row r="207" spans="1:22" s="15" customFormat="1" ht="20.100000000000001" hidden="1" customHeight="1" x14ac:dyDescent="0.25">
      <c r="A207" s="13">
        <v>45008</v>
      </c>
      <c r="B207" s="14"/>
      <c r="C207" s="14" t="s">
        <v>992</v>
      </c>
      <c r="D207" s="21" t="s">
        <v>993</v>
      </c>
      <c r="E207" s="14" t="s">
        <v>566</v>
      </c>
      <c r="F207" s="15" t="s">
        <v>19</v>
      </c>
      <c r="G207" s="14" t="s">
        <v>314</v>
      </c>
      <c r="H207" s="16" t="s">
        <v>994</v>
      </c>
      <c r="I207" s="94">
        <v>40000</v>
      </c>
      <c r="J207" s="19">
        <f>IF(G:G="FRENOS",(Tabla24567894[[#This Row],[TOTAL FACTURA]]*0.8),(Tabla24567894[[#This Row],[TOTAL FACTURA]]*0.5))</f>
        <v>32000</v>
      </c>
      <c r="K207" s="9">
        <f t="shared" si="3"/>
        <v>8000</v>
      </c>
      <c r="L207" s="4" t="s">
        <v>995</v>
      </c>
      <c r="M207" s="10">
        <v>85000</v>
      </c>
      <c r="N207" s="10">
        <f>Tabla24567894[[#This Row],[MONTO DE COMPRA]]/1.19</f>
        <v>71428.571428571435</v>
      </c>
      <c r="O207" s="10">
        <f>Tabla24567894[[#This Row],[Columna1]]*19%</f>
        <v>13571.428571428572</v>
      </c>
      <c r="P207" s="10">
        <v>95000</v>
      </c>
      <c r="Q207" s="10">
        <f>Tabla24567894[[#This Row],[VENTA ]]/1.19</f>
        <v>79831.932773109249</v>
      </c>
      <c r="R207" s="10">
        <f>Tabla24567894[[#This Row],[Columna2]]*19%</f>
        <v>15168.067226890758</v>
      </c>
      <c r="S207" s="10">
        <f>Tabla24567894[[#This Row],[IVA VENTA ]]-Tabla24567894[[#This Row],[IV COMPRA]]</f>
        <v>1596.6386554621859</v>
      </c>
      <c r="T207" s="10">
        <f>(Tabla24567894[[#This Row],[VENTA ]]-(Tabla24567894[[#This Row],[MONTO DE COMPRA]]+Tabla24567894[[#This Row],[DIFERENCIA IVA ]]))</f>
        <v>8403.3613445378141</v>
      </c>
      <c r="U207" s="19"/>
      <c r="V207" s="17"/>
    </row>
    <row r="208" spans="1:22" s="15" customFormat="1" ht="20.100000000000001" hidden="1" customHeight="1" x14ac:dyDescent="0.25">
      <c r="A208" s="13">
        <v>45008</v>
      </c>
      <c r="B208" s="14"/>
      <c r="C208" s="14" t="s">
        <v>547</v>
      </c>
      <c r="D208" s="21" t="s">
        <v>996</v>
      </c>
      <c r="E208" s="14" t="s">
        <v>548</v>
      </c>
      <c r="F208" s="15" t="s">
        <v>19</v>
      </c>
      <c r="G208" s="14" t="s">
        <v>314</v>
      </c>
      <c r="H208" s="16" t="s">
        <v>151</v>
      </c>
      <c r="I208" s="94">
        <v>60000</v>
      </c>
      <c r="J208" s="19">
        <f>IF(G:G="FRENOS",(Tabla24567894[[#This Row],[TOTAL FACTURA]]*0.8),(Tabla24567894[[#This Row],[TOTAL FACTURA]]*0.5))</f>
        <v>48000</v>
      </c>
      <c r="K208" s="9">
        <f t="shared" si="3"/>
        <v>12000</v>
      </c>
      <c r="L208" s="4"/>
      <c r="M208" s="10"/>
      <c r="N208" s="10">
        <f>Tabla24567894[[#This Row],[MONTO DE COMPRA]]/1.19</f>
        <v>0</v>
      </c>
      <c r="O208" s="10">
        <f>Tabla24567894[[#This Row],[Columna1]]*19%</f>
        <v>0</v>
      </c>
      <c r="P208" s="10"/>
      <c r="Q208" s="10">
        <f>Tabla24567894[[#This Row],[VENTA ]]/1.19</f>
        <v>0</v>
      </c>
      <c r="R208" s="10">
        <f>Tabla24567894[[#This Row],[Columna2]]*19%</f>
        <v>0</v>
      </c>
      <c r="S208" s="10">
        <f>Tabla24567894[[#This Row],[IVA VENTA ]]-Tabla24567894[[#This Row],[IV COMPRA]]</f>
        <v>0</v>
      </c>
      <c r="T208" s="10">
        <f>(Tabla24567894[[#This Row],[VENTA ]]-(Tabla24567894[[#This Row],[MONTO DE COMPRA]]+Tabla24567894[[#This Row],[DIFERENCIA IVA ]]))</f>
        <v>0</v>
      </c>
      <c r="U208" s="19"/>
    </row>
    <row r="209" spans="1:21" s="15" customFormat="1" ht="20.100000000000001" customHeight="1" x14ac:dyDescent="0.25">
      <c r="A209" s="13">
        <v>45009</v>
      </c>
      <c r="B209" s="14"/>
      <c r="C209" s="14" t="s">
        <v>547</v>
      </c>
      <c r="D209" s="21" t="s">
        <v>996</v>
      </c>
      <c r="E209" s="14" t="s">
        <v>548</v>
      </c>
      <c r="F209" s="15" t="s">
        <v>41</v>
      </c>
      <c r="G209" s="14" t="s">
        <v>224</v>
      </c>
      <c r="H209" s="18" t="s">
        <v>997</v>
      </c>
      <c r="I209" s="94">
        <v>200000</v>
      </c>
      <c r="J209" s="19">
        <f>IF(G:G="FRENOS",(Tabla24567894[[#This Row],[TOTAL FACTURA]]*0.8),(Tabla24567894[[#This Row],[TOTAL FACTURA]]*0.5))</f>
        <v>100000</v>
      </c>
      <c r="K209" s="9">
        <f t="shared" si="3"/>
        <v>100000</v>
      </c>
      <c r="L209" s="4" t="s">
        <v>998</v>
      </c>
      <c r="M209" s="10">
        <v>750000</v>
      </c>
      <c r="N209" s="10">
        <f>Tabla24567894[[#This Row],[MONTO DE COMPRA]]/1.19</f>
        <v>630252.10084033618</v>
      </c>
      <c r="O209" s="10">
        <f>Tabla24567894[[#This Row],[Columna1]]*19%</f>
        <v>119747.89915966388</v>
      </c>
      <c r="P209" s="10">
        <v>1000000</v>
      </c>
      <c r="Q209" s="10">
        <f>Tabla24567894[[#This Row],[VENTA ]]/1.19</f>
        <v>840336.13445378153</v>
      </c>
      <c r="R209" s="10">
        <f>Tabla24567894[[#This Row],[Columna2]]*19%</f>
        <v>159663.8655462185</v>
      </c>
      <c r="S209" s="10">
        <f>Tabla24567894[[#This Row],[IVA VENTA ]]-Tabla24567894[[#This Row],[IV COMPRA]]</f>
        <v>39915.966386554617</v>
      </c>
      <c r="T209" s="10">
        <f>(Tabla24567894[[#This Row],[VENTA ]]-(Tabla24567894[[#This Row],[MONTO DE COMPRA]]+Tabla24567894[[#This Row],[DIFERENCIA IVA ]]))</f>
        <v>210084.03361344535</v>
      </c>
      <c r="U209" s="19"/>
    </row>
    <row r="210" spans="1:21" s="15" customFormat="1" ht="20.100000000000001" hidden="1" customHeight="1" x14ac:dyDescent="0.25">
      <c r="A210" s="13">
        <v>45009</v>
      </c>
      <c r="B210" s="14"/>
      <c r="C210" s="14"/>
      <c r="D210" s="21"/>
      <c r="E210" s="14" t="s">
        <v>162</v>
      </c>
      <c r="F210" s="15" t="s">
        <v>19</v>
      </c>
      <c r="G210" s="14" t="s">
        <v>314</v>
      </c>
      <c r="H210" s="18" t="s">
        <v>999</v>
      </c>
      <c r="I210" s="94">
        <v>40000</v>
      </c>
      <c r="J210" s="19">
        <f>IF(G:G="FRENOS",(Tabla24567894[[#This Row],[TOTAL FACTURA]]*0.8),(Tabla24567894[[#This Row],[TOTAL FACTURA]]*0.5))</f>
        <v>32000</v>
      </c>
      <c r="K210" s="9">
        <f t="shared" si="3"/>
        <v>8000</v>
      </c>
      <c r="L210" s="4" t="s">
        <v>1000</v>
      </c>
      <c r="M210" s="10">
        <v>133000</v>
      </c>
      <c r="N210" s="10">
        <f>Tabla24567894[[#This Row],[MONTO DE COMPRA]]/1.19</f>
        <v>111764.70588235295</v>
      </c>
      <c r="O210" s="10">
        <f>Tabla24567894[[#This Row],[Columna1]]*19%</f>
        <v>21235.294117647059</v>
      </c>
      <c r="P210" s="10">
        <v>163000</v>
      </c>
      <c r="Q210" s="10">
        <f>Tabla24567894[[#This Row],[VENTA ]]/1.19</f>
        <v>136974.78991596639</v>
      </c>
      <c r="R210" s="10">
        <f>Tabla24567894[[#This Row],[Columna2]]*19%</f>
        <v>26025.210084033613</v>
      </c>
      <c r="S210" s="10">
        <f>Tabla24567894[[#This Row],[IVA VENTA ]]-Tabla24567894[[#This Row],[IV COMPRA]]</f>
        <v>4789.9159663865539</v>
      </c>
      <c r="T210" s="10">
        <f>(Tabla24567894[[#This Row],[VENTA ]]-(Tabla24567894[[#This Row],[MONTO DE COMPRA]]+Tabla24567894[[#This Row],[DIFERENCIA IVA ]]))</f>
        <v>25210.084033613442</v>
      </c>
      <c r="U210" s="19"/>
    </row>
    <row r="211" spans="1:21" s="15" customFormat="1" ht="20.100000000000001" hidden="1" customHeight="1" x14ac:dyDescent="0.25">
      <c r="A211" s="13">
        <v>45009</v>
      </c>
      <c r="B211" s="14" t="s">
        <v>1003</v>
      </c>
      <c r="C211" s="14" t="s">
        <v>1001</v>
      </c>
      <c r="D211" s="21" t="s">
        <v>1002</v>
      </c>
      <c r="E211" s="14" t="s">
        <v>926</v>
      </c>
      <c r="F211" s="15" t="s">
        <v>19</v>
      </c>
      <c r="G211" s="14" t="s">
        <v>314</v>
      </c>
      <c r="H211" s="18" t="s">
        <v>151</v>
      </c>
      <c r="I211" s="94">
        <v>60000</v>
      </c>
      <c r="J211" s="19">
        <f>IF(G:G="FRENOS",(Tabla24567894[[#This Row],[TOTAL FACTURA]]*0.8),(Tabla24567894[[#This Row],[TOTAL FACTURA]]*0.5))</f>
        <v>48000</v>
      </c>
      <c r="K211" s="9">
        <f t="shared" si="3"/>
        <v>12000</v>
      </c>
      <c r="L211" s="4"/>
      <c r="M211" s="10"/>
      <c r="N211" s="10">
        <f>Tabla24567894[[#This Row],[MONTO DE COMPRA]]/1.19</f>
        <v>0</v>
      </c>
      <c r="O211" s="10">
        <f>Tabla24567894[[#This Row],[Columna1]]*19%</f>
        <v>0</v>
      </c>
      <c r="P211" s="10"/>
      <c r="Q211" s="10">
        <f>Tabla24567894[[#This Row],[VENTA ]]/1.19</f>
        <v>0</v>
      </c>
      <c r="R211" s="10">
        <f>Tabla24567894[[#This Row],[Columna2]]*19%</f>
        <v>0</v>
      </c>
      <c r="S211" s="10">
        <f>Tabla24567894[[#This Row],[IVA VENTA ]]-Tabla24567894[[#This Row],[IV COMPRA]]</f>
        <v>0</v>
      </c>
      <c r="T211" s="10">
        <f>(Tabla24567894[[#This Row],[VENTA ]]-(Tabla24567894[[#This Row],[MONTO DE COMPRA]]+Tabla24567894[[#This Row],[DIFERENCIA IVA ]]))</f>
        <v>0</v>
      </c>
      <c r="U211" s="19"/>
    </row>
    <row r="212" spans="1:21" s="15" customFormat="1" ht="33" hidden="1" customHeight="1" x14ac:dyDescent="0.25">
      <c r="A212" s="13">
        <v>45009</v>
      </c>
      <c r="B212" s="14" t="s">
        <v>1004</v>
      </c>
      <c r="C212" s="14" t="s">
        <v>1005</v>
      </c>
      <c r="D212" s="21" t="s">
        <v>1006</v>
      </c>
      <c r="E212" s="14" t="s">
        <v>175</v>
      </c>
      <c r="F212" s="15" t="s">
        <v>26</v>
      </c>
      <c r="G212" s="14" t="s">
        <v>224</v>
      </c>
      <c r="H212" s="18" t="s">
        <v>1007</v>
      </c>
      <c r="I212" s="19">
        <v>150000</v>
      </c>
      <c r="J212" s="19">
        <f>IF(G:G="FRENOS",(Tabla24567894[[#This Row],[TOTAL FACTURA]]*0.8),(Tabla24567894[[#This Row],[TOTAL FACTURA]]*0.5))</f>
        <v>75000</v>
      </c>
      <c r="K212" s="9">
        <f t="shared" si="3"/>
        <v>75000</v>
      </c>
      <c r="L212" s="4"/>
      <c r="M212" s="10"/>
      <c r="N212" s="10">
        <f>Tabla24567894[[#This Row],[MONTO DE COMPRA]]/1.19</f>
        <v>0</v>
      </c>
      <c r="O212" s="10">
        <f>Tabla24567894[[#This Row],[Columna1]]*19%</f>
        <v>0</v>
      </c>
      <c r="P212" s="10"/>
      <c r="Q212" s="10">
        <f>Tabla24567894[[#This Row],[VENTA ]]/1.19</f>
        <v>0</v>
      </c>
      <c r="R212" s="10">
        <f>Tabla24567894[[#This Row],[Columna2]]*19%</f>
        <v>0</v>
      </c>
      <c r="S212" s="10">
        <f>Tabla24567894[[#This Row],[IVA VENTA ]]-Tabla24567894[[#This Row],[IV COMPRA]]</f>
        <v>0</v>
      </c>
      <c r="T212" s="10">
        <f>(Tabla24567894[[#This Row],[VENTA ]]-(Tabla24567894[[#This Row],[MONTO DE COMPRA]]+Tabla24567894[[#This Row],[DIFERENCIA IVA ]]))</f>
        <v>0</v>
      </c>
      <c r="U212" s="19"/>
    </row>
    <row r="213" spans="1:21" s="15" customFormat="1" ht="20.100000000000001" hidden="1" customHeight="1" x14ac:dyDescent="0.25">
      <c r="A213" s="13">
        <v>45009</v>
      </c>
      <c r="B213" s="14"/>
      <c r="C213" s="14" t="s">
        <v>1008</v>
      </c>
      <c r="D213" s="21" t="s">
        <v>1013</v>
      </c>
      <c r="E213" s="14" t="s">
        <v>259</v>
      </c>
      <c r="F213" s="15" t="s">
        <v>19</v>
      </c>
      <c r="G213" s="14" t="s">
        <v>314</v>
      </c>
      <c r="H213" s="18" t="s">
        <v>1009</v>
      </c>
      <c r="I213" s="94">
        <v>50000</v>
      </c>
      <c r="J213" s="19">
        <f>IF(G:G="FRENOS",(Tabla24567894[[#This Row],[TOTAL FACTURA]]*0.8),(Tabla24567894[[#This Row],[TOTAL FACTURA]]*0.5))</f>
        <v>40000</v>
      </c>
      <c r="K213" s="9">
        <f t="shared" si="3"/>
        <v>10000</v>
      </c>
      <c r="L213" s="4"/>
      <c r="M213" s="10"/>
      <c r="N213" s="10">
        <f>Tabla24567894[[#This Row],[MONTO DE COMPRA]]/1.19</f>
        <v>0</v>
      </c>
      <c r="O213" s="10">
        <f>Tabla24567894[[#This Row],[Columna1]]*19%</f>
        <v>0</v>
      </c>
      <c r="P213" s="10"/>
      <c r="Q213" s="10">
        <f>Tabla24567894[[#This Row],[VENTA ]]/1.19</f>
        <v>0</v>
      </c>
      <c r="R213" s="10">
        <f>Tabla24567894[[#This Row],[Columna2]]*19%</f>
        <v>0</v>
      </c>
      <c r="S213" s="10">
        <f>Tabla24567894[[#This Row],[IVA VENTA ]]-Tabla24567894[[#This Row],[IV COMPRA]]</f>
        <v>0</v>
      </c>
      <c r="T213" s="10">
        <f>(Tabla24567894[[#This Row],[VENTA ]]-(Tabla24567894[[#This Row],[MONTO DE COMPRA]]+Tabla24567894[[#This Row],[DIFERENCIA IVA ]]))</f>
        <v>0</v>
      </c>
      <c r="U213" s="19"/>
    </row>
    <row r="214" spans="1:21" s="15" customFormat="1" ht="20.100000000000001" hidden="1" customHeight="1" x14ac:dyDescent="0.25">
      <c r="A214" s="13">
        <v>45009</v>
      </c>
      <c r="B214" s="14" t="s">
        <v>1011</v>
      </c>
      <c r="C214" s="14" t="s">
        <v>1012</v>
      </c>
      <c r="D214" s="21" t="s">
        <v>1014</v>
      </c>
      <c r="E214" s="14" t="s">
        <v>1015</v>
      </c>
      <c r="F214" s="15" t="s">
        <v>19</v>
      </c>
      <c r="G214" s="14" t="s">
        <v>314</v>
      </c>
      <c r="H214" s="18" t="s">
        <v>1016</v>
      </c>
      <c r="I214" s="94">
        <v>70000</v>
      </c>
      <c r="J214" s="19">
        <f>IF(G:G="FRENOS",(Tabla24567894[[#This Row],[TOTAL FACTURA]]*0.8),(Tabla24567894[[#This Row],[TOTAL FACTURA]]*0.5))</f>
        <v>56000</v>
      </c>
      <c r="K214" s="9">
        <f t="shared" si="3"/>
        <v>14000</v>
      </c>
      <c r="L214" s="4" t="s">
        <v>1017</v>
      </c>
      <c r="M214" s="10">
        <v>238000</v>
      </c>
      <c r="N214" s="10">
        <f>Tabla24567894[[#This Row],[MONTO DE COMPRA]]/1.19</f>
        <v>200000</v>
      </c>
      <c r="O214" s="10">
        <f>Tabla24567894[[#This Row],[Columna1]]*19%</f>
        <v>38000</v>
      </c>
      <c r="P214" s="10">
        <v>328000</v>
      </c>
      <c r="Q214" s="10">
        <f>Tabla24567894[[#This Row],[VENTA ]]/1.19</f>
        <v>275630.25210084033</v>
      </c>
      <c r="R214" s="10">
        <f>Tabla24567894[[#This Row],[Columna2]]*19%</f>
        <v>52369.747899159665</v>
      </c>
      <c r="S214" s="10">
        <f>Tabla24567894[[#This Row],[IVA VENTA ]]-Tabla24567894[[#This Row],[IV COMPRA]]</f>
        <v>14369.747899159665</v>
      </c>
      <c r="T214" s="10">
        <f>(Tabla24567894[[#This Row],[VENTA ]]-(Tabla24567894[[#This Row],[MONTO DE COMPRA]]+Tabla24567894[[#This Row],[DIFERENCIA IVA ]]))</f>
        <v>75630.252100840327</v>
      </c>
      <c r="U214" s="19"/>
    </row>
    <row r="215" spans="1:21" s="15" customFormat="1" ht="20.100000000000001" hidden="1" customHeight="1" x14ac:dyDescent="0.25">
      <c r="A215" s="13"/>
      <c r="B215" s="14"/>
      <c r="D215" s="21"/>
      <c r="G215" s="14"/>
      <c r="H215" s="18"/>
      <c r="I215" s="20"/>
      <c r="J215" s="20">
        <f>IF(G:G="FRENOS",(Tabla24567894[[#This Row],[TOTAL FACTURA]]*0.8),(Tabla24567894[[#This Row],[TOTAL FACTURA]]*0.5))</f>
        <v>0</v>
      </c>
      <c r="K215" s="9">
        <f t="shared" si="3"/>
        <v>0</v>
      </c>
      <c r="L215" s="4"/>
      <c r="M215" s="10"/>
      <c r="N215" s="10">
        <f>Tabla24567894[[#This Row],[MONTO DE COMPRA]]/1.19</f>
        <v>0</v>
      </c>
      <c r="O215" s="10">
        <f>Tabla24567894[[#This Row],[Columna1]]*19%</f>
        <v>0</v>
      </c>
      <c r="P215" s="10"/>
      <c r="Q215" s="10">
        <f>Tabla24567894[[#This Row],[VENTA ]]/1.19</f>
        <v>0</v>
      </c>
      <c r="R215" s="10">
        <f>Tabla24567894[[#This Row],[Columna2]]*19%</f>
        <v>0</v>
      </c>
      <c r="S215" s="10">
        <f>Tabla24567894[[#This Row],[IVA VENTA ]]-Tabla24567894[[#This Row],[IV COMPRA]]</f>
        <v>0</v>
      </c>
      <c r="T215" s="10">
        <f>(Tabla24567894[[#This Row],[VENTA ]]-(Tabla24567894[[#This Row],[MONTO DE COMPRA]]+Tabla24567894[[#This Row],[DIFERENCIA IVA ]]))</f>
        <v>0</v>
      </c>
    </row>
    <row r="216" spans="1:21" s="15" customFormat="1" ht="20.100000000000001" hidden="1" customHeight="1" x14ac:dyDescent="0.25">
      <c r="A216" s="13"/>
      <c r="B216" s="14"/>
      <c r="D216" s="21"/>
      <c r="G216" s="14"/>
      <c r="H216" s="18"/>
      <c r="I216" s="20"/>
      <c r="J216" s="20">
        <f>IF(G:G="FRENOS",(Tabla24567894[[#This Row],[TOTAL FACTURA]]*0.8),(Tabla24567894[[#This Row],[TOTAL FACTURA]]*0.5))</f>
        <v>0</v>
      </c>
      <c r="K216" s="9">
        <f t="shared" si="3"/>
        <v>0</v>
      </c>
      <c r="L216" s="4"/>
      <c r="M216" s="10"/>
      <c r="N216" s="10">
        <f>Tabla24567894[[#This Row],[MONTO DE COMPRA]]/1.19</f>
        <v>0</v>
      </c>
      <c r="O216" s="10">
        <f>Tabla24567894[[#This Row],[Columna1]]*19%</f>
        <v>0</v>
      </c>
      <c r="P216" s="10"/>
      <c r="Q216" s="10">
        <f>Tabla24567894[[#This Row],[VENTA ]]/1.19</f>
        <v>0</v>
      </c>
      <c r="R216" s="10">
        <f>Tabla24567894[[#This Row],[Columna2]]*19%</f>
        <v>0</v>
      </c>
      <c r="S216" s="10">
        <f>Tabla24567894[[#This Row],[IVA VENTA ]]-Tabla24567894[[#This Row],[IV COMPRA]]</f>
        <v>0</v>
      </c>
      <c r="T216" s="10">
        <f>(Tabla24567894[[#This Row],[VENTA ]]-(Tabla24567894[[#This Row],[MONTO DE COMPRA]]+Tabla24567894[[#This Row],[DIFERENCIA IVA ]]))</f>
        <v>0</v>
      </c>
    </row>
    <row r="217" spans="1:21" s="15" customFormat="1" ht="20.100000000000001" hidden="1" customHeight="1" x14ac:dyDescent="0.25">
      <c r="A217" s="13"/>
      <c r="B217" s="14"/>
      <c r="C217" s="14"/>
      <c r="D217" s="21"/>
      <c r="G217" s="14"/>
      <c r="H217" s="16"/>
      <c r="I217" s="20"/>
      <c r="J217" s="20">
        <f>IF(G:G="FRENOS",(Tabla24567894[[#This Row],[TOTAL FACTURA]]*0.8),(Tabla24567894[[#This Row],[TOTAL FACTURA]]*0.5))</f>
        <v>0</v>
      </c>
      <c r="K217" s="9">
        <f t="shared" si="3"/>
        <v>0</v>
      </c>
      <c r="L217" s="4"/>
      <c r="M217" s="10"/>
      <c r="N217" s="10">
        <f>Tabla24567894[[#This Row],[MONTO DE COMPRA]]/1.19</f>
        <v>0</v>
      </c>
      <c r="O217" s="10">
        <f>Tabla24567894[[#This Row],[Columna1]]*19%</f>
        <v>0</v>
      </c>
      <c r="P217" s="10"/>
      <c r="Q217" s="10">
        <f>Tabla24567894[[#This Row],[VENTA ]]/1.19</f>
        <v>0</v>
      </c>
      <c r="R217" s="10">
        <f>Tabla24567894[[#This Row],[Columna2]]*19%</f>
        <v>0</v>
      </c>
      <c r="S217" s="10">
        <f>Tabla24567894[[#This Row],[IVA VENTA ]]-Tabla24567894[[#This Row],[IV COMPRA]]</f>
        <v>0</v>
      </c>
      <c r="T217" s="10">
        <f>(Tabla24567894[[#This Row],[VENTA ]]-(Tabla24567894[[#This Row],[MONTO DE COMPRA]]+Tabla24567894[[#This Row],[DIFERENCIA IVA ]]))</f>
        <v>0</v>
      </c>
    </row>
    <row r="218" spans="1:21" s="15" customFormat="1" ht="20.100000000000001" hidden="1" customHeight="1" x14ac:dyDescent="0.25">
      <c r="A218" s="13"/>
      <c r="B218" s="14"/>
      <c r="D218" s="21"/>
      <c r="G218" s="14"/>
      <c r="H218" s="18"/>
      <c r="I218" s="20"/>
      <c r="J218" s="20">
        <f>IF(G:G="FRENOS",(Tabla24567894[[#This Row],[TOTAL FACTURA]]*0.8),(Tabla24567894[[#This Row],[TOTAL FACTURA]]*0.5))</f>
        <v>0</v>
      </c>
      <c r="K218" s="9">
        <f t="shared" si="3"/>
        <v>0</v>
      </c>
      <c r="L218" s="4"/>
      <c r="M218" s="10"/>
      <c r="N218" s="10">
        <f>Tabla24567894[[#This Row],[MONTO DE COMPRA]]/1.19</f>
        <v>0</v>
      </c>
      <c r="O218" s="10">
        <f>Tabla24567894[[#This Row],[Columna1]]*19%</f>
        <v>0</v>
      </c>
      <c r="P218" s="10"/>
      <c r="Q218" s="10">
        <f>Tabla24567894[[#This Row],[VENTA ]]/1.19</f>
        <v>0</v>
      </c>
      <c r="R218" s="10">
        <f>Tabla24567894[[#This Row],[Columna2]]*19%</f>
        <v>0</v>
      </c>
      <c r="S218" s="10">
        <f>Tabla24567894[[#This Row],[IVA VENTA ]]-Tabla24567894[[#This Row],[IV COMPRA]]</f>
        <v>0</v>
      </c>
      <c r="T218" s="10">
        <f>(Tabla24567894[[#This Row],[VENTA ]]-(Tabla24567894[[#This Row],[MONTO DE COMPRA]]+Tabla24567894[[#This Row],[DIFERENCIA IVA ]]))</f>
        <v>0</v>
      </c>
    </row>
    <row r="219" spans="1:21" s="15" customFormat="1" ht="20.100000000000001" hidden="1" customHeight="1" x14ac:dyDescent="0.25">
      <c r="A219" s="13"/>
      <c r="B219" s="14"/>
      <c r="C219" s="14"/>
      <c r="D219" s="21"/>
      <c r="E219" s="14"/>
      <c r="G219" s="14"/>
      <c r="H219" s="18"/>
      <c r="I219" s="19"/>
      <c r="J219" s="19">
        <f>IF(G:G="FRENOS",(Tabla24567894[[#This Row],[TOTAL FACTURA]]*0.8),(Tabla24567894[[#This Row],[TOTAL FACTURA]]*0.5))</f>
        <v>0</v>
      </c>
      <c r="K219" s="9">
        <f t="shared" si="3"/>
        <v>0</v>
      </c>
      <c r="L219" s="4"/>
      <c r="M219" s="10"/>
      <c r="N219" s="10">
        <f>Tabla24567894[[#This Row],[MONTO DE COMPRA]]/1.19</f>
        <v>0</v>
      </c>
      <c r="O219" s="10">
        <f>Tabla24567894[[#This Row],[Columna1]]*19%</f>
        <v>0</v>
      </c>
      <c r="P219" s="10"/>
      <c r="Q219" s="10">
        <f>Tabla24567894[[#This Row],[VENTA ]]/1.19</f>
        <v>0</v>
      </c>
      <c r="R219" s="10">
        <f>Tabla24567894[[#This Row],[Columna2]]*19%</f>
        <v>0</v>
      </c>
      <c r="S219" s="10">
        <f>Tabla24567894[[#This Row],[IVA VENTA ]]-Tabla24567894[[#This Row],[IV COMPRA]]</f>
        <v>0</v>
      </c>
      <c r="T219" s="10">
        <f>(Tabla24567894[[#This Row],[VENTA ]]-(Tabla24567894[[#This Row],[MONTO DE COMPRA]]+Tabla24567894[[#This Row],[DIFERENCIA IVA ]]))</f>
        <v>0</v>
      </c>
      <c r="U219" s="19"/>
    </row>
    <row r="220" spans="1:21" s="15" customFormat="1" ht="20.100000000000001" hidden="1" customHeight="1" x14ac:dyDescent="0.25">
      <c r="A220" s="13"/>
      <c r="B220" s="14"/>
      <c r="C220" s="14"/>
      <c r="D220" s="21"/>
      <c r="E220" s="14"/>
      <c r="G220" s="14"/>
      <c r="H220" s="18"/>
      <c r="I220" s="19"/>
      <c r="J220" s="19">
        <f>IF(G:G="FRENOS",(Tabla24567894[[#This Row],[TOTAL FACTURA]]*0.8),(Tabla24567894[[#This Row],[TOTAL FACTURA]]*0.5))</f>
        <v>0</v>
      </c>
      <c r="K220" s="9">
        <f t="shared" si="3"/>
        <v>0</v>
      </c>
      <c r="L220" s="4"/>
      <c r="M220" s="10"/>
      <c r="N220" s="10">
        <f>Tabla24567894[[#This Row],[MONTO DE COMPRA]]/1.19</f>
        <v>0</v>
      </c>
      <c r="O220" s="10">
        <f>Tabla24567894[[#This Row],[Columna1]]*19%</f>
        <v>0</v>
      </c>
      <c r="P220" s="10"/>
      <c r="Q220" s="10">
        <f>Tabla24567894[[#This Row],[VENTA ]]/1.19</f>
        <v>0</v>
      </c>
      <c r="R220" s="10">
        <f>Tabla24567894[[#This Row],[Columna2]]*19%</f>
        <v>0</v>
      </c>
      <c r="S220" s="10">
        <f>Tabla24567894[[#This Row],[IVA VENTA ]]-Tabla24567894[[#This Row],[IV COMPRA]]</f>
        <v>0</v>
      </c>
      <c r="T220" s="10">
        <f>(Tabla24567894[[#This Row],[VENTA ]]-(Tabla24567894[[#This Row],[MONTO DE COMPRA]]+Tabla24567894[[#This Row],[DIFERENCIA IVA ]]))</f>
        <v>0</v>
      </c>
      <c r="U220" s="19"/>
    </row>
    <row r="221" spans="1:21" s="15" customFormat="1" ht="20.100000000000001" hidden="1" customHeight="1" x14ac:dyDescent="0.25">
      <c r="A221" s="13"/>
      <c r="B221" s="14"/>
      <c r="C221" s="14"/>
      <c r="D221" s="21"/>
      <c r="E221" s="14"/>
      <c r="G221" s="14"/>
      <c r="H221" s="18"/>
      <c r="I221" s="19"/>
      <c r="J221" s="19">
        <f>IF(G:G="FRENOS",(Tabla24567894[[#This Row],[TOTAL FACTURA]]*0.8),(Tabla24567894[[#This Row],[TOTAL FACTURA]]*0.5))</f>
        <v>0</v>
      </c>
      <c r="K221" s="9">
        <f t="shared" si="3"/>
        <v>0</v>
      </c>
      <c r="L221" s="4"/>
      <c r="M221" s="10"/>
      <c r="N221" s="10">
        <f>Tabla24567894[[#This Row],[MONTO DE COMPRA]]/1.19</f>
        <v>0</v>
      </c>
      <c r="O221" s="10">
        <f>Tabla24567894[[#This Row],[Columna1]]*19%</f>
        <v>0</v>
      </c>
      <c r="P221" s="10"/>
      <c r="Q221" s="10">
        <f>Tabla24567894[[#This Row],[VENTA ]]/1.19</f>
        <v>0</v>
      </c>
      <c r="R221" s="10">
        <f>Tabla24567894[[#This Row],[Columna2]]*19%</f>
        <v>0</v>
      </c>
      <c r="S221" s="10">
        <f>Tabla24567894[[#This Row],[IVA VENTA ]]-Tabla24567894[[#This Row],[IV COMPRA]]</f>
        <v>0</v>
      </c>
      <c r="T221" s="10">
        <f>(Tabla24567894[[#This Row],[VENTA ]]-(Tabla24567894[[#This Row],[MONTO DE COMPRA]]+Tabla24567894[[#This Row],[DIFERENCIA IVA ]]))</f>
        <v>0</v>
      </c>
      <c r="U221" s="19"/>
    </row>
    <row r="222" spans="1:21" s="15" customFormat="1" ht="20.100000000000001" hidden="1" customHeight="1" x14ac:dyDescent="0.25">
      <c r="A222" s="13"/>
      <c r="B222" s="14"/>
      <c r="C222" s="14"/>
      <c r="D222" s="21"/>
      <c r="E222" s="14"/>
      <c r="G222" s="14"/>
      <c r="H222" s="18"/>
      <c r="I222" s="19"/>
      <c r="J222" s="19">
        <f>IF(G:G="FRENOS",(Tabla24567894[[#This Row],[TOTAL FACTURA]]*0.8),(Tabla24567894[[#This Row],[TOTAL FACTURA]]*0.5))</f>
        <v>0</v>
      </c>
      <c r="K222" s="9">
        <f t="shared" si="3"/>
        <v>0</v>
      </c>
      <c r="L222" s="4"/>
      <c r="M222" s="10"/>
      <c r="N222" s="10">
        <f>Tabla24567894[[#This Row],[MONTO DE COMPRA]]/1.19</f>
        <v>0</v>
      </c>
      <c r="O222" s="10">
        <f>Tabla24567894[[#This Row],[Columna1]]*19%</f>
        <v>0</v>
      </c>
      <c r="P222" s="10"/>
      <c r="Q222" s="10">
        <f>Tabla24567894[[#This Row],[VENTA ]]/1.19</f>
        <v>0</v>
      </c>
      <c r="R222" s="10">
        <f>Tabla24567894[[#This Row],[Columna2]]*19%</f>
        <v>0</v>
      </c>
      <c r="S222" s="10">
        <f>Tabla24567894[[#This Row],[IVA VENTA ]]-Tabla24567894[[#This Row],[IV COMPRA]]</f>
        <v>0</v>
      </c>
      <c r="T222" s="10">
        <f>(Tabla24567894[[#This Row],[VENTA ]]-(Tabla24567894[[#This Row],[MONTO DE COMPRA]]+Tabla24567894[[#This Row],[DIFERENCIA IVA ]]))</f>
        <v>0</v>
      </c>
      <c r="U222" s="19"/>
    </row>
    <row r="223" spans="1:21" s="15" customFormat="1" ht="20.100000000000001" hidden="1" customHeight="1" x14ac:dyDescent="0.25">
      <c r="A223" s="13"/>
      <c r="B223" s="14"/>
      <c r="C223" s="14"/>
      <c r="D223" s="21"/>
      <c r="E223" s="14"/>
      <c r="G223" s="14"/>
      <c r="H223" s="18"/>
      <c r="I223" s="19"/>
      <c r="J223" s="19">
        <f>IF(G:G="FRENOS",(Tabla24567894[[#This Row],[TOTAL FACTURA]]*0.8),(Tabla24567894[[#This Row],[TOTAL FACTURA]]*0.5))</f>
        <v>0</v>
      </c>
      <c r="K223" s="9">
        <f t="shared" si="3"/>
        <v>0</v>
      </c>
      <c r="L223" s="4"/>
      <c r="M223" s="10"/>
      <c r="N223" s="10">
        <f>Tabla24567894[[#This Row],[MONTO DE COMPRA]]/1.19</f>
        <v>0</v>
      </c>
      <c r="O223" s="10">
        <f>Tabla24567894[[#This Row],[Columna1]]*19%</f>
        <v>0</v>
      </c>
      <c r="P223" s="10"/>
      <c r="Q223" s="10">
        <f>Tabla24567894[[#This Row],[VENTA ]]/1.19</f>
        <v>0</v>
      </c>
      <c r="R223" s="10">
        <f>Tabla24567894[[#This Row],[Columna2]]*19%</f>
        <v>0</v>
      </c>
      <c r="S223" s="10">
        <f>Tabla24567894[[#This Row],[IVA VENTA ]]-Tabla24567894[[#This Row],[IV COMPRA]]</f>
        <v>0</v>
      </c>
      <c r="T223" s="10">
        <f>(Tabla24567894[[#This Row],[VENTA ]]-(Tabla24567894[[#This Row],[MONTO DE COMPRA]]+Tabla24567894[[#This Row],[DIFERENCIA IVA ]]))</f>
        <v>0</v>
      </c>
      <c r="U223" s="19"/>
    </row>
    <row r="224" spans="1:21" s="15" customFormat="1" ht="20.100000000000001" hidden="1" customHeight="1" x14ac:dyDescent="0.25">
      <c r="A224" s="13"/>
      <c r="B224" s="14"/>
      <c r="C224" s="14"/>
      <c r="D224" s="21"/>
      <c r="E224" s="14"/>
      <c r="G224" s="14"/>
      <c r="H224" s="18"/>
      <c r="I224" s="19"/>
      <c r="J224" s="19">
        <f>IF(G:G="FRENOS",(Tabla24567894[[#This Row],[TOTAL FACTURA]]*0.8),(Tabla24567894[[#This Row],[TOTAL FACTURA]]*0.5))</f>
        <v>0</v>
      </c>
      <c r="K224" s="9">
        <f t="shared" si="3"/>
        <v>0</v>
      </c>
      <c r="L224" s="4"/>
      <c r="M224" s="10"/>
      <c r="N224" s="10">
        <f>Tabla24567894[[#This Row],[MONTO DE COMPRA]]/1.19</f>
        <v>0</v>
      </c>
      <c r="O224" s="10">
        <f>Tabla24567894[[#This Row],[Columna1]]*19%</f>
        <v>0</v>
      </c>
      <c r="P224" s="10"/>
      <c r="Q224" s="10">
        <f>Tabla24567894[[#This Row],[VENTA ]]/1.19</f>
        <v>0</v>
      </c>
      <c r="R224" s="10">
        <f>Tabla24567894[[#This Row],[Columna2]]*19%</f>
        <v>0</v>
      </c>
      <c r="S224" s="10">
        <f>Tabla24567894[[#This Row],[IVA VENTA ]]-Tabla24567894[[#This Row],[IV COMPRA]]</f>
        <v>0</v>
      </c>
      <c r="T224" s="10">
        <f>(Tabla24567894[[#This Row],[VENTA ]]-(Tabla24567894[[#This Row],[MONTO DE COMPRA]]+Tabla24567894[[#This Row],[DIFERENCIA IVA ]]))</f>
        <v>0</v>
      </c>
      <c r="U224" s="19"/>
    </row>
    <row r="225" spans="1:22" s="15" customFormat="1" ht="20.100000000000001" hidden="1" customHeight="1" x14ac:dyDescent="0.25">
      <c r="A225" s="13"/>
      <c r="B225" s="14"/>
      <c r="C225" s="14"/>
      <c r="D225" s="21"/>
      <c r="E225" s="14"/>
      <c r="G225" s="14"/>
      <c r="H225" s="18"/>
      <c r="I225" s="19"/>
      <c r="J225" s="19">
        <f>IF(G:G="FRENOS",(Tabla24567894[[#This Row],[TOTAL FACTURA]]*0.8),(Tabla24567894[[#This Row],[TOTAL FACTURA]]*0.5))</f>
        <v>0</v>
      </c>
      <c r="K225" s="9">
        <f t="shared" si="3"/>
        <v>0</v>
      </c>
      <c r="L225" s="4"/>
      <c r="M225" s="10"/>
      <c r="N225" s="10">
        <f>Tabla24567894[[#This Row],[MONTO DE COMPRA]]/1.19</f>
        <v>0</v>
      </c>
      <c r="O225" s="10">
        <f>Tabla24567894[[#This Row],[Columna1]]*19%</f>
        <v>0</v>
      </c>
      <c r="P225" s="10"/>
      <c r="Q225" s="10">
        <f>Tabla24567894[[#This Row],[VENTA ]]/1.19</f>
        <v>0</v>
      </c>
      <c r="R225" s="10">
        <f>Tabla24567894[[#This Row],[Columna2]]*19%</f>
        <v>0</v>
      </c>
      <c r="S225" s="10">
        <f>Tabla24567894[[#This Row],[IVA VENTA ]]-Tabla24567894[[#This Row],[IV COMPRA]]</f>
        <v>0</v>
      </c>
      <c r="T225" s="10">
        <f>(Tabla24567894[[#This Row],[VENTA ]]-(Tabla24567894[[#This Row],[MONTO DE COMPRA]]+Tabla24567894[[#This Row],[DIFERENCIA IVA ]]))</f>
        <v>0</v>
      </c>
      <c r="U225" s="19"/>
    </row>
    <row r="226" spans="1:22" s="15" customFormat="1" ht="20.100000000000001" hidden="1" customHeight="1" x14ac:dyDescent="0.25">
      <c r="A226" s="13"/>
      <c r="B226" s="14"/>
      <c r="C226" s="14"/>
      <c r="D226" s="22"/>
      <c r="E226" s="14"/>
      <c r="G226" s="14"/>
      <c r="H226" s="18"/>
      <c r="I226" s="19"/>
      <c r="J226" s="19">
        <f>IF(G:G="FRENOS",(Tabla24567894[[#This Row],[TOTAL FACTURA]]*0.8),(Tabla24567894[[#This Row],[TOTAL FACTURA]]*0.5))</f>
        <v>0</v>
      </c>
      <c r="K226" s="9">
        <f t="shared" si="3"/>
        <v>0</v>
      </c>
      <c r="L226" s="4"/>
      <c r="M226" s="10"/>
      <c r="N226" s="10">
        <f>Tabla24567894[[#This Row],[MONTO DE COMPRA]]/1.19</f>
        <v>0</v>
      </c>
      <c r="O226" s="10">
        <f>Tabla24567894[[#This Row],[Columna1]]*19%</f>
        <v>0</v>
      </c>
      <c r="P226" s="10"/>
      <c r="Q226" s="10">
        <f>Tabla24567894[[#This Row],[VENTA ]]/1.19</f>
        <v>0</v>
      </c>
      <c r="R226" s="10">
        <f>Tabla24567894[[#This Row],[Columna2]]*19%</f>
        <v>0</v>
      </c>
      <c r="S226" s="10">
        <f>Tabla24567894[[#This Row],[IVA VENTA ]]-Tabla24567894[[#This Row],[IV COMPRA]]</f>
        <v>0</v>
      </c>
      <c r="T226" s="10">
        <f>(Tabla24567894[[#This Row],[VENTA ]]-(Tabla24567894[[#This Row],[MONTO DE COMPRA]]+Tabla24567894[[#This Row],[DIFERENCIA IVA ]]))</f>
        <v>0</v>
      </c>
      <c r="U226" s="19"/>
    </row>
    <row r="227" spans="1:22" s="15" customFormat="1" ht="20.100000000000001" hidden="1" customHeight="1" x14ac:dyDescent="0.25">
      <c r="A227" s="13"/>
      <c r="B227" s="14"/>
      <c r="C227" s="14"/>
      <c r="D227" s="22"/>
      <c r="E227" s="14"/>
      <c r="G227" s="14"/>
      <c r="H227" s="18"/>
      <c r="I227" s="17"/>
      <c r="J227" s="17">
        <f>IF(G:G="FRENOS",(Tabla24567894[[#This Row],[TOTAL FACTURA]]*0.8),(Tabla24567894[[#This Row],[TOTAL FACTURA]]*0.5))</f>
        <v>0</v>
      </c>
      <c r="K227" s="9">
        <f t="shared" si="3"/>
        <v>0</v>
      </c>
      <c r="L227" s="4"/>
      <c r="M227" s="10"/>
      <c r="N227" s="10">
        <f>Tabla24567894[[#This Row],[MONTO DE COMPRA]]/1.19</f>
        <v>0</v>
      </c>
      <c r="O227" s="10">
        <f>Tabla24567894[[#This Row],[Columna1]]*19%</f>
        <v>0</v>
      </c>
      <c r="P227" s="10"/>
      <c r="Q227" s="10">
        <f>Tabla24567894[[#This Row],[VENTA ]]/1.19</f>
        <v>0</v>
      </c>
      <c r="R227" s="10">
        <f>Tabla24567894[[#This Row],[Columna2]]*19%</f>
        <v>0</v>
      </c>
      <c r="S227" s="10">
        <f>Tabla24567894[[#This Row],[IVA VENTA ]]-Tabla24567894[[#This Row],[IV COMPRA]]</f>
        <v>0</v>
      </c>
      <c r="T227" s="10">
        <f>(Tabla24567894[[#This Row],[VENTA ]]-(Tabla24567894[[#This Row],[MONTO DE COMPRA]]+Tabla24567894[[#This Row],[DIFERENCIA IVA ]]))</f>
        <v>0</v>
      </c>
      <c r="U227" s="19"/>
    </row>
    <row r="228" spans="1:22" s="15" customFormat="1" ht="20.100000000000001" hidden="1" customHeight="1" x14ac:dyDescent="0.25">
      <c r="A228" s="13"/>
      <c r="B228" s="14"/>
      <c r="C228" s="14"/>
      <c r="D228" s="21"/>
      <c r="E228" s="14"/>
      <c r="G228" s="14"/>
      <c r="H228" s="18"/>
      <c r="I228" s="19"/>
      <c r="J228" s="19">
        <f>IF(G:G="FRENOS",(Tabla24567894[[#This Row],[TOTAL FACTURA]]*0.8),(Tabla24567894[[#This Row],[TOTAL FACTURA]]*0.5))</f>
        <v>0</v>
      </c>
      <c r="K228" s="9">
        <f t="shared" si="3"/>
        <v>0</v>
      </c>
      <c r="L228" s="4"/>
      <c r="M228" s="10"/>
      <c r="N228" s="10">
        <f>Tabla24567894[[#This Row],[MONTO DE COMPRA]]/1.19</f>
        <v>0</v>
      </c>
      <c r="O228" s="10">
        <f>Tabla24567894[[#This Row],[Columna1]]*19%</f>
        <v>0</v>
      </c>
      <c r="P228" s="10"/>
      <c r="Q228" s="10">
        <f>Tabla24567894[[#This Row],[VENTA ]]/1.19</f>
        <v>0</v>
      </c>
      <c r="R228" s="10">
        <f>Tabla24567894[[#This Row],[Columna2]]*19%</f>
        <v>0</v>
      </c>
      <c r="S228" s="10">
        <f>Tabla24567894[[#This Row],[IVA VENTA ]]-Tabla24567894[[#This Row],[IV COMPRA]]</f>
        <v>0</v>
      </c>
      <c r="T228" s="10">
        <f>(Tabla24567894[[#This Row],[VENTA ]]-(Tabla24567894[[#This Row],[MONTO DE COMPRA]]+Tabla24567894[[#This Row],[DIFERENCIA IVA ]]))</f>
        <v>0</v>
      </c>
      <c r="U228" s="19"/>
      <c r="V228" s="17"/>
    </row>
    <row r="229" spans="1:22" s="15" customFormat="1" ht="20.100000000000001" hidden="1" customHeight="1" x14ac:dyDescent="0.25">
      <c r="A229" s="13"/>
      <c r="B229" s="14"/>
      <c r="C229" s="14"/>
      <c r="D229" s="21"/>
      <c r="E229" s="14"/>
      <c r="G229" s="14"/>
      <c r="H229" s="18"/>
      <c r="I229" s="19"/>
      <c r="J229" s="19">
        <f>IF(G:G="FRENOS",(Tabla24567894[[#This Row],[TOTAL FACTURA]]*0.8),(Tabla24567894[[#This Row],[TOTAL FACTURA]]*0.5))</f>
        <v>0</v>
      </c>
      <c r="K229" s="9">
        <f t="shared" si="3"/>
        <v>0</v>
      </c>
      <c r="L229" s="4"/>
      <c r="M229" s="10"/>
      <c r="N229" s="10">
        <f>Tabla24567894[[#This Row],[MONTO DE COMPRA]]/1.19</f>
        <v>0</v>
      </c>
      <c r="O229" s="10">
        <f>Tabla24567894[[#This Row],[Columna1]]*19%</f>
        <v>0</v>
      </c>
      <c r="P229" s="10"/>
      <c r="Q229" s="10">
        <f>Tabla24567894[[#This Row],[VENTA ]]/1.19</f>
        <v>0</v>
      </c>
      <c r="R229" s="10">
        <f>Tabla24567894[[#This Row],[Columna2]]*19%</f>
        <v>0</v>
      </c>
      <c r="S229" s="10">
        <f>Tabla24567894[[#This Row],[IVA VENTA ]]-Tabla24567894[[#This Row],[IV COMPRA]]</f>
        <v>0</v>
      </c>
      <c r="T229" s="10">
        <f>(Tabla24567894[[#This Row],[VENTA ]]-(Tabla24567894[[#This Row],[MONTO DE COMPRA]]+Tabla24567894[[#This Row],[DIFERENCIA IVA ]]))</f>
        <v>0</v>
      </c>
      <c r="U229" s="19"/>
      <c r="V229" s="17"/>
    </row>
    <row r="230" spans="1:22" s="15" customFormat="1" ht="20.100000000000001" hidden="1" customHeight="1" x14ac:dyDescent="0.25">
      <c r="A230" s="13"/>
      <c r="B230" s="14"/>
      <c r="C230" s="14"/>
      <c r="D230" s="21"/>
      <c r="E230" s="14"/>
      <c r="G230" s="14"/>
      <c r="H230" s="18"/>
      <c r="I230" s="19"/>
      <c r="J230" s="19">
        <f>IF(G:G="FRENOS",(Tabla24567894[[#This Row],[TOTAL FACTURA]]*0.8),(Tabla24567894[[#This Row],[TOTAL FACTURA]]*0.5))</f>
        <v>0</v>
      </c>
      <c r="K230" s="9">
        <f t="shared" si="3"/>
        <v>0</v>
      </c>
      <c r="L230" s="4"/>
      <c r="M230" s="10"/>
      <c r="N230" s="10">
        <f>Tabla24567894[[#This Row],[MONTO DE COMPRA]]/1.19</f>
        <v>0</v>
      </c>
      <c r="O230" s="10">
        <f>Tabla24567894[[#This Row],[Columna1]]*19%</f>
        <v>0</v>
      </c>
      <c r="P230" s="10"/>
      <c r="Q230" s="10">
        <f>Tabla24567894[[#This Row],[VENTA ]]/1.19</f>
        <v>0</v>
      </c>
      <c r="R230" s="10">
        <f>Tabla24567894[[#This Row],[Columna2]]*19%</f>
        <v>0</v>
      </c>
      <c r="S230" s="10">
        <f>Tabla24567894[[#This Row],[IVA VENTA ]]-Tabla24567894[[#This Row],[IV COMPRA]]</f>
        <v>0</v>
      </c>
      <c r="T230" s="10">
        <f>(Tabla24567894[[#This Row],[VENTA ]]-(Tabla24567894[[#This Row],[MONTO DE COMPRA]]+Tabla24567894[[#This Row],[DIFERENCIA IVA ]]))</f>
        <v>0</v>
      </c>
      <c r="U230" s="19"/>
      <c r="V230" s="17"/>
    </row>
    <row r="231" spans="1:22" s="15" customFormat="1" ht="20.100000000000001" hidden="1" customHeight="1" x14ac:dyDescent="0.25">
      <c r="A231" s="13"/>
      <c r="B231" s="14"/>
      <c r="C231" s="14"/>
      <c r="D231" s="21"/>
      <c r="E231" s="14"/>
      <c r="G231" s="14"/>
      <c r="H231" s="18"/>
      <c r="I231" s="19"/>
      <c r="J231" s="19">
        <f>IF(G:G="FRENOS",(Tabla24567894[[#This Row],[TOTAL FACTURA]]*0.8),(Tabla24567894[[#This Row],[TOTAL FACTURA]]*0.5))</f>
        <v>0</v>
      </c>
      <c r="K231" s="9">
        <f t="shared" si="3"/>
        <v>0</v>
      </c>
      <c r="L231" s="4"/>
      <c r="M231" s="10"/>
      <c r="N231" s="10">
        <f>Tabla24567894[[#This Row],[MONTO DE COMPRA]]/1.19</f>
        <v>0</v>
      </c>
      <c r="O231" s="10">
        <f>Tabla24567894[[#This Row],[Columna1]]*19%</f>
        <v>0</v>
      </c>
      <c r="P231" s="10"/>
      <c r="Q231" s="10">
        <f>Tabla24567894[[#This Row],[VENTA ]]/1.19</f>
        <v>0</v>
      </c>
      <c r="R231" s="10">
        <f>Tabla24567894[[#This Row],[Columna2]]*19%</f>
        <v>0</v>
      </c>
      <c r="S231" s="10">
        <f>Tabla24567894[[#This Row],[IVA VENTA ]]-Tabla24567894[[#This Row],[IV COMPRA]]</f>
        <v>0</v>
      </c>
      <c r="T231" s="10">
        <f>(Tabla24567894[[#This Row],[VENTA ]]-(Tabla24567894[[#This Row],[MONTO DE COMPRA]]+Tabla24567894[[#This Row],[DIFERENCIA IVA ]]))</f>
        <v>0</v>
      </c>
      <c r="U231" s="19"/>
      <c r="V231" s="17"/>
    </row>
    <row r="232" spans="1:22" s="15" customFormat="1" ht="20.100000000000001" hidden="1" customHeight="1" x14ac:dyDescent="0.25">
      <c r="A232" s="13"/>
      <c r="B232" s="14"/>
      <c r="C232" s="14"/>
      <c r="D232" s="21"/>
      <c r="E232" s="14"/>
      <c r="G232" s="14"/>
      <c r="H232" s="18"/>
      <c r="I232" s="19"/>
      <c r="J232" s="19">
        <f>IF(G:G="FRENOS",(Tabla24567894[[#This Row],[TOTAL FACTURA]]*0.8),(Tabla24567894[[#This Row],[TOTAL FACTURA]]*0.5))</f>
        <v>0</v>
      </c>
      <c r="K232" s="9">
        <f t="shared" si="3"/>
        <v>0</v>
      </c>
      <c r="L232" s="4"/>
      <c r="M232" s="10"/>
      <c r="N232" s="10">
        <f>Tabla24567894[[#This Row],[MONTO DE COMPRA]]/1.19</f>
        <v>0</v>
      </c>
      <c r="O232" s="10">
        <f>Tabla24567894[[#This Row],[Columna1]]*19%</f>
        <v>0</v>
      </c>
      <c r="P232" s="10"/>
      <c r="Q232" s="10">
        <f>Tabla24567894[[#This Row],[VENTA ]]/1.19</f>
        <v>0</v>
      </c>
      <c r="R232" s="10">
        <f>Tabla24567894[[#This Row],[Columna2]]*19%</f>
        <v>0</v>
      </c>
      <c r="S232" s="10">
        <f>Tabla24567894[[#This Row],[IVA VENTA ]]-Tabla24567894[[#This Row],[IV COMPRA]]</f>
        <v>0</v>
      </c>
      <c r="T232" s="10">
        <f>(Tabla24567894[[#This Row],[VENTA ]]-(Tabla24567894[[#This Row],[MONTO DE COMPRA]]+Tabla24567894[[#This Row],[DIFERENCIA IVA ]]))</f>
        <v>0</v>
      </c>
      <c r="U232" s="19"/>
      <c r="V232" s="17"/>
    </row>
    <row r="233" spans="1:22" s="15" customFormat="1" ht="20.100000000000001" hidden="1" customHeight="1" x14ac:dyDescent="0.25">
      <c r="A233" s="13"/>
      <c r="B233" s="14"/>
      <c r="C233" s="14"/>
      <c r="D233" s="21"/>
      <c r="E233" s="14"/>
      <c r="G233" s="14"/>
      <c r="H233" s="16"/>
      <c r="I233" s="17"/>
      <c r="J233" s="17">
        <f>IF(G:G="FRENOS",(Tabla24567894[[#This Row],[TOTAL FACTURA]]*0.8),(Tabla24567894[[#This Row],[TOTAL FACTURA]]*0.5))</f>
        <v>0</v>
      </c>
      <c r="K233" s="9">
        <f t="shared" si="3"/>
        <v>0</v>
      </c>
      <c r="L233" s="4"/>
      <c r="M233" s="10"/>
      <c r="N233" s="10">
        <f>Tabla24567894[[#This Row],[MONTO DE COMPRA]]/1.19</f>
        <v>0</v>
      </c>
      <c r="O233" s="10">
        <f>Tabla24567894[[#This Row],[Columna1]]*19%</f>
        <v>0</v>
      </c>
      <c r="P233" s="10"/>
      <c r="Q233" s="10">
        <f>Tabla24567894[[#This Row],[VENTA ]]/1.19</f>
        <v>0</v>
      </c>
      <c r="R233" s="10">
        <f>Tabla24567894[[#This Row],[Columna2]]*19%</f>
        <v>0</v>
      </c>
      <c r="S233" s="10">
        <f>Tabla24567894[[#This Row],[IVA VENTA ]]-Tabla24567894[[#This Row],[IV COMPRA]]</f>
        <v>0</v>
      </c>
      <c r="T233" s="10">
        <f>(Tabla24567894[[#This Row],[VENTA ]]-(Tabla24567894[[#This Row],[MONTO DE COMPRA]]+Tabla24567894[[#This Row],[DIFERENCIA IVA ]]))</f>
        <v>0</v>
      </c>
      <c r="U233" s="19"/>
      <c r="V233" s="17"/>
    </row>
    <row r="234" spans="1:22" s="15" customFormat="1" ht="20.100000000000001" hidden="1" customHeight="1" x14ac:dyDescent="0.25">
      <c r="A234" s="13"/>
      <c r="B234" s="14"/>
      <c r="C234" s="14"/>
      <c r="D234" s="22"/>
      <c r="E234" s="14"/>
      <c r="G234" s="14"/>
      <c r="H234" s="18"/>
      <c r="I234" s="19"/>
      <c r="J234" s="19">
        <f>IF(G:G="FRENOS",(Tabla24567894[[#This Row],[TOTAL FACTURA]]*0.8),(Tabla24567894[[#This Row],[TOTAL FACTURA]]*0.5))</f>
        <v>0</v>
      </c>
      <c r="K234" s="9">
        <f t="shared" si="3"/>
        <v>0</v>
      </c>
      <c r="L234" s="4"/>
      <c r="M234" s="10"/>
      <c r="N234" s="10">
        <f>Tabla24567894[[#This Row],[MONTO DE COMPRA]]/1.19</f>
        <v>0</v>
      </c>
      <c r="O234" s="10">
        <f>Tabla24567894[[#This Row],[Columna1]]*19%</f>
        <v>0</v>
      </c>
      <c r="P234" s="10"/>
      <c r="Q234" s="10">
        <f>Tabla24567894[[#This Row],[VENTA ]]/1.19</f>
        <v>0</v>
      </c>
      <c r="R234" s="10">
        <f>Tabla24567894[[#This Row],[Columna2]]*19%</f>
        <v>0</v>
      </c>
      <c r="S234" s="10">
        <f>Tabla24567894[[#This Row],[IVA VENTA ]]-Tabla24567894[[#This Row],[IV COMPRA]]</f>
        <v>0</v>
      </c>
      <c r="T234" s="10">
        <f>(Tabla24567894[[#This Row],[VENTA ]]-(Tabla24567894[[#This Row],[MONTO DE COMPRA]]+Tabla24567894[[#This Row],[DIFERENCIA IVA ]]))</f>
        <v>0</v>
      </c>
      <c r="U234" s="19"/>
      <c r="V234" s="17"/>
    </row>
    <row r="235" spans="1:22" s="15" customFormat="1" ht="20.100000000000001" hidden="1" customHeight="1" x14ac:dyDescent="0.25">
      <c r="A235" s="13"/>
      <c r="B235" s="14"/>
      <c r="C235" s="14"/>
      <c r="D235" s="21"/>
      <c r="E235" s="14"/>
      <c r="G235" s="14"/>
      <c r="H235" s="18"/>
      <c r="I235" s="19"/>
      <c r="J235" s="19">
        <f>IF(G:G="FRENOS",(Tabla24567894[[#This Row],[TOTAL FACTURA]]*0.8),(Tabla24567894[[#This Row],[TOTAL FACTURA]]*0.5))</f>
        <v>0</v>
      </c>
      <c r="K235" s="9">
        <f t="shared" si="3"/>
        <v>0</v>
      </c>
      <c r="L235" s="4"/>
      <c r="M235" s="10"/>
      <c r="N235" s="10">
        <f>Tabla24567894[[#This Row],[MONTO DE COMPRA]]/1.19</f>
        <v>0</v>
      </c>
      <c r="O235" s="10">
        <f>Tabla24567894[[#This Row],[Columna1]]*19%</f>
        <v>0</v>
      </c>
      <c r="P235" s="10"/>
      <c r="Q235" s="10">
        <f>Tabla24567894[[#This Row],[VENTA ]]/1.19</f>
        <v>0</v>
      </c>
      <c r="R235" s="10">
        <f>Tabla24567894[[#This Row],[Columna2]]*19%</f>
        <v>0</v>
      </c>
      <c r="S235" s="10">
        <f>Tabla24567894[[#This Row],[IVA VENTA ]]-Tabla24567894[[#This Row],[IV COMPRA]]</f>
        <v>0</v>
      </c>
      <c r="T235" s="10">
        <f>(Tabla24567894[[#This Row],[VENTA ]]-(Tabla24567894[[#This Row],[MONTO DE COMPRA]]+Tabla24567894[[#This Row],[DIFERENCIA IVA ]]))</f>
        <v>0</v>
      </c>
      <c r="U235" s="19"/>
      <c r="V235" s="17"/>
    </row>
    <row r="236" spans="1:22" s="15" customFormat="1" ht="20.100000000000001" hidden="1" customHeight="1" x14ac:dyDescent="0.25">
      <c r="A236" s="13"/>
      <c r="B236" s="14"/>
      <c r="C236" s="14"/>
      <c r="D236" s="21"/>
      <c r="E236" s="14"/>
      <c r="G236" s="14"/>
      <c r="H236" s="18"/>
      <c r="I236" s="19"/>
      <c r="J236" s="19">
        <f>IF(G:G="FRENOS",(Tabla24567894[[#This Row],[TOTAL FACTURA]]*0.8),(Tabla24567894[[#This Row],[TOTAL FACTURA]]*0.5))</f>
        <v>0</v>
      </c>
      <c r="K236" s="9">
        <f t="shared" si="3"/>
        <v>0</v>
      </c>
      <c r="L236" s="4"/>
      <c r="M236" s="10"/>
      <c r="N236" s="10">
        <f>Tabla24567894[[#This Row],[MONTO DE COMPRA]]/1.19</f>
        <v>0</v>
      </c>
      <c r="O236" s="10">
        <f>Tabla24567894[[#This Row],[Columna1]]*19%</f>
        <v>0</v>
      </c>
      <c r="P236" s="10"/>
      <c r="Q236" s="10">
        <f>Tabla24567894[[#This Row],[VENTA ]]/1.19</f>
        <v>0</v>
      </c>
      <c r="R236" s="10">
        <f>Tabla24567894[[#This Row],[Columna2]]*19%</f>
        <v>0</v>
      </c>
      <c r="S236" s="10">
        <f>Tabla24567894[[#This Row],[IVA VENTA ]]-Tabla24567894[[#This Row],[IV COMPRA]]</f>
        <v>0</v>
      </c>
      <c r="T236" s="10">
        <f>(Tabla24567894[[#This Row],[VENTA ]]-(Tabla24567894[[#This Row],[MONTO DE COMPRA]]+Tabla24567894[[#This Row],[DIFERENCIA IVA ]]))</f>
        <v>0</v>
      </c>
      <c r="U236" s="19"/>
      <c r="V236" s="17"/>
    </row>
    <row r="237" spans="1:22" s="15" customFormat="1" ht="20.100000000000001" hidden="1" customHeight="1" x14ac:dyDescent="0.25">
      <c r="A237" s="13"/>
      <c r="B237" s="14"/>
      <c r="G237" s="14"/>
      <c r="H237" s="20"/>
      <c r="I237" s="17"/>
      <c r="J237" s="17">
        <f>IF(G:G="FRENOS",(Tabla24567894[[#This Row],[TOTAL FACTURA]]*0.8),(Tabla24567894[[#This Row],[TOTAL FACTURA]]*0.5))</f>
        <v>0</v>
      </c>
      <c r="K237" s="9">
        <f t="shared" si="3"/>
        <v>0</v>
      </c>
      <c r="L237" s="4"/>
      <c r="M237" s="10"/>
      <c r="N237" s="10">
        <f>Tabla24567894[[#This Row],[MONTO DE COMPRA]]/1.19</f>
        <v>0</v>
      </c>
      <c r="O237" s="10">
        <f>Tabla24567894[[#This Row],[Columna1]]*19%</f>
        <v>0</v>
      </c>
      <c r="P237" s="10"/>
      <c r="Q237" s="10">
        <f>Tabla24567894[[#This Row],[VENTA ]]/1.19</f>
        <v>0</v>
      </c>
      <c r="R237" s="10">
        <f>Tabla24567894[[#This Row],[Columna2]]*19%</f>
        <v>0</v>
      </c>
      <c r="S237" s="10">
        <f>Tabla24567894[[#This Row],[IVA VENTA ]]-Tabla24567894[[#This Row],[IV COMPRA]]</f>
        <v>0</v>
      </c>
      <c r="T237" s="10">
        <f>(Tabla24567894[[#This Row],[VENTA ]]-(Tabla24567894[[#This Row],[MONTO DE COMPRA]]+Tabla24567894[[#This Row],[DIFERENCIA IVA ]]))</f>
        <v>0</v>
      </c>
      <c r="U237" s="17"/>
      <c r="V237" s="17"/>
    </row>
    <row r="238" spans="1:22" s="15" customFormat="1" ht="20.100000000000001" hidden="1" customHeight="1" x14ac:dyDescent="0.25">
      <c r="A238" s="13"/>
      <c r="B238" s="14"/>
      <c r="C238" s="14"/>
      <c r="D238" s="21"/>
      <c r="E238" s="14"/>
      <c r="G238" s="14"/>
      <c r="H238" s="16"/>
      <c r="I238" s="20"/>
      <c r="J238" s="20">
        <f>IF(G:G="FRENOS",(Tabla24567894[[#This Row],[TOTAL FACTURA]]*0.8),(Tabla24567894[[#This Row],[TOTAL FACTURA]]*0.5))</f>
        <v>0</v>
      </c>
      <c r="K238" s="9">
        <f t="shared" si="3"/>
        <v>0</v>
      </c>
      <c r="L238" s="4"/>
      <c r="M238" s="10"/>
      <c r="N238" s="10">
        <f>Tabla24567894[[#This Row],[MONTO DE COMPRA]]/1.19</f>
        <v>0</v>
      </c>
      <c r="O238" s="10">
        <f>Tabla24567894[[#This Row],[Columna1]]*19%</f>
        <v>0</v>
      </c>
      <c r="P238" s="10"/>
      <c r="Q238" s="10">
        <f>Tabla24567894[[#This Row],[VENTA ]]/1.19</f>
        <v>0</v>
      </c>
      <c r="R238" s="10">
        <f>Tabla24567894[[#This Row],[Columna2]]*19%</f>
        <v>0</v>
      </c>
      <c r="S238" s="10">
        <f>Tabla24567894[[#This Row],[IVA VENTA ]]-Tabla24567894[[#This Row],[IV COMPRA]]</f>
        <v>0</v>
      </c>
      <c r="T238" s="10">
        <f>(Tabla24567894[[#This Row],[VENTA ]]-(Tabla24567894[[#This Row],[MONTO DE COMPRA]]+Tabla24567894[[#This Row],[DIFERENCIA IVA ]]))</f>
        <v>0</v>
      </c>
      <c r="U238" s="19"/>
      <c r="V238" s="17"/>
    </row>
    <row r="239" spans="1:22" s="15" customFormat="1" ht="20.100000000000001" hidden="1" customHeight="1" x14ac:dyDescent="0.25">
      <c r="A239" s="13"/>
      <c r="B239" s="14"/>
      <c r="C239" s="14"/>
      <c r="D239" s="21"/>
      <c r="E239" s="14"/>
      <c r="G239" s="14"/>
      <c r="H239" s="16"/>
      <c r="I239" s="20"/>
      <c r="J239" s="20">
        <f>IF(G:G="FRENOS",(Tabla24567894[[#This Row],[TOTAL FACTURA]]*0.8),(Tabla24567894[[#This Row],[TOTAL FACTURA]]*0.5))</f>
        <v>0</v>
      </c>
      <c r="K239" s="9">
        <f t="shared" si="3"/>
        <v>0</v>
      </c>
      <c r="L239" s="4"/>
      <c r="M239" s="10"/>
      <c r="N239" s="10">
        <f>Tabla24567894[[#This Row],[MONTO DE COMPRA]]/1.19</f>
        <v>0</v>
      </c>
      <c r="O239" s="10">
        <f>Tabla24567894[[#This Row],[Columna1]]*19%</f>
        <v>0</v>
      </c>
      <c r="P239" s="10"/>
      <c r="Q239" s="10">
        <f>Tabla24567894[[#This Row],[VENTA ]]/1.19</f>
        <v>0</v>
      </c>
      <c r="R239" s="10">
        <f>Tabla24567894[[#This Row],[Columna2]]*19%</f>
        <v>0</v>
      </c>
      <c r="S239" s="10">
        <f>Tabla24567894[[#This Row],[IVA VENTA ]]-Tabla24567894[[#This Row],[IV COMPRA]]</f>
        <v>0</v>
      </c>
      <c r="T239" s="10">
        <f>(Tabla24567894[[#This Row],[VENTA ]]-(Tabla24567894[[#This Row],[MONTO DE COMPRA]]+Tabla24567894[[#This Row],[DIFERENCIA IVA ]]))</f>
        <v>0</v>
      </c>
      <c r="V239" s="17"/>
    </row>
    <row r="240" spans="1:22" s="15" customFormat="1" ht="20.100000000000001" hidden="1" customHeight="1" x14ac:dyDescent="0.25">
      <c r="A240" s="13"/>
      <c r="B240" s="14"/>
      <c r="C240" s="14"/>
      <c r="D240" s="22"/>
      <c r="E240" s="14"/>
      <c r="G240" s="14"/>
      <c r="H240" s="16"/>
      <c r="I240" s="20"/>
      <c r="J240" s="20">
        <f>IF(G:G="FRENOS",(Tabla24567894[[#This Row],[TOTAL FACTURA]]*0.8),(Tabla24567894[[#This Row],[TOTAL FACTURA]]*0.5))</f>
        <v>0</v>
      </c>
      <c r="K240" s="9">
        <f t="shared" si="3"/>
        <v>0</v>
      </c>
      <c r="L240" s="4"/>
      <c r="M240" s="10"/>
      <c r="N240" s="10">
        <f>Tabla24567894[[#This Row],[MONTO DE COMPRA]]/1.19</f>
        <v>0</v>
      </c>
      <c r="O240" s="10">
        <f>Tabla24567894[[#This Row],[Columna1]]*19%</f>
        <v>0</v>
      </c>
      <c r="P240" s="10"/>
      <c r="Q240" s="10">
        <f>Tabla24567894[[#This Row],[VENTA ]]/1.19</f>
        <v>0</v>
      </c>
      <c r="R240" s="10">
        <f>Tabla24567894[[#This Row],[Columna2]]*19%</f>
        <v>0</v>
      </c>
      <c r="S240" s="10">
        <f>Tabla24567894[[#This Row],[IVA VENTA ]]-Tabla24567894[[#This Row],[IV COMPRA]]</f>
        <v>0</v>
      </c>
      <c r="T240" s="10">
        <f>(Tabla24567894[[#This Row],[VENTA ]]-(Tabla24567894[[#This Row],[MONTO DE COMPRA]]+Tabla24567894[[#This Row],[DIFERENCIA IVA ]]))</f>
        <v>0</v>
      </c>
      <c r="V240" s="17"/>
    </row>
    <row r="241" spans="1:22" s="15" customFormat="1" ht="20.100000000000001" hidden="1" customHeight="1" x14ac:dyDescent="0.25">
      <c r="A241" s="13"/>
      <c r="B241" s="14"/>
      <c r="C241" s="14"/>
      <c r="D241" s="14"/>
      <c r="E241" s="14"/>
      <c r="G241" s="14"/>
      <c r="H241" s="16"/>
      <c r="I241" s="20"/>
      <c r="J241" s="20">
        <f>IF(G:G="FRENOS",(Tabla24567894[[#This Row],[TOTAL FACTURA]]*0.8),(Tabla24567894[[#This Row],[TOTAL FACTURA]]*0.5))</f>
        <v>0</v>
      </c>
      <c r="K241" s="9">
        <f t="shared" si="3"/>
        <v>0</v>
      </c>
      <c r="L241" s="4"/>
      <c r="M241" s="10"/>
      <c r="N241" s="10">
        <f>Tabla24567894[[#This Row],[MONTO DE COMPRA]]/1.19</f>
        <v>0</v>
      </c>
      <c r="O241" s="10">
        <f>Tabla24567894[[#This Row],[Columna1]]*19%</f>
        <v>0</v>
      </c>
      <c r="P241" s="10"/>
      <c r="Q241" s="10">
        <f>Tabla24567894[[#This Row],[VENTA ]]/1.19</f>
        <v>0</v>
      </c>
      <c r="R241" s="10">
        <f>Tabla24567894[[#This Row],[Columna2]]*19%</f>
        <v>0</v>
      </c>
      <c r="S241" s="10">
        <f>Tabla24567894[[#This Row],[IVA VENTA ]]-Tabla24567894[[#This Row],[IV COMPRA]]</f>
        <v>0</v>
      </c>
      <c r="T241" s="10">
        <f>(Tabla24567894[[#This Row],[VENTA ]]-(Tabla24567894[[#This Row],[MONTO DE COMPRA]]+Tabla24567894[[#This Row],[DIFERENCIA IVA ]]))</f>
        <v>0</v>
      </c>
      <c r="V241" s="17"/>
    </row>
    <row r="242" spans="1:22" s="15" customFormat="1" ht="20.100000000000001" hidden="1" customHeight="1" x14ac:dyDescent="0.25">
      <c r="A242" s="13"/>
      <c r="B242" s="14"/>
      <c r="C242" s="14"/>
      <c r="D242" s="14"/>
      <c r="G242" s="14"/>
      <c r="H242" s="16"/>
      <c r="I242" s="20"/>
      <c r="J242" s="20">
        <f>IF(G:G="FRENOS",(Tabla24567894[[#This Row],[TOTAL FACTURA]]*0.8),(Tabla24567894[[#This Row],[TOTAL FACTURA]]*0.5))</f>
        <v>0</v>
      </c>
      <c r="K242" s="9">
        <f t="shared" si="3"/>
        <v>0</v>
      </c>
      <c r="L242" s="4"/>
      <c r="M242" s="10"/>
      <c r="N242" s="10">
        <f>Tabla24567894[[#This Row],[MONTO DE COMPRA]]/1.19</f>
        <v>0</v>
      </c>
      <c r="O242" s="10">
        <f>Tabla24567894[[#This Row],[Columna1]]*19%</f>
        <v>0</v>
      </c>
      <c r="P242" s="10"/>
      <c r="Q242" s="10">
        <f>Tabla24567894[[#This Row],[VENTA ]]/1.19</f>
        <v>0</v>
      </c>
      <c r="R242" s="10">
        <f>Tabla24567894[[#This Row],[Columna2]]*19%</f>
        <v>0</v>
      </c>
      <c r="S242" s="10">
        <f>Tabla24567894[[#This Row],[IVA VENTA ]]-Tabla24567894[[#This Row],[IV COMPRA]]</f>
        <v>0</v>
      </c>
      <c r="T242" s="10">
        <f>(Tabla24567894[[#This Row],[VENTA ]]-(Tabla24567894[[#This Row],[MONTO DE COMPRA]]+Tabla24567894[[#This Row],[DIFERENCIA IVA ]]))</f>
        <v>0</v>
      </c>
      <c r="V242" s="17"/>
    </row>
    <row r="243" spans="1:22" s="15" customFormat="1" ht="20.100000000000001" hidden="1" customHeight="1" x14ac:dyDescent="0.25">
      <c r="A243" s="13"/>
      <c r="B243" s="14"/>
      <c r="C243" s="14"/>
      <c r="D243" s="14"/>
      <c r="G243" s="14"/>
      <c r="H243" s="16"/>
      <c r="I243" s="20"/>
      <c r="J243" s="20">
        <f>IF(G:G="FRENOS",(Tabla24567894[[#This Row],[TOTAL FACTURA]]*0.8),(Tabla24567894[[#This Row],[TOTAL FACTURA]]*0.5))</f>
        <v>0</v>
      </c>
      <c r="K243" s="9">
        <f t="shared" si="3"/>
        <v>0</v>
      </c>
      <c r="L243" s="4"/>
      <c r="M243" s="10"/>
      <c r="N243" s="10">
        <f>Tabla24567894[[#This Row],[MONTO DE COMPRA]]/1.19</f>
        <v>0</v>
      </c>
      <c r="O243" s="10">
        <f>Tabla24567894[[#This Row],[Columna1]]*19%</f>
        <v>0</v>
      </c>
      <c r="P243" s="10"/>
      <c r="Q243" s="10">
        <f>Tabla24567894[[#This Row],[VENTA ]]/1.19</f>
        <v>0</v>
      </c>
      <c r="R243" s="10">
        <f>Tabla24567894[[#This Row],[Columna2]]*19%</f>
        <v>0</v>
      </c>
      <c r="S243" s="10">
        <f>Tabla24567894[[#This Row],[IVA VENTA ]]-Tabla24567894[[#This Row],[IV COMPRA]]</f>
        <v>0</v>
      </c>
      <c r="T243" s="10">
        <f>(Tabla24567894[[#This Row],[VENTA ]]-(Tabla24567894[[#This Row],[MONTO DE COMPRA]]+Tabla24567894[[#This Row],[DIFERENCIA IVA ]]))</f>
        <v>0</v>
      </c>
      <c r="V243" s="17"/>
    </row>
    <row r="244" spans="1:22" s="15" customFormat="1" ht="20.100000000000001" hidden="1" customHeight="1" x14ac:dyDescent="0.25">
      <c r="A244" s="13"/>
      <c r="B244" s="14"/>
      <c r="C244" s="14"/>
      <c r="D244" s="14"/>
      <c r="G244" s="14"/>
      <c r="H244" s="16"/>
      <c r="I244" s="20"/>
      <c r="J244" s="20">
        <f>IF(G:G="FRENOS",(Tabla24567894[[#This Row],[TOTAL FACTURA]]*0.8),(Tabla24567894[[#This Row],[TOTAL FACTURA]]*0.5))</f>
        <v>0</v>
      </c>
      <c r="K244" s="9">
        <f t="shared" si="3"/>
        <v>0</v>
      </c>
      <c r="L244" s="4"/>
      <c r="M244" s="10"/>
      <c r="N244" s="10">
        <f>Tabla24567894[[#This Row],[MONTO DE COMPRA]]/1.19</f>
        <v>0</v>
      </c>
      <c r="O244" s="10">
        <f>Tabla24567894[[#This Row],[Columna1]]*19%</f>
        <v>0</v>
      </c>
      <c r="P244" s="10"/>
      <c r="Q244" s="10">
        <f>Tabla24567894[[#This Row],[VENTA ]]/1.19</f>
        <v>0</v>
      </c>
      <c r="R244" s="10">
        <f>Tabla24567894[[#This Row],[Columna2]]*19%</f>
        <v>0</v>
      </c>
      <c r="S244" s="10">
        <f>Tabla24567894[[#This Row],[IVA VENTA ]]-Tabla24567894[[#This Row],[IV COMPRA]]</f>
        <v>0</v>
      </c>
      <c r="T244" s="10">
        <f>(Tabla24567894[[#This Row],[VENTA ]]-(Tabla24567894[[#This Row],[MONTO DE COMPRA]]+Tabla24567894[[#This Row],[DIFERENCIA IVA ]]))</f>
        <v>0</v>
      </c>
      <c r="V244" s="17"/>
    </row>
    <row r="245" spans="1:22" s="15" customFormat="1" ht="20.100000000000001" hidden="1" customHeight="1" x14ac:dyDescent="0.25">
      <c r="A245" s="13"/>
      <c r="B245" s="14"/>
      <c r="C245" s="14"/>
      <c r="D245" s="14"/>
      <c r="G245" s="14"/>
      <c r="H245" s="16"/>
      <c r="I245" s="20"/>
      <c r="J245" s="20">
        <f>IF(G:G="FRENOS",(Tabla24567894[[#This Row],[TOTAL FACTURA]]*0.8),(Tabla24567894[[#This Row],[TOTAL FACTURA]]*0.5))</f>
        <v>0</v>
      </c>
      <c r="K245" s="9">
        <f t="shared" si="3"/>
        <v>0</v>
      </c>
      <c r="L245" s="4"/>
      <c r="M245" s="10"/>
      <c r="N245" s="10">
        <f>Tabla24567894[[#This Row],[MONTO DE COMPRA]]/1.19</f>
        <v>0</v>
      </c>
      <c r="O245" s="10">
        <f>Tabla24567894[[#This Row],[Columna1]]*19%</f>
        <v>0</v>
      </c>
      <c r="P245" s="10"/>
      <c r="Q245" s="10">
        <f>Tabla24567894[[#This Row],[VENTA ]]/1.19</f>
        <v>0</v>
      </c>
      <c r="R245" s="10">
        <f>Tabla24567894[[#This Row],[Columna2]]*19%</f>
        <v>0</v>
      </c>
      <c r="S245" s="10">
        <f>Tabla24567894[[#This Row],[IVA VENTA ]]-Tabla24567894[[#This Row],[IV COMPRA]]</f>
        <v>0</v>
      </c>
      <c r="T245" s="10">
        <f>(Tabla24567894[[#This Row],[VENTA ]]-(Tabla24567894[[#This Row],[MONTO DE COMPRA]]+Tabla24567894[[#This Row],[DIFERENCIA IVA ]]))</f>
        <v>0</v>
      </c>
      <c r="V245" s="17"/>
    </row>
    <row r="246" spans="1:22" s="15" customFormat="1" ht="20.100000000000001" hidden="1" customHeight="1" x14ac:dyDescent="0.25">
      <c r="A246" s="13"/>
      <c r="B246" s="14"/>
      <c r="C246" s="14"/>
      <c r="D246" s="14"/>
      <c r="G246" s="14"/>
      <c r="H246" s="16"/>
      <c r="I246" s="20"/>
      <c r="J246" s="20">
        <f>IF(G:G="FRENOS",(Tabla24567894[[#This Row],[TOTAL FACTURA]]*0.8),(Tabla24567894[[#This Row],[TOTAL FACTURA]]*0.5))</f>
        <v>0</v>
      </c>
      <c r="K246" s="9">
        <f t="shared" si="3"/>
        <v>0</v>
      </c>
      <c r="L246" s="4"/>
      <c r="M246" s="10"/>
      <c r="N246" s="10">
        <f>Tabla24567894[[#This Row],[MONTO DE COMPRA]]/1.19</f>
        <v>0</v>
      </c>
      <c r="O246" s="10">
        <f>Tabla24567894[[#This Row],[Columna1]]*19%</f>
        <v>0</v>
      </c>
      <c r="P246" s="10"/>
      <c r="Q246" s="10">
        <f>Tabla24567894[[#This Row],[VENTA ]]/1.19</f>
        <v>0</v>
      </c>
      <c r="R246" s="10">
        <f>Tabla24567894[[#This Row],[Columna2]]*19%</f>
        <v>0</v>
      </c>
      <c r="S246" s="10">
        <f>Tabla24567894[[#This Row],[IVA VENTA ]]-Tabla24567894[[#This Row],[IV COMPRA]]</f>
        <v>0</v>
      </c>
      <c r="T246" s="10">
        <f>(Tabla24567894[[#This Row],[VENTA ]]-(Tabla24567894[[#This Row],[MONTO DE COMPRA]]+Tabla24567894[[#This Row],[DIFERENCIA IVA ]]))</f>
        <v>0</v>
      </c>
      <c r="V246" s="17"/>
    </row>
    <row r="247" spans="1:22" s="15" customFormat="1" ht="20.100000000000001" hidden="1" customHeight="1" x14ac:dyDescent="0.25">
      <c r="A247" s="13"/>
      <c r="B247" s="14"/>
      <c r="C247" s="14"/>
      <c r="D247" s="14"/>
      <c r="G247" s="14"/>
      <c r="H247" s="16"/>
      <c r="I247" s="20"/>
      <c r="J247" s="20">
        <f>IF(G:G="FRENOS",(Tabla24567894[[#This Row],[TOTAL FACTURA]]*0.8),(Tabla24567894[[#This Row],[TOTAL FACTURA]]*0.5))</f>
        <v>0</v>
      </c>
      <c r="K247" s="9">
        <f t="shared" si="3"/>
        <v>0</v>
      </c>
      <c r="L247" s="4"/>
      <c r="M247" s="10"/>
      <c r="N247" s="10">
        <f>Tabla24567894[[#This Row],[MONTO DE COMPRA]]/1.19</f>
        <v>0</v>
      </c>
      <c r="O247" s="10">
        <f>Tabla24567894[[#This Row],[Columna1]]*19%</f>
        <v>0</v>
      </c>
      <c r="P247" s="10"/>
      <c r="Q247" s="10">
        <f>Tabla24567894[[#This Row],[VENTA ]]/1.19</f>
        <v>0</v>
      </c>
      <c r="R247" s="10">
        <f>Tabla24567894[[#This Row],[Columna2]]*19%</f>
        <v>0</v>
      </c>
      <c r="S247" s="10">
        <f>Tabla24567894[[#This Row],[IVA VENTA ]]-Tabla24567894[[#This Row],[IV COMPRA]]</f>
        <v>0</v>
      </c>
      <c r="T247" s="10">
        <f>(Tabla24567894[[#This Row],[VENTA ]]-(Tabla24567894[[#This Row],[MONTO DE COMPRA]]+Tabla24567894[[#This Row],[DIFERENCIA IVA ]]))</f>
        <v>0</v>
      </c>
      <c r="V247" s="17"/>
    </row>
    <row r="248" spans="1:22" s="15" customFormat="1" ht="20.100000000000001" hidden="1" customHeight="1" x14ac:dyDescent="0.25">
      <c r="A248" s="13"/>
      <c r="B248" s="14"/>
      <c r="C248" s="14"/>
      <c r="D248" s="14"/>
      <c r="G248" s="14"/>
      <c r="H248" s="16"/>
      <c r="I248" s="20"/>
      <c r="J248" s="20">
        <f>IF(G:G="FRENOS",(Tabla24567894[[#This Row],[TOTAL FACTURA]]*0.8),(Tabla24567894[[#This Row],[TOTAL FACTURA]]*0.5))</f>
        <v>0</v>
      </c>
      <c r="K248" s="9">
        <f t="shared" si="3"/>
        <v>0</v>
      </c>
      <c r="L248" s="4"/>
      <c r="M248" s="10"/>
      <c r="N248" s="10">
        <f>Tabla24567894[[#This Row],[MONTO DE COMPRA]]/1.19</f>
        <v>0</v>
      </c>
      <c r="O248" s="10">
        <f>Tabla24567894[[#This Row],[Columna1]]*19%</f>
        <v>0</v>
      </c>
      <c r="P248" s="10"/>
      <c r="Q248" s="10">
        <f>Tabla24567894[[#This Row],[VENTA ]]/1.19</f>
        <v>0</v>
      </c>
      <c r="R248" s="10">
        <f>Tabla24567894[[#This Row],[Columna2]]*19%</f>
        <v>0</v>
      </c>
      <c r="S248" s="10">
        <f>Tabla24567894[[#This Row],[IVA VENTA ]]-Tabla24567894[[#This Row],[IV COMPRA]]</f>
        <v>0</v>
      </c>
      <c r="T248" s="10">
        <f>(Tabla24567894[[#This Row],[VENTA ]]-(Tabla24567894[[#This Row],[MONTO DE COMPRA]]+Tabla24567894[[#This Row],[DIFERENCIA IVA ]]))</f>
        <v>0</v>
      </c>
      <c r="V248" s="17"/>
    </row>
    <row r="249" spans="1:22" s="15" customFormat="1" ht="20.100000000000001" hidden="1" customHeight="1" x14ac:dyDescent="0.25">
      <c r="A249" s="13"/>
      <c r="B249" s="14"/>
      <c r="C249" s="14"/>
      <c r="D249" s="14"/>
      <c r="G249" s="14"/>
      <c r="H249" s="16"/>
      <c r="I249" s="20"/>
      <c r="J249" s="20">
        <f>IF(G:G="FRENOS",(Tabla24567894[[#This Row],[TOTAL FACTURA]]*0.8),(Tabla24567894[[#This Row],[TOTAL FACTURA]]*0.5))</f>
        <v>0</v>
      </c>
      <c r="K249" s="9">
        <f t="shared" si="3"/>
        <v>0</v>
      </c>
      <c r="L249" s="4"/>
      <c r="M249" s="10"/>
      <c r="N249" s="10">
        <f>Tabla24567894[[#This Row],[MONTO DE COMPRA]]/1.19</f>
        <v>0</v>
      </c>
      <c r="O249" s="10">
        <f>Tabla24567894[[#This Row],[Columna1]]*19%</f>
        <v>0</v>
      </c>
      <c r="P249" s="10"/>
      <c r="Q249" s="10">
        <f>Tabla24567894[[#This Row],[VENTA ]]/1.19</f>
        <v>0</v>
      </c>
      <c r="R249" s="10">
        <f>Tabla24567894[[#This Row],[Columna2]]*19%</f>
        <v>0</v>
      </c>
      <c r="S249" s="10">
        <f>Tabla24567894[[#This Row],[IVA VENTA ]]-Tabla24567894[[#This Row],[IV COMPRA]]</f>
        <v>0</v>
      </c>
      <c r="T249" s="10">
        <f>(Tabla24567894[[#This Row],[VENTA ]]-(Tabla24567894[[#This Row],[MONTO DE COMPRA]]+Tabla24567894[[#This Row],[DIFERENCIA IVA ]]))</f>
        <v>0</v>
      </c>
      <c r="V249" s="17"/>
    </row>
    <row r="250" spans="1:22" s="15" customFormat="1" ht="20.100000000000001" hidden="1" customHeight="1" x14ac:dyDescent="0.25">
      <c r="A250" s="13"/>
      <c r="B250" s="14"/>
      <c r="C250" s="14"/>
      <c r="D250" s="14"/>
      <c r="G250" s="14"/>
      <c r="H250" s="16"/>
      <c r="I250" s="20"/>
      <c r="J250" s="20">
        <f>IF(G:G="FRENOS",(Tabla24567894[[#This Row],[TOTAL FACTURA]]*0.8),(Tabla24567894[[#This Row],[TOTAL FACTURA]]*0.5))</f>
        <v>0</v>
      </c>
      <c r="K250" s="9">
        <f t="shared" si="3"/>
        <v>0</v>
      </c>
      <c r="L250" s="4"/>
      <c r="M250" s="10"/>
      <c r="N250" s="10">
        <f>Tabla24567894[[#This Row],[MONTO DE COMPRA]]/1.19</f>
        <v>0</v>
      </c>
      <c r="O250" s="10">
        <f>Tabla24567894[[#This Row],[Columna1]]*19%</f>
        <v>0</v>
      </c>
      <c r="P250" s="10"/>
      <c r="Q250" s="10">
        <f>Tabla24567894[[#This Row],[VENTA ]]/1.19</f>
        <v>0</v>
      </c>
      <c r="R250" s="10">
        <f>Tabla24567894[[#This Row],[Columna2]]*19%</f>
        <v>0</v>
      </c>
      <c r="S250" s="10">
        <f>Tabla24567894[[#This Row],[IVA VENTA ]]-Tabla24567894[[#This Row],[IV COMPRA]]</f>
        <v>0</v>
      </c>
      <c r="T250" s="10">
        <f>(Tabla24567894[[#This Row],[VENTA ]]-(Tabla24567894[[#This Row],[MONTO DE COMPRA]]+Tabla24567894[[#This Row],[DIFERENCIA IVA ]]))</f>
        <v>0</v>
      </c>
      <c r="V250" s="17"/>
    </row>
    <row r="251" spans="1:22" s="15" customFormat="1" ht="20.100000000000001" hidden="1" customHeight="1" x14ac:dyDescent="0.25">
      <c r="A251" s="13"/>
      <c r="B251" s="14"/>
      <c r="C251" s="14"/>
      <c r="D251" s="14"/>
      <c r="G251" s="14"/>
      <c r="H251" s="16"/>
      <c r="I251" s="20"/>
      <c r="J251" s="20">
        <f>IF(G:G="FRENOS",(Tabla24567894[[#This Row],[TOTAL FACTURA]]*0.8),(Tabla24567894[[#This Row],[TOTAL FACTURA]]*0.5))</f>
        <v>0</v>
      </c>
      <c r="K251" s="9">
        <f t="shared" si="3"/>
        <v>0</v>
      </c>
      <c r="L251" s="4"/>
      <c r="M251" s="10"/>
      <c r="N251" s="10">
        <f>Tabla24567894[[#This Row],[MONTO DE COMPRA]]/1.19</f>
        <v>0</v>
      </c>
      <c r="O251" s="10">
        <f>Tabla24567894[[#This Row],[Columna1]]*19%</f>
        <v>0</v>
      </c>
      <c r="P251" s="10"/>
      <c r="Q251" s="10">
        <f>Tabla24567894[[#This Row],[VENTA ]]/1.19</f>
        <v>0</v>
      </c>
      <c r="R251" s="10">
        <f>Tabla24567894[[#This Row],[Columna2]]*19%</f>
        <v>0</v>
      </c>
      <c r="S251" s="10">
        <f>Tabla24567894[[#This Row],[IVA VENTA ]]-Tabla24567894[[#This Row],[IV COMPRA]]</f>
        <v>0</v>
      </c>
      <c r="T251" s="10">
        <f>(Tabla24567894[[#This Row],[VENTA ]]-(Tabla24567894[[#This Row],[MONTO DE COMPRA]]+Tabla24567894[[#This Row],[DIFERENCIA IVA ]]))</f>
        <v>0</v>
      </c>
      <c r="V251" s="17"/>
    </row>
    <row r="252" spans="1:22" s="15" customFormat="1" ht="20.100000000000001" hidden="1" customHeight="1" x14ac:dyDescent="0.25">
      <c r="A252" s="13"/>
      <c r="B252" s="14"/>
      <c r="C252" s="14"/>
      <c r="D252" s="14"/>
      <c r="G252" s="14"/>
      <c r="H252" s="16"/>
      <c r="I252" s="20"/>
      <c r="J252" s="20">
        <f>IF(G:G="FRENOS",(Tabla24567894[[#This Row],[TOTAL FACTURA]]*0.8),(Tabla24567894[[#This Row],[TOTAL FACTURA]]*0.5))</f>
        <v>0</v>
      </c>
      <c r="K252" s="9">
        <f t="shared" si="3"/>
        <v>0</v>
      </c>
      <c r="L252" s="4"/>
      <c r="M252" s="10"/>
      <c r="N252" s="10">
        <f>Tabla24567894[[#This Row],[MONTO DE COMPRA]]/1.19</f>
        <v>0</v>
      </c>
      <c r="O252" s="10">
        <f>Tabla24567894[[#This Row],[Columna1]]*19%</f>
        <v>0</v>
      </c>
      <c r="P252" s="10"/>
      <c r="Q252" s="10">
        <f>Tabla24567894[[#This Row],[VENTA ]]/1.19</f>
        <v>0</v>
      </c>
      <c r="R252" s="10">
        <f>Tabla24567894[[#This Row],[Columna2]]*19%</f>
        <v>0</v>
      </c>
      <c r="S252" s="10">
        <f>Tabla24567894[[#This Row],[IVA VENTA ]]-Tabla24567894[[#This Row],[IV COMPRA]]</f>
        <v>0</v>
      </c>
      <c r="T252" s="10">
        <f>(Tabla24567894[[#This Row],[VENTA ]]-(Tabla24567894[[#This Row],[MONTO DE COMPRA]]+Tabla24567894[[#This Row],[DIFERENCIA IVA ]]))</f>
        <v>0</v>
      </c>
      <c r="V252" s="17"/>
    </row>
    <row r="253" spans="1:22" s="15" customFormat="1" ht="20.100000000000001" hidden="1" customHeight="1" x14ac:dyDescent="0.25">
      <c r="A253" s="13"/>
      <c r="B253" s="14"/>
      <c r="C253" s="14"/>
      <c r="D253" s="14"/>
      <c r="G253" s="14"/>
      <c r="H253" s="16"/>
      <c r="I253" s="20"/>
      <c r="J253" s="20">
        <f>IF(G:G="FRENOS",(Tabla24567894[[#This Row],[TOTAL FACTURA]]*0.8),(Tabla24567894[[#This Row],[TOTAL FACTURA]]*0.5))</f>
        <v>0</v>
      </c>
      <c r="K253" s="9">
        <f t="shared" si="3"/>
        <v>0</v>
      </c>
      <c r="L253" s="4"/>
      <c r="M253" s="10"/>
      <c r="N253" s="10">
        <f>Tabla24567894[[#This Row],[MONTO DE COMPRA]]/1.19</f>
        <v>0</v>
      </c>
      <c r="O253" s="10">
        <f>Tabla24567894[[#This Row],[Columna1]]*19%</f>
        <v>0</v>
      </c>
      <c r="P253" s="10"/>
      <c r="Q253" s="10">
        <f>Tabla24567894[[#This Row],[VENTA ]]/1.19</f>
        <v>0</v>
      </c>
      <c r="R253" s="10">
        <f>Tabla24567894[[#This Row],[Columna2]]*19%</f>
        <v>0</v>
      </c>
      <c r="S253" s="10">
        <f>Tabla24567894[[#This Row],[IVA VENTA ]]-Tabla24567894[[#This Row],[IV COMPRA]]</f>
        <v>0</v>
      </c>
      <c r="T253" s="10">
        <f>(Tabla24567894[[#This Row],[VENTA ]]-(Tabla24567894[[#This Row],[MONTO DE COMPRA]]+Tabla24567894[[#This Row],[DIFERENCIA IVA ]]))</f>
        <v>0</v>
      </c>
      <c r="V253" s="17"/>
    </row>
    <row r="254" spans="1:22" s="15" customFormat="1" ht="20.100000000000001" hidden="1" customHeight="1" x14ac:dyDescent="0.25">
      <c r="A254" s="13"/>
      <c r="B254" s="14"/>
      <c r="C254" s="14"/>
      <c r="D254" s="14"/>
      <c r="G254" s="14"/>
      <c r="H254" s="16"/>
      <c r="I254" s="20"/>
      <c r="J254" s="20">
        <f>IF(G:G="FRENOS",(Tabla24567894[[#This Row],[TOTAL FACTURA]]*0.8),(Tabla24567894[[#This Row],[TOTAL FACTURA]]*0.5))</f>
        <v>0</v>
      </c>
      <c r="K254" s="9">
        <f t="shared" si="3"/>
        <v>0</v>
      </c>
      <c r="L254" s="4"/>
      <c r="M254" s="10"/>
      <c r="N254" s="10">
        <f>Tabla24567894[[#This Row],[MONTO DE COMPRA]]/1.19</f>
        <v>0</v>
      </c>
      <c r="O254" s="10">
        <f>Tabla24567894[[#This Row],[Columna1]]*19%</f>
        <v>0</v>
      </c>
      <c r="P254" s="10"/>
      <c r="Q254" s="10">
        <f>Tabla24567894[[#This Row],[VENTA ]]/1.19</f>
        <v>0</v>
      </c>
      <c r="R254" s="10">
        <f>Tabla24567894[[#This Row],[Columna2]]*19%</f>
        <v>0</v>
      </c>
      <c r="S254" s="10">
        <f>Tabla24567894[[#This Row],[IVA VENTA ]]-Tabla24567894[[#This Row],[IV COMPRA]]</f>
        <v>0</v>
      </c>
      <c r="T254" s="10">
        <f>(Tabla24567894[[#This Row],[VENTA ]]-(Tabla24567894[[#This Row],[MONTO DE COMPRA]]+Tabla24567894[[#This Row],[DIFERENCIA IVA ]]))</f>
        <v>0</v>
      </c>
      <c r="V254" s="17"/>
    </row>
    <row r="255" spans="1:22" s="15" customFormat="1" ht="20.100000000000001" hidden="1" customHeight="1" x14ac:dyDescent="0.25">
      <c r="A255" s="13"/>
      <c r="B255" s="14"/>
      <c r="C255" s="14"/>
      <c r="D255" s="14"/>
      <c r="G255" s="14"/>
      <c r="H255" s="16"/>
      <c r="I255" s="20"/>
      <c r="J255" s="20">
        <f>IF(G:G="FRENOS",(Tabla24567894[[#This Row],[TOTAL FACTURA]]*0.8),(Tabla24567894[[#This Row],[TOTAL FACTURA]]*0.5))</f>
        <v>0</v>
      </c>
      <c r="K255" s="9">
        <f t="shared" si="3"/>
        <v>0</v>
      </c>
      <c r="L255" s="4"/>
      <c r="M255" s="10"/>
      <c r="N255" s="10">
        <f>Tabla24567894[[#This Row],[MONTO DE COMPRA]]/1.19</f>
        <v>0</v>
      </c>
      <c r="O255" s="10">
        <f>Tabla24567894[[#This Row],[Columna1]]*19%</f>
        <v>0</v>
      </c>
      <c r="P255" s="10"/>
      <c r="Q255" s="10">
        <f>Tabla24567894[[#This Row],[VENTA ]]/1.19</f>
        <v>0</v>
      </c>
      <c r="R255" s="10">
        <f>Tabla24567894[[#This Row],[Columna2]]*19%</f>
        <v>0</v>
      </c>
      <c r="S255" s="10">
        <f>Tabla24567894[[#This Row],[IVA VENTA ]]-Tabla24567894[[#This Row],[IV COMPRA]]</f>
        <v>0</v>
      </c>
      <c r="T255" s="10">
        <f>(Tabla24567894[[#This Row],[VENTA ]]-(Tabla24567894[[#This Row],[MONTO DE COMPRA]]+Tabla24567894[[#This Row],[DIFERENCIA IVA ]]))</f>
        <v>0</v>
      </c>
      <c r="V255" s="17"/>
    </row>
    <row r="256" spans="1:22" s="15" customFormat="1" ht="20.100000000000001" hidden="1" customHeight="1" x14ac:dyDescent="0.25">
      <c r="A256" s="13"/>
      <c r="B256" s="14"/>
      <c r="C256" s="14"/>
      <c r="D256" s="14"/>
      <c r="G256" s="14"/>
      <c r="H256" s="16"/>
      <c r="I256" s="20"/>
      <c r="J256" s="20">
        <f>IF(G:G="FRENOS",(Tabla24567894[[#This Row],[TOTAL FACTURA]]*0.8),(Tabla24567894[[#This Row],[TOTAL FACTURA]]*0.5))</f>
        <v>0</v>
      </c>
      <c r="K256" s="9">
        <f t="shared" si="3"/>
        <v>0</v>
      </c>
      <c r="L256" s="4"/>
      <c r="M256" s="10"/>
      <c r="N256" s="10">
        <f>Tabla24567894[[#This Row],[MONTO DE COMPRA]]/1.19</f>
        <v>0</v>
      </c>
      <c r="O256" s="10">
        <f>Tabla24567894[[#This Row],[Columna1]]*19%</f>
        <v>0</v>
      </c>
      <c r="P256" s="10"/>
      <c r="Q256" s="10">
        <f>Tabla24567894[[#This Row],[VENTA ]]/1.19</f>
        <v>0</v>
      </c>
      <c r="R256" s="10">
        <f>Tabla24567894[[#This Row],[Columna2]]*19%</f>
        <v>0</v>
      </c>
      <c r="S256" s="10">
        <f>Tabla24567894[[#This Row],[IVA VENTA ]]-Tabla24567894[[#This Row],[IV COMPRA]]</f>
        <v>0</v>
      </c>
      <c r="T256" s="10">
        <f>(Tabla24567894[[#This Row],[VENTA ]]-(Tabla24567894[[#This Row],[MONTO DE COMPRA]]+Tabla24567894[[#This Row],[DIFERENCIA IVA ]]))</f>
        <v>0</v>
      </c>
      <c r="V256" s="17"/>
    </row>
    <row r="257" spans="1:22" s="15" customFormat="1" ht="20.100000000000001" hidden="1" customHeight="1" x14ac:dyDescent="0.25">
      <c r="A257" s="13"/>
      <c r="B257" s="14"/>
      <c r="C257" s="14"/>
      <c r="D257" s="14"/>
      <c r="G257" s="14"/>
      <c r="H257" s="16"/>
      <c r="I257" s="20"/>
      <c r="J257" s="20">
        <f>IF(G:G="FRENOS",(Tabla24567894[[#This Row],[TOTAL FACTURA]]*0.8),(Tabla24567894[[#This Row],[TOTAL FACTURA]]*0.5))</f>
        <v>0</v>
      </c>
      <c r="K257" s="9">
        <f t="shared" si="3"/>
        <v>0</v>
      </c>
      <c r="L257" s="4"/>
      <c r="M257" s="10"/>
      <c r="N257" s="10">
        <f>Tabla24567894[[#This Row],[MONTO DE COMPRA]]/1.19</f>
        <v>0</v>
      </c>
      <c r="O257" s="10">
        <f>Tabla24567894[[#This Row],[Columna1]]*19%</f>
        <v>0</v>
      </c>
      <c r="P257" s="10"/>
      <c r="Q257" s="10">
        <f>Tabla24567894[[#This Row],[VENTA ]]/1.19</f>
        <v>0</v>
      </c>
      <c r="R257" s="10">
        <f>Tabla24567894[[#This Row],[Columna2]]*19%</f>
        <v>0</v>
      </c>
      <c r="S257" s="10">
        <f>Tabla24567894[[#This Row],[IVA VENTA ]]-Tabla24567894[[#This Row],[IV COMPRA]]</f>
        <v>0</v>
      </c>
      <c r="T257" s="10">
        <f>(Tabla24567894[[#This Row],[VENTA ]]-(Tabla24567894[[#This Row],[MONTO DE COMPRA]]+Tabla24567894[[#This Row],[DIFERENCIA IVA ]]))</f>
        <v>0</v>
      </c>
      <c r="V257" s="17"/>
    </row>
    <row r="258" spans="1:22" s="15" customFormat="1" ht="20.100000000000001" hidden="1" customHeight="1" x14ac:dyDescent="0.25">
      <c r="A258" s="13"/>
      <c r="B258" s="14"/>
      <c r="C258" s="14"/>
      <c r="D258" s="14"/>
      <c r="G258" s="14"/>
      <c r="H258" s="16"/>
      <c r="I258" s="20"/>
      <c r="J258" s="20">
        <f>IF(G:G="FRENOS",(Tabla24567894[[#This Row],[TOTAL FACTURA]]*0.8),(Tabla24567894[[#This Row],[TOTAL FACTURA]]*0.5))</f>
        <v>0</v>
      </c>
      <c r="K258" s="9">
        <f t="shared" si="3"/>
        <v>0</v>
      </c>
      <c r="L258" s="4"/>
      <c r="M258" s="10"/>
      <c r="N258" s="10">
        <f>Tabla24567894[[#This Row],[MONTO DE COMPRA]]/1.19</f>
        <v>0</v>
      </c>
      <c r="O258" s="10">
        <f>Tabla24567894[[#This Row],[Columna1]]*19%</f>
        <v>0</v>
      </c>
      <c r="P258" s="10"/>
      <c r="Q258" s="10">
        <f>Tabla24567894[[#This Row],[VENTA ]]/1.19</f>
        <v>0</v>
      </c>
      <c r="R258" s="10">
        <f>Tabla24567894[[#This Row],[Columna2]]*19%</f>
        <v>0</v>
      </c>
      <c r="S258" s="10">
        <f>Tabla24567894[[#This Row],[IVA VENTA ]]-Tabla24567894[[#This Row],[IV COMPRA]]</f>
        <v>0</v>
      </c>
      <c r="T258" s="10">
        <f>(Tabla24567894[[#This Row],[VENTA ]]-(Tabla24567894[[#This Row],[MONTO DE COMPRA]]+Tabla24567894[[#This Row],[DIFERENCIA IVA ]]))</f>
        <v>0</v>
      </c>
      <c r="V258" s="17"/>
    </row>
    <row r="259" spans="1:22" s="15" customFormat="1" ht="20.100000000000001" hidden="1" customHeight="1" x14ac:dyDescent="0.25">
      <c r="A259" s="13"/>
      <c r="B259" s="14"/>
      <c r="C259" s="14"/>
      <c r="D259" s="14"/>
      <c r="G259" s="14"/>
      <c r="H259" s="16"/>
      <c r="I259" s="20"/>
      <c r="J259" s="20">
        <f>IF(G:G="FRENOS",(Tabla24567894[[#This Row],[TOTAL FACTURA]]*0.8),(Tabla24567894[[#This Row],[TOTAL FACTURA]]*0.5))</f>
        <v>0</v>
      </c>
      <c r="K259" s="9">
        <f t="shared" si="3"/>
        <v>0</v>
      </c>
      <c r="L259" s="4"/>
      <c r="M259" s="10"/>
      <c r="N259" s="10">
        <f>Tabla24567894[[#This Row],[MONTO DE COMPRA]]/1.19</f>
        <v>0</v>
      </c>
      <c r="O259" s="10">
        <f>Tabla24567894[[#This Row],[Columna1]]*19%</f>
        <v>0</v>
      </c>
      <c r="P259" s="10"/>
      <c r="Q259" s="10">
        <f>Tabla24567894[[#This Row],[VENTA ]]/1.19</f>
        <v>0</v>
      </c>
      <c r="R259" s="10">
        <f>Tabla24567894[[#This Row],[Columna2]]*19%</f>
        <v>0</v>
      </c>
      <c r="S259" s="10">
        <f>Tabla24567894[[#This Row],[IVA VENTA ]]-Tabla24567894[[#This Row],[IV COMPRA]]</f>
        <v>0</v>
      </c>
      <c r="T259" s="10">
        <f>(Tabla24567894[[#This Row],[VENTA ]]-(Tabla24567894[[#This Row],[MONTO DE COMPRA]]+Tabla24567894[[#This Row],[DIFERENCIA IVA ]]))</f>
        <v>0</v>
      </c>
      <c r="V259" s="17"/>
    </row>
    <row r="260" spans="1:22" s="15" customFormat="1" ht="20.100000000000001" hidden="1" customHeight="1" x14ac:dyDescent="0.25">
      <c r="A260" s="13"/>
      <c r="B260" s="14"/>
      <c r="C260" s="14"/>
      <c r="D260" s="14"/>
      <c r="G260" s="14"/>
      <c r="H260" s="16"/>
      <c r="I260" s="20"/>
      <c r="J260" s="20">
        <f>IF(G:G="FRENOS",(Tabla24567894[[#This Row],[TOTAL FACTURA]]*0.8),(Tabla24567894[[#This Row],[TOTAL FACTURA]]*0.5))</f>
        <v>0</v>
      </c>
      <c r="K260" s="9">
        <f t="shared" si="3"/>
        <v>0</v>
      </c>
      <c r="L260" s="4"/>
      <c r="M260" s="10"/>
      <c r="N260" s="10">
        <f>Tabla24567894[[#This Row],[MONTO DE COMPRA]]/1.19</f>
        <v>0</v>
      </c>
      <c r="O260" s="10">
        <f>Tabla24567894[[#This Row],[Columna1]]*19%</f>
        <v>0</v>
      </c>
      <c r="P260" s="10"/>
      <c r="Q260" s="10">
        <f>Tabla24567894[[#This Row],[VENTA ]]/1.19</f>
        <v>0</v>
      </c>
      <c r="R260" s="10">
        <f>Tabla24567894[[#This Row],[Columna2]]*19%</f>
        <v>0</v>
      </c>
      <c r="S260" s="10">
        <f>Tabla24567894[[#This Row],[IVA VENTA ]]-Tabla24567894[[#This Row],[IV COMPRA]]</f>
        <v>0</v>
      </c>
      <c r="T260" s="10">
        <f>(Tabla24567894[[#This Row],[VENTA ]]-(Tabla24567894[[#This Row],[MONTO DE COMPRA]]+Tabla24567894[[#This Row],[DIFERENCIA IVA ]]))</f>
        <v>0</v>
      </c>
      <c r="V260" s="17"/>
    </row>
    <row r="261" spans="1:22" s="15" customFormat="1" ht="20.100000000000001" hidden="1" customHeight="1" x14ac:dyDescent="0.25">
      <c r="A261" s="13"/>
      <c r="B261" s="14"/>
      <c r="C261" s="14"/>
      <c r="D261" s="14"/>
      <c r="G261" s="14"/>
      <c r="H261" s="16"/>
      <c r="I261" s="20"/>
      <c r="J261" s="20">
        <f>IF(G:G="FRENOS",(Tabla24567894[[#This Row],[TOTAL FACTURA]]*0.8),(Tabla24567894[[#This Row],[TOTAL FACTURA]]*0.5))</f>
        <v>0</v>
      </c>
      <c r="K261" s="9">
        <f t="shared" si="3"/>
        <v>0</v>
      </c>
      <c r="L261" s="4"/>
      <c r="M261" s="10"/>
      <c r="N261" s="10">
        <f>Tabla24567894[[#This Row],[MONTO DE COMPRA]]/1.19</f>
        <v>0</v>
      </c>
      <c r="O261" s="10">
        <f>Tabla24567894[[#This Row],[Columna1]]*19%</f>
        <v>0</v>
      </c>
      <c r="P261" s="10"/>
      <c r="Q261" s="10">
        <f>Tabla24567894[[#This Row],[VENTA ]]/1.19</f>
        <v>0</v>
      </c>
      <c r="R261" s="10">
        <f>Tabla24567894[[#This Row],[Columna2]]*19%</f>
        <v>0</v>
      </c>
      <c r="S261" s="10">
        <f>Tabla24567894[[#This Row],[IVA VENTA ]]-Tabla24567894[[#This Row],[IV COMPRA]]</f>
        <v>0</v>
      </c>
      <c r="T261" s="10">
        <f>(Tabla24567894[[#This Row],[VENTA ]]-(Tabla24567894[[#This Row],[MONTO DE COMPRA]]+Tabla24567894[[#This Row],[DIFERENCIA IVA ]]))</f>
        <v>0</v>
      </c>
      <c r="V261" s="17"/>
    </row>
    <row r="262" spans="1:22" s="15" customFormat="1" ht="20.100000000000001" hidden="1" customHeight="1" x14ac:dyDescent="0.25">
      <c r="A262" s="13"/>
      <c r="B262" s="14"/>
      <c r="C262" s="14"/>
      <c r="D262" s="14"/>
      <c r="G262" s="14"/>
      <c r="H262" s="16"/>
      <c r="I262" s="20"/>
      <c r="J262" s="20">
        <f>IF(G:G="FRENOS",(Tabla24567894[[#This Row],[TOTAL FACTURA]]*0.8),(Tabla24567894[[#This Row],[TOTAL FACTURA]]*0.5))</f>
        <v>0</v>
      </c>
      <c r="K262" s="9">
        <f t="shared" si="3"/>
        <v>0</v>
      </c>
      <c r="L262" s="4"/>
      <c r="M262" s="10"/>
      <c r="N262" s="10">
        <f>Tabla24567894[[#This Row],[MONTO DE COMPRA]]/1.19</f>
        <v>0</v>
      </c>
      <c r="O262" s="10">
        <f>Tabla24567894[[#This Row],[Columna1]]*19%</f>
        <v>0</v>
      </c>
      <c r="P262" s="10"/>
      <c r="Q262" s="10">
        <f>Tabla24567894[[#This Row],[VENTA ]]/1.19</f>
        <v>0</v>
      </c>
      <c r="R262" s="10">
        <f>Tabla24567894[[#This Row],[Columna2]]*19%</f>
        <v>0</v>
      </c>
      <c r="S262" s="10">
        <f>Tabla24567894[[#This Row],[IVA VENTA ]]-Tabla24567894[[#This Row],[IV COMPRA]]</f>
        <v>0</v>
      </c>
      <c r="T262" s="10">
        <f>(Tabla24567894[[#This Row],[VENTA ]]-(Tabla24567894[[#This Row],[MONTO DE COMPRA]]+Tabla24567894[[#This Row],[DIFERENCIA IVA ]]))</f>
        <v>0</v>
      </c>
      <c r="V262" s="17"/>
    </row>
    <row r="263" spans="1:22" s="15" customFormat="1" ht="20.100000000000001" hidden="1" customHeight="1" x14ac:dyDescent="0.25">
      <c r="A263" s="13"/>
      <c r="B263" s="14"/>
      <c r="C263" s="14"/>
      <c r="D263" s="14"/>
      <c r="G263" s="14"/>
      <c r="H263" s="16"/>
      <c r="I263" s="20"/>
      <c r="J263" s="20">
        <f>IF(G:G="FRENOS",(Tabla24567894[[#This Row],[TOTAL FACTURA]]*0.8),(Tabla24567894[[#This Row],[TOTAL FACTURA]]*0.5))</f>
        <v>0</v>
      </c>
      <c r="K263" s="9">
        <f t="shared" si="3"/>
        <v>0</v>
      </c>
      <c r="L263" s="4"/>
      <c r="M263" s="10"/>
      <c r="N263" s="10">
        <f>Tabla24567894[[#This Row],[MONTO DE COMPRA]]/1.19</f>
        <v>0</v>
      </c>
      <c r="O263" s="10">
        <f>Tabla24567894[[#This Row],[Columna1]]*19%</f>
        <v>0</v>
      </c>
      <c r="P263" s="10"/>
      <c r="Q263" s="10">
        <f>Tabla24567894[[#This Row],[VENTA ]]/1.19</f>
        <v>0</v>
      </c>
      <c r="R263" s="10">
        <f>Tabla24567894[[#This Row],[Columna2]]*19%</f>
        <v>0</v>
      </c>
      <c r="S263" s="10">
        <f>Tabla24567894[[#This Row],[IVA VENTA ]]-Tabla24567894[[#This Row],[IV COMPRA]]</f>
        <v>0</v>
      </c>
      <c r="T263" s="10">
        <f>(Tabla24567894[[#This Row],[VENTA ]]-(Tabla24567894[[#This Row],[MONTO DE COMPRA]]+Tabla24567894[[#This Row],[DIFERENCIA IVA ]]))</f>
        <v>0</v>
      </c>
      <c r="V263" s="17"/>
    </row>
    <row r="264" spans="1:22" s="15" customFormat="1" ht="20.100000000000001" hidden="1" customHeight="1" x14ac:dyDescent="0.25">
      <c r="A264" s="13"/>
      <c r="B264" s="14"/>
      <c r="C264" s="14"/>
      <c r="D264" s="14"/>
      <c r="G264" s="14"/>
      <c r="H264" s="16"/>
      <c r="I264" s="20"/>
      <c r="J264" s="20">
        <f>IF(G:G="FRENOS",(Tabla24567894[[#This Row],[TOTAL FACTURA]]*0.8),(Tabla24567894[[#This Row],[TOTAL FACTURA]]*0.5))</f>
        <v>0</v>
      </c>
      <c r="K264" s="9">
        <f t="shared" si="3"/>
        <v>0</v>
      </c>
      <c r="L264" s="4"/>
      <c r="M264" s="10"/>
      <c r="N264" s="10">
        <f>Tabla24567894[[#This Row],[MONTO DE COMPRA]]/1.19</f>
        <v>0</v>
      </c>
      <c r="O264" s="10">
        <f>Tabla24567894[[#This Row],[Columna1]]*19%</f>
        <v>0</v>
      </c>
      <c r="P264" s="10"/>
      <c r="Q264" s="10">
        <f>Tabla24567894[[#This Row],[VENTA ]]/1.19</f>
        <v>0</v>
      </c>
      <c r="R264" s="10">
        <f>Tabla24567894[[#This Row],[Columna2]]*19%</f>
        <v>0</v>
      </c>
      <c r="S264" s="10">
        <f>Tabla24567894[[#This Row],[IVA VENTA ]]-Tabla24567894[[#This Row],[IV COMPRA]]</f>
        <v>0</v>
      </c>
      <c r="T264" s="10">
        <f>(Tabla24567894[[#This Row],[VENTA ]]-(Tabla24567894[[#This Row],[MONTO DE COMPRA]]+Tabla24567894[[#This Row],[DIFERENCIA IVA ]]))</f>
        <v>0</v>
      </c>
      <c r="V264" s="17"/>
    </row>
    <row r="265" spans="1:22" s="15" customFormat="1" ht="20.100000000000001" hidden="1" customHeight="1" x14ac:dyDescent="0.25">
      <c r="A265" s="13"/>
      <c r="B265" s="14"/>
      <c r="C265" s="14"/>
      <c r="D265" s="14"/>
      <c r="G265" s="14"/>
      <c r="H265" s="16"/>
      <c r="I265" s="20"/>
      <c r="J265" s="20">
        <f>IF(G:G="FRENOS",(Tabla24567894[[#This Row],[TOTAL FACTURA]]*0.8),(Tabla24567894[[#This Row],[TOTAL FACTURA]]*0.5))</f>
        <v>0</v>
      </c>
      <c r="K265" s="9">
        <f t="shared" si="3"/>
        <v>0</v>
      </c>
      <c r="L265" s="4"/>
      <c r="M265" s="10"/>
      <c r="N265" s="10">
        <f>Tabla24567894[[#This Row],[MONTO DE COMPRA]]/1.19</f>
        <v>0</v>
      </c>
      <c r="O265" s="10">
        <f>Tabla24567894[[#This Row],[Columna1]]*19%</f>
        <v>0</v>
      </c>
      <c r="P265" s="10"/>
      <c r="Q265" s="10">
        <f>Tabla24567894[[#This Row],[VENTA ]]/1.19</f>
        <v>0</v>
      </c>
      <c r="R265" s="10">
        <f>Tabla24567894[[#This Row],[Columna2]]*19%</f>
        <v>0</v>
      </c>
      <c r="S265" s="10">
        <f>Tabla24567894[[#This Row],[IVA VENTA ]]-Tabla24567894[[#This Row],[IV COMPRA]]</f>
        <v>0</v>
      </c>
      <c r="T265" s="10">
        <f>(Tabla24567894[[#This Row],[VENTA ]]-(Tabla24567894[[#This Row],[MONTO DE COMPRA]]+Tabla24567894[[#This Row],[DIFERENCIA IVA ]]))</f>
        <v>0</v>
      </c>
      <c r="V265" s="17"/>
    </row>
    <row r="266" spans="1:22" s="15" customFormat="1" ht="20.100000000000001" hidden="1" customHeight="1" x14ac:dyDescent="0.25">
      <c r="A266" s="13"/>
      <c r="B266" s="14"/>
      <c r="C266" s="14"/>
      <c r="D266" s="14"/>
      <c r="G266" s="14"/>
      <c r="H266" s="16"/>
      <c r="I266" s="20"/>
      <c r="J266" s="20">
        <f>IF(G:G="FRENOS",(Tabla24567894[[#This Row],[TOTAL FACTURA]]*0.8),(Tabla24567894[[#This Row],[TOTAL FACTURA]]*0.5))</f>
        <v>0</v>
      </c>
      <c r="K266" s="9">
        <f t="shared" si="3"/>
        <v>0</v>
      </c>
      <c r="L266" s="4"/>
      <c r="M266" s="10"/>
      <c r="N266" s="10">
        <f>Tabla24567894[[#This Row],[MONTO DE COMPRA]]/1.19</f>
        <v>0</v>
      </c>
      <c r="O266" s="10">
        <f>Tabla24567894[[#This Row],[Columna1]]*19%</f>
        <v>0</v>
      </c>
      <c r="P266" s="10"/>
      <c r="Q266" s="10">
        <f>Tabla24567894[[#This Row],[VENTA ]]/1.19</f>
        <v>0</v>
      </c>
      <c r="R266" s="10">
        <f>Tabla24567894[[#This Row],[Columna2]]*19%</f>
        <v>0</v>
      </c>
      <c r="S266" s="10">
        <f>Tabla24567894[[#This Row],[IVA VENTA ]]-Tabla24567894[[#This Row],[IV COMPRA]]</f>
        <v>0</v>
      </c>
      <c r="T266" s="10">
        <f>(Tabla24567894[[#This Row],[VENTA ]]-(Tabla24567894[[#This Row],[MONTO DE COMPRA]]+Tabla24567894[[#This Row],[DIFERENCIA IVA ]]))</f>
        <v>0</v>
      </c>
      <c r="V266" s="17"/>
    </row>
    <row r="267" spans="1:22" s="15" customFormat="1" ht="20.100000000000001" hidden="1" customHeight="1" x14ac:dyDescent="0.25">
      <c r="A267" s="13"/>
      <c r="B267" s="14"/>
      <c r="C267" s="14"/>
      <c r="D267" s="14"/>
      <c r="G267" s="14"/>
      <c r="H267" s="16"/>
      <c r="I267" s="20"/>
      <c r="J267" s="20">
        <f>IF(G:G="FRENOS",(Tabla24567894[[#This Row],[TOTAL FACTURA]]*0.8),(Tabla24567894[[#This Row],[TOTAL FACTURA]]*0.5))</f>
        <v>0</v>
      </c>
      <c r="K267" s="9">
        <f t="shared" si="3"/>
        <v>0</v>
      </c>
      <c r="L267" s="4"/>
      <c r="M267" s="10"/>
      <c r="N267" s="10">
        <f>Tabla24567894[[#This Row],[MONTO DE COMPRA]]/1.19</f>
        <v>0</v>
      </c>
      <c r="O267" s="10">
        <f>Tabla24567894[[#This Row],[Columna1]]*19%</f>
        <v>0</v>
      </c>
      <c r="P267" s="10"/>
      <c r="Q267" s="10">
        <f>Tabla24567894[[#This Row],[VENTA ]]/1.19</f>
        <v>0</v>
      </c>
      <c r="R267" s="10">
        <f>Tabla24567894[[#This Row],[Columna2]]*19%</f>
        <v>0</v>
      </c>
      <c r="S267" s="10">
        <f>Tabla24567894[[#This Row],[IVA VENTA ]]-Tabla24567894[[#This Row],[IV COMPRA]]</f>
        <v>0</v>
      </c>
      <c r="T267" s="10">
        <f>(Tabla24567894[[#This Row],[VENTA ]]-(Tabla24567894[[#This Row],[MONTO DE COMPRA]]+Tabla24567894[[#This Row],[DIFERENCIA IVA ]]))</f>
        <v>0</v>
      </c>
      <c r="V267" s="17"/>
    </row>
    <row r="268" spans="1:22" s="15" customFormat="1" ht="20.100000000000001" hidden="1" customHeight="1" x14ac:dyDescent="0.25">
      <c r="A268" s="13"/>
      <c r="B268" s="14"/>
      <c r="C268" s="14"/>
      <c r="D268" s="14"/>
      <c r="G268" s="14"/>
      <c r="H268" s="16"/>
      <c r="I268" s="20"/>
      <c r="J268" s="20">
        <f>IF(G:G="FRENOS",(Tabla24567894[[#This Row],[TOTAL FACTURA]]*0.8),(Tabla24567894[[#This Row],[TOTAL FACTURA]]*0.5))</f>
        <v>0</v>
      </c>
      <c r="K268" s="9">
        <f t="shared" si="3"/>
        <v>0</v>
      </c>
      <c r="L268" s="4"/>
      <c r="M268" s="10"/>
      <c r="N268" s="10">
        <f>Tabla24567894[[#This Row],[MONTO DE COMPRA]]/1.19</f>
        <v>0</v>
      </c>
      <c r="O268" s="10">
        <f>Tabla24567894[[#This Row],[Columna1]]*19%</f>
        <v>0</v>
      </c>
      <c r="P268" s="10"/>
      <c r="Q268" s="10">
        <f>Tabla24567894[[#This Row],[VENTA ]]/1.19</f>
        <v>0</v>
      </c>
      <c r="R268" s="10">
        <f>Tabla24567894[[#This Row],[Columna2]]*19%</f>
        <v>0</v>
      </c>
      <c r="S268" s="10">
        <f>Tabla24567894[[#This Row],[IVA VENTA ]]-Tabla24567894[[#This Row],[IV COMPRA]]</f>
        <v>0</v>
      </c>
      <c r="T268" s="10">
        <f>(Tabla24567894[[#This Row],[VENTA ]]-(Tabla24567894[[#This Row],[MONTO DE COMPRA]]+Tabla24567894[[#This Row],[DIFERENCIA IVA ]]))</f>
        <v>0</v>
      </c>
      <c r="V268" s="17"/>
    </row>
    <row r="269" spans="1:22" s="15" customFormat="1" ht="20.100000000000001" hidden="1" customHeight="1" x14ac:dyDescent="0.25">
      <c r="A269" s="13"/>
      <c r="B269" s="14"/>
      <c r="C269" s="14"/>
      <c r="D269" s="14"/>
      <c r="G269" s="14"/>
      <c r="H269" s="16"/>
      <c r="I269" s="20"/>
      <c r="J269" s="20">
        <f>IF(G:G="FRENOS",(Tabla24567894[[#This Row],[TOTAL FACTURA]]*0.8),(Tabla24567894[[#This Row],[TOTAL FACTURA]]*0.5))</f>
        <v>0</v>
      </c>
      <c r="K269" s="9">
        <f t="shared" ref="K269:K332" si="4">I269-J269</f>
        <v>0</v>
      </c>
      <c r="L269" s="4"/>
      <c r="M269" s="10"/>
      <c r="N269" s="10">
        <f>Tabla24567894[[#This Row],[MONTO DE COMPRA]]/1.19</f>
        <v>0</v>
      </c>
      <c r="O269" s="10">
        <f>Tabla24567894[[#This Row],[Columna1]]*19%</f>
        <v>0</v>
      </c>
      <c r="P269" s="10"/>
      <c r="Q269" s="10">
        <f>Tabla24567894[[#This Row],[VENTA ]]/1.19</f>
        <v>0</v>
      </c>
      <c r="R269" s="10">
        <f>Tabla24567894[[#This Row],[Columna2]]*19%</f>
        <v>0</v>
      </c>
      <c r="S269" s="10">
        <f>Tabla24567894[[#This Row],[IVA VENTA ]]-Tabla24567894[[#This Row],[IV COMPRA]]</f>
        <v>0</v>
      </c>
      <c r="T269" s="10">
        <f>(Tabla24567894[[#This Row],[VENTA ]]-(Tabla24567894[[#This Row],[MONTO DE COMPRA]]+Tabla24567894[[#This Row],[DIFERENCIA IVA ]]))</f>
        <v>0</v>
      </c>
      <c r="V269" s="17"/>
    </row>
    <row r="270" spans="1:22" s="15" customFormat="1" ht="20.100000000000001" hidden="1" customHeight="1" x14ac:dyDescent="0.25">
      <c r="A270" s="13"/>
      <c r="B270" s="14"/>
      <c r="C270" s="14"/>
      <c r="D270" s="14"/>
      <c r="G270" s="14"/>
      <c r="H270" s="16"/>
      <c r="I270" s="20"/>
      <c r="J270" s="20">
        <f>IF(G:G="FRENOS",(Tabla24567894[[#This Row],[TOTAL FACTURA]]*0.8),(Tabla24567894[[#This Row],[TOTAL FACTURA]]*0.5))</f>
        <v>0</v>
      </c>
      <c r="K270" s="9">
        <f t="shared" si="4"/>
        <v>0</v>
      </c>
      <c r="L270" s="4"/>
      <c r="M270" s="10"/>
      <c r="N270" s="10">
        <f>Tabla24567894[[#This Row],[MONTO DE COMPRA]]/1.19</f>
        <v>0</v>
      </c>
      <c r="O270" s="10">
        <f>Tabla24567894[[#This Row],[Columna1]]*19%</f>
        <v>0</v>
      </c>
      <c r="P270" s="10"/>
      <c r="Q270" s="10">
        <f>Tabla24567894[[#This Row],[VENTA ]]/1.19</f>
        <v>0</v>
      </c>
      <c r="R270" s="10">
        <f>Tabla24567894[[#This Row],[Columna2]]*19%</f>
        <v>0</v>
      </c>
      <c r="S270" s="10">
        <f>Tabla24567894[[#This Row],[IVA VENTA ]]-Tabla24567894[[#This Row],[IV COMPRA]]</f>
        <v>0</v>
      </c>
      <c r="T270" s="10">
        <f>(Tabla24567894[[#This Row],[VENTA ]]-(Tabla24567894[[#This Row],[MONTO DE COMPRA]]+Tabla24567894[[#This Row],[DIFERENCIA IVA ]]))</f>
        <v>0</v>
      </c>
      <c r="V270" s="17"/>
    </row>
    <row r="271" spans="1:22" s="15" customFormat="1" ht="20.100000000000001" hidden="1" customHeight="1" x14ac:dyDescent="0.25">
      <c r="A271" s="13"/>
      <c r="B271" s="14"/>
      <c r="C271" s="14"/>
      <c r="D271" s="14"/>
      <c r="G271" s="14"/>
      <c r="H271" s="16"/>
      <c r="I271" s="20"/>
      <c r="J271" s="20">
        <f>IF(G:G="FRENOS",(Tabla24567894[[#This Row],[TOTAL FACTURA]]*0.8),(Tabla24567894[[#This Row],[TOTAL FACTURA]]*0.5))</f>
        <v>0</v>
      </c>
      <c r="K271" s="9">
        <f t="shared" si="4"/>
        <v>0</v>
      </c>
      <c r="L271" s="4"/>
      <c r="M271" s="10"/>
      <c r="N271" s="10">
        <f>Tabla24567894[[#This Row],[MONTO DE COMPRA]]/1.19</f>
        <v>0</v>
      </c>
      <c r="O271" s="10">
        <f>Tabla24567894[[#This Row],[Columna1]]*19%</f>
        <v>0</v>
      </c>
      <c r="P271" s="10"/>
      <c r="Q271" s="10">
        <f>Tabla24567894[[#This Row],[VENTA ]]/1.19</f>
        <v>0</v>
      </c>
      <c r="R271" s="10">
        <f>Tabla24567894[[#This Row],[Columna2]]*19%</f>
        <v>0</v>
      </c>
      <c r="S271" s="10">
        <f>Tabla24567894[[#This Row],[IVA VENTA ]]-Tabla24567894[[#This Row],[IV COMPRA]]</f>
        <v>0</v>
      </c>
      <c r="T271" s="10">
        <f>(Tabla24567894[[#This Row],[VENTA ]]-(Tabla24567894[[#This Row],[MONTO DE COMPRA]]+Tabla24567894[[#This Row],[DIFERENCIA IVA ]]))</f>
        <v>0</v>
      </c>
      <c r="V271" s="17"/>
    </row>
    <row r="272" spans="1:22" s="15" customFormat="1" ht="20.100000000000001" hidden="1" customHeight="1" x14ac:dyDescent="0.25">
      <c r="A272" s="13"/>
      <c r="B272" s="14"/>
      <c r="C272" s="14"/>
      <c r="D272" s="14"/>
      <c r="G272" s="14"/>
      <c r="H272" s="16"/>
      <c r="I272" s="20"/>
      <c r="J272" s="20">
        <f>IF(G:G="FRENOS",(Tabla24567894[[#This Row],[TOTAL FACTURA]]*0.8),(Tabla24567894[[#This Row],[TOTAL FACTURA]]*0.5))</f>
        <v>0</v>
      </c>
      <c r="K272" s="9">
        <f t="shared" si="4"/>
        <v>0</v>
      </c>
      <c r="L272" s="4"/>
      <c r="M272" s="10"/>
      <c r="N272" s="10">
        <f>Tabla24567894[[#This Row],[MONTO DE COMPRA]]/1.19</f>
        <v>0</v>
      </c>
      <c r="O272" s="10">
        <f>Tabla24567894[[#This Row],[Columna1]]*19%</f>
        <v>0</v>
      </c>
      <c r="P272" s="10"/>
      <c r="Q272" s="10">
        <f>Tabla24567894[[#This Row],[VENTA ]]/1.19</f>
        <v>0</v>
      </c>
      <c r="R272" s="10">
        <f>Tabla24567894[[#This Row],[Columna2]]*19%</f>
        <v>0</v>
      </c>
      <c r="S272" s="10">
        <f>Tabla24567894[[#This Row],[IVA VENTA ]]-Tabla24567894[[#This Row],[IV COMPRA]]</f>
        <v>0</v>
      </c>
      <c r="T272" s="10">
        <f>(Tabla24567894[[#This Row],[VENTA ]]-(Tabla24567894[[#This Row],[MONTO DE COMPRA]]+Tabla24567894[[#This Row],[DIFERENCIA IVA ]]))</f>
        <v>0</v>
      </c>
      <c r="V272" s="17"/>
    </row>
    <row r="273" spans="1:22" s="15" customFormat="1" ht="20.100000000000001" hidden="1" customHeight="1" x14ac:dyDescent="0.25">
      <c r="A273" s="13"/>
      <c r="B273" s="14"/>
      <c r="C273" s="14"/>
      <c r="D273" s="21"/>
      <c r="E273" s="14"/>
      <c r="G273" s="14"/>
      <c r="H273" s="16"/>
      <c r="I273" s="20"/>
      <c r="J273" s="20">
        <f>IF(G:G="FRENOS",(Tabla24567894[[#This Row],[TOTAL FACTURA]]*0.8),(Tabla24567894[[#This Row],[TOTAL FACTURA]]*0.5))</f>
        <v>0</v>
      </c>
      <c r="K273" s="9">
        <f t="shared" si="4"/>
        <v>0</v>
      </c>
      <c r="L273" s="4"/>
      <c r="M273" s="10"/>
      <c r="N273" s="10">
        <f>Tabla24567894[[#This Row],[MONTO DE COMPRA]]/1.19</f>
        <v>0</v>
      </c>
      <c r="O273" s="10">
        <f>Tabla24567894[[#This Row],[Columna1]]*19%</f>
        <v>0</v>
      </c>
      <c r="P273" s="10"/>
      <c r="Q273" s="10">
        <f>Tabla24567894[[#This Row],[VENTA ]]/1.19</f>
        <v>0</v>
      </c>
      <c r="R273" s="10">
        <f>Tabla24567894[[#This Row],[Columna2]]*19%</f>
        <v>0</v>
      </c>
      <c r="S273" s="10">
        <f>Tabla24567894[[#This Row],[IVA VENTA ]]-Tabla24567894[[#This Row],[IV COMPRA]]</f>
        <v>0</v>
      </c>
      <c r="T273" s="10">
        <f>(Tabla24567894[[#This Row],[VENTA ]]-(Tabla24567894[[#This Row],[MONTO DE COMPRA]]+Tabla24567894[[#This Row],[DIFERENCIA IVA ]]))</f>
        <v>0</v>
      </c>
      <c r="V273" s="17"/>
    </row>
    <row r="274" spans="1:22" s="15" customFormat="1" ht="20.100000000000001" hidden="1" customHeight="1" x14ac:dyDescent="0.25">
      <c r="A274" s="13"/>
      <c r="B274" s="14"/>
      <c r="C274" s="14"/>
      <c r="D274" s="14"/>
      <c r="G274" s="14"/>
      <c r="H274" s="16"/>
      <c r="I274" s="20"/>
      <c r="J274" s="20">
        <f>IF(G:G="FRENOS",(Tabla24567894[[#This Row],[TOTAL FACTURA]]*0.8),(Tabla24567894[[#This Row],[TOTAL FACTURA]]*0.5))</f>
        <v>0</v>
      </c>
      <c r="K274" s="9">
        <f t="shared" si="4"/>
        <v>0</v>
      </c>
      <c r="L274" s="4"/>
      <c r="M274" s="10"/>
      <c r="N274" s="10">
        <f>Tabla24567894[[#This Row],[MONTO DE COMPRA]]/1.19</f>
        <v>0</v>
      </c>
      <c r="O274" s="10">
        <f>Tabla24567894[[#This Row],[Columna1]]*19%</f>
        <v>0</v>
      </c>
      <c r="P274" s="10"/>
      <c r="Q274" s="10">
        <f>Tabla24567894[[#This Row],[VENTA ]]/1.19</f>
        <v>0</v>
      </c>
      <c r="R274" s="10">
        <f>Tabla24567894[[#This Row],[Columna2]]*19%</f>
        <v>0</v>
      </c>
      <c r="S274" s="10">
        <f>Tabla24567894[[#This Row],[IVA VENTA ]]-Tabla24567894[[#This Row],[IV COMPRA]]</f>
        <v>0</v>
      </c>
      <c r="T274" s="10">
        <f>(Tabla24567894[[#This Row],[VENTA ]]-(Tabla24567894[[#This Row],[MONTO DE COMPRA]]+Tabla24567894[[#This Row],[DIFERENCIA IVA ]]))</f>
        <v>0</v>
      </c>
      <c r="V274" s="17"/>
    </row>
    <row r="275" spans="1:22" s="15" customFormat="1" ht="20.100000000000001" hidden="1" customHeight="1" x14ac:dyDescent="0.25">
      <c r="A275" s="13"/>
      <c r="B275" s="14"/>
      <c r="C275" s="14"/>
      <c r="D275" s="14"/>
      <c r="G275" s="14"/>
      <c r="H275" s="16"/>
      <c r="I275" s="20"/>
      <c r="J275" s="20">
        <f>IF(G:G="FRENOS",(Tabla24567894[[#This Row],[TOTAL FACTURA]]*0.8),(Tabla24567894[[#This Row],[TOTAL FACTURA]]*0.5))</f>
        <v>0</v>
      </c>
      <c r="K275" s="9">
        <f t="shared" si="4"/>
        <v>0</v>
      </c>
      <c r="L275" s="4"/>
      <c r="M275" s="10"/>
      <c r="N275" s="10">
        <f>Tabla24567894[[#This Row],[MONTO DE COMPRA]]/1.19</f>
        <v>0</v>
      </c>
      <c r="O275" s="10">
        <f>Tabla24567894[[#This Row],[Columna1]]*19%</f>
        <v>0</v>
      </c>
      <c r="P275" s="10"/>
      <c r="Q275" s="10">
        <f>Tabla24567894[[#This Row],[VENTA ]]/1.19</f>
        <v>0</v>
      </c>
      <c r="R275" s="10">
        <f>Tabla24567894[[#This Row],[Columna2]]*19%</f>
        <v>0</v>
      </c>
      <c r="S275" s="10">
        <f>Tabla24567894[[#This Row],[IVA VENTA ]]-Tabla24567894[[#This Row],[IV COMPRA]]</f>
        <v>0</v>
      </c>
      <c r="T275" s="10">
        <f>(Tabla24567894[[#This Row],[VENTA ]]-(Tabla24567894[[#This Row],[MONTO DE COMPRA]]+Tabla24567894[[#This Row],[DIFERENCIA IVA ]]))</f>
        <v>0</v>
      </c>
      <c r="V275" s="17"/>
    </row>
    <row r="276" spans="1:22" s="15" customFormat="1" ht="20.100000000000001" hidden="1" customHeight="1" x14ac:dyDescent="0.25">
      <c r="A276" s="13"/>
      <c r="B276" s="14"/>
      <c r="C276" s="14"/>
      <c r="D276" s="14"/>
      <c r="G276" s="14"/>
      <c r="H276" s="16"/>
      <c r="I276" s="20"/>
      <c r="J276" s="20">
        <f>IF(G:G="FRENOS",(Tabla24567894[[#This Row],[TOTAL FACTURA]]*0.8),(Tabla24567894[[#This Row],[TOTAL FACTURA]]*0.5))</f>
        <v>0</v>
      </c>
      <c r="K276" s="9">
        <f t="shared" si="4"/>
        <v>0</v>
      </c>
      <c r="L276" s="4"/>
      <c r="M276" s="10"/>
      <c r="N276" s="10">
        <f>Tabla24567894[[#This Row],[MONTO DE COMPRA]]/1.19</f>
        <v>0</v>
      </c>
      <c r="O276" s="10">
        <f>Tabla24567894[[#This Row],[Columna1]]*19%</f>
        <v>0</v>
      </c>
      <c r="P276" s="10"/>
      <c r="Q276" s="10">
        <f>Tabla24567894[[#This Row],[VENTA ]]/1.19</f>
        <v>0</v>
      </c>
      <c r="R276" s="10">
        <f>Tabla24567894[[#This Row],[Columna2]]*19%</f>
        <v>0</v>
      </c>
      <c r="S276" s="10">
        <f>Tabla24567894[[#This Row],[IVA VENTA ]]-Tabla24567894[[#This Row],[IV COMPRA]]</f>
        <v>0</v>
      </c>
      <c r="T276" s="10">
        <f>(Tabla24567894[[#This Row],[VENTA ]]-(Tabla24567894[[#This Row],[MONTO DE COMPRA]]+Tabla24567894[[#This Row],[DIFERENCIA IVA ]]))</f>
        <v>0</v>
      </c>
      <c r="V276" s="17"/>
    </row>
    <row r="277" spans="1:22" s="15" customFormat="1" ht="20.100000000000001" hidden="1" customHeight="1" x14ac:dyDescent="0.25">
      <c r="A277" s="13"/>
      <c r="B277" s="14"/>
      <c r="C277" s="14"/>
      <c r="D277" s="14"/>
      <c r="G277" s="14"/>
      <c r="H277" s="16"/>
      <c r="I277" s="20"/>
      <c r="J277" s="20">
        <f>IF(G:G="FRENOS",(Tabla24567894[[#This Row],[TOTAL FACTURA]]*0.8),(Tabla24567894[[#This Row],[TOTAL FACTURA]]*0.5))</f>
        <v>0</v>
      </c>
      <c r="K277" s="9">
        <f t="shared" si="4"/>
        <v>0</v>
      </c>
      <c r="L277" s="4"/>
      <c r="M277" s="10"/>
      <c r="N277" s="10">
        <f>Tabla24567894[[#This Row],[MONTO DE COMPRA]]/1.19</f>
        <v>0</v>
      </c>
      <c r="O277" s="10">
        <f>Tabla24567894[[#This Row],[Columna1]]*19%</f>
        <v>0</v>
      </c>
      <c r="P277" s="10"/>
      <c r="Q277" s="10">
        <f>Tabla24567894[[#This Row],[VENTA ]]/1.19</f>
        <v>0</v>
      </c>
      <c r="R277" s="10">
        <f>Tabla24567894[[#This Row],[Columna2]]*19%</f>
        <v>0</v>
      </c>
      <c r="S277" s="10">
        <f>Tabla24567894[[#This Row],[IVA VENTA ]]-Tabla24567894[[#This Row],[IV COMPRA]]</f>
        <v>0</v>
      </c>
      <c r="T277" s="10">
        <f>(Tabla24567894[[#This Row],[VENTA ]]-(Tabla24567894[[#This Row],[MONTO DE COMPRA]]+Tabla24567894[[#This Row],[DIFERENCIA IVA ]]))</f>
        <v>0</v>
      </c>
      <c r="V277" s="17"/>
    </row>
    <row r="278" spans="1:22" s="15" customFormat="1" ht="20.100000000000001" hidden="1" customHeight="1" x14ac:dyDescent="0.25">
      <c r="A278" s="13"/>
      <c r="B278" s="14"/>
      <c r="C278" s="14"/>
      <c r="D278" s="14"/>
      <c r="G278" s="14"/>
      <c r="H278" s="16"/>
      <c r="I278" s="20"/>
      <c r="J278" s="20">
        <f>IF(G:G="FRENOS",(Tabla24567894[[#This Row],[TOTAL FACTURA]]*0.8),(Tabla24567894[[#This Row],[TOTAL FACTURA]]*0.5))</f>
        <v>0</v>
      </c>
      <c r="K278" s="9">
        <f t="shared" si="4"/>
        <v>0</v>
      </c>
      <c r="L278" s="4"/>
      <c r="M278" s="10"/>
      <c r="N278" s="10">
        <f>Tabla24567894[[#This Row],[MONTO DE COMPRA]]/1.19</f>
        <v>0</v>
      </c>
      <c r="O278" s="10">
        <f>Tabla24567894[[#This Row],[Columna1]]*19%</f>
        <v>0</v>
      </c>
      <c r="P278" s="10"/>
      <c r="Q278" s="10">
        <f>Tabla24567894[[#This Row],[VENTA ]]/1.19</f>
        <v>0</v>
      </c>
      <c r="R278" s="10">
        <f>Tabla24567894[[#This Row],[Columna2]]*19%</f>
        <v>0</v>
      </c>
      <c r="S278" s="10">
        <f>Tabla24567894[[#This Row],[IVA VENTA ]]-Tabla24567894[[#This Row],[IV COMPRA]]</f>
        <v>0</v>
      </c>
      <c r="T278" s="10">
        <f>(Tabla24567894[[#This Row],[VENTA ]]-(Tabla24567894[[#This Row],[MONTO DE COMPRA]]+Tabla24567894[[#This Row],[DIFERENCIA IVA ]]))</f>
        <v>0</v>
      </c>
      <c r="V278" s="17"/>
    </row>
    <row r="279" spans="1:22" s="15" customFormat="1" ht="20.100000000000001" hidden="1" customHeight="1" x14ac:dyDescent="0.25">
      <c r="A279" s="13"/>
      <c r="B279" s="14"/>
      <c r="C279" s="14"/>
      <c r="D279" s="14"/>
      <c r="G279" s="14"/>
      <c r="H279" s="16"/>
      <c r="I279" s="20"/>
      <c r="J279" s="20">
        <f>IF(G:G="FRENOS",(Tabla24567894[[#This Row],[TOTAL FACTURA]]*0.8),(Tabla24567894[[#This Row],[TOTAL FACTURA]]*0.5))</f>
        <v>0</v>
      </c>
      <c r="K279" s="9">
        <f t="shared" si="4"/>
        <v>0</v>
      </c>
      <c r="L279" s="4"/>
      <c r="M279" s="10"/>
      <c r="N279" s="10">
        <f>Tabla24567894[[#This Row],[MONTO DE COMPRA]]/1.19</f>
        <v>0</v>
      </c>
      <c r="O279" s="10">
        <f>Tabla24567894[[#This Row],[Columna1]]*19%</f>
        <v>0</v>
      </c>
      <c r="P279" s="10"/>
      <c r="Q279" s="10">
        <f>Tabla24567894[[#This Row],[VENTA ]]/1.19</f>
        <v>0</v>
      </c>
      <c r="R279" s="10">
        <f>Tabla24567894[[#This Row],[Columna2]]*19%</f>
        <v>0</v>
      </c>
      <c r="S279" s="10">
        <f>Tabla24567894[[#This Row],[IVA VENTA ]]-Tabla24567894[[#This Row],[IV COMPRA]]</f>
        <v>0</v>
      </c>
      <c r="T279" s="10">
        <f>(Tabla24567894[[#This Row],[VENTA ]]-(Tabla24567894[[#This Row],[MONTO DE COMPRA]]+Tabla24567894[[#This Row],[DIFERENCIA IVA ]]))</f>
        <v>0</v>
      </c>
      <c r="V279" s="17"/>
    </row>
    <row r="280" spans="1:22" s="15" customFormat="1" ht="20.100000000000001" hidden="1" customHeight="1" x14ac:dyDescent="0.25">
      <c r="A280" s="13"/>
      <c r="B280" s="14"/>
      <c r="C280" s="14"/>
      <c r="D280" s="14"/>
      <c r="G280" s="14"/>
      <c r="H280" s="16"/>
      <c r="I280" s="20"/>
      <c r="J280" s="20">
        <f>IF(G:G="FRENOS",(Tabla24567894[[#This Row],[TOTAL FACTURA]]*0.8),(Tabla24567894[[#This Row],[TOTAL FACTURA]]*0.5))</f>
        <v>0</v>
      </c>
      <c r="K280" s="9">
        <f t="shared" si="4"/>
        <v>0</v>
      </c>
      <c r="L280" s="4"/>
      <c r="M280" s="10"/>
      <c r="N280" s="10">
        <f>Tabla24567894[[#This Row],[MONTO DE COMPRA]]/1.19</f>
        <v>0</v>
      </c>
      <c r="O280" s="10">
        <f>Tabla24567894[[#This Row],[Columna1]]*19%</f>
        <v>0</v>
      </c>
      <c r="P280" s="10"/>
      <c r="Q280" s="10">
        <f>Tabla24567894[[#This Row],[VENTA ]]/1.19</f>
        <v>0</v>
      </c>
      <c r="R280" s="10">
        <f>Tabla24567894[[#This Row],[Columna2]]*19%</f>
        <v>0</v>
      </c>
      <c r="S280" s="10">
        <f>Tabla24567894[[#This Row],[IVA VENTA ]]-Tabla24567894[[#This Row],[IV COMPRA]]</f>
        <v>0</v>
      </c>
      <c r="T280" s="10">
        <f>(Tabla24567894[[#This Row],[VENTA ]]-(Tabla24567894[[#This Row],[MONTO DE COMPRA]]+Tabla24567894[[#This Row],[DIFERENCIA IVA ]]))</f>
        <v>0</v>
      </c>
      <c r="V280" s="17"/>
    </row>
    <row r="281" spans="1:22" s="15" customFormat="1" ht="20.100000000000001" hidden="1" customHeight="1" x14ac:dyDescent="0.25">
      <c r="A281" s="13"/>
      <c r="B281" s="14"/>
      <c r="C281" s="14"/>
      <c r="D281" s="14"/>
      <c r="G281" s="14"/>
      <c r="H281" s="16"/>
      <c r="I281" s="20"/>
      <c r="J281" s="20">
        <f>IF(G:G="FRENOS",(Tabla24567894[[#This Row],[TOTAL FACTURA]]*0.8),(Tabla24567894[[#This Row],[TOTAL FACTURA]]*0.5))</f>
        <v>0</v>
      </c>
      <c r="K281" s="9">
        <f t="shared" si="4"/>
        <v>0</v>
      </c>
      <c r="L281" s="4"/>
      <c r="M281" s="10"/>
      <c r="N281" s="10">
        <f>Tabla24567894[[#This Row],[MONTO DE COMPRA]]/1.19</f>
        <v>0</v>
      </c>
      <c r="O281" s="10">
        <f>Tabla24567894[[#This Row],[Columna1]]*19%</f>
        <v>0</v>
      </c>
      <c r="P281" s="10"/>
      <c r="Q281" s="10">
        <f>Tabla24567894[[#This Row],[VENTA ]]/1.19</f>
        <v>0</v>
      </c>
      <c r="R281" s="10">
        <f>Tabla24567894[[#This Row],[Columna2]]*19%</f>
        <v>0</v>
      </c>
      <c r="S281" s="10">
        <f>Tabla24567894[[#This Row],[IVA VENTA ]]-Tabla24567894[[#This Row],[IV COMPRA]]</f>
        <v>0</v>
      </c>
      <c r="T281" s="10">
        <f>(Tabla24567894[[#This Row],[VENTA ]]-(Tabla24567894[[#This Row],[MONTO DE COMPRA]]+Tabla24567894[[#This Row],[DIFERENCIA IVA ]]))</f>
        <v>0</v>
      </c>
      <c r="V281" s="17"/>
    </row>
    <row r="282" spans="1:22" s="15" customFormat="1" ht="20.100000000000001" hidden="1" customHeight="1" x14ac:dyDescent="0.25">
      <c r="A282" s="13"/>
      <c r="B282" s="14"/>
      <c r="C282" s="14"/>
      <c r="D282" s="14"/>
      <c r="G282" s="14"/>
      <c r="H282" s="16"/>
      <c r="I282" s="20"/>
      <c r="J282" s="20">
        <f>IF(G:G="FRENOS",(Tabla24567894[[#This Row],[TOTAL FACTURA]]*0.8),(Tabla24567894[[#This Row],[TOTAL FACTURA]]*0.5))</f>
        <v>0</v>
      </c>
      <c r="K282" s="9">
        <f t="shared" si="4"/>
        <v>0</v>
      </c>
      <c r="L282" s="4"/>
      <c r="M282" s="10"/>
      <c r="N282" s="10">
        <f>Tabla24567894[[#This Row],[MONTO DE COMPRA]]/1.19</f>
        <v>0</v>
      </c>
      <c r="O282" s="10">
        <f>Tabla24567894[[#This Row],[Columna1]]*19%</f>
        <v>0</v>
      </c>
      <c r="P282" s="10"/>
      <c r="Q282" s="10">
        <f>Tabla24567894[[#This Row],[VENTA ]]/1.19</f>
        <v>0</v>
      </c>
      <c r="R282" s="10">
        <f>Tabla24567894[[#This Row],[Columna2]]*19%</f>
        <v>0</v>
      </c>
      <c r="S282" s="10">
        <f>Tabla24567894[[#This Row],[IVA VENTA ]]-Tabla24567894[[#This Row],[IV COMPRA]]</f>
        <v>0</v>
      </c>
      <c r="T282" s="10">
        <f>(Tabla24567894[[#This Row],[VENTA ]]-(Tabla24567894[[#This Row],[MONTO DE COMPRA]]+Tabla24567894[[#This Row],[DIFERENCIA IVA ]]))</f>
        <v>0</v>
      </c>
      <c r="V282" s="17"/>
    </row>
    <row r="283" spans="1:22" s="15" customFormat="1" ht="20.100000000000001" hidden="1" customHeight="1" x14ac:dyDescent="0.25">
      <c r="A283" s="13"/>
      <c r="B283" s="14"/>
      <c r="C283" s="14"/>
      <c r="D283" s="14"/>
      <c r="G283" s="14"/>
      <c r="H283" s="16"/>
      <c r="I283" s="20"/>
      <c r="J283" s="20">
        <f>IF(G:G="FRENOS",(Tabla24567894[[#This Row],[TOTAL FACTURA]]*0.8),(Tabla24567894[[#This Row],[TOTAL FACTURA]]*0.5))</f>
        <v>0</v>
      </c>
      <c r="K283" s="9">
        <f t="shared" si="4"/>
        <v>0</v>
      </c>
      <c r="L283" s="4"/>
      <c r="M283" s="10"/>
      <c r="N283" s="10">
        <f>Tabla24567894[[#This Row],[MONTO DE COMPRA]]/1.19</f>
        <v>0</v>
      </c>
      <c r="O283" s="10">
        <f>Tabla24567894[[#This Row],[Columna1]]*19%</f>
        <v>0</v>
      </c>
      <c r="P283" s="10"/>
      <c r="Q283" s="10">
        <f>Tabla24567894[[#This Row],[VENTA ]]/1.19</f>
        <v>0</v>
      </c>
      <c r="R283" s="10">
        <f>Tabla24567894[[#This Row],[Columna2]]*19%</f>
        <v>0</v>
      </c>
      <c r="S283" s="10">
        <f>Tabla24567894[[#This Row],[IVA VENTA ]]-Tabla24567894[[#This Row],[IV COMPRA]]</f>
        <v>0</v>
      </c>
      <c r="T283" s="10">
        <f>(Tabla24567894[[#This Row],[VENTA ]]-(Tabla24567894[[#This Row],[MONTO DE COMPRA]]+Tabla24567894[[#This Row],[DIFERENCIA IVA ]]))</f>
        <v>0</v>
      </c>
      <c r="V283" s="17"/>
    </row>
    <row r="284" spans="1:22" s="15" customFormat="1" ht="20.100000000000001" hidden="1" customHeight="1" x14ac:dyDescent="0.25">
      <c r="A284" s="13"/>
      <c r="B284" s="14"/>
      <c r="C284" s="14"/>
      <c r="D284" s="14"/>
      <c r="G284" s="14"/>
      <c r="H284" s="16"/>
      <c r="I284" s="20"/>
      <c r="J284" s="20">
        <f>IF(G:G="FRENOS",(Tabla24567894[[#This Row],[TOTAL FACTURA]]*0.8),(Tabla24567894[[#This Row],[TOTAL FACTURA]]*0.5))</f>
        <v>0</v>
      </c>
      <c r="K284" s="9">
        <f t="shared" si="4"/>
        <v>0</v>
      </c>
      <c r="L284" s="4"/>
      <c r="M284" s="10"/>
      <c r="N284" s="10">
        <f>Tabla24567894[[#This Row],[MONTO DE COMPRA]]/1.19</f>
        <v>0</v>
      </c>
      <c r="O284" s="10">
        <f>Tabla24567894[[#This Row],[Columna1]]*19%</f>
        <v>0</v>
      </c>
      <c r="P284" s="10"/>
      <c r="Q284" s="10">
        <f>Tabla24567894[[#This Row],[VENTA ]]/1.19</f>
        <v>0</v>
      </c>
      <c r="R284" s="10">
        <f>Tabla24567894[[#This Row],[Columna2]]*19%</f>
        <v>0</v>
      </c>
      <c r="S284" s="10">
        <f>Tabla24567894[[#This Row],[IVA VENTA ]]-Tabla24567894[[#This Row],[IV COMPRA]]</f>
        <v>0</v>
      </c>
      <c r="T284" s="10">
        <f>(Tabla24567894[[#This Row],[VENTA ]]-(Tabla24567894[[#This Row],[MONTO DE COMPRA]]+Tabla24567894[[#This Row],[DIFERENCIA IVA ]]))</f>
        <v>0</v>
      </c>
      <c r="V284" s="17"/>
    </row>
    <row r="285" spans="1:22" s="15" customFormat="1" ht="20.100000000000001" hidden="1" customHeight="1" x14ac:dyDescent="0.25">
      <c r="A285" s="13"/>
      <c r="B285" s="14"/>
      <c r="C285" s="14"/>
      <c r="D285" s="14"/>
      <c r="G285" s="14"/>
      <c r="H285" s="16"/>
      <c r="I285" s="20"/>
      <c r="J285" s="20">
        <f>IF(G:G="FRENOS",(Tabla24567894[[#This Row],[TOTAL FACTURA]]*0.8),(Tabla24567894[[#This Row],[TOTAL FACTURA]]*0.5))</f>
        <v>0</v>
      </c>
      <c r="K285" s="9">
        <f t="shared" si="4"/>
        <v>0</v>
      </c>
      <c r="L285" s="4"/>
      <c r="M285" s="10"/>
      <c r="N285" s="10">
        <f>Tabla24567894[[#This Row],[MONTO DE COMPRA]]/1.19</f>
        <v>0</v>
      </c>
      <c r="O285" s="10">
        <f>Tabla24567894[[#This Row],[Columna1]]*19%</f>
        <v>0</v>
      </c>
      <c r="P285" s="10"/>
      <c r="Q285" s="10">
        <f>Tabla24567894[[#This Row],[VENTA ]]/1.19</f>
        <v>0</v>
      </c>
      <c r="R285" s="10">
        <f>Tabla24567894[[#This Row],[Columna2]]*19%</f>
        <v>0</v>
      </c>
      <c r="S285" s="10">
        <f>Tabla24567894[[#This Row],[IVA VENTA ]]-Tabla24567894[[#This Row],[IV COMPRA]]</f>
        <v>0</v>
      </c>
      <c r="T285" s="10">
        <f>(Tabla24567894[[#This Row],[VENTA ]]-(Tabla24567894[[#This Row],[MONTO DE COMPRA]]+Tabla24567894[[#This Row],[DIFERENCIA IVA ]]))</f>
        <v>0</v>
      </c>
      <c r="V285" s="17"/>
    </row>
    <row r="286" spans="1:22" s="15" customFormat="1" ht="20.100000000000001" hidden="1" customHeight="1" x14ac:dyDescent="0.25">
      <c r="A286" s="13"/>
      <c r="B286" s="14"/>
      <c r="C286" s="14"/>
      <c r="D286" s="14"/>
      <c r="G286" s="14"/>
      <c r="H286" s="16"/>
      <c r="I286" s="20"/>
      <c r="J286" s="20">
        <f>IF(G:G="FRENOS",(Tabla24567894[[#This Row],[TOTAL FACTURA]]*0.8),(Tabla24567894[[#This Row],[TOTAL FACTURA]]*0.5))</f>
        <v>0</v>
      </c>
      <c r="K286" s="9">
        <f t="shared" si="4"/>
        <v>0</v>
      </c>
      <c r="L286" s="4"/>
      <c r="M286" s="10"/>
      <c r="N286" s="10">
        <f>Tabla24567894[[#This Row],[MONTO DE COMPRA]]/1.19</f>
        <v>0</v>
      </c>
      <c r="O286" s="10">
        <f>Tabla24567894[[#This Row],[Columna1]]*19%</f>
        <v>0</v>
      </c>
      <c r="P286" s="10"/>
      <c r="Q286" s="10">
        <f>Tabla24567894[[#This Row],[VENTA ]]/1.19</f>
        <v>0</v>
      </c>
      <c r="R286" s="10">
        <f>Tabla24567894[[#This Row],[Columna2]]*19%</f>
        <v>0</v>
      </c>
      <c r="S286" s="10">
        <f>Tabla24567894[[#This Row],[IVA VENTA ]]-Tabla24567894[[#This Row],[IV COMPRA]]</f>
        <v>0</v>
      </c>
      <c r="T286" s="10">
        <f>(Tabla24567894[[#This Row],[VENTA ]]-(Tabla24567894[[#This Row],[MONTO DE COMPRA]]+Tabla24567894[[#This Row],[DIFERENCIA IVA ]]))</f>
        <v>0</v>
      </c>
      <c r="V286" s="17"/>
    </row>
    <row r="287" spans="1:22" s="15" customFormat="1" ht="20.100000000000001" hidden="1" customHeight="1" x14ac:dyDescent="0.25">
      <c r="A287" s="13"/>
      <c r="B287" s="14"/>
      <c r="C287" s="14"/>
      <c r="D287" s="14"/>
      <c r="G287" s="14"/>
      <c r="H287" s="16"/>
      <c r="I287" s="20"/>
      <c r="J287" s="20">
        <f>IF(G:G="FRENOS",(Tabla24567894[[#This Row],[TOTAL FACTURA]]*0.8),(Tabla24567894[[#This Row],[TOTAL FACTURA]]*0.5))</f>
        <v>0</v>
      </c>
      <c r="K287" s="9">
        <f t="shared" si="4"/>
        <v>0</v>
      </c>
      <c r="L287" s="4"/>
      <c r="M287" s="10"/>
      <c r="N287" s="10">
        <f>Tabla24567894[[#This Row],[MONTO DE COMPRA]]/1.19</f>
        <v>0</v>
      </c>
      <c r="O287" s="10">
        <f>Tabla24567894[[#This Row],[Columna1]]*19%</f>
        <v>0</v>
      </c>
      <c r="P287" s="10"/>
      <c r="Q287" s="10">
        <f>Tabla24567894[[#This Row],[VENTA ]]/1.19</f>
        <v>0</v>
      </c>
      <c r="R287" s="10">
        <f>Tabla24567894[[#This Row],[Columna2]]*19%</f>
        <v>0</v>
      </c>
      <c r="S287" s="10">
        <f>Tabla24567894[[#This Row],[IVA VENTA ]]-Tabla24567894[[#This Row],[IV COMPRA]]</f>
        <v>0</v>
      </c>
      <c r="T287" s="10">
        <f>(Tabla24567894[[#This Row],[VENTA ]]-(Tabla24567894[[#This Row],[MONTO DE COMPRA]]+Tabla24567894[[#This Row],[DIFERENCIA IVA ]]))</f>
        <v>0</v>
      </c>
      <c r="V287" s="17"/>
    </row>
    <row r="288" spans="1:22" s="15" customFormat="1" ht="20.100000000000001" hidden="1" customHeight="1" x14ac:dyDescent="0.25">
      <c r="A288" s="13"/>
      <c r="B288" s="14"/>
      <c r="C288" s="14"/>
      <c r="D288" s="14"/>
      <c r="G288" s="14"/>
      <c r="H288" s="16"/>
      <c r="I288" s="20"/>
      <c r="J288" s="20">
        <f>IF(G:G="FRENOS",(Tabla24567894[[#This Row],[TOTAL FACTURA]]*0.8),(Tabla24567894[[#This Row],[TOTAL FACTURA]]*0.5))</f>
        <v>0</v>
      </c>
      <c r="K288" s="9">
        <f t="shared" si="4"/>
        <v>0</v>
      </c>
      <c r="L288" s="4"/>
      <c r="M288" s="10"/>
      <c r="N288" s="10">
        <f>Tabla24567894[[#This Row],[MONTO DE COMPRA]]/1.19</f>
        <v>0</v>
      </c>
      <c r="O288" s="10">
        <f>Tabla24567894[[#This Row],[Columna1]]*19%</f>
        <v>0</v>
      </c>
      <c r="P288" s="10"/>
      <c r="Q288" s="10">
        <f>Tabla24567894[[#This Row],[VENTA ]]/1.19</f>
        <v>0</v>
      </c>
      <c r="R288" s="10">
        <f>Tabla24567894[[#This Row],[Columna2]]*19%</f>
        <v>0</v>
      </c>
      <c r="S288" s="10">
        <f>Tabla24567894[[#This Row],[IVA VENTA ]]-Tabla24567894[[#This Row],[IV COMPRA]]</f>
        <v>0</v>
      </c>
      <c r="T288" s="10">
        <f>(Tabla24567894[[#This Row],[VENTA ]]-(Tabla24567894[[#This Row],[MONTO DE COMPRA]]+Tabla24567894[[#This Row],[DIFERENCIA IVA ]]))</f>
        <v>0</v>
      </c>
      <c r="V288" s="17"/>
    </row>
    <row r="289" spans="1:22" s="15" customFormat="1" ht="20.100000000000001" hidden="1" customHeight="1" x14ac:dyDescent="0.25">
      <c r="A289" s="13"/>
      <c r="B289" s="14"/>
      <c r="C289" s="14"/>
      <c r="D289" s="14"/>
      <c r="G289" s="14"/>
      <c r="H289" s="16"/>
      <c r="I289" s="20"/>
      <c r="J289" s="20">
        <f>IF(G:G="FRENOS",(Tabla24567894[[#This Row],[TOTAL FACTURA]]*0.8),(Tabla24567894[[#This Row],[TOTAL FACTURA]]*0.5))</f>
        <v>0</v>
      </c>
      <c r="K289" s="9">
        <f t="shared" si="4"/>
        <v>0</v>
      </c>
      <c r="L289" s="4"/>
      <c r="M289" s="10"/>
      <c r="N289" s="10">
        <f>Tabla24567894[[#This Row],[MONTO DE COMPRA]]/1.19</f>
        <v>0</v>
      </c>
      <c r="O289" s="10">
        <f>Tabla24567894[[#This Row],[Columna1]]*19%</f>
        <v>0</v>
      </c>
      <c r="P289" s="10"/>
      <c r="Q289" s="10">
        <f>Tabla24567894[[#This Row],[VENTA ]]/1.19</f>
        <v>0</v>
      </c>
      <c r="R289" s="10">
        <f>Tabla24567894[[#This Row],[Columna2]]*19%</f>
        <v>0</v>
      </c>
      <c r="S289" s="10">
        <f>Tabla24567894[[#This Row],[IVA VENTA ]]-Tabla24567894[[#This Row],[IV COMPRA]]</f>
        <v>0</v>
      </c>
      <c r="T289" s="10">
        <f>(Tabla24567894[[#This Row],[VENTA ]]-(Tabla24567894[[#This Row],[MONTO DE COMPRA]]+Tabla24567894[[#This Row],[DIFERENCIA IVA ]]))</f>
        <v>0</v>
      </c>
      <c r="V289" s="17"/>
    </row>
    <row r="290" spans="1:22" s="15" customFormat="1" ht="20.100000000000001" hidden="1" customHeight="1" x14ac:dyDescent="0.25">
      <c r="A290" s="13"/>
      <c r="B290" s="14"/>
      <c r="C290" s="14"/>
      <c r="D290" s="14"/>
      <c r="G290" s="14"/>
      <c r="H290" s="16"/>
      <c r="I290" s="20"/>
      <c r="J290" s="20">
        <f>IF(G:G="FRENOS",(Tabla24567894[[#This Row],[TOTAL FACTURA]]*0.8),(Tabla24567894[[#This Row],[TOTAL FACTURA]]*0.5))</f>
        <v>0</v>
      </c>
      <c r="K290" s="9">
        <f t="shared" si="4"/>
        <v>0</v>
      </c>
      <c r="L290" s="4"/>
      <c r="M290" s="10"/>
      <c r="N290" s="10">
        <f>Tabla24567894[[#This Row],[MONTO DE COMPRA]]/1.19</f>
        <v>0</v>
      </c>
      <c r="O290" s="10">
        <f>Tabla24567894[[#This Row],[Columna1]]*19%</f>
        <v>0</v>
      </c>
      <c r="P290" s="10"/>
      <c r="Q290" s="10">
        <f>Tabla24567894[[#This Row],[VENTA ]]/1.19</f>
        <v>0</v>
      </c>
      <c r="R290" s="10">
        <f>Tabla24567894[[#This Row],[Columna2]]*19%</f>
        <v>0</v>
      </c>
      <c r="S290" s="10">
        <f>Tabla24567894[[#This Row],[IVA VENTA ]]-Tabla24567894[[#This Row],[IV COMPRA]]</f>
        <v>0</v>
      </c>
      <c r="T290" s="10">
        <f>(Tabla24567894[[#This Row],[VENTA ]]-(Tabla24567894[[#This Row],[MONTO DE COMPRA]]+Tabla24567894[[#This Row],[DIFERENCIA IVA ]]))</f>
        <v>0</v>
      </c>
      <c r="V290" s="17"/>
    </row>
    <row r="291" spans="1:22" s="15" customFormat="1" ht="20.100000000000001" hidden="1" customHeight="1" x14ac:dyDescent="0.25">
      <c r="A291" s="13"/>
      <c r="B291" s="14"/>
      <c r="C291" s="14"/>
      <c r="D291" s="14"/>
      <c r="G291" s="14"/>
      <c r="H291" s="16"/>
      <c r="I291" s="20"/>
      <c r="J291" s="20">
        <f>IF(G:G="FRENOS",(Tabla24567894[[#This Row],[TOTAL FACTURA]]*0.8),(Tabla24567894[[#This Row],[TOTAL FACTURA]]*0.5))</f>
        <v>0</v>
      </c>
      <c r="K291" s="9">
        <f t="shared" si="4"/>
        <v>0</v>
      </c>
      <c r="L291" s="4"/>
      <c r="M291" s="10"/>
      <c r="N291" s="10">
        <f>Tabla24567894[[#This Row],[MONTO DE COMPRA]]/1.19</f>
        <v>0</v>
      </c>
      <c r="O291" s="10">
        <f>Tabla24567894[[#This Row],[Columna1]]*19%</f>
        <v>0</v>
      </c>
      <c r="P291" s="10"/>
      <c r="Q291" s="10">
        <f>Tabla24567894[[#This Row],[VENTA ]]/1.19</f>
        <v>0</v>
      </c>
      <c r="R291" s="10">
        <f>Tabla24567894[[#This Row],[Columna2]]*19%</f>
        <v>0</v>
      </c>
      <c r="S291" s="10">
        <f>Tabla24567894[[#This Row],[IVA VENTA ]]-Tabla24567894[[#This Row],[IV COMPRA]]</f>
        <v>0</v>
      </c>
      <c r="T291" s="10">
        <f>(Tabla24567894[[#This Row],[VENTA ]]-(Tabla24567894[[#This Row],[MONTO DE COMPRA]]+Tabla24567894[[#This Row],[DIFERENCIA IVA ]]))</f>
        <v>0</v>
      </c>
      <c r="V291" s="17"/>
    </row>
    <row r="292" spans="1:22" s="15" customFormat="1" ht="20.100000000000001" hidden="1" customHeight="1" x14ac:dyDescent="0.25">
      <c r="A292" s="13"/>
      <c r="B292" s="14"/>
      <c r="C292" s="14"/>
      <c r="D292" s="14"/>
      <c r="G292" s="14"/>
      <c r="H292" s="16"/>
      <c r="I292" s="20"/>
      <c r="J292" s="20">
        <f>IF(G:G="FRENOS",(Tabla24567894[[#This Row],[TOTAL FACTURA]]*0.8),(Tabla24567894[[#This Row],[TOTAL FACTURA]]*0.5))</f>
        <v>0</v>
      </c>
      <c r="K292" s="9">
        <f t="shared" si="4"/>
        <v>0</v>
      </c>
      <c r="L292" s="4"/>
      <c r="M292" s="10"/>
      <c r="N292" s="10">
        <f>Tabla24567894[[#This Row],[MONTO DE COMPRA]]/1.19</f>
        <v>0</v>
      </c>
      <c r="O292" s="10">
        <f>Tabla24567894[[#This Row],[Columna1]]*19%</f>
        <v>0</v>
      </c>
      <c r="P292" s="10"/>
      <c r="Q292" s="10">
        <f>Tabla24567894[[#This Row],[VENTA ]]/1.19</f>
        <v>0</v>
      </c>
      <c r="R292" s="10">
        <f>Tabla24567894[[#This Row],[Columna2]]*19%</f>
        <v>0</v>
      </c>
      <c r="S292" s="10">
        <f>Tabla24567894[[#This Row],[IVA VENTA ]]-Tabla24567894[[#This Row],[IV COMPRA]]</f>
        <v>0</v>
      </c>
      <c r="T292" s="10">
        <f>(Tabla24567894[[#This Row],[VENTA ]]-(Tabla24567894[[#This Row],[MONTO DE COMPRA]]+Tabla24567894[[#This Row],[DIFERENCIA IVA ]]))</f>
        <v>0</v>
      </c>
      <c r="V292" s="17"/>
    </row>
    <row r="293" spans="1:22" s="15" customFormat="1" ht="20.100000000000001" hidden="1" customHeight="1" x14ac:dyDescent="0.25">
      <c r="A293" s="13"/>
      <c r="B293" s="14"/>
      <c r="C293" s="14"/>
      <c r="D293" s="14"/>
      <c r="G293" s="14"/>
      <c r="H293" s="16"/>
      <c r="I293" s="20"/>
      <c r="J293" s="20">
        <f>IF(G:G="FRENOS",(Tabla24567894[[#This Row],[TOTAL FACTURA]]*0.8),(Tabla24567894[[#This Row],[TOTAL FACTURA]]*0.5))</f>
        <v>0</v>
      </c>
      <c r="K293" s="9">
        <f t="shared" si="4"/>
        <v>0</v>
      </c>
      <c r="L293" s="4"/>
      <c r="M293" s="10"/>
      <c r="N293" s="10">
        <f>Tabla24567894[[#This Row],[MONTO DE COMPRA]]/1.19</f>
        <v>0</v>
      </c>
      <c r="O293" s="10">
        <f>Tabla24567894[[#This Row],[Columna1]]*19%</f>
        <v>0</v>
      </c>
      <c r="P293" s="10"/>
      <c r="Q293" s="10">
        <f>Tabla24567894[[#This Row],[VENTA ]]/1.19</f>
        <v>0</v>
      </c>
      <c r="R293" s="10">
        <f>Tabla24567894[[#This Row],[Columna2]]*19%</f>
        <v>0</v>
      </c>
      <c r="S293" s="10">
        <f>Tabla24567894[[#This Row],[IVA VENTA ]]-Tabla24567894[[#This Row],[IV COMPRA]]</f>
        <v>0</v>
      </c>
      <c r="T293" s="10">
        <f>(Tabla24567894[[#This Row],[VENTA ]]-(Tabla24567894[[#This Row],[MONTO DE COMPRA]]+Tabla24567894[[#This Row],[DIFERENCIA IVA ]]))</f>
        <v>0</v>
      </c>
      <c r="V293" s="17"/>
    </row>
    <row r="294" spans="1:22" s="15" customFormat="1" ht="20.100000000000001" hidden="1" customHeight="1" x14ac:dyDescent="0.25">
      <c r="A294" s="13"/>
      <c r="B294" s="14"/>
      <c r="C294" s="14"/>
      <c r="D294" s="14"/>
      <c r="G294" s="14"/>
      <c r="H294" s="16"/>
      <c r="I294" s="20"/>
      <c r="J294" s="20">
        <f>IF(G:G="FRENOS",(Tabla24567894[[#This Row],[TOTAL FACTURA]]*0.8),(Tabla24567894[[#This Row],[TOTAL FACTURA]]*0.5))</f>
        <v>0</v>
      </c>
      <c r="K294" s="9">
        <f t="shared" si="4"/>
        <v>0</v>
      </c>
      <c r="L294" s="4"/>
      <c r="M294" s="10"/>
      <c r="N294" s="10">
        <f>Tabla24567894[[#This Row],[MONTO DE COMPRA]]/1.19</f>
        <v>0</v>
      </c>
      <c r="O294" s="10">
        <f>Tabla24567894[[#This Row],[Columna1]]*19%</f>
        <v>0</v>
      </c>
      <c r="P294" s="10"/>
      <c r="Q294" s="10">
        <f>Tabla24567894[[#This Row],[VENTA ]]/1.19</f>
        <v>0</v>
      </c>
      <c r="R294" s="10">
        <f>Tabla24567894[[#This Row],[Columna2]]*19%</f>
        <v>0</v>
      </c>
      <c r="S294" s="10">
        <f>Tabla24567894[[#This Row],[IVA VENTA ]]-Tabla24567894[[#This Row],[IV COMPRA]]</f>
        <v>0</v>
      </c>
      <c r="T294" s="10">
        <f>(Tabla24567894[[#This Row],[VENTA ]]-(Tabla24567894[[#This Row],[MONTO DE COMPRA]]+Tabla24567894[[#This Row],[DIFERENCIA IVA ]]))</f>
        <v>0</v>
      </c>
      <c r="V294" s="17"/>
    </row>
    <row r="295" spans="1:22" s="15" customFormat="1" ht="20.100000000000001" hidden="1" customHeight="1" x14ac:dyDescent="0.25">
      <c r="A295" s="13"/>
      <c r="B295" s="14"/>
      <c r="C295" s="14"/>
      <c r="D295" s="14"/>
      <c r="G295" s="14"/>
      <c r="H295" s="16"/>
      <c r="I295" s="20"/>
      <c r="J295" s="20">
        <f>IF(G:G="FRENOS",(Tabla24567894[[#This Row],[TOTAL FACTURA]]*0.8),(Tabla24567894[[#This Row],[TOTAL FACTURA]]*0.5))</f>
        <v>0</v>
      </c>
      <c r="K295" s="9">
        <f t="shared" si="4"/>
        <v>0</v>
      </c>
      <c r="L295" s="4"/>
      <c r="M295" s="10"/>
      <c r="N295" s="10">
        <f>Tabla24567894[[#This Row],[MONTO DE COMPRA]]/1.19</f>
        <v>0</v>
      </c>
      <c r="O295" s="10">
        <f>Tabla24567894[[#This Row],[Columna1]]*19%</f>
        <v>0</v>
      </c>
      <c r="P295" s="10"/>
      <c r="Q295" s="10">
        <f>Tabla24567894[[#This Row],[VENTA ]]/1.19</f>
        <v>0</v>
      </c>
      <c r="R295" s="10">
        <f>Tabla24567894[[#This Row],[Columna2]]*19%</f>
        <v>0</v>
      </c>
      <c r="S295" s="10">
        <f>Tabla24567894[[#This Row],[IVA VENTA ]]-Tabla24567894[[#This Row],[IV COMPRA]]</f>
        <v>0</v>
      </c>
      <c r="T295" s="10">
        <f>(Tabla24567894[[#This Row],[VENTA ]]-(Tabla24567894[[#This Row],[MONTO DE COMPRA]]+Tabla24567894[[#This Row],[DIFERENCIA IVA ]]))</f>
        <v>0</v>
      </c>
      <c r="V295" s="17"/>
    </row>
    <row r="296" spans="1:22" s="15" customFormat="1" ht="20.100000000000001" hidden="1" customHeight="1" x14ac:dyDescent="0.25">
      <c r="A296" s="13"/>
      <c r="B296" s="14"/>
      <c r="C296" s="14"/>
      <c r="D296" s="14"/>
      <c r="G296" s="14"/>
      <c r="H296" s="16"/>
      <c r="I296" s="20"/>
      <c r="J296" s="20">
        <f>IF(G:G="FRENOS",(Tabla24567894[[#This Row],[TOTAL FACTURA]]*0.8),(Tabla24567894[[#This Row],[TOTAL FACTURA]]*0.5))</f>
        <v>0</v>
      </c>
      <c r="K296" s="9">
        <f t="shared" si="4"/>
        <v>0</v>
      </c>
      <c r="L296" s="4"/>
      <c r="M296" s="10"/>
      <c r="N296" s="10">
        <f>Tabla24567894[[#This Row],[MONTO DE COMPRA]]/1.19</f>
        <v>0</v>
      </c>
      <c r="O296" s="10">
        <f>Tabla24567894[[#This Row],[Columna1]]*19%</f>
        <v>0</v>
      </c>
      <c r="P296" s="10"/>
      <c r="Q296" s="10">
        <f>Tabla24567894[[#This Row],[VENTA ]]/1.19</f>
        <v>0</v>
      </c>
      <c r="R296" s="10">
        <f>Tabla24567894[[#This Row],[Columna2]]*19%</f>
        <v>0</v>
      </c>
      <c r="S296" s="10">
        <f>Tabla24567894[[#This Row],[IVA VENTA ]]-Tabla24567894[[#This Row],[IV COMPRA]]</f>
        <v>0</v>
      </c>
      <c r="T296" s="10">
        <f>(Tabla24567894[[#This Row],[VENTA ]]-(Tabla24567894[[#This Row],[MONTO DE COMPRA]]+Tabla24567894[[#This Row],[DIFERENCIA IVA ]]))</f>
        <v>0</v>
      </c>
      <c r="V296" s="17"/>
    </row>
    <row r="297" spans="1:22" s="15" customFormat="1" ht="20.100000000000001" hidden="1" customHeight="1" x14ac:dyDescent="0.25">
      <c r="A297" s="13"/>
      <c r="B297" s="14"/>
      <c r="C297" s="14"/>
      <c r="D297" s="14"/>
      <c r="G297" s="14"/>
      <c r="H297" s="16"/>
      <c r="I297" s="20"/>
      <c r="J297" s="20">
        <f>IF(G:G="FRENOS",(Tabla24567894[[#This Row],[TOTAL FACTURA]]*0.8),(Tabla24567894[[#This Row],[TOTAL FACTURA]]*0.5))</f>
        <v>0</v>
      </c>
      <c r="K297" s="9">
        <f t="shared" si="4"/>
        <v>0</v>
      </c>
      <c r="L297" s="4"/>
      <c r="M297" s="10"/>
      <c r="N297" s="10">
        <f>Tabla24567894[[#This Row],[MONTO DE COMPRA]]/1.19</f>
        <v>0</v>
      </c>
      <c r="O297" s="10">
        <f>Tabla24567894[[#This Row],[Columna1]]*19%</f>
        <v>0</v>
      </c>
      <c r="P297" s="10"/>
      <c r="Q297" s="10">
        <f>Tabla24567894[[#This Row],[VENTA ]]/1.19</f>
        <v>0</v>
      </c>
      <c r="R297" s="10">
        <f>Tabla24567894[[#This Row],[Columna2]]*19%</f>
        <v>0</v>
      </c>
      <c r="S297" s="10">
        <f>Tabla24567894[[#This Row],[IVA VENTA ]]-Tabla24567894[[#This Row],[IV COMPRA]]</f>
        <v>0</v>
      </c>
      <c r="T297" s="10">
        <f>(Tabla24567894[[#This Row],[VENTA ]]-(Tabla24567894[[#This Row],[MONTO DE COMPRA]]+Tabla24567894[[#This Row],[DIFERENCIA IVA ]]))</f>
        <v>0</v>
      </c>
      <c r="V297" s="17"/>
    </row>
    <row r="298" spans="1:22" s="15" customFormat="1" ht="20.100000000000001" hidden="1" customHeight="1" x14ac:dyDescent="0.25">
      <c r="A298" s="13"/>
      <c r="B298" s="14"/>
      <c r="C298" s="14"/>
      <c r="D298" s="14"/>
      <c r="G298" s="14"/>
      <c r="H298" s="16"/>
      <c r="I298" s="20"/>
      <c r="J298" s="20">
        <f>IF(G:G="FRENOS",(Tabla24567894[[#This Row],[TOTAL FACTURA]]*0.8),(Tabla24567894[[#This Row],[TOTAL FACTURA]]*0.5))</f>
        <v>0</v>
      </c>
      <c r="K298" s="9">
        <f t="shared" si="4"/>
        <v>0</v>
      </c>
      <c r="L298" s="4"/>
      <c r="M298" s="10"/>
      <c r="N298" s="10">
        <f>Tabla24567894[[#This Row],[MONTO DE COMPRA]]/1.19</f>
        <v>0</v>
      </c>
      <c r="O298" s="10">
        <f>Tabla24567894[[#This Row],[Columna1]]*19%</f>
        <v>0</v>
      </c>
      <c r="P298" s="10"/>
      <c r="Q298" s="10">
        <f>Tabla24567894[[#This Row],[VENTA ]]/1.19</f>
        <v>0</v>
      </c>
      <c r="R298" s="10">
        <f>Tabla24567894[[#This Row],[Columna2]]*19%</f>
        <v>0</v>
      </c>
      <c r="S298" s="10">
        <f>Tabla24567894[[#This Row],[IVA VENTA ]]-Tabla24567894[[#This Row],[IV COMPRA]]</f>
        <v>0</v>
      </c>
      <c r="T298" s="10">
        <f>(Tabla24567894[[#This Row],[VENTA ]]-(Tabla24567894[[#This Row],[MONTO DE COMPRA]]+Tabla24567894[[#This Row],[DIFERENCIA IVA ]]))</f>
        <v>0</v>
      </c>
      <c r="V298" s="17"/>
    </row>
    <row r="299" spans="1:22" s="15" customFormat="1" ht="20.100000000000001" hidden="1" customHeight="1" x14ac:dyDescent="0.25">
      <c r="A299" s="13"/>
      <c r="B299" s="14"/>
      <c r="C299" s="14"/>
      <c r="D299" s="14"/>
      <c r="G299" s="14"/>
      <c r="H299" s="16"/>
      <c r="I299" s="20"/>
      <c r="J299" s="20">
        <f>IF(G:G="FRENOS",(Tabla24567894[[#This Row],[TOTAL FACTURA]]*0.8),(Tabla24567894[[#This Row],[TOTAL FACTURA]]*0.5))</f>
        <v>0</v>
      </c>
      <c r="K299" s="9">
        <f t="shared" si="4"/>
        <v>0</v>
      </c>
      <c r="L299" s="4"/>
      <c r="M299" s="10"/>
      <c r="N299" s="10">
        <f>Tabla24567894[[#This Row],[MONTO DE COMPRA]]/1.19</f>
        <v>0</v>
      </c>
      <c r="O299" s="10">
        <f>Tabla24567894[[#This Row],[Columna1]]*19%</f>
        <v>0</v>
      </c>
      <c r="P299" s="10"/>
      <c r="Q299" s="10">
        <f>Tabla24567894[[#This Row],[VENTA ]]/1.19</f>
        <v>0</v>
      </c>
      <c r="R299" s="10">
        <f>Tabla24567894[[#This Row],[Columna2]]*19%</f>
        <v>0</v>
      </c>
      <c r="S299" s="10">
        <f>Tabla24567894[[#This Row],[IVA VENTA ]]-Tabla24567894[[#This Row],[IV COMPRA]]</f>
        <v>0</v>
      </c>
      <c r="T299" s="10">
        <f>(Tabla24567894[[#This Row],[VENTA ]]-(Tabla24567894[[#This Row],[MONTO DE COMPRA]]+Tabla24567894[[#This Row],[DIFERENCIA IVA ]]))</f>
        <v>0</v>
      </c>
      <c r="V299" s="17"/>
    </row>
    <row r="300" spans="1:22" s="15" customFormat="1" ht="20.100000000000001" hidden="1" customHeight="1" x14ac:dyDescent="0.25">
      <c r="A300" s="13"/>
      <c r="B300" s="14"/>
      <c r="C300" s="14"/>
      <c r="D300" s="14"/>
      <c r="G300" s="14"/>
      <c r="H300" s="16"/>
      <c r="I300" s="20"/>
      <c r="J300" s="20">
        <f>IF(G:G="FRENOS",(Tabla24567894[[#This Row],[TOTAL FACTURA]]*0.8),(Tabla24567894[[#This Row],[TOTAL FACTURA]]*0.5))</f>
        <v>0</v>
      </c>
      <c r="K300" s="9">
        <f t="shared" si="4"/>
        <v>0</v>
      </c>
      <c r="L300" s="4"/>
      <c r="M300" s="10"/>
      <c r="N300" s="10">
        <f>Tabla24567894[[#This Row],[MONTO DE COMPRA]]/1.19</f>
        <v>0</v>
      </c>
      <c r="O300" s="10">
        <f>Tabla24567894[[#This Row],[Columna1]]*19%</f>
        <v>0</v>
      </c>
      <c r="P300" s="10"/>
      <c r="Q300" s="10">
        <f>Tabla24567894[[#This Row],[VENTA ]]/1.19</f>
        <v>0</v>
      </c>
      <c r="R300" s="10">
        <f>Tabla24567894[[#This Row],[Columna2]]*19%</f>
        <v>0</v>
      </c>
      <c r="S300" s="10">
        <f>Tabla24567894[[#This Row],[IVA VENTA ]]-Tabla24567894[[#This Row],[IV COMPRA]]</f>
        <v>0</v>
      </c>
      <c r="T300" s="10">
        <f>(Tabla24567894[[#This Row],[VENTA ]]-(Tabla24567894[[#This Row],[MONTO DE COMPRA]]+Tabla24567894[[#This Row],[DIFERENCIA IVA ]]))</f>
        <v>0</v>
      </c>
      <c r="V300" s="17"/>
    </row>
    <row r="301" spans="1:22" s="15" customFormat="1" ht="20.100000000000001" hidden="1" customHeight="1" x14ac:dyDescent="0.25">
      <c r="A301" s="13"/>
      <c r="B301" s="14"/>
      <c r="C301" s="14"/>
      <c r="D301" s="14"/>
      <c r="G301" s="14"/>
      <c r="H301" s="16"/>
      <c r="I301" s="20"/>
      <c r="J301" s="20">
        <f>IF(G:G="FRENOS",(Tabla24567894[[#This Row],[TOTAL FACTURA]]*0.8),(Tabla24567894[[#This Row],[TOTAL FACTURA]]*0.5))</f>
        <v>0</v>
      </c>
      <c r="K301" s="9">
        <f t="shared" si="4"/>
        <v>0</v>
      </c>
      <c r="L301" s="4"/>
      <c r="M301" s="10"/>
      <c r="N301" s="10">
        <f>Tabla24567894[[#This Row],[MONTO DE COMPRA]]/1.19</f>
        <v>0</v>
      </c>
      <c r="O301" s="10">
        <f>Tabla24567894[[#This Row],[Columna1]]*19%</f>
        <v>0</v>
      </c>
      <c r="P301" s="10"/>
      <c r="Q301" s="10">
        <f>Tabla24567894[[#This Row],[VENTA ]]/1.19</f>
        <v>0</v>
      </c>
      <c r="R301" s="10">
        <f>Tabla24567894[[#This Row],[Columna2]]*19%</f>
        <v>0</v>
      </c>
      <c r="S301" s="10">
        <f>Tabla24567894[[#This Row],[IVA VENTA ]]-Tabla24567894[[#This Row],[IV COMPRA]]</f>
        <v>0</v>
      </c>
      <c r="T301" s="10">
        <f>(Tabla24567894[[#This Row],[VENTA ]]-(Tabla24567894[[#This Row],[MONTO DE COMPRA]]+Tabla24567894[[#This Row],[DIFERENCIA IVA ]]))</f>
        <v>0</v>
      </c>
      <c r="V301" s="17"/>
    </row>
    <row r="302" spans="1:22" s="15" customFormat="1" ht="20.100000000000001" hidden="1" customHeight="1" x14ac:dyDescent="0.25">
      <c r="A302" s="13"/>
      <c r="B302" s="14"/>
      <c r="C302" s="14"/>
      <c r="D302" s="14"/>
      <c r="G302" s="14"/>
      <c r="H302" s="16"/>
      <c r="I302" s="20"/>
      <c r="J302" s="20">
        <f>IF(G:G="FRENOS",(Tabla24567894[[#This Row],[TOTAL FACTURA]]*0.8),(Tabla24567894[[#This Row],[TOTAL FACTURA]]*0.5))</f>
        <v>0</v>
      </c>
      <c r="K302" s="9">
        <f t="shared" si="4"/>
        <v>0</v>
      </c>
      <c r="L302" s="4"/>
      <c r="M302" s="10"/>
      <c r="N302" s="10">
        <f>Tabla24567894[[#This Row],[MONTO DE COMPRA]]/1.19</f>
        <v>0</v>
      </c>
      <c r="O302" s="10">
        <f>Tabla24567894[[#This Row],[Columna1]]*19%</f>
        <v>0</v>
      </c>
      <c r="P302" s="10"/>
      <c r="Q302" s="10">
        <f>Tabla24567894[[#This Row],[VENTA ]]/1.19</f>
        <v>0</v>
      </c>
      <c r="R302" s="10">
        <f>Tabla24567894[[#This Row],[Columna2]]*19%</f>
        <v>0</v>
      </c>
      <c r="S302" s="10">
        <f>Tabla24567894[[#This Row],[IVA VENTA ]]-Tabla24567894[[#This Row],[IV COMPRA]]</f>
        <v>0</v>
      </c>
      <c r="T302" s="10">
        <f>(Tabla24567894[[#This Row],[VENTA ]]-(Tabla24567894[[#This Row],[MONTO DE COMPRA]]+Tabla24567894[[#This Row],[DIFERENCIA IVA ]]))</f>
        <v>0</v>
      </c>
      <c r="V302" s="17"/>
    </row>
    <row r="303" spans="1:22" s="15" customFormat="1" ht="20.100000000000001" hidden="1" customHeight="1" x14ac:dyDescent="0.25">
      <c r="A303" s="13"/>
      <c r="B303" s="14"/>
      <c r="C303" s="14"/>
      <c r="D303" s="14"/>
      <c r="G303" s="14"/>
      <c r="H303" s="16"/>
      <c r="I303" s="20"/>
      <c r="J303" s="20">
        <f>IF(G:G="FRENOS",(Tabla24567894[[#This Row],[TOTAL FACTURA]]*0.8),(Tabla24567894[[#This Row],[TOTAL FACTURA]]*0.5))</f>
        <v>0</v>
      </c>
      <c r="K303" s="9">
        <f t="shared" si="4"/>
        <v>0</v>
      </c>
      <c r="L303" s="4"/>
      <c r="M303" s="10"/>
      <c r="N303" s="10">
        <f>Tabla24567894[[#This Row],[MONTO DE COMPRA]]/1.19</f>
        <v>0</v>
      </c>
      <c r="O303" s="10">
        <f>Tabla24567894[[#This Row],[Columna1]]*19%</f>
        <v>0</v>
      </c>
      <c r="P303" s="10"/>
      <c r="Q303" s="10">
        <f>Tabla24567894[[#This Row],[VENTA ]]/1.19</f>
        <v>0</v>
      </c>
      <c r="R303" s="10">
        <f>Tabla24567894[[#This Row],[Columna2]]*19%</f>
        <v>0</v>
      </c>
      <c r="S303" s="10">
        <f>Tabla24567894[[#This Row],[IVA VENTA ]]-Tabla24567894[[#This Row],[IV COMPRA]]</f>
        <v>0</v>
      </c>
      <c r="T303" s="10">
        <f>(Tabla24567894[[#This Row],[VENTA ]]-(Tabla24567894[[#This Row],[MONTO DE COMPRA]]+Tabla24567894[[#This Row],[DIFERENCIA IVA ]]))</f>
        <v>0</v>
      </c>
      <c r="V303" s="17"/>
    </row>
    <row r="304" spans="1:22" s="15" customFormat="1" ht="20.100000000000001" hidden="1" customHeight="1" x14ac:dyDescent="0.25">
      <c r="A304" s="13"/>
      <c r="B304" s="14"/>
      <c r="C304" s="14"/>
      <c r="D304" s="14"/>
      <c r="G304" s="14"/>
      <c r="H304" s="16"/>
      <c r="I304" s="20"/>
      <c r="J304" s="20">
        <f>IF(G:G="FRENOS",(Tabla24567894[[#This Row],[TOTAL FACTURA]]*0.8),(Tabla24567894[[#This Row],[TOTAL FACTURA]]*0.5))</f>
        <v>0</v>
      </c>
      <c r="K304" s="9">
        <f t="shared" si="4"/>
        <v>0</v>
      </c>
      <c r="L304" s="4"/>
      <c r="M304" s="10"/>
      <c r="N304" s="10">
        <f>Tabla24567894[[#This Row],[MONTO DE COMPRA]]/1.19</f>
        <v>0</v>
      </c>
      <c r="O304" s="10">
        <f>Tabla24567894[[#This Row],[Columna1]]*19%</f>
        <v>0</v>
      </c>
      <c r="P304" s="10"/>
      <c r="Q304" s="10">
        <f>Tabla24567894[[#This Row],[VENTA ]]/1.19</f>
        <v>0</v>
      </c>
      <c r="R304" s="10">
        <f>Tabla24567894[[#This Row],[Columna2]]*19%</f>
        <v>0</v>
      </c>
      <c r="S304" s="10">
        <f>Tabla24567894[[#This Row],[IVA VENTA ]]-Tabla24567894[[#This Row],[IV COMPRA]]</f>
        <v>0</v>
      </c>
      <c r="T304" s="10">
        <f>(Tabla24567894[[#This Row],[VENTA ]]-(Tabla24567894[[#This Row],[MONTO DE COMPRA]]+Tabla24567894[[#This Row],[DIFERENCIA IVA ]]))</f>
        <v>0</v>
      </c>
      <c r="V304" s="17"/>
    </row>
    <row r="305" spans="1:22" s="15" customFormat="1" ht="20.100000000000001" hidden="1" customHeight="1" x14ac:dyDescent="0.25">
      <c r="A305" s="13"/>
      <c r="B305" s="14"/>
      <c r="C305" s="14"/>
      <c r="D305" s="14"/>
      <c r="G305" s="14"/>
      <c r="H305" s="16"/>
      <c r="I305" s="20"/>
      <c r="J305" s="20">
        <f>IF(G:G="FRENOS",(Tabla24567894[[#This Row],[TOTAL FACTURA]]*0.8),(Tabla24567894[[#This Row],[TOTAL FACTURA]]*0.5))</f>
        <v>0</v>
      </c>
      <c r="K305" s="9">
        <f t="shared" si="4"/>
        <v>0</v>
      </c>
      <c r="L305" s="4"/>
      <c r="M305" s="10"/>
      <c r="N305" s="10">
        <f>Tabla24567894[[#This Row],[MONTO DE COMPRA]]/1.19</f>
        <v>0</v>
      </c>
      <c r="O305" s="10">
        <f>Tabla24567894[[#This Row],[Columna1]]*19%</f>
        <v>0</v>
      </c>
      <c r="P305" s="10"/>
      <c r="Q305" s="10">
        <f>Tabla24567894[[#This Row],[VENTA ]]/1.19</f>
        <v>0</v>
      </c>
      <c r="R305" s="10">
        <f>Tabla24567894[[#This Row],[Columna2]]*19%</f>
        <v>0</v>
      </c>
      <c r="S305" s="10">
        <f>Tabla24567894[[#This Row],[IVA VENTA ]]-Tabla24567894[[#This Row],[IV COMPRA]]</f>
        <v>0</v>
      </c>
      <c r="T305" s="10">
        <f>(Tabla24567894[[#This Row],[VENTA ]]-(Tabla24567894[[#This Row],[MONTO DE COMPRA]]+Tabla24567894[[#This Row],[DIFERENCIA IVA ]]))</f>
        <v>0</v>
      </c>
      <c r="V305" s="17"/>
    </row>
    <row r="306" spans="1:22" s="15" customFormat="1" ht="20.100000000000001" hidden="1" customHeight="1" x14ac:dyDescent="0.25">
      <c r="A306" s="13"/>
      <c r="B306" s="14"/>
      <c r="C306" s="14"/>
      <c r="D306" s="14"/>
      <c r="G306" s="14"/>
      <c r="H306" s="16"/>
      <c r="I306" s="20"/>
      <c r="J306" s="20">
        <f>IF(G:G="FRENOS",(Tabla24567894[[#This Row],[TOTAL FACTURA]]*0.8),(Tabla24567894[[#This Row],[TOTAL FACTURA]]*0.5))</f>
        <v>0</v>
      </c>
      <c r="K306" s="9">
        <f t="shared" si="4"/>
        <v>0</v>
      </c>
      <c r="L306" s="4"/>
      <c r="M306" s="10"/>
      <c r="N306" s="10">
        <f>Tabla24567894[[#This Row],[MONTO DE COMPRA]]/1.19</f>
        <v>0</v>
      </c>
      <c r="O306" s="10">
        <f>Tabla24567894[[#This Row],[Columna1]]*19%</f>
        <v>0</v>
      </c>
      <c r="P306" s="10"/>
      <c r="Q306" s="10">
        <f>Tabla24567894[[#This Row],[VENTA ]]/1.19</f>
        <v>0</v>
      </c>
      <c r="R306" s="10">
        <f>Tabla24567894[[#This Row],[Columna2]]*19%</f>
        <v>0</v>
      </c>
      <c r="S306" s="10">
        <f>Tabla24567894[[#This Row],[IVA VENTA ]]-Tabla24567894[[#This Row],[IV COMPRA]]</f>
        <v>0</v>
      </c>
      <c r="T306" s="10">
        <f>(Tabla24567894[[#This Row],[VENTA ]]-(Tabla24567894[[#This Row],[MONTO DE COMPRA]]+Tabla24567894[[#This Row],[DIFERENCIA IVA ]]))</f>
        <v>0</v>
      </c>
      <c r="V306" s="17"/>
    </row>
    <row r="307" spans="1:22" s="15" customFormat="1" ht="20.100000000000001" hidden="1" customHeight="1" x14ac:dyDescent="0.25">
      <c r="A307" s="13"/>
      <c r="B307" s="14"/>
      <c r="C307" s="14"/>
      <c r="D307" s="14"/>
      <c r="G307" s="14"/>
      <c r="H307" s="16"/>
      <c r="I307" s="20"/>
      <c r="J307" s="20">
        <f>IF(G:G="FRENOS",(Tabla24567894[[#This Row],[TOTAL FACTURA]]*0.8),(Tabla24567894[[#This Row],[TOTAL FACTURA]]*0.5))</f>
        <v>0</v>
      </c>
      <c r="K307" s="9">
        <f t="shared" si="4"/>
        <v>0</v>
      </c>
      <c r="L307" s="4"/>
      <c r="M307" s="10"/>
      <c r="N307" s="10">
        <f>Tabla24567894[[#This Row],[MONTO DE COMPRA]]/1.19</f>
        <v>0</v>
      </c>
      <c r="O307" s="10">
        <f>Tabla24567894[[#This Row],[Columna1]]*19%</f>
        <v>0</v>
      </c>
      <c r="P307" s="10"/>
      <c r="Q307" s="10">
        <f>Tabla24567894[[#This Row],[VENTA ]]/1.19</f>
        <v>0</v>
      </c>
      <c r="R307" s="10">
        <f>Tabla24567894[[#This Row],[Columna2]]*19%</f>
        <v>0</v>
      </c>
      <c r="S307" s="10">
        <f>Tabla24567894[[#This Row],[IVA VENTA ]]-Tabla24567894[[#This Row],[IV COMPRA]]</f>
        <v>0</v>
      </c>
      <c r="T307" s="10">
        <f>(Tabla24567894[[#This Row],[VENTA ]]-(Tabla24567894[[#This Row],[MONTO DE COMPRA]]+Tabla24567894[[#This Row],[DIFERENCIA IVA ]]))</f>
        <v>0</v>
      </c>
      <c r="V307" s="17"/>
    </row>
    <row r="308" spans="1:22" s="15" customFormat="1" ht="20.100000000000001" hidden="1" customHeight="1" x14ac:dyDescent="0.25">
      <c r="A308" s="13"/>
      <c r="B308" s="14"/>
      <c r="C308" s="14"/>
      <c r="D308" s="14"/>
      <c r="G308" s="14"/>
      <c r="H308" s="16"/>
      <c r="I308" s="20"/>
      <c r="J308" s="20">
        <f>IF(G:G="FRENOS",(Tabla24567894[[#This Row],[TOTAL FACTURA]]*0.8),(Tabla24567894[[#This Row],[TOTAL FACTURA]]*0.5))</f>
        <v>0</v>
      </c>
      <c r="K308" s="9">
        <f t="shared" si="4"/>
        <v>0</v>
      </c>
      <c r="L308" s="4"/>
      <c r="M308" s="10"/>
      <c r="N308" s="10">
        <f>Tabla24567894[[#This Row],[MONTO DE COMPRA]]/1.19</f>
        <v>0</v>
      </c>
      <c r="O308" s="10">
        <f>Tabla24567894[[#This Row],[Columna1]]*19%</f>
        <v>0</v>
      </c>
      <c r="P308" s="10"/>
      <c r="Q308" s="10">
        <f>Tabla24567894[[#This Row],[VENTA ]]/1.19</f>
        <v>0</v>
      </c>
      <c r="R308" s="10">
        <f>Tabla24567894[[#This Row],[Columna2]]*19%</f>
        <v>0</v>
      </c>
      <c r="S308" s="10">
        <f>Tabla24567894[[#This Row],[IVA VENTA ]]-Tabla24567894[[#This Row],[IV COMPRA]]</f>
        <v>0</v>
      </c>
      <c r="T308" s="10">
        <f>(Tabla24567894[[#This Row],[VENTA ]]-(Tabla24567894[[#This Row],[MONTO DE COMPRA]]+Tabla24567894[[#This Row],[DIFERENCIA IVA ]]))</f>
        <v>0</v>
      </c>
      <c r="V308" s="17"/>
    </row>
    <row r="309" spans="1:22" s="15" customFormat="1" ht="20.100000000000001" hidden="1" customHeight="1" x14ac:dyDescent="0.25">
      <c r="A309" s="13"/>
      <c r="B309" s="14"/>
      <c r="C309" s="14"/>
      <c r="D309" s="14"/>
      <c r="G309" s="14"/>
      <c r="H309" s="16"/>
      <c r="I309" s="20"/>
      <c r="J309" s="20">
        <f>IF(G:G="FRENOS",(Tabla24567894[[#This Row],[TOTAL FACTURA]]*0.8),(Tabla24567894[[#This Row],[TOTAL FACTURA]]*0.5))</f>
        <v>0</v>
      </c>
      <c r="K309" s="9">
        <f t="shared" si="4"/>
        <v>0</v>
      </c>
      <c r="L309" s="4"/>
      <c r="M309" s="10"/>
      <c r="N309" s="10">
        <f>Tabla24567894[[#This Row],[MONTO DE COMPRA]]/1.19</f>
        <v>0</v>
      </c>
      <c r="O309" s="10">
        <f>Tabla24567894[[#This Row],[Columna1]]*19%</f>
        <v>0</v>
      </c>
      <c r="P309" s="10"/>
      <c r="Q309" s="10">
        <f>Tabla24567894[[#This Row],[VENTA ]]/1.19</f>
        <v>0</v>
      </c>
      <c r="R309" s="10">
        <f>Tabla24567894[[#This Row],[Columna2]]*19%</f>
        <v>0</v>
      </c>
      <c r="S309" s="10">
        <f>Tabla24567894[[#This Row],[IVA VENTA ]]-Tabla24567894[[#This Row],[IV COMPRA]]</f>
        <v>0</v>
      </c>
      <c r="T309" s="10">
        <f>(Tabla24567894[[#This Row],[VENTA ]]-(Tabla24567894[[#This Row],[MONTO DE COMPRA]]+Tabla24567894[[#This Row],[DIFERENCIA IVA ]]))</f>
        <v>0</v>
      </c>
      <c r="V309" s="17"/>
    </row>
    <row r="310" spans="1:22" s="15" customFormat="1" ht="20.100000000000001" hidden="1" customHeight="1" x14ac:dyDescent="0.25">
      <c r="A310" s="13"/>
      <c r="B310" s="14"/>
      <c r="C310" s="14"/>
      <c r="D310" s="14"/>
      <c r="G310" s="14"/>
      <c r="H310" s="16"/>
      <c r="I310" s="20"/>
      <c r="J310" s="20">
        <f>IF(G:G="FRENOS",(Tabla24567894[[#This Row],[TOTAL FACTURA]]*0.8),(Tabla24567894[[#This Row],[TOTAL FACTURA]]*0.5))</f>
        <v>0</v>
      </c>
      <c r="K310" s="9">
        <f t="shared" si="4"/>
        <v>0</v>
      </c>
      <c r="L310" s="4"/>
      <c r="M310" s="10"/>
      <c r="N310" s="10">
        <f>Tabla24567894[[#This Row],[MONTO DE COMPRA]]/1.19</f>
        <v>0</v>
      </c>
      <c r="O310" s="10">
        <f>Tabla24567894[[#This Row],[Columna1]]*19%</f>
        <v>0</v>
      </c>
      <c r="P310" s="10"/>
      <c r="Q310" s="10">
        <f>Tabla24567894[[#This Row],[VENTA ]]/1.19</f>
        <v>0</v>
      </c>
      <c r="R310" s="10">
        <f>Tabla24567894[[#This Row],[Columna2]]*19%</f>
        <v>0</v>
      </c>
      <c r="S310" s="10">
        <f>Tabla24567894[[#This Row],[IVA VENTA ]]-Tabla24567894[[#This Row],[IV COMPRA]]</f>
        <v>0</v>
      </c>
      <c r="T310" s="10">
        <f>(Tabla24567894[[#This Row],[VENTA ]]-(Tabla24567894[[#This Row],[MONTO DE COMPRA]]+Tabla24567894[[#This Row],[DIFERENCIA IVA ]]))</f>
        <v>0</v>
      </c>
      <c r="V310" s="17"/>
    </row>
    <row r="311" spans="1:22" s="15" customFormat="1" ht="20.100000000000001" hidden="1" customHeight="1" x14ac:dyDescent="0.25">
      <c r="A311" s="13"/>
      <c r="B311" s="14"/>
      <c r="C311" s="14"/>
      <c r="D311" s="14"/>
      <c r="G311" s="14"/>
      <c r="H311" s="16"/>
      <c r="I311" s="20"/>
      <c r="J311" s="20">
        <f>IF(G:G="FRENOS",(Tabla24567894[[#This Row],[TOTAL FACTURA]]*0.8),(Tabla24567894[[#This Row],[TOTAL FACTURA]]*0.5))</f>
        <v>0</v>
      </c>
      <c r="K311" s="9">
        <f t="shared" si="4"/>
        <v>0</v>
      </c>
      <c r="L311" s="4"/>
      <c r="M311" s="10"/>
      <c r="N311" s="10">
        <f>Tabla24567894[[#This Row],[MONTO DE COMPRA]]/1.19</f>
        <v>0</v>
      </c>
      <c r="O311" s="10">
        <f>Tabla24567894[[#This Row],[Columna1]]*19%</f>
        <v>0</v>
      </c>
      <c r="P311" s="10"/>
      <c r="Q311" s="10">
        <f>Tabla24567894[[#This Row],[VENTA ]]/1.19</f>
        <v>0</v>
      </c>
      <c r="R311" s="10">
        <f>Tabla24567894[[#This Row],[Columna2]]*19%</f>
        <v>0</v>
      </c>
      <c r="S311" s="10">
        <f>Tabla24567894[[#This Row],[IVA VENTA ]]-Tabla24567894[[#This Row],[IV COMPRA]]</f>
        <v>0</v>
      </c>
      <c r="T311" s="10">
        <f>(Tabla24567894[[#This Row],[VENTA ]]-(Tabla24567894[[#This Row],[MONTO DE COMPRA]]+Tabla24567894[[#This Row],[DIFERENCIA IVA ]]))</f>
        <v>0</v>
      </c>
      <c r="V311" s="17"/>
    </row>
    <row r="312" spans="1:22" s="15" customFormat="1" ht="20.100000000000001" hidden="1" customHeight="1" x14ac:dyDescent="0.25">
      <c r="A312" s="13"/>
      <c r="B312" s="14"/>
      <c r="C312" s="14"/>
      <c r="D312" s="14"/>
      <c r="G312" s="14"/>
      <c r="H312" s="16"/>
      <c r="I312" s="20"/>
      <c r="J312" s="20">
        <f>IF(G:G="FRENOS",(Tabla24567894[[#This Row],[TOTAL FACTURA]]*0.8),(Tabla24567894[[#This Row],[TOTAL FACTURA]]*0.5))</f>
        <v>0</v>
      </c>
      <c r="K312" s="9">
        <f t="shared" si="4"/>
        <v>0</v>
      </c>
      <c r="L312" s="4"/>
      <c r="M312" s="10"/>
      <c r="N312" s="10">
        <f>Tabla24567894[[#This Row],[MONTO DE COMPRA]]/1.19</f>
        <v>0</v>
      </c>
      <c r="O312" s="10">
        <f>Tabla24567894[[#This Row],[Columna1]]*19%</f>
        <v>0</v>
      </c>
      <c r="P312" s="10"/>
      <c r="Q312" s="10">
        <f>Tabla24567894[[#This Row],[VENTA ]]/1.19</f>
        <v>0</v>
      </c>
      <c r="R312" s="10">
        <f>Tabla24567894[[#This Row],[Columna2]]*19%</f>
        <v>0</v>
      </c>
      <c r="S312" s="10">
        <f>Tabla24567894[[#This Row],[IVA VENTA ]]-Tabla24567894[[#This Row],[IV COMPRA]]</f>
        <v>0</v>
      </c>
      <c r="T312" s="10">
        <f>(Tabla24567894[[#This Row],[VENTA ]]-(Tabla24567894[[#This Row],[MONTO DE COMPRA]]+Tabla24567894[[#This Row],[DIFERENCIA IVA ]]))</f>
        <v>0</v>
      </c>
      <c r="V312" s="17"/>
    </row>
    <row r="313" spans="1:22" s="15" customFormat="1" ht="20.100000000000001" hidden="1" customHeight="1" x14ac:dyDescent="0.25">
      <c r="A313" s="13"/>
      <c r="B313" s="14"/>
      <c r="C313" s="14"/>
      <c r="D313" s="14"/>
      <c r="G313" s="14"/>
      <c r="H313" s="16"/>
      <c r="I313" s="20"/>
      <c r="J313" s="20">
        <f>IF(G:G="FRENOS",(Tabla24567894[[#This Row],[TOTAL FACTURA]]*0.8),(Tabla24567894[[#This Row],[TOTAL FACTURA]]*0.5))</f>
        <v>0</v>
      </c>
      <c r="K313" s="9">
        <f t="shared" si="4"/>
        <v>0</v>
      </c>
      <c r="L313" s="4"/>
      <c r="M313" s="10"/>
      <c r="N313" s="10">
        <f>Tabla24567894[[#This Row],[MONTO DE COMPRA]]/1.19</f>
        <v>0</v>
      </c>
      <c r="O313" s="10">
        <f>Tabla24567894[[#This Row],[Columna1]]*19%</f>
        <v>0</v>
      </c>
      <c r="P313" s="10"/>
      <c r="Q313" s="10">
        <f>Tabla24567894[[#This Row],[VENTA ]]/1.19</f>
        <v>0</v>
      </c>
      <c r="R313" s="10">
        <f>Tabla24567894[[#This Row],[Columna2]]*19%</f>
        <v>0</v>
      </c>
      <c r="S313" s="10">
        <f>Tabla24567894[[#This Row],[IVA VENTA ]]-Tabla24567894[[#This Row],[IV COMPRA]]</f>
        <v>0</v>
      </c>
      <c r="T313" s="10">
        <f>(Tabla24567894[[#This Row],[VENTA ]]-(Tabla24567894[[#This Row],[MONTO DE COMPRA]]+Tabla24567894[[#This Row],[DIFERENCIA IVA ]]))</f>
        <v>0</v>
      </c>
      <c r="V313" s="17"/>
    </row>
    <row r="314" spans="1:22" s="15" customFormat="1" ht="20.100000000000001" hidden="1" customHeight="1" x14ac:dyDescent="0.25">
      <c r="A314" s="13"/>
      <c r="B314" s="14"/>
      <c r="C314" s="14"/>
      <c r="D314" s="14"/>
      <c r="G314" s="14"/>
      <c r="H314" s="16"/>
      <c r="I314" s="20"/>
      <c r="J314" s="20">
        <f>IF(G:G="FRENOS",(Tabla24567894[[#This Row],[TOTAL FACTURA]]*0.8),(Tabla24567894[[#This Row],[TOTAL FACTURA]]*0.5))</f>
        <v>0</v>
      </c>
      <c r="K314" s="9">
        <f t="shared" si="4"/>
        <v>0</v>
      </c>
      <c r="L314" s="4"/>
      <c r="M314" s="10"/>
      <c r="N314" s="10">
        <f>Tabla24567894[[#This Row],[MONTO DE COMPRA]]/1.19</f>
        <v>0</v>
      </c>
      <c r="O314" s="10">
        <f>Tabla24567894[[#This Row],[Columna1]]*19%</f>
        <v>0</v>
      </c>
      <c r="P314" s="10"/>
      <c r="Q314" s="10">
        <f>Tabla24567894[[#This Row],[VENTA ]]/1.19</f>
        <v>0</v>
      </c>
      <c r="R314" s="10">
        <f>Tabla24567894[[#This Row],[Columna2]]*19%</f>
        <v>0</v>
      </c>
      <c r="S314" s="10">
        <f>Tabla24567894[[#This Row],[IVA VENTA ]]-Tabla24567894[[#This Row],[IV COMPRA]]</f>
        <v>0</v>
      </c>
      <c r="T314" s="10">
        <f>(Tabla24567894[[#This Row],[VENTA ]]-(Tabla24567894[[#This Row],[MONTO DE COMPRA]]+Tabla24567894[[#This Row],[DIFERENCIA IVA ]]))</f>
        <v>0</v>
      </c>
      <c r="V314" s="17"/>
    </row>
    <row r="315" spans="1:22" s="15" customFormat="1" ht="20.100000000000001" hidden="1" customHeight="1" x14ac:dyDescent="0.25">
      <c r="A315" s="13"/>
      <c r="B315" s="14"/>
      <c r="C315" s="14"/>
      <c r="D315" s="14"/>
      <c r="G315" s="14"/>
      <c r="H315" s="16"/>
      <c r="I315" s="20"/>
      <c r="J315" s="20">
        <f>IF(G:G="FRENOS",(Tabla24567894[[#This Row],[TOTAL FACTURA]]*0.8),(Tabla24567894[[#This Row],[TOTAL FACTURA]]*0.5))</f>
        <v>0</v>
      </c>
      <c r="K315" s="9">
        <f t="shared" si="4"/>
        <v>0</v>
      </c>
      <c r="L315" s="4"/>
      <c r="M315" s="10"/>
      <c r="N315" s="10">
        <f>Tabla24567894[[#This Row],[MONTO DE COMPRA]]/1.19</f>
        <v>0</v>
      </c>
      <c r="O315" s="10">
        <f>Tabla24567894[[#This Row],[Columna1]]*19%</f>
        <v>0</v>
      </c>
      <c r="P315" s="10"/>
      <c r="Q315" s="10">
        <f>Tabla24567894[[#This Row],[VENTA ]]/1.19</f>
        <v>0</v>
      </c>
      <c r="R315" s="10">
        <f>Tabla24567894[[#This Row],[Columna2]]*19%</f>
        <v>0</v>
      </c>
      <c r="S315" s="10">
        <f>Tabla24567894[[#This Row],[IVA VENTA ]]-Tabla24567894[[#This Row],[IV COMPRA]]</f>
        <v>0</v>
      </c>
      <c r="T315" s="10">
        <f>(Tabla24567894[[#This Row],[VENTA ]]-(Tabla24567894[[#This Row],[MONTO DE COMPRA]]+Tabla24567894[[#This Row],[DIFERENCIA IVA ]]))</f>
        <v>0</v>
      </c>
      <c r="V315" s="17"/>
    </row>
    <row r="316" spans="1:22" s="15" customFormat="1" ht="20.100000000000001" hidden="1" customHeight="1" x14ac:dyDescent="0.25">
      <c r="A316" s="13"/>
      <c r="B316" s="14"/>
      <c r="C316" s="14"/>
      <c r="D316" s="14"/>
      <c r="G316" s="14"/>
      <c r="H316" s="16"/>
      <c r="I316" s="20"/>
      <c r="J316" s="20">
        <f>IF(G:G="FRENOS",(Tabla24567894[[#This Row],[TOTAL FACTURA]]*0.8),(Tabla24567894[[#This Row],[TOTAL FACTURA]]*0.5))</f>
        <v>0</v>
      </c>
      <c r="K316" s="9">
        <f t="shared" si="4"/>
        <v>0</v>
      </c>
      <c r="L316" s="4"/>
      <c r="M316" s="10"/>
      <c r="N316" s="10">
        <f>Tabla24567894[[#This Row],[MONTO DE COMPRA]]/1.19</f>
        <v>0</v>
      </c>
      <c r="O316" s="10">
        <f>Tabla24567894[[#This Row],[Columna1]]*19%</f>
        <v>0</v>
      </c>
      <c r="P316" s="10"/>
      <c r="Q316" s="10">
        <f>Tabla24567894[[#This Row],[VENTA ]]/1.19</f>
        <v>0</v>
      </c>
      <c r="R316" s="10">
        <f>Tabla24567894[[#This Row],[Columna2]]*19%</f>
        <v>0</v>
      </c>
      <c r="S316" s="10">
        <f>Tabla24567894[[#This Row],[IVA VENTA ]]-Tabla24567894[[#This Row],[IV COMPRA]]</f>
        <v>0</v>
      </c>
      <c r="T316" s="10">
        <f>(Tabla24567894[[#This Row],[VENTA ]]-(Tabla24567894[[#This Row],[MONTO DE COMPRA]]+Tabla24567894[[#This Row],[DIFERENCIA IVA ]]))</f>
        <v>0</v>
      </c>
      <c r="V316" s="17"/>
    </row>
    <row r="317" spans="1:22" s="15" customFormat="1" ht="20.100000000000001" hidden="1" customHeight="1" x14ac:dyDescent="0.25">
      <c r="A317" s="13"/>
      <c r="B317" s="14"/>
      <c r="C317" s="14"/>
      <c r="D317" s="14"/>
      <c r="G317" s="14"/>
      <c r="H317" s="16"/>
      <c r="I317" s="20"/>
      <c r="J317" s="20">
        <f>IF(G:G="FRENOS",(Tabla24567894[[#This Row],[TOTAL FACTURA]]*0.8),(Tabla24567894[[#This Row],[TOTAL FACTURA]]*0.5))</f>
        <v>0</v>
      </c>
      <c r="K317" s="9">
        <f t="shared" si="4"/>
        <v>0</v>
      </c>
      <c r="L317" s="4"/>
      <c r="M317" s="10"/>
      <c r="N317" s="10">
        <f>Tabla24567894[[#This Row],[MONTO DE COMPRA]]/1.19</f>
        <v>0</v>
      </c>
      <c r="O317" s="10">
        <f>Tabla24567894[[#This Row],[Columna1]]*19%</f>
        <v>0</v>
      </c>
      <c r="P317" s="10"/>
      <c r="Q317" s="10">
        <f>Tabla24567894[[#This Row],[VENTA ]]/1.19</f>
        <v>0</v>
      </c>
      <c r="R317" s="10">
        <f>Tabla24567894[[#This Row],[Columna2]]*19%</f>
        <v>0</v>
      </c>
      <c r="S317" s="10">
        <f>Tabla24567894[[#This Row],[IVA VENTA ]]-Tabla24567894[[#This Row],[IV COMPRA]]</f>
        <v>0</v>
      </c>
      <c r="T317" s="10">
        <f>(Tabla24567894[[#This Row],[VENTA ]]-(Tabla24567894[[#This Row],[MONTO DE COMPRA]]+Tabla24567894[[#This Row],[DIFERENCIA IVA ]]))</f>
        <v>0</v>
      </c>
      <c r="V317" s="17"/>
    </row>
    <row r="318" spans="1:22" s="15" customFormat="1" ht="20.100000000000001" hidden="1" customHeight="1" x14ac:dyDescent="0.25">
      <c r="A318" s="13"/>
      <c r="B318" s="14"/>
      <c r="C318" s="14"/>
      <c r="D318" s="14"/>
      <c r="G318" s="14"/>
      <c r="H318" s="16"/>
      <c r="I318" s="20"/>
      <c r="J318" s="20">
        <f>IF(G:G="FRENOS",(Tabla24567894[[#This Row],[TOTAL FACTURA]]*0.8),(Tabla24567894[[#This Row],[TOTAL FACTURA]]*0.5))</f>
        <v>0</v>
      </c>
      <c r="K318" s="9">
        <f t="shared" si="4"/>
        <v>0</v>
      </c>
      <c r="L318" s="4"/>
      <c r="M318" s="10"/>
      <c r="N318" s="10">
        <f>Tabla24567894[[#This Row],[MONTO DE COMPRA]]/1.19</f>
        <v>0</v>
      </c>
      <c r="O318" s="10">
        <f>Tabla24567894[[#This Row],[Columna1]]*19%</f>
        <v>0</v>
      </c>
      <c r="P318" s="10"/>
      <c r="Q318" s="10">
        <f>Tabla24567894[[#This Row],[VENTA ]]/1.19</f>
        <v>0</v>
      </c>
      <c r="R318" s="10">
        <f>Tabla24567894[[#This Row],[Columna2]]*19%</f>
        <v>0</v>
      </c>
      <c r="S318" s="10">
        <f>Tabla24567894[[#This Row],[IVA VENTA ]]-Tabla24567894[[#This Row],[IV COMPRA]]</f>
        <v>0</v>
      </c>
      <c r="T318" s="10">
        <f>(Tabla24567894[[#This Row],[VENTA ]]-(Tabla24567894[[#This Row],[MONTO DE COMPRA]]+Tabla24567894[[#This Row],[DIFERENCIA IVA ]]))</f>
        <v>0</v>
      </c>
      <c r="V318" s="17"/>
    </row>
    <row r="319" spans="1:22" s="15" customFormat="1" ht="20.100000000000001" hidden="1" customHeight="1" x14ac:dyDescent="0.25">
      <c r="A319" s="13"/>
      <c r="B319" s="14"/>
      <c r="C319" s="14"/>
      <c r="D319" s="14"/>
      <c r="G319" s="14"/>
      <c r="H319" s="16"/>
      <c r="I319" s="20"/>
      <c r="J319" s="20">
        <f>IF(G:G="FRENOS",(Tabla24567894[[#This Row],[TOTAL FACTURA]]*0.8),(Tabla24567894[[#This Row],[TOTAL FACTURA]]*0.5))</f>
        <v>0</v>
      </c>
      <c r="K319" s="9">
        <f t="shared" si="4"/>
        <v>0</v>
      </c>
      <c r="L319" s="4"/>
      <c r="M319" s="10"/>
      <c r="N319" s="10">
        <f>Tabla24567894[[#This Row],[MONTO DE COMPRA]]/1.19</f>
        <v>0</v>
      </c>
      <c r="O319" s="10">
        <f>Tabla24567894[[#This Row],[Columna1]]*19%</f>
        <v>0</v>
      </c>
      <c r="P319" s="10"/>
      <c r="Q319" s="10">
        <f>Tabla24567894[[#This Row],[VENTA ]]/1.19</f>
        <v>0</v>
      </c>
      <c r="R319" s="10">
        <f>Tabla24567894[[#This Row],[Columna2]]*19%</f>
        <v>0</v>
      </c>
      <c r="S319" s="10">
        <f>Tabla24567894[[#This Row],[IVA VENTA ]]-Tabla24567894[[#This Row],[IV COMPRA]]</f>
        <v>0</v>
      </c>
      <c r="T319" s="10">
        <f>(Tabla24567894[[#This Row],[VENTA ]]-(Tabla24567894[[#This Row],[MONTO DE COMPRA]]+Tabla24567894[[#This Row],[DIFERENCIA IVA ]]))</f>
        <v>0</v>
      </c>
      <c r="V319" s="17"/>
    </row>
    <row r="320" spans="1:22" s="15" customFormat="1" ht="20.100000000000001" hidden="1" customHeight="1" x14ac:dyDescent="0.25">
      <c r="A320" s="13"/>
      <c r="B320" s="14"/>
      <c r="C320" s="14"/>
      <c r="D320" s="14"/>
      <c r="G320" s="14"/>
      <c r="H320" s="16"/>
      <c r="I320" s="20"/>
      <c r="J320" s="20">
        <f>IF(G:G="FRENOS",(Tabla24567894[[#This Row],[TOTAL FACTURA]]*0.8),(Tabla24567894[[#This Row],[TOTAL FACTURA]]*0.5))</f>
        <v>0</v>
      </c>
      <c r="K320" s="9">
        <f t="shared" si="4"/>
        <v>0</v>
      </c>
      <c r="L320" s="4"/>
      <c r="M320" s="10"/>
      <c r="N320" s="10">
        <f>Tabla24567894[[#This Row],[MONTO DE COMPRA]]/1.19</f>
        <v>0</v>
      </c>
      <c r="O320" s="10">
        <f>Tabla24567894[[#This Row],[Columna1]]*19%</f>
        <v>0</v>
      </c>
      <c r="P320" s="10"/>
      <c r="Q320" s="10">
        <f>Tabla24567894[[#This Row],[VENTA ]]/1.19</f>
        <v>0</v>
      </c>
      <c r="R320" s="10">
        <f>Tabla24567894[[#This Row],[Columna2]]*19%</f>
        <v>0</v>
      </c>
      <c r="S320" s="10">
        <f>Tabla24567894[[#This Row],[IVA VENTA ]]-Tabla24567894[[#This Row],[IV COMPRA]]</f>
        <v>0</v>
      </c>
      <c r="T320" s="10">
        <f>(Tabla24567894[[#This Row],[VENTA ]]-(Tabla24567894[[#This Row],[MONTO DE COMPRA]]+Tabla24567894[[#This Row],[DIFERENCIA IVA ]]))</f>
        <v>0</v>
      </c>
      <c r="V320" s="17"/>
    </row>
    <row r="321" spans="1:22" s="15" customFormat="1" ht="20.100000000000001" hidden="1" customHeight="1" x14ac:dyDescent="0.25">
      <c r="A321" s="13"/>
      <c r="B321" s="14"/>
      <c r="C321" s="14"/>
      <c r="D321" s="14"/>
      <c r="G321" s="14"/>
      <c r="H321" s="16"/>
      <c r="I321" s="20"/>
      <c r="J321" s="20">
        <f>IF(G:G="FRENOS",(Tabla24567894[[#This Row],[TOTAL FACTURA]]*0.8),(Tabla24567894[[#This Row],[TOTAL FACTURA]]*0.5))</f>
        <v>0</v>
      </c>
      <c r="K321" s="9">
        <f t="shared" si="4"/>
        <v>0</v>
      </c>
      <c r="L321" s="4"/>
      <c r="M321" s="10"/>
      <c r="N321" s="10">
        <f>Tabla24567894[[#This Row],[MONTO DE COMPRA]]/1.19</f>
        <v>0</v>
      </c>
      <c r="O321" s="10">
        <f>Tabla24567894[[#This Row],[Columna1]]*19%</f>
        <v>0</v>
      </c>
      <c r="P321" s="10"/>
      <c r="Q321" s="10">
        <f>Tabla24567894[[#This Row],[VENTA ]]/1.19</f>
        <v>0</v>
      </c>
      <c r="R321" s="10">
        <f>Tabla24567894[[#This Row],[Columna2]]*19%</f>
        <v>0</v>
      </c>
      <c r="S321" s="10">
        <f>Tabla24567894[[#This Row],[IVA VENTA ]]-Tabla24567894[[#This Row],[IV COMPRA]]</f>
        <v>0</v>
      </c>
      <c r="T321" s="10">
        <f>(Tabla24567894[[#This Row],[VENTA ]]-(Tabla24567894[[#This Row],[MONTO DE COMPRA]]+Tabla24567894[[#This Row],[DIFERENCIA IVA ]]))</f>
        <v>0</v>
      </c>
      <c r="V321" s="17"/>
    </row>
    <row r="322" spans="1:22" s="15" customFormat="1" ht="20.100000000000001" hidden="1" customHeight="1" x14ac:dyDescent="0.25">
      <c r="A322" s="13"/>
      <c r="B322" s="14"/>
      <c r="C322" s="14"/>
      <c r="D322" s="14"/>
      <c r="G322" s="14"/>
      <c r="H322" s="16"/>
      <c r="I322" s="20"/>
      <c r="J322" s="20">
        <f>IF(G:G="FRENOS",(Tabla24567894[[#This Row],[TOTAL FACTURA]]*0.8),(Tabla24567894[[#This Row],[TOTAL FACTURA]]*0.5))</f>
        <v>0</v>
      </c>
      <c r="K322" s="9">
        <f t="shared" si="4"/>
        <v>0</v>
      </c>
      <c r="L322" s="4"/>
      <c r="M322" s="10"/>
      <c r="N322" s="10">
        <f>Tabla24567894[[#This Row],[MONTO DE COMPRA]]/1.19</f>
        <v>0</v>
      </c>
      <c r="O322" s="10">
        <f>Tabla24567894[[#This Row],[Columna1]]*19%</f>
        <v>0</v>
      </c>
      <c r="P322" s="10"/>
      <c r="Q322" s="10">
        <f>Tabla24567894[[#This Row],[VENTA ]]/1.19</f>
        <v>0</v>
      </c>
      <c r="R322" s="10">
        <f>Tabla24567894[[#This Row],[Columna2]]*19%</f>
        <v>0</v>
      </c>
      <c r="S322" s="10">
        <f>Tabla24567894[[#This Row],[IVA VENTA ]]-Tabla24567894[[#This Row],[IV COMPRA]]</f>
        <v>0</v>
      </c>
      <c r="T322" s="10">
        <f>(Tabla24567894[[#This Row],[VENTA ]]-(Tabla24567894[[#This Row],[MONTO DE COMPRA]]+Tabla24567894[[#This Row],[DIFERENCIA IVA ]]))</f>
        <v>0</v>
      </c>
      <c r="V322" s="17"/>
    </row>
    <row r="323" spans="1:22" s="15" customFormat="1" ht="20.100000000000001" hidden="1" customHeight="1" x14ac:dyDescent="0.25">
      <c r="A323" s="13"/>
      <c r="B323" s="14"/>
      <c r="C323" s="14"/>
      <c r="D323" s="14"/>
      <c r="G323" s="14"/>
      <c r="H323" s="16"/>
      <c r="I323" s="20"/>
      <c r="J323" s="20">
        <f>IF(G:G="FRENOS",(Tabla24567894[[#This Row],[TOTAL FACTURA]]*0.8),(Tabla24567894[[#This Row],[TOTAL FACTURA]]*0.5))</f>
        <v>0</v>
      </c>
      <c r="K323" s="9">
        <f t="shared" si="4"/>
        <v>0</v>
      </c>
      <c r="L323" s="4"/>
      <c r="M323" s="10"/>
      <c r="N323" s="10">
        <f>Tabla24567894[[#This Row],[MONTO DE COMPRA]]/1.19</f>
        <v>0</v>
      </c>
      <c r="O323" s="10">
        <f>Tabla24567894[[#This Row],[Columna1]]*19%</f>
        <v>0</v>
      </c>
      <c r="P323" s="10"/>
      <c r="Q323" s="10">
        <f>Tabla24567894[[#This Row],[VENTA ]]/1.19</f>
        <v>0</v>
      </c>
      <c r="R323" s="10">
        <f>Tabla24567894[[#This Row],[Columna2]]*19%</f>
        <v>0</v>
      </c>
      <c r="S323" s="10">
        <f>Tabla24567894[[#This Row],[IVA VENTA ]]-Tabla24567894[[#This Row],[IV COMPRA]]</f>
        <v>0</v>
      </c>
      <c r="T323" s="10">
        <f>(Tabla24567894[[#This Row],[VENTA ]]-(Tabla24567894[[#This Row],[MONTO DE COMPRA]]+Tabla24567894[[#This Row],[DIFERENCIA IVA ]]))</f>
        <v>0</v>
      </c>
      <c r="V323" s="17"/>
    </row>
    <row r="324" spans="1:22" s="15" customFormat="1" ht="20.100000000000001" hidden="1" customHeight="1" x14ac:dyDescent="0.25">
      <c r="A324" s="13"/>
      <c r="B324" s="14"/>
      <c r="C324" s="14"/>
      <c r="D324" s="14"/>
      <c r="G324" s="14"/>
      <c r="H324" s="16"/>
      <c r="I324" s="20"/>
      <c r="J324" s="20">
        <f>IF(G:G="FRENOS",(Tabla24567894[[#This Row],[TOTAL FACTURA]]*0.8),(Tabla24567894[[#This Row],[TOTAL FACTURA]]*0.5))</f>
        <v>0</v>
      </c>
      <c r="K324" s="9">
        <f t="shared" si="4"/>
        <v>0</v>
      </c>
      <c r="L324" s="4"/>
      <c r="M324" s="10"/>
      <c r="N324" s="10">
        <f>Tabla24567894[[#This Row],[MONTO DE COMPRA]]/1.19</f>
        <v>0</v>
      </c>
      <c r="O324" s="10">
        <f>Tabla24567894[[#This Row],[Columna1]]*19%</f>
        <v>0</v>
      </c>
      <c r="P324" s="10"/>
      <c r="Q324" s="10">
        <f>Tabla24567894[[#This Row],[VENTA ]]/1.19</f>
        <v>0</v>
      </c>
      <c r="R324" s="10">
        <f>Tabla24567894[[#This Row],[Columna2]]*19%</f>
        <v>0</v>
      </c>
      <c r="S324" s="10">
        <f>Tabla24567894[[#This Row],[IVA VENTA ]]-Tabla24567894[[#This Row],[IV COMPRA]]</f>
        <v>0</v>
      </c>
      <c r="T324" s="10">
        <f>(Tabla24567894[[#This Row],[VENTA ]]-(Tabla24567894[[#This Row],[MONTO DE COMPRA]]+Tabla24567894[[#This Row],[DIFERENCIA IVA ]]))</f>
        <v>0</v>
      </c>
      <c r="V324" s="17"/>
    </row>
    <row r="325" spans="1:22" s="15" customFormat="1" ht="20.100000000000001" hidden="1" customHeight="1" x14ac:dyDescent="0.25">
      <c r="A325" s="13"/>
      <c r="B325" s="14"/>
      <c r="C325" s="14"/>
      <c r="D325" s="14"/>
      <c r="G325" s="14"/>
      <c r="H325" s="16"/>
      <c r="I325" s="20"/>
      <c r="J325" s="20">
        <f>IF(G:G="FRENOS",(Tabla24567894[[#This Row],[TOTAL FACTURA]]*0.8),(Tabla24567894[[#This Row],[TOTAL FACTURA]]*0.5))</f>
        <v>0</v>
      </c>
      <c r="K325" s="9">
        <f t="shared" si="4"/>
        <v>0</v>
      </c>
      <c r="L325" s="4"/>
      <c r="M325" s="10"/>
      <c r="N325" s="10">
        <f>Tabla24567894[[#This Row],[MONTO DE COMPRA]]/1.19</f>
        <v>0</v>
      </c>
      <c r="O325" s="10">
        <f>Tabla24567894[[#This Row],[Columna1]]*19%</f>
        <v>0</v>
      </c>
      <c r="P325" s="10"/>
      <c r="Q325" s="10">
        <f>Tabla24567894[[#This Row],[VENTA ]]/1.19</f>
        <v>0</v>
      </c>
      <c r="R325" s="10">
        <f>Tabla24567894[[#This Row],[Columna2]]*19%</f>
        <v>0</v>
      </c>
      <c r="S325" s="10">
        <f>Tabla24567894[[#This Row],[IVA VENTA ]]-Tabla24567894[[#This Row],[IV COMPRA]]</f>
        <v>0</v>
      </c>
      <c r="T325" s="10">
        <f>(Tabla24567894[[#This Row],[VENTA ]]-(Tabla24567894[[#This Row],[MONTO DE COMPRA]]+Tabla24567894[[#This Row],[DIFERENCIA IVA ]]))</f>
        <v>0</v>
      </c>
      <c r="V325" s="17"/>
    </row>
    <row r="326" spans="1:22" s="15" customFormat="1" ht="20.100000000000001" hidden="1" customHeight="1" x14ac:dyDescent="0.25">
      <c r="A326" s="13"/>
      <c r="B326" s="14"/>
      <c r="C326" s="14"/>
      <c r="D326" s="14"/>
      <c r="G326" s="14"/>
      <c r="H326" s="16"/>
      <c r="I326" s="20"/>
      <c r="J326" s="20">
        <f>IF(G:G="FRENOS",(Tabla24567894[[#This Row],[TOTAL FACTURA]]*0.8),(Tabla24567894[[#This Row],[TOTAL FACTURA]]*0.5))</f>
        <v>0</v>
      </c>
      <c r="K326" s="9">
        <f t="shared" si="4"/>
        <v>0</v>
      </c>
      <c r="L326" s="4"/>
      <c r="M326" s="10"/>
      <c r="N326" s="10">
        <f>Tabla24567894[[#This Row],[MONTO DE COMPRA]]/1.19</f>
        <v>0</v>
      </c>
      <c r="O326" s="10">
        <f>Tabla24567894[[#This Row],[Columna1]]*19%</f>
        <v>0</v>
      </c>
      <c r="P326" s="10"/>
      <c r="Q326" s="10">
        <f>Tabla24567894[[#This Row],[VENTA ]]/1.19</f>
        <v>0</v>
      </c>
      <c r="R326" s="10">
        <f>Tabla24567894[[#This Row],[Columna2]]*19%</f>
        <v>0</v>
      </c>
      <c r="S326" s="10">
        <f>Tabla24567894[[#This Row],[IVA VENTA ]]-Tabla24567894[[#This Row],[IV COMPRA]]</f>
        <v>0</v>
      </c>
      <c r="T326" s="10">
        <f>(Tabla24567894[[#This Row],[VENTA ]]-(Tabla24567894[[#This Row],[MONTO DE COMPRA]]+Tabla24567894[[#This Row],[DIFERENCIA IVA ]]))</f>
        <v>0</v>
      </c>
      <c r="V326" s="17"/>
    </row>
    <row r="327" spans="1:22" s="15" customFormat="1" ht="20.100000000000001" hidden="1" customHeight="1" x14ac:dyDescent="0.25">
      <c r="A327" s="13"/>
      <c r="B327" s="14"/>
      <c r="C327" s="14"/>
      <c r="D327" s="14"/>
      <c r="G327" s="14"/>
      <c r="H327" s="16"/>
      <c r="I327" s="20"/>
      <c r="J327" s="20">
        <f>IF(G:G="FRENOS",(Tabla24567894[[#This Row],[TOTAL FACTURA]]*0.8),(Tabla24567894[[#This Row],[TOTAL FACTURA]]*0.5))</f>
        <v>0</v>
      </c>
      <c r="K327" s="9">
        <f t="shared" si="4"/>
        <v>0</v>
      </c>
      <c r="L327" s="4"/>
      <c r="M327" s="10"/>
      <c r="N327" s="10">
        <f>Tabla24567894[[#This Row],[MONTO DE COMPRA]]/1.19</f>
        <v>0</v>
      </c>
      <c r="O327" s="10">
        <f>Tabla24567894[[#This Row],[Columna1]]*19%</f>
        <v>0</v>
      </c>
      <c r="P327" s="10"/>
      <c r="Q327" s="10">
        <f>Tabla24567894[[#This Row],[VENTA ]]/1.19</f>
        <v>0</v>
      </c>
      <c r="R327" s="10">
        <f>Tabla24567894[[#This Row],[Columna2]]*19%</f>
        <v>0</v>
      </c>
      <c r="S327" s="10">
        <f>Tabla24567894[[#This Row],[IVA VENTA ]]-Tabla24567894[[#This Row],[IV COMPRA]]</f>
        <v>0</v>
      </c>
      <c r="T327" s="10">
        <f>(Tabla24567894[[#This Row],[VENTA ]]-(Tabla24567894[[#This Row],[MONTO DE COMPRA]]+Tabla24567894[[#This Row],[DIFERENCIA IVA ]]))</f>
        <v>0</v>
      </c>
      <c r="V327" s="17"/>
    </row>
    <row r="328" spans="1:22" s="15" customFormat="1" ht="20.100000000000001" hidden="1" customHeight="1" x14ac:dyDescent="0.25">
      <c r="A328" s="13"/>
      <c r="B328" s="14"/>
      <c r="C328" s="14"/>
      <c r="D328" s="14"/>
      <c r="G328" s="14"/>
      <c r="H328" s="16"/>
      <c r="I328" s="20"/>
      <c r="J328" s="20">
        <f>IF(G:G="FRENOS",(Tabla24567894[[#This Row],[TOTAL FACTURA]]*0.8),(Tabla24567894[[#This Row],[TOTAL FACTURA]]*0.5))</f>
        <v>0</v>
      </c>
      <c r="K328" s="9">
        <f t="shared" si="4"/>
        <v>0</v>
      </c>
      <c r="L328" s="4"/>
      <c r="M328" s="10"/>
      <c r="N328" s="10">
        <f>Tabla24567894[[#This Row],[MONTO DE COMPRA]]/1.19</f>
        <v>0</v>
      </c>
      <c r="O328" s="10">
        <f>Tabla24567894[[#This Row],[Columna1]]*19%</f>
        <v>0</v>
      </c>
      <c r="P328" s="10"/>
      <c r="Q328" s="10">
        <f>Tabla24567894[[#This Row],[VENTA ]]/1.19</f>
        <v>0</v>
      </c>
      <c r="R328" s="10">
        <f>Tabla24567894[[#This Row],[Columna2]]*19%</f>
        <v>0</v>
      </c>
      <c r="S328" s="10">
        <f>Tabla24567894[[#This Row],[IVA VENTA ]]-Tabla24567894[[#This Row],[IV COMPRA]]</f>
        <v>0</v>
      </c>
      <c r="T328" s="10">
        <f>(Tabla24567894[[#This Row],[VENTA ]]-(Tabla24567894[[#This Row],[MONTO DE COMPRA]]+Tabla24567894[[#This Row],[DIFERENCIA IVA ]]))</f>
        <v>0</v>
      </c>
      <c r="V328" s="17"/>
    </row>
    <row r="329" spans="1:22" s="15" customFormat="1" ht="20.100000000000001" hidden="1" customHeight="1" x14ac:dyDescent="0.25">
      <c r="A329" s="13"/>
      <c r="B329" s="14"/>
      <c r="C329" s="14"/>
      <c r="D329" s="14"/>
      <c r="G329" s="14"/>
      <c r="H329" s="16"/>
      <c r="I329" s="20"/>
      <c r="J329" s="20">
        <f>IF(G:G="FRENOS",(Tabla24567894[[#This Row],[TOTAL FACTURA]]*0.8),(Tabla24567894[[#This Row],[TOTAL FACTURA]]*0.5))</f>
        <v>0</v>
      </c>
      <c r="K329" s="9">
        <f t="shared" si="4"/>
        <v>0</v>
      </c>
      <c r="L329" s="4"/>
      <c r="M329" s="10"/>
      <c r="N329" s="10">
        <f>Tabla24567894[[#This Row],[MONTO DE COMPRA]]/1.19</f>
        <v>0</v>
      </c>
      <c r="O329" s="10">
        <f>Tabla24567894[[#This Row],[Columna1]]*19%</f>
        <v>0</v>
      </c>
      <c r="P329" s="10"/>
      <c r="Q329" s="10">
        <f>Tabla24567894[[#This Row],[VENTA ]]/1.19</f>
        <v>0</v>
      </c>
      <c r="R329" s="10">
        <f>Tabla24567894[[#This Row],[Columna2]]*19%</f>
        <v>0</v>
      </c>
      <c r="S329" s="10">
        <f>Tabla24567894[[#This Row],[IVA VENTA ]]-Tabla24567894[[#This Row],[IV COMPRA]]</f>
        <v>0</v>
      </c>
      <c r="T329" s="10">
        <f>(Tabla24567894[[#This Row],[VENTA ]]-(Tabla24567894[[#This Row],[MONTO DE COMPRA]]+Tabla24567894[[#This Row],[DIFERENCIA IVA ]]))</f>
        <v>0</v>
      </c>
      <c r="V329" s="17"/>
    </row>
    <row r="330" spans="1:22" s="15" customFormat="1" ht="20.100000000000001" hidden="1" customHeight="1" x14ac:dyDescent="0.25">
      <c r="A330" s="13"/>
      <c r="B330" s="14"/>
      <c r="C330" s="14"/>
      <c r="D330" s="14"/>
      <c r="G330" s="14"/>
      <c r="H330" s="16"/>
      <c r="I330" s="20"/>
      <c r="J330" s="20">
        <f>IF(G:G="FRENOS",(Tabla24567894[[#This Row],[TOTAL FACTURA]]*0.8),(Tabla24567894[[#This Row],[TOTAL FACTURA]]*0.5))</f>
        <v>0</v>
      </c>
      <c r="K330" s="9">
        <f t="shared" si="4"/>
        <v>0</v>
      </c>
      <c r="L330" s="4"/>
      <c r="M330" s="10"/>
      <c r="N330" s="10">
        <f>Tabla24567894[[#This Row],[MONTO DE COMPRA]]/1.19</f>
        <v>0</v>
      </c>
      <c r="O330" s="10">
        <f>Tabla24567894[[#This Row],[Columna1]]*19%</f>
        <v>0</v>
      </c>
      <c r="P330" s="10"/>
      <c r="Q330" s="10">
        <f>Tabla24567894[[#This Row],[VENTA ]]/1.19</f>
        <v>0</v>
      </c>
      <c r="R330" s="10">
        <f>Tabla24567894[[#This Row],[Columna2]]*19%</f>
        <v>0</v>
      </c>
      <c r="S330" s="10">
        <f>Tabla24567894[[#This Row],[IVA VENTA ]]-Tabla24567894[[#This Row],[IV COMPRA]]</f>
        <v>0</v>
      </c>
      <c r="T330" s="10">
        <f>(Tabla24567894[[#This Row],[VENTA ]]-(Tabla24567894[[#This Row],[MONTO DE COMPRA]]+Tabla24567894[[#This Row],[DIFERENCIA IVA ]]))</f>
        <v>0</v>
      </c>
      <c r="V330" s="17"/>
    </row>
    <row r="331" spans="1:22" s="15" customFormat="1" ht="20.100000000000001" hidden="1" customHeight="1" x14ac:dyDescent="0.25">
      <c r="A331" s="13"/>
      <c r="B331" s="14"/>
      <c r="C331" s="14"/>
      <c r="D331" s="14"/>
      <c r="G331" s="14"/>
      <c r="H331" s="16"/>
      <c r="I331" s="20"/>
      <c r="J331" s="20">
        <f>IF(G:G="FRENOS",(Tabla24567894[[#This Row],[TOTAL FACTURA]]*0.8),(Tabla24567894[[#This Row],[TOTAL FACTURA]]*0.5))</f>
        <v>0</v>
      </c>
      <c r="K331" s="9">
        <f t="shared" si="4"/>
        <v>0</v>
      </c>
      <c r="L331" s="4"/>
      <c r="M331" s="10"/>
      <c r="N331" s="10">
        <f>Tabla24567894[[#This Row],[MONTO DE COMPRA]]/1.19</f>
        <v>0</v>
      </c>
      <c r="O331" s="10">
        <f>Tabla24567894[[#This Row],[Columna1]]*19%</f>
        <v>0</v>
      </c>
      <c r="P331" s="10"/>
      <c r="Q331" s="10">
        <f>Tabla24567894[[#This Row],[VENTA ]]/1.19</f>
        <v>0</v>
      </c>
      <c r="R331" s="10">
        <f>Tabla24567894[[#This Row],[Columna2]]*19%</f>
        <v>0</v>
      </c>
      <c r="S331" s="10">
        <f>Tabla24567894[[#This Row],[IVA VENTA ]]-Tabla24567894[[#This Row],[IV COMPRA]]</f>
        <v>0</v>
      </c>
      <c r="T331" s="10">
        <f>(Tabla24567894[[#This Row],[VENTA ]]-(Tabla24567894[[#This Row],[MONTO DE COMPRA]]+Tabla24567894[[#This Row],[DIFERENCIA IVA ]]))</f>
        <v>0</v>
      </c>
      <c r="V331" s="17"/>
    </row>
    <row r="332" spans="1:22" s="15" customFormat="1" ht="20.100000000000001" hidden="1" customHeight="1" x14ac:dyDescent="0.25">
      <c r="A332" s="13"/>
      <c r="B332" s="14"/>
      <c r="C332" s="14"/>
      <c r="D332" s="14"/>
      <c r="G332" s="14"/>
      <c r="H332" s="16"/>
      <c r="I332" s="20"/>
      <c r="J332" s="20">
        <f>IF(G:G="FRENOS",(Tabla24567894[[#This Row],[TOTAL FACTURA]]*0.8),(Tabla24567894[[#This Row],[TOTAL FACTURA]]*0.5))</f>
        <v>0</v>
      </c>
      <c r="K332" s="9">
        <f t="shared" si="4"/>
        <v>0</v>
      </c>
      <c r="L332" s="4"/>
      <c r="M332" s="10"/>
      <c r="N332" s="10">
        <f>Tabla24567894[[#This Row],[MONTO DE COMPRA]]/1.19</f>
        <v>0</v>
      </c>
      <c r="O332" s="10">
        <f>Tabla24567894[[#This Row],[Columna1]]*19%</f>
        <v>0</v>
      </c>
      <c r="P332" s="10"/>
      <c r="Q332" s="10">
        <f>Tabla24567894[[#This Row],[VENTA ]]/1.19</f>
        <v>0</v>
      </c>
      <c r="R332" s="10">
        <f>Tabla24567894[[#This Row],[Columna2]]*19%</f>
        <v>0</v>
      </c>
      <c r="S332" s="10">
        <f>Tabla24567894[[#This Row],[IVA VENTA ]]-Tabla24567894[[#This Row],[IV COMPRA]]</f>
        <v>0</v>
      </c>
      <c r="T332" s="10">
        <f>(Tabla24567894[[#This Row],[VENTA ]]-(Tabla24567894[[#This Row],[MONTO DE COMPRA]]+Tabla24567894[[#This Row],[DIFERENCIA IVA ]]))</f>
        <v>0</v>
      </c>
      <c r="V332" s="17"/>
    </row>
    <row r="333" spans="1:22" s="15" customFormat="1" ht="20.100000000000001" hidden="1" customHeight="1" x14ac:dyDescent="0.25">
      <c r="A333" s="13"/>
      <c r="B333" s="14"/>
      <c r="C333" s="14"/>
      <c r="D333" s="14"/>
      <c r="G333" s="14"/>
      <c r="H333" s="16"/>
      <c r="I333" s="20"/>
      <c r="J333" s="20">
        <f>IF(G:G="FRENOS",(Tabla24567894[[#This Row],[TOTAL FACTURA]]*0.8),(Tabla24567894[[#This Row],[TOTAL FACTURA]]*0.5))</f>
        <v>0</v>
      </c>
      <c r="K333" s="9">
        <f t="shared" ref="K333:K396" si="5">I333-J333</f>
        <v>0</v>
      </c>
      <c r="L333" s="4"/>
      <c r="M333" s="10"/>
      <c r="N333" s="10">
        <f>Tabla24567894[[#This Row],[MONTO DE COMPRA]]/1.19</f>
        <v>0</v>
      </c>
      <c r="O333" s="10">
        <f>Tabla24567894[[#This Row],[Columna1]]*19%</f>
        <v>0</v>
      </c>
      <c r="P333" s="10"/>
      <c r="Q333" s="10">
        <f>Tabla24567894[[#This Row],[VENTA ]]/1.19</f>
        <v>0</v>
      </c>
      <c r="R333" s="10">
        <f>Tabla24567894[[#This Row],[Columna2]]*19%</f>
        <v>0</v>
      </c>
      <c r="S333" s="10">
        <f>Tabla24567894[[#This Row],[IVA VENTA ]]-Tabla24567894[[#This Row],[IV COMPRA]]</f>
        <v>0</v>
      </c>
      <c r="T333" s="10">
        <f>(Tabla24567894[[#This Row],[VENTA ]]-(Tabla24567894[[#This Row],[MONTO DE COMPRA]]+Tabla24567894[[#This Row],[DIFERENCIA IVA ]]))</f>
        <v>0</v>
      </c>
      <c r="V333" s="17"/>
    </row>
    <row r="334" spans="1:22" s="15" customFormat="1" ht="20.100000000000001" hidden="1" customHeight="1" x14ac:dyDescent="0.25">
      <c r="A334" s="13"/>
      <c r="B334" s="14"/>
      <c r="C334" s="14"/>
      <c r="D334" s="14"/>
      <c r="G334" s="14"/>
      <c r="H334" s="16"/>
      <c r="I334" s="20"/>
      <c r="J334" s="20">
        <f>IF(G:G="FRENOS",(Tabla24567894[[#This Row],[TOTAL FACTURA]]*0.8),(Tabla24567894[[#This Row],[TOTAL FACTURA]]*0.5))</f>
        <v>0</v>
      </c>
      <c r="K334" s="9">
        <f t="shared" si="5"/>
        <v>0</v>
      </c>
      <c r="L334" s="4"/>
      <c r="M334" s="10"/>
      <c r="N334" s="10">
        <f>Tabla24567894[[#This Row],[MONTO DE COMPRA]]/1.19</f>
        <v>0</v>
      </c>
      <c r="O334" s="10">
        <f>Tabla24567894[[#This Row],[Columna1]]*19%</f>
        <v>0</v>
      </c>
      <c r="P334" s="10"/>
      <c r="Q334" s="10">
        <f>Tabla24567894[[#This Row],[VENTA ]]/1.19</f>
        <v>0</v>
      </c>
      <c r="R334" s="10">
        <f>Tabla24567894[[#This Row],[Columna2]]*19%</f>
        <v>0</v>
      </c>
      <c r="S334" s="10">
        <f>Tabla24567894[[#This Row],[IVA VENTA ]]-Tabla24567894[[#This Row],[IV COMPRA]]</f>
        <v>0</v>
      </c>
      <c r="T334" s="10">
        <f>(Tabla24567894[[#This Row],[VENTA ]]-(Tabla24567894[[#This Row],[MONTO DE COMPRA]]+Tabla24567894[[#This Row],[DIFERENCIA IVA ]]))</f>
        <v>0</v>
      </c>
      <c r="V334" s="17"/>
    </row>
    <row r="335" spans="1:22" s="15" customFormat="1" ht="20.100000000000001" hidden="1" customHeight="1" x14ac:dyDescent="0.25">
      <c r="A335" s="13"/>
      <c r="B335" s="14"/>
      <c r="C335" s="14"/>
      <c r="D335" s="14"/>
      <c r="G335" s="14"/>
      <c r="H335" s="16"/>
      <c r="I335" s="20"/>
      <c r="J335" s="20">
        <f>IF(G:G="FRENOS",(Tabla24567894[[#This Row],[TOTAL FACTURA]]*0.8),(Tabla24567894[[#This Row],[TOTAL FACTURA]]*0.5))</f>
        <v>0</v>
      </c>
      <c r="K335" s="9">
        <f t="shared" si="5"/>
        <v>0</v>
      </c>
      <c r="L335" s="4"/>
      <c r="M335" s="10"/>
      <c r="N335" s="10">
        <f>Tabla24567894[[#This Row],[MONTO DE COMPRA]]/1.19</f>
        <v>0</v>
      </c>
      <c r="O335" s="10">
        <f>Tabla24567894[[#This Row],[Columna1]]*19%</f>
        <v>0</v>
      </c>
      <c r="P335" s="10"/>
      <c r="Q335" s="10">
        <f>Tabla24567894[[#This Row],[VENTA ]]/1.19</f>
        <v>0</v>
      </c>
      <c r="R335" s="10">
        <f>Tabla24567894[[#This Row],[Columna2]]*19%</f>
        <v>0</v>
      </c>
      <c r="S335" s="10">
        <f>Tabla24567894[[#This Row],[IVA VENTA ]]-Tabla24567894[[#This Row],[IV COMPRA]]</f>
        <v>0</v>
      </c>
      <c r="T335" s="10">
        <f>(Tabla24567894[[#This Row],[VENTA ]]-(Tabla24567894[[#This Row],[MONTO DE COMPRA]]+Tabla24567894[[#This Row],[DIFERENCIA IVA ]]))</f>
        <v>0</v>
      </c>
      <c r="V335" s="17"/>
    </row>
    <row r="336" spans="1:22" s="15" customFormat="1" ht="20.100000000000001" hidden="1" customHeight="1" x14ac:dyDescent="0.25">
      <c r="A336" s="13"/>
      <c r="B336" s="14"/>
      <c r="C336" s="14"/>
      <c r="D336" s="14"/>
      <c r="G336" s="14"/>
      <c r="H336" s="16"/>
      <c r="I336" s="20"/>
      <c r="J336" s="20">
        <f>IF(G:G="FRENOS",(Tabla24567894[[#This Row],[TOTAL FACTURA]]*0.8),(Tabla24567894[[#This Row],[TOTAL FACTURA]]*0.5))</f>
        <v>0</v>
      </c>
      <c r="K336" s="9">
        <f t="shared" si="5"/>
        <v>0</v>
      </c>
      <c r="L336" s="4"/>
      <c r="M336" s="10"/>
      <c r="N336" s="10">
        <f>Tabla24567894[[#This Row],[MONTO DE COMPRA]]/1.19</f>
        <v>0</v>
      </c>
      <c r="O336" s="10">
        <f>Tabla24567894[[#This Row],[Columna1]]*19%</f>
        <v>0</v>
      </c>
      <c r="P336" s="10"/>
      <c r="Q336" s="10">
        <f>Tabla24567894[[#This Row],[VENTA ]]/1.19</f>
        <v>0</v>
      </c>
      <c r="R336" s="10">
        <f>Tabla24567894[[#This Row],[Columna2]]*19%</f>
        <v>0</v>
      </c>
      <c r="S336" s="10">
        <f>Tabla24567894[[#This Row],[IVA VENTA ]]-Tabla24567894[[#This Row],[IV COMPRA]]</f>
        <v>0</v>
      </c>
      <c r="T336" s="10">
        <f>(Tabla24567894[[#This Row],[VENTA ]]-(Tabla24567894[[#This Row],[MONTO DE COMPRA]]+Tabla24567894[[#This Row],[DIFERENCIA IVA ]]))</f>
        <v>0</v>
      </c>
      <c r="V336" s="17"/>
    </row>
    <row r="337" spans="1:22" s="15" customFormat="1" ht="20.100000000000001" hidden="1" customHeight="1" x14ac:dyDescent="0.25">
      <c r="A337" s="13"/>
      <c r="B337" s="14"/>
      <c r="C337" s="14"/>
      <c r="D337" s="14"/>
      <c r="G337" s="14"/>
      <c r="H337" s="16"/>
      <c r="I337" s="20"/>
      <c r="J337" s="20">
        <f>IF(G:G="FRENOS",(Tabla24567894[[#This Row],[TOTAL FACTURA]]*0.8),(Tabla24567894[[#This Row],[TOTAL FACTURA]]*0.5))</f>
        <v>0</v>
      </c>
      <c r="K337" s="9">
        <f t="shared" si="5"/>
        <v>0</v>
      </c>
      <c r="L337" s="4"/>
      <c r="M337" s="10"/>
      <c r="N337" s="10">
        <f>Tabla24567894[[#This Row],[MONTO DE COMPRA]]/1.19</f>
        <v>0</v>
      </c>
      <c r="O337" s="10">
        <f>Tabla24567894[[#This Row],[Columna1]]*19%</f>
        <v>0</v>
      </c>
      <c r="P337" s="10"/>
      <c r="Q337" s="10">
        <f>Tabla24567894[[#This Row],[VENTA ]]/1.19</f>
        <v>0</v>
      </c>
      <c r="R337" s="10">
        <f>Tabla24567894[[#This Row],[Columna2]]*19%</f>
        <v>0</v>
      </c>
      <c r="S337" s="10">
        <f>Tabla24567894[[#This Row],[IVA VENTA ]]-Tabla24567894[[#This Row],[IV COMPRA]]</f>
        <v>0</v>
      </c>
      <c r="T337" s="10">
        <f>(Tabla24567894[[#This Row],[VENTA ]]-(Tabla24567894[[#This Row],[MONTO DE COMPRA]]+Tabla24567894[[#This Row],[DIFERENCIA IVA ]]))</f>
        <v>0</v>
      </c>
      <c r="V337" s="17"/>
    </row>
    <row r="338" spans="1:22" s="15" customFormat="1" ht="20.100000000000001" hidden="1" customHeight="1" x14ac:dyDescent="0.25">
      <c r="A338" s="13"/>
      <c r="B338" s="14"/>
      <c r="C338" s="14"/>
      <c r="D338" s="14"/>
      <c r="G338" s="14"/>
      <c r="H338" s="16"/>
      <c r="I338" s="20"/>
      <c r="J338" s="20">
        <f>IF(G:G="FRENOS",(Tabla24567894[[#This Row],[TOTAL FACTURA]]*0.8),(Tabla24567894[[#This Row],[TOTAL FACTURA]]*0.5))</f>
        <v>0</v>
      </c>
      <c r="K338" s="9">
        <f t="shared" si="5"/>
        <v>0</v>
      </c>
      <c r="L338" s="4"/>
      <c r="M338" s="10"/>
      <c r="N338" s="10">
        <f>Tabla24567894[[#This Row],[MONTO DE COMPRA]]/1.19</f>
        <v>0</v>
      </c>
      <c r="O338" s="10">
        <f>Tabla24567894[[#This Row],[Columna1]]*19%</f>
        <v>0</v>
      </c>
      <c r="P338" s="10"/>
      <c r="Q338" s="10">
        <f>Tabla24567894[[#This Row],[VENTA ]]/1.19</f>
        <v>0</v>
      </c>
      <c r="R338" s="10">
        <f>Tabla24567894[[#This Row],[Columna2]]*19%</f>
        <v>0</v>
      </c>
      <c r="S338" s="10">
        <f>Tabla24567894[[#This Row],[IVA VENTA ]]-Tabla24567894[[#This Row],[IV COMPRA]]</f>
        <v>0</v>
      </c>
      <c r="T338" s="10">
        <f>(Tabla24567894[[#This Row],[VENTA ]]-(Tabla24567894[[#This Row],[MONTO DE COMPRA]]+Tabla24567894[[#This Row],[DIFERENCIA IVA ]]))</f>
        <v>0</v>
      </c>
      <c r="V338" s="17"/>
    </row>
    <row r="339" spans="1:22" s="15" customFormat="1" ht="20.100000000000001" hidden="1" customHeight="1" x14ac:dyDescent="0.25">
      <c r="A339" s="13"/>
      <c r="B339" s="14"/>
      <c r="C339" s="14"/>
      <c r="D339" s="14"/>
      <c r="G339" s="14"/>
      <c r="H339" s="16"/>
      <c r="I339" s="20"/>
      <c r="J339" s="20">
        <f>IF(G:G="FRENOS",(Tabla24567894[[#This Row],[TOTAL FACTURA]]*0.8),(Tabla24567894[[#This Row],[TOTAL FACTURA]]*0.5))</f>
        <v>0</v>
      </c>
      <c r="K339" s="9">
        <f t="shared" si="5"/>
        <v>0</v>
      </c>
      <c r="L339" s="4"/>
      <c r="M339" s="10"/>
      <c r="N339" s="10">
        <f>Tabla24567894[[#This Row],[MONTO DE COMPRA]]/1.19</f>
        <v>0</v>
      </c>
      <c r="O339" s="10">
        <f>Tabla24567894[[#This Row],[Columna1]]*19%</f>
        <v>0</v>
      </c>
      <c r="P339" s="10"/>
      <c r="Q339" s="10">
        <f>Tabla24567894[[#This Row],[VENTA ]]/1.19</f>
        <v>0</v>
      </c>
      <c r="R339" s="10">
        <f>Tabla24567894[[#This Row],[Columna2]]*19%</f>
        <v>0</v>
      </c>
      <c r="S339" s="10">
        <f>Tabla24567894[[#This Row],[IVA VENTA ]]-Tabla24567894[[#This Row],[IV COMPRA]]</f>
        <v>0</v>
      </c>
      <c r="T339" s="10">
        <f>(Tabla24567894[[#This Row],[VENTA ]]-(Tabla24567894[[#This Row],[MONTO DE COMPRA]]+Tabla24567894[[#This Row],[DIFERENCIA IVA ]]))</f>
        <v>0</v>
      </c>
      <c r="V339" s="17"/>
    </row>
    <row r="340" spans="1:22" s="15" customFormat="1" ht="20.100000000000001" hidden="1" customHeight="1" x14ac:dyDescent="0.25">
      <c r="A340" s="13"/>
      <c r="B340" s="14"/>
      <c r="C340" s="14"/>
      <c r="D340" s="14"/>
      <c r="G340" s="14"/>
      <c r="H340" s="16"/>
      <c r="I340" s="20"/>
      <c r="J340" s="20">
        <f>IF(G:G="FRENOS",(Tabla24567894[[#This Row],[TOTAL FACTURA]]*0.8),(Tabla24567894[[#This Row],[TOTAL FACTURA]]*0.5))</f>
        <v>0</v>
      </c>
      <c r="K340" s="9">
        <f t="shared" si="5"/>
        <v>0</v>
      </c>
      <c r="L340" s="4"/>
      <c r="M340" s="10"/>
      <c r="N340" s="10">
        <f>Tabla24567894[[#This Row],[MONTO DE COMPRA]]/1.19</f>
        <v>0</v>
      </c>
      <c r="O340" s="10">
        <f>Tabla24567894[[#This Row],[Columna1]]*19%</f>
        <v>0</v>
      </c>
      <c r="P340" s="10"/>
      <c r="Q340" s="10">
        <f>Tabla24567894[[#This Row],[VENTA ]]/1.19</f>
        <v>0</v>
      </c>
      <c r="R340" s="10">
        <f>Tabla24567894[[#This Row],[Columna2]]*19%</f>
        <v>0</v>
      </c>
      <c r="S340" s="10">
        <f>Tabla24567894[[#This Row],[IVA VENTA ]]-Tabla24567894[[#This Row],[IV COMPRA]]</f>
        <v>0</v>
      </c>
      <c r="T340" s="10">
        <f>(Tabla24567894[[#This Row],[VENTA ]]-(Tabla24567894[[#This Row],[MONTO DE COMPRA]]+Tabla24567894[[#This Row],[DIFERENCIA IVA ]]))</f>
        <v>0</v>
      </c>
      <c r="V340" s="17"/>
    </row>
    <row r="341" spans="1:22" s="15" customFormat="1" ht="20.100000000000001" hidden="1" customHeight="1" x14ac:dyDescent="0.25">
      <c r="A341" s="13"/>
      <c r="B341" s="14"/>
      <c r="C341" s="14"/>
      <c r="D341" s="14"/>
      <c r="G341" s="14"/>
      <c r="H341" s="16"/>
      <c r="I341" s="20"/>
      <c r="J341" s="20">
        <f>IF(G:G="FRENOS",(Tabla24567894[[#This Row],[TOTAL FACTURA]]*0.8),(Tabla24567894[[#This Row],[TOTAL FACTURA]]*0.5))</f>
        <v>0</v>
      </c>
      <c r="K341" s="9">
        <f t="shared" si="5"/>
        <v>0</v>
      </c>
      <c r="L341" s="4"/>
      <c r="M341" s="10"/>
      <c r="N341" s="10">
        <f>Tabla24567894[[#This Row],[MONTO DE COMPRA]]/1.19</f>
        <v>0</v>
      </c>
      <c r="O341" s="10">
        <f>Tabla24567894[[#This Row],[Columna1]]*19%</f>
        <v>0</v>
      </c>
      <c r="P341" s="10"/>
      <c r="Q341" s="10">
        <f>Tabla24567894[[#This Row],[VENTA ]]/1.19</f>
        <v>0</v>
      </c>
      <c r="R341" s="10">
        <f>Tabla24567894[[#This Row],[Columna2]]*19%</f>
        <v>0</v>
      </c>
      <c r="S341" s="10">
        <f>Tabla24567894[[#This Row],[IVA VENTA ]]-Tabla24567894[[#This Row],[IV COMPRA]]</f>
        <v>0</v>
      </c>
      <c r="T341" s="10">
        <f>(Tabla24567894[[#This Row],[VENTA ]]-(Tabla24567894[[#This Row],[MONTO DE COMPRA]]+Tabla24567894[[#This Row],[DIFERENCIA IVA ]]))</f>
        <v>0</v>
      </c>
      <c r="V341" s="17"/>
    </row>
    <row r="342" spans="1:22" s="15" customFormat="1" ht="20.100000000000001" hidden="1" customHeight="1" x14ac:dyDescent="0.25">
      <c r="A342" s="13"/>
      <c r="B342" s="14"/>
      <c r="C342" s="14"/>
      <c r="D342" s="14"/>
      <c r="G342" s="14"/>
      <c r="H342" s="16"/>
      <c r="I342" s="20"/>
      <c r="J342" s="20">
        <f>IF(G:G="FRENOS",(Tabla24567894[[#This Row],[TOTAL FACTURA]]*0.8),(Tabla24567894[[#This Row],[TOTAL FACTURA]]*0.5))</f>
        <v>0</v>
      </c>
      <c r="K342" s="9">
        <f t="shared" si="5"/>
        <v>0</v>
      </c>
      <c r="L342" s="4"/>
      <c r="M342" s="10"/>
      <c r="N342" s="10">
        <f>Tabla24567894[[#This Row],[MONTO DE COMPRA]]/1.19</f>
        <v>0</v>
      </c>
      <c r="O342" s="10">
        <f>Tabla24567894[[#This Row],[Columna1]]*19%</f>
        <v>0</v>
      </c>
      <c r="P342" s="10"/>
      <c r="Q342" s="10">
        <f>Tabla24567894[[#This Row],[VENTA ]]/1.19</f>
        <v>0</v>
      </c>
      <c r="R342" s="10">
        <f>Tabla24567894[[#This Row],[Columna2]]*19%</f>
        <v>0</v>
      </c>
      <c r="S342" s="10">
        <f>Tabla24567894[[#This Row],[IVA VENTA ]]-Tabla24567894[[#This Row],[IV COMPRA]]</f>
        <v>0</v>
      </c>
      <c r="T342" s="10">
        <f>(Tabla24567894[[#This Row],[VENTA ]]-(Tabla24567894[[#This Row],[MONTO DE COMPRA]]+Tabla24567894[[#This Row],[DIFERENCIA IVA ]]))</f>
        <v>0</v>
      </c>
      <c r="V342" s="17"/>
    </row>
    <row r="343" spans="1:22" s="15" customFormat="1" ht="20.100000000000001" hidden="1" customHeight="1" x14ac:dyDescent="0.25">
      <c r="A343" s="13"/>
      <c r="B343" s="14"/>
      <c r="C343" s="14"/>
      <c r="D343" s="14"/>
      <c r="G343" s="14"/>
      <c r="H343" s="16"/>
      <c r="I343" s="20"/>
      <c r="J343" s="20">
        <f>IF(G:G="FRENOS",(Tabla24567894[[#This Row],[TOTAL FACTURA]]*0.8),(Tabla24567894[[#This Row],[TOTAL FACTURA]]*0.5))</f>
        <v>0</v>
      </c>
      <c r="K343" s="9">
        <f t="shared" si="5"/>
        <v>0</v>
      </c>
      <c r="L343" s="4"/>
      <c r="M343" s="10"/>
      <c r="N343" s="10">
        <f>Tabla24567894[[#This Row],[MONTO DE COMPRA]]/1.19</f>
        <v>0</v>
      </c>
      <c r="O343" s="10">
        <f>Tabla24567894[[#This Row],[Columna1]]*19%</f>
        <v>0</v>
      </c>
      <c r="P343" s="10"/>
      <c r="Q343" s="10">
        <f>Tabla24567894[[#This Row],[VENTA ]]/1.19</f>
        <v>0</v>
      </c>
      <c r="R343" s="10">
        <f>Tabla24567894[[#This Row],[Columna2]]*19%</f>
        <v>0</v>
      </c>
      <c r="S343" s="10">
        <f>Tabla24567894[[#This Row],[IVA VENTA ]]-Tabla24567894[[#This Row],[IV COMPRA]]</f>
        <v>0</v>
      </c>
      <c r="T343" s="10">
        <f>(Tabla24567894[[#This Row],[VENTA ]]-(Tabla24567894[[#This Row],[MONTO DE COMPRA]]+Tabla24567894[[#This Row],[DIFERENCIA IVA ]]))</f>
        <v>0</v>
      </c>
      <c r="V343" s="17"/>
    </row>
    <row r="344" spans="1:22" s="15" customFormat="1" ht="20.100000000000001" hidden="1" customHeight="1" x14ac:dyDescent="0.25">
      <c r="A344" s="13"/>
      <c r="B344" s="14"/>
      <c r="C344" s="14"/>
      <c r="D344" s="14"/>
      <c r="G344" s="14"/>
      <c r="H344" s="16"/>
      <c r="I344" s="20"/>
      <c r="J344" s="20">
        <f>IF(G:G="FRENOS",(Tabla24567894[[#This Row],[TOTAL FACTURA]]*0.8),(Tabla24567894[[#This Row],[TOTAL FACTURA]]*0.5))</f>
        <v>0</v>
      </c>
      <c r="K344" s="9">
        <f t="shared" si="5"/>
        <v>0</v>
      </c>
      <c r="L344" s="4"/>
      <c r="M344" s="10"/>
      <c r="N344" s="10">
        <f>Tabla24567894[[#This Row],[MONTO DE COMPRA]]/1.19</f>
        <v>0</v>
      </c>
      <c r="O344" s="10">
        <f>Tabla24567894[[#This Row],[Columna1]]*19%</f>
        <v>0</v>
      </c>
      <c r="P344" s="10"/>
      <c r="Q344" s="10">
        <f>Tabla24567894[[#This Row],[VENTA ]]/1.19</f>
        <v>0</v>
      </c>
      <c r="R344" s="10">
        <f>Tabla24567894[[#This Row],[Columna2]]*19%</f>
        <v>0</v>
      </c>
      <c r="S344" s="10">
        <f>Tabla24567894[[#This Row],[IVA VENTA ]]-Tabla24567894[[#This Row],[IV COMPRA]]</f>
        <v>0</v>
      </c>
      <c r="T344" s="10">
        <f>(Tabla24567894[[#This Row],[VENTA ]]-(Tabla24567894[[#This Row],[MONTO DE COMPRA]]+Tabla24567894[[#This Row],[DIFERENCIA IVA ]]))</f>
        <v>0</v>
      </c>
      <c r="V344" s="17"/>
    </row>
    <row r="345" spans="1:22" s="15" customFormat="1" ht="20.100000000000001" hidden="1" customHeight="1" x14ac:dyDescent="0.25">
      <c r="A345" s="13"/>
      <c r="B345" s="14"/>
      <c r="C345" s="14"/>
      <c r="D345" s="14"/>
      <c r="G345" s="14"/>
      <c r="H345" s="16"/>
      <c r="I345" s="20"/>
      <c r="J345" s="20">
        <f>IF(G:G="FRENOS",(Tabla24567894[[#This Row],[TOTAL FACTURA]]*0.8),(Tabla24567894[[#This Row],[TOTAL FACTURA]]*0.5))</f>
        <v>0</v>
      </c>
      <c r="K345" s="9">
        <f t="shared" si="5"/>
        <v>0</v>
      </c>
      <c r="L345" s="4"/>
      <c r="M345" s="10"/>
      <c r="N345" s="10">
        <f>Tabla24567894[[#This Row],[MONTO DE COMPRA]]/1.19</f>
        <v>0</v>
      </c>
      <c r="O345" s="10">
        <f>Tabla24567894[[#This Row],[Columna1]]*19%</f>
        <v>0</v>
      </c>
      <c r="P345" s="10"/>
      <c r="Q345" s="10">
        <f>Tabla24567894[[#This Row],[VENTA ]]/1.19</f>
        <v>0</v>
      </c>
      <c r="R345" s="10">
        <f>Tabla24567894[[#This Row],[Columna2]]*19%</f>
        <v>0</v>
      </c>
      <c r="S345" s="10">
        <f>Tabla24567894[[#This Row],[IVA VENTA ]]-Tabla24567894[[#This Row],[IV COMPRA]]</f>
        <v>0</v>
      </c>
      <c r="T345" s="10">
        <f>(Tabla24567894[[#This Row],[VENTA ]]-(Tabla24567894[[#This Row],[MONTO DE COMPRA]]+Tabla24567894[[#This Row],[DIFERENCIA IVA ]]))</f>
        <v>0</v>
      </c>
      <c r="V345" s="17"/>
    </row>
    <row r="346" spans="1:22" s="15" customFormat="1" ht="20.100000000000001" hidden="1" customHeight="1" x14ac:dyDescent="0.25">
      <c r="A346" s="13"/>
      <c r="B346" s="14"/>
      <c r="C346" s="14"/>
      <c r="D346" s="14"/>
      <c r="G346" s="14"/>
      <c r="H346" s="16"/>
      <c r="I346" s="20"/>
      <c r="J346" s="20">
        <f>IF(G:G="FRENOS",(Tabla24567894[[#This Row],[TOTAL FACTURA]]*0.8),(Tabla24567894[[#This Row],[TOTAL FACTURA]]*0.5))</f>
        <v>0</v>
      </c>
      <c r="K346" s="9">
        <f t="shared" si="5"/>
        <v>0</v>
      </c>
      <c r="L346" s="4"/>
      <c r="M346" s="10"/>
      <c r="N346" s="10">
        <f>Tabla24567894[[#This Row],[MONTO DE COMPRA]]/1.19</f>
        <v>0</v>
      </c>
      <c r="O346" s="10">
        <f>Tabla24567894[[#This Row],[Columna1]]*19%</f>
        <v>0</v>
      </c>
      <c r="P346" s="10"/>
      <c r="Q346" s="10">
        <f>Tabla24567894[[#This Row],[VENTA ]]/1.19</f>
        <v>0</v>
      </c>
      <c r="R346" s="10">
        <f>Tabla24567894[[#This Row],[Columna2]]*19%</f>
        <v>0</v>
      </c>
      <c r="S346" s="10">
        <f>Tabla24567894[[#This Row],[IVA VENTA ]]-Tabla24567894[[#This Row],[IV COMPRA]]</f>
        <v>0</v>
      </c>
      <c r="T346" s="10">
        <f>(Tabla24567894[[#This Row],[VENTA ]]-(Tabla24567894[[#This Row],[MONTO DE COMPRA]]+Tabla24567894[[#This Row],[DIFERENCIA IVA ]]))</f>
        <v>0</v>
      </c>
      <c r="V346" s="17"/>
    </row>
    <row r="347" spans="1:22" s="15" customFormat="1" ht="20.100000000000001" hidden="1" customHeight="1" x14ac:dyDescent="0.25">
      <c r="A347" s="13"/>
      <c r="B347" s="14"/>
      <c r="C347" s="14"/>
      <c r="D347" s="14"/>
      <c r="G347" s="14"/>
      <c r="H347" s="16"/>
      <c r="I347" s="20"/>
      <c r="J347" s="20">
        <f>IF(G:G="FRENOS",(Tabla24567894[[#This Row],[TOTAL FACTURA]]*0.8),(Tabla24567894[[#This Row],[TOTAL FACTURA]]*0.5))</f>
        <v>0</v>
      </c>
      <c r="K347" s="9">
        <f t="shared" si="5"/>
        <v>0</v>
      </c>
      <c r="L347" s="4"/>
      <c r="M347" s="10"/>
      <c r="N347" s="10">
        <f>Tabla24567894[[#This Row],[MONTO DE COMPRA]]/1.19</f>
        <v>0</v>
      </c>
      <c r="O347" s="10">
        <f>Tabla24567894[[#This Row],[Columna1]]*19%</f>
        <v>0</v>
      </c>
      <c r="P347" s="10"/>
      <c r="Q347" s="10">
        <f>Tabla24567894[[#This Row],[VENTA ]]/1.19</f>
        <v>0</v>
      </c>
      <c r="R347" s="10">
        <f>Tabla24567894[[#This Row],[Columna2]]*19%</f>
        <v>0</v>
      </c>
      <c r="S347" s="10">
        <f>Tabla24567894[[#This Row],[IVA VENTA ]]-Tabla24567894[[#This Row],[IV COMPRA]]</f>
        <v>0</v>
      </c>
      <c r="T347" s="10">
        <f>(Tabla24567894[[#This Row],[VENTA ]]-(Tabla24567894[[#This Row],[MONTO DE COMPRA]]+Tabla24567894[[#This Row],[DIFERENCIA IVA ]]))</f>
        <v>0</v>
      </c>
      <c r="V347" s="17"/>
    </row>
    <row r="348" spans="1:22" s="15" customFormat="1" ht="20.100000000000001" hidden="1" customHeight="1" x14ac:dyDescent="0.25">
      <c r="A348" s="13"/>
      <c r="B348" s="14"/>
      <c r="C348" s="14"/>
      <c r="D348" s="14"/>
      <c r="G348" s="14"/>
      <c r="H348" s="16"/>
      <c r="I348" s="20"/>
      <c r="J348" s="20">
        <f>IF(G:G="FRENOS",(Tabla24567894[[#This Row],[TOTAL FACTURA]]*0.8),(Tabla24567894[[#This Row],[TOTAL FACTURA]]*0.5))</f>
        <v>0</v>
      </c>
      <c r="K348" s="9">
        <f t="shared" si="5"/>
        <v>0</v>
      </c>
      <c r="L348" s="4"/>
      <c r="M348" s="10"/>
      <c r="N348" s="10">
        <f>Tabla24567894[[#This Row],[MONTO DE COMPRA]]/1.19</f>
        <v>0</v>
      </c>
      <c r="O348" s="10">
        <f>Tabla24567894[[#This Row],[Columna1]]*19%</f>
        <v>0</v>
      </c>
      <c r="P348" s="10"/>
      <c r="Q348" s="10">
        <f>Tabla24567894[[#This Row],[VENTA ]]/1.19</f>
        <v>0</v>
      </c>
      <c r="R348" s="10">
        <f>Tabla24567894[[#This Row],[Columna2]]*19%</f>
        <v>0</v>
      </c>
      <c r="S348" s="10">
        <f>Tabla24567894[[#This Row],[IVA VENTA ]]-Tabla24567894[[#This Row],[IV COMPRA]]</f>
        <v>0</v>
      </c>
      <c r="T348" s="10">
        <f>(Tabla24567894[[#This Row],[VENTA ]]-(Tabla24567894[[#This Row],[MONTO DE COMPRA]]+Tabla24567894[[#This Row],[DIFERENCIA IVA ]]))</f>
        <v>0</v>
      </c>
      <c r="V348" s="17"/>
    </row>
    <row r="349" spans="1:22" s="15" customFormat="1" ht="20.100000000000001" hidden="1" customHeight="1" x14ac:dyDescent="0.25">
      <c r="A349" s="13"/>
      <c r="B349" s="14"/>
      <c r="C349" s="14"/>
      <c r="D349" s="14"/>
      <c r="G349" s="14"/>
      <c r="H349" s="16"/>
      <c r="I349" s="20"/>
      <c r="J349" s="20">
        <f>IF(G:G="FRENOS",(Tabla24567894[[#This Row],[TOTAL FACTURA]]*0.8),(Tabla24567894[[#This Row],[TOTAL FACTURA]]*0.5))</f>
        <v>0</v>
      </c>
      <c r="K349" s="9">
        <f t="shared" si="5"/>
        <v>0</v>
      </c>
      <c r="L349" s="4"/>
      <c r="M349" s="10"/>
      <c r="N349" s="10">
        <f>Tabla24567894[[#This Row],[MONTO DE COMPRA]]/1.19</f>
        <v>0</v>
      </c>
      <c r="O349" s="10">
        <f>Tabla24567894[[#This Row],[Columna1]]*19%</f>
        <v>0</v>
      </c>
      <c r="P349" s="10"/>
      <c r="Q349" s="10">
        <f>Tabla24567894[[#This Row],[VENTA ]]/1.19</f>
        <v>0</v>
      </c>
      <c r="R349" s="10">
        <f>Tabla24567894[[#This Row],[Columna2]]*19%</f>
        <v>0</v>
      </c>
      <c r="S349" s="10">
        <f>Tabla24567894[[#This Row],[IVA VENTA ]]-Tabla24567894[[#This Row],[IV COMPRA]]</f>
        <v>0</v>
      </c>
      <c r="T349" s="10">
        <f>(Tabla24567894[[#This Row],[VENTA ]]-(Tabla24567894[[#This Row],[MONTO DE COMPRA]]+Tabla24567894[[#This Row],[DIFERENCIA IVA ]]))</f>
        <v>0</v>
      </c>
      <c r="V349" s="17"/>
    </row>
    <row r="350" spans="1:22" s="15" customFormat="1" ht="20.100000000000001" hidden="1" customHeight="1" x14ac:dyDescent="0.25">
      <c r="A350" s="13"/>
      <c r="B350" s="14"/>
      <c r="C350" s="14"/>
      <c r="D350" s="14"/>
      <c r="G350" s="14"/>
      <c r="H350" s="16"/>
      <c r="I350" s="20"/>
      <c r="J350" s="20">
        <f>IF(G:G="FRENOS",(Tabla24567894[[#This Row],[TOTAL FACTURA]]*0.8),(Tabla24567894[[#This Row],[TOTAL FACTURA]]*0.5))</f>
        <v>0</v>
      </c>
      <c r="K350" s="9">
        <f t="shared" si="5"/>
        <v>0</v>
      </c>
      <c r="L350" s="4"/>
      <c r="M350" s="10"/>
      <c r="N350" s="10">
        <f>Tabla24567894[[#This Row],[MONTO DE COMPRA]]/1.19</f>
        <v>0</v>
      </c>
      <c r="O350" s="10">
        <f>Tabla24567894[[#This Row],[Columna1]]*19%</f>
        <v>0</v>
      </c>
      <c r="P350" s="10"/>
      <c r="Q350" s="10">
        <f>Tabla24567894[[#This Row],[VENTA ]]/1.19</f>
        <v>0</v>
      </c>
      <c r="R350" s="10">
        <f>Tabla24567894[[#This Row],[Columna2]]*19%</f>
        <v>0</v>
      </c>
      <c r="S350" s="10">
        <f>Tabla24567894[[#This Row],[IVA VENTA ]]-Tabla24567894[[#This Row],[IV COMPRA]]</f>
        <v>0</v>
      </c>
      <c r="T350" s="10">
        <f>(Tabla24567894[[#This Row],[VENTA ]]-(Tabla24567894[[#This Row],[MONTO DE COMPRA]]+Tabla24567894[[#This Row],[DIFERENCIA IVA ]]))</f>
        <v>0</v>
      </c>
      <c r="V350" s="17"/>
    </row>
    <row r="351" spans="1:22" s="15" customFormat="1" ht="20.100000000000001" hidden="1" customHeight="1" x14ac:dyDescent="0.25">
      <c r="A351" s="13"/>
      <c r="B351" s="14"/>
      <c r="C351" s="14"/>
      <c r="D351" s="14"/>
      <c r="G351" s="14"/>
      <c r="H351" s="16"/>
      <c r="I351" s="20"/>
      <c r="J351" s="20">
        <f>IF(G:G="FRENOS",(Tabla24567894[[#This Row],[TOTAL FACTURA]]*0.8),(Tabla24567894[[#This Row],[TOTAL FACTURA]]*0.5))</f>
        <v>0</v>
      </c>
      <c r="K351" s="9">
        <f t="shared" si="5"/>
        <v>0</v>
      </c>
      <c r="L351" s="4"/>
      <c r="M351" s="10"/>
      <c r="N351" s="10">
        <f>Tabla24567894[[#This Row],[MONTO DE COMPRA]]/1.19</f>
        <v>0</v>
      </c>
      <c r="O351" s="10">
        <f>Tabla24567894[[#This Row],[Columna1]]*19%</f>
        <v>0</v>
      </c>
      <c r="P351" s="10"/>
      <c r="Q351" s="10">
        <f>Tabla24567894[[#This Row],[VENTA ]]/1.19</f>
        <v>0</v>
      </c>
      <c r="R351" s="10">
        <f>Tabla24567894[[#This Row],[Columna2]]*19%</f>
        <v>0</v>
      </c>
      <c r="S351" s="10">
        <f>Tabla24567894[[#This Row],[IVA VENTA ]]-Tabla24567894[[#This Row],[IV COMPRA]]</f>
        <v>0</v>
      </c>
      <c r="T351" s="10">
        <f>(Tabla24567894[[#This Row],[VENTA ]]-(Tabla24567894[[#This Row],[MONTO DE COMPRA]]+Tabla24567894[[#This Row],[DIFERENCIA IVA ]]))</f>
        <v>0</v>
      </c>
      <c r="V351" s="17"/>
    </row>
    <row r="352" spans="1:22" s="15" customFormat="1" ht="20.100000000000001" hidden="1" customHeight="1" x14ac:dyDescent="0.25">
      <c r="A352" s="13"/>
      <c r="B352" s="14"/>
      <c r="C352" s="14"/>
      <c r="D352" s="14"/>
      <c r="G352" s="14"/>
      <c r="H352" s="16"/>
      <c r="I352" s="20"/>
      <c r="J352" s="20">
        <f>IF(G:G="FRENOS",(Tabla24567894[[#This Row],[TOTAL FACTURA]]*0.8),(Tabla24567894[[#This Row],[TOTAL FACTURA]]*0.5))</f>
        <v>0</v>
      </c>
      <c r="K352" s="9">
        <f t="shared" si="5"/>
        <v>0</v>
      </c>
      <c r="L352" s="4"/>
      <c r="M352" s="10"/>
      <c r="N352" s="10">
        <f>Tabla24567894[[#This Row],[MONTO DE COMPRA]]/1.19</f>
        <v>0</v>
      </c>
      <c r="O352" s="10">
        <f>Tabla24567894[[#This Row],[Columna1]]*19%</f>
        <v>0</v>
      </c>
      <c r="P352" s="10"/>
      <c r="Q352" s="10">
        <f>Tabla24567894[[#This Row],[VENTA ]]/1.19</f>
        <v>0</v>
      </c>
      <c r="R352" s="10">
        <f>Tabla24567894[[#This Row],[Columna2]]*19%</f>
        <v>0</v>
      </c>
      <c r="S352" s="10">
        <f>Tabla24567894[[#This Row],[IVA VENTA ]]-Tabla24567894[[#This Row],[IV COMPRA]]</f>
        <v>0</v>
      </c>
      <c r="T352" s="10">
        <f>(Tabla24567894[[#This Row],[VENTA ]]-(Tabla24567894[[#This Row],[MONTO DE COMPRA]]+Tabla24567894[[#This Row],[DIFERENCIA IVA ]]))</f>
        <v>0</v>
      </c>
      <c r="V352" s="17"/>
    </row>
    <row r="353" spans="1:22" s="15" customFormat="1" ht="20.100000000000001" hidden="1" customHeight="1" x14ac:dyDescent="0.25">
      <c r="A353" s="13"/>
      <c r="B353" s="14"/>
      <c r="C353" s="14"/>
      <c r="D353" s="14"/>
      <c r="G353" s="14"/>
      <c r="H353" s="16"/>
      <c r="I353" s="20"/>
      <c r="J353" s="20">
        <f>IF(G:G="FRENOS",(Tabla24567894[[#This Row],[TOTAL FACTURA]]*0.8),(Tabla24567894[[#This Row],[TOTAL FACTURA]]*0.5))</f>
        <v>0</v>
      </c>
      <c r="K353" s="9">
        <f t="shared" si="5"/>
        <v>0</v>
      </c>
      <c r="L353" s="4"/>
      <c r="M353" s="10"/>
      <c r="N353" s="10">
        <f>Tabla24567894[[#This Row],[MONTO DE COMPRA]]/1.19</f>
        <v>0</v>
      </c>
      <c r="O353" s="10">
        <f>Tabla24567894[[#This Row],[Columna1]]*19%</f>
        <v>0</v>
      </c>
      <c r="P353" s="10"/>
      <c r="Q353" s="10">
        <f>Tabla24567894[[#This Row],[VENTA ]]/1.19</f>
        <v>0</v>
      </c>
      <c r="R353" s="10">
        <f>Tabla24567894[[#This Row],[Columna2]]*19%</f>
        <v>0</v>
      </c>
      <c r="S353" s="10">
        <f>Tabla24567894[[#This Row],[IVA VENTA ]]-Tabla24567894[[#This Row],[IV COMPRA]]</f>
        <v>0</v>
      </c>
      <c r="T353" s="10">
        <f>(Tabla24567894[[#This Row],[VENTA ]]-(Tabla24567894[[#This Row],[MONTO DE COMPRA]]+Tabla24567894[[#This Row],[DIFERENCIA IVA ]]))</f>
        <v>0</v>
      </c>
      <c r="V353" s="17"/>
    </row>
    <row r="354" spans="1:22" s="15" customFormat="1" ht="20.100000000000001" hidden="1" customHeight="1" x14ac:dyDescent="0.25">
      <c r="A354" s="13"/>
      <c r="B354" s="14"/>
      <c r="C354" s="14"/>
      <c r="D354" s="14"/>
      <c r="G354" s="14"/>
      <c r="H354" s="16"/>
      <c r="I354" s="20"/>
      <c r="J354" s="20">
        <f>IF(G:G="FRENOS",(Tabla24567894[[#This Row],[TOTAL FACTURA]]*0.8),(Tabla24567894[[#This Row],[TOTAL FACTURA]]*0.5))</f>
        <v>0</v>
      </c>
      <c r="K354" s="9">
        <f t="shared" si="5"/>
        <v>0</v>
      </c>
      <c r="L354" s="4"/>
      <c r="M354" s="10"/>
      <c r="N354" s="10">
        <f>Tabla24567894[[#This Row],[MONTO DE COMPRA]]/1.19</f>
        <v>0</v>
      </c>
      <c r="O354" s="10">
        <f>Tabla24567894[[#This Row],[Columna1]]*19%</f>
        <v>0</v>
      </c>
      <c r="P354" s="10"/>
      <c r="Q354" s="10">
        <f>Tabla24567894[[#This Row],[VENTA ]]/1.19</f>
        <v>0</v>
      </c>
      <c r="R354" s="10">
        <f>Tabla24567894[[#This Row],[Columna2]]*19%</f>
        <v>0</v>
      </c>
      <c r="S354" s="10">
        <f>Tabla24567894[[#This Row],[IVA VENTA ]]-Tabla24567894[[#This Row],[IV COMPRA]]</f>
        <v>0</v>
      </c>
      <c r="T354" s="10">
        <f>(Tabla24567894[[#This Row],[VENTA ]]-(Tabla24567894[[#This Row],[MONTO DE COMPRA]]+Tabla24567894[[#This Row],[DIFERENCIA IVA ]]))</f>
        <v>0</v>
      </c>
      <c r="V354" s="17"/>
    </row>
    <row r="355" spans="1:22" s="15" customFormat="1" ht="20.100000000000001" hidden="1" customHeight="1" x14ac:dyDescent="0.25">
      <c r="A355" s="13"/>
      <c r="B355" s="14"/>
      <c r="C355" s="14"/>
      <c r="D355" s="14"/>
      <c r="G355" s="14"/>
      <c r="H355" s="16"/>
      <c r="I355" s="20"/>
      <c r="J355" s="20">
        <f>IF(G:G="FRENOS",(Tabla24567894[[#This Row],[TOTAL FACTURA]]*0.8),(Tabla24567894[[#This Row],[TOTAL FACTURA]]*0.5))</f>
        <v>0</v>
      </c>
      <c r="K355" s="9">
        <f t="shared" si="5"/>
        <v>0</v>
      </c>
      <c r="L355" s="4"/>
      <c r="M355" s="10"/>
      <c r="N355" s="10">
        <f>Tabla24567894[[#This Row],[MONTO DE COMPRA]]/1.19</f>
        <v>0</v>
      </c>
      <c r="O355" s="10">
        <f>Tabla24567894[[#This Row],[Columna1]]*19%</f>
        <v>0</v>
      </c>
      <c r="P355" s="10"/>
      <c r="Q355" s="10">
        <f>Tabla24567894[[#This Row],[VENTA ]]/1.19</f>
        <v>0</v>
      </c>
      <c r="R355" s="10">
        <f>Tabla24567894[[#This Row],[Columna2]]*19%</f>
        <v>0</v>
      </c>
      <c r="S355" s="10">
        <f>Tabla24567894[[#This Row],[IVA VENTA ]]-Tabla24567894[[#This Row],[IV COMPRA]]</f>
        <v>0</v>
      </c>
      <c r="T355" s="10">
        <f>(Tabla24567894[[#This Row],[VENTA ]]-(Tabla24567894[[#This Row],[MONTO DE COMPRA]]+Tabla24567894[[#This Row],[DIFERENCIA IVA ]]))</f>
        <v>0</v>
      </c>
      <c r="V355" s="17"/>
    </row>
    <row r="356" spans="1:22" s="15" customFormat="1" ht="20.100000000000001" hidden="1" customHeight="1" x14ac:dyDescent="0.25">
      <c r="A356" s="13"/>
      <c r="B356" s="14"/>
      <c r="C356" s="14"/>
      <c r="D356" s="14"/>
      <c r="E356" s="18"/>
      <c r="G356" s="14"/>
      <c r="H356" s="16"/>
      <c r="I356" s="20"/>
      <c r="J356" s="20">
        <f>IF(G:G="FRENOS",(Tabla24567894[[#This Row],[TOTAL FACTURA]]*0.8),(Tabla24567894[[#This Row],[TOTAL FACTURA]]*0.5))</f>
        <v>0</v>
      </c>
      <c r="K356" s="9">
        <f t="shared" si="5"/>
        <v>0</v>
      </c>
      <c r="L356" s="4"/>
      <c r="M356" s="10"/>
      <c r="N356" s="10">
        <f>Tabla24567894[[#This Row],[MONTO DE COMPRA]]/1.19</f>
        <v>0</v>
      </c>
      <c r="O356" s="10">
        <f>Tabla24567894[[#This Row],[Columna1]]*19%</f>
        <v>0</v>
      </c>
      <c r="P356" s="10"/>
      <c r="Q356" s="10">
        <f>Tabla24567894[[#This Row],[VENTA ]]/1.19</f>
        <v>0</v>
      </c>
      <c r="R356" s="10">
        <f>Tabla24567894[[#This Row],[Columna2]]*19%</f>
        <v>0</v>
      </c>
      <c r="S356" s="10">
        <f>Tabla24567894[[#This Row],[IVA VENTA ]]-Tabla24567894[[#This Row],[IV COMPRA]]</f>
        <v>0</v>
      </c>
      <c r="T356" s="10">
        <f>(Tabla24567894[[#This Row],[VENTA ]]-(Tabla24567894[[#This Row],[MONTO DE COMPRA]]+Tabla24567894[[#This Row],[DIFERENCIA IVA ]]))</f>
        <v>0</v>
      </c>
      <c r="V356" s="17"/>
    </row>
    <row r="357" spans="1:22" s="15" customFormat="1" ht="20.100000000000001" hidden="1" customHeight="1" x14ac:dyDescent="0.25">
      <c r="A357" s="13"/>
      <c r="B357" s="14"/>
      <c r="C357" s="14"/>
      <c r="D357" s="14"/>
      <c r="G357" s="14"/>
      <c r="H357" s="16"/>
      <c r="I357" s="20"/>
      <c r="J357" s="20">
        <f>IF(G:G="FRENOS",(Tabla24567894[[#This Row],[TOTAL FACTURA]]*0.8),(Tabla24567894[[#This Row],[TOTAL FACTURA]]*0.5))</f>
        <v>0</v>
      </c>
      <c r="K357" s="9">
        <f t="shared" si="5"/>
        <v>0</v>
      </c>
      <c r="L357" s="4"/>
      <c r="M357" s="10"/>
      <c r="N357" s="10">
        <f>Tabla24567894[[#This Row],[MONTO DE COMPRA]]/1.19</f>
        <v>0</v>
      </c>
      <c r="O357" s="10">
        <f>Tabla24567894[[#This Row],[Columna1]]*19%</f>
        <v>0</v>
      </c>
      <c r="P357" s="10"/>
      <c r="Q357" s="10">
        <f>Tabla24567894[[#This Row],[VENTA ]]/1.19</f>
        <v>0</v>
      </c>
      <c r="R357" s="10">
        <f>Tabla24567894[[#This Row],[Columna2]]*19%</f>
        <v>0</v>
      </c>
      <c r="S357" s="10">
        <f>Tabla24567894[[#This Row],[IVA VENTA ]]-Tabla24567894[[#This Row],[IV COMPRA]]</f>
        <v>0</v>
      </c>
      <c r="T357" s="10">
        <f>(Tabla24567894[[#This Row],[VENTA ]]-(Tabla24567894[[#This Row],[MONTO DE COMPRA]]+Tabla24567894[[#This Row],[DIFERENCIA IVA ]]))</f>
        <v>0</v>
      </c>
      <c r="V357" s="17"/>
    </row>
    <row r="358" spans="1:22" s="15" customFormat="1" ht="20.100000000000001" hidden="1" customHeight="1" x14ac:dyDescent="0.25">
      <c r="A358" s="13"/>
      <c r="B358" s="14"/>
      <c r="C358" s="14"/>
      <c r="D358" s="14"/>
      <c r="G358" s="14"/>
      <c r="H358" s="16"/>
      <c r="I358" s="20"/>
      <c r="J358" s="20">
        <f>IF(G:G="FRENOS",(Tabla24567894[[#This Row],[TOTAL FACTURA]]*0.8),(Tabla24567894[[#This Row],[TOTAL FACTURA]]*0.5))</f>
        <v>0</v>
      </c>
      <c r="K358" s="9">
        <f t="shared" si="5"/>
        <v>0</v>
      </c>
      <c r="L358" s="4"/>
      <c r="M358" s="10"/>
      <c r="N358" s="10">
        <f>Tabla24567894[[#This Row],[MONTO DE COMPRA]]/1.19</f>
        <v>0</v>
      </c>
      <c r="O358" s="10">
        <f>Tabla24567894[[#This Row],[Columna1]]*19%</f>
        <v>0</v>
      </c>
      <c r="P358" s="10"/>
      <c r="Q358" s="10">
        <f>Tabla24567894[[#This Row],[VENTA ]]/1.19</f>
        <v>0</v>
      </c>
      <c r="R358" s="10">
        <f>Tabla24567894[[#This Row],[Columna2]]*19%</f>
        <v>0</v>
      </c>
      <c r="S358" s="10">
        <f>Tabla24567894[[#This Row],[IVA VENTA ]]-Tabla24567894[[#This Row],[IV COMPRA]]</f>
        <v>0</v>
      </c>
      <c r="T358" s="10">
        <f>(Tabla24567894[[#This Row],[VENTA ]]-(Tabla24567894[[#This Row],[MONTO DE COMPRA]]+Tabla24567894[[#This Row],[DIFERENCIA IVA ]]))</f>
        <v>0</v>
      </c>
      <c r="V358" s="17"/>
    </row>
    <row r="359" spans="1:22" s="15" customFormat="1" ht="20.100000000000001" hidden="1" customHeight="1" x14ac:dyDescent="0.25">
      <c r="A359" s="13"/>
      <c r="B359" s="14"/>
      <c r="C359" s="14"/>
      <c r="D359" s="14"/>
      <c r="G359" s="14"/>
      <c r="H359" s="16"/>
      <c r="I359" s="20"/>
      <c r="J359" s="20">
        <f>IF(G:G="FRENOS",(Tabla24567894[[#This Row],[TOTAL FACTURA]]*0.8),(Tabla24567894[[#This Row],[TOTAL FACTURA]]*0.5))</f>
        <v>0</v>
      </c>
      <c r="K359" s="9">
        <f t="shared" si="5"/>
        <v>0</v>
      </c>
      <c r="L359" s="4"/>
      <c r="M359" s="10"/>
      <c r="N359" s="10">
        <f>Tabla24567894[[#This Row],[MONTO DE COMPRA]]/1.19</f>
        <v>0</v>
      </c>
      <c r="O359" s="10">
        <f>Tabla24567894[[#This Row],[Columna1]]*19%</f>
        <v>0</v>
      </c>
      <c r="P359" s="10"/>
      <c r="Q359" s="10">
        <f>Tabla24567894[[#This Row],[VENTA ]]/1.19</f>
        <v>0</v>
      </c>
      <c r="R359" s="10">
        <f>Tabla24567894[[#This Row],[Columna2]]*19%</f>
        <v>0</v>
      </c>
      <c r="S359" s="10">
        <f>Tabla24567894[[#This Row],[IVA VENTA ]]-Tabla24567894[[#This Row],[IV COMPRA]]</f>
        <v>0</v>
      </c>
      <c r="T359" s="10">
        <f>(Tabla24567894[[#This Row],[VENTA ]]-(Tabla24567894[[#This Row],[MONTO DE COMPRA]]+Tabla24567894[[#This Row],[DIFERENCIA IVA ]]))</f>
        <v>0</v>
      </c>
      <c r="V359" s="17"/>
    </row>
    <row r="360" spans="1:22" s="15" customFormat="1" ht="20.100000000000001" hidden="1" customHeight="1" x14ac:dyDescent="0.25">
      <c r="A360" s="13"/>
      <c r="B360" s="14"/>
      <c r="C360" s="14"/>
      <c r="D360" s="14"/>
      <c r="G360" s="14"/>
      <c r="H360" s="16"/>
      <c r="I360" s="20"/>
      <c r="J360" s="20">
        <f>IF(G:G="FRENOS",(Tabla24567894[[#This Row],[TOTAL FACTURA]]*0.8),(Tabla24567894[[#This Row],[TOTAL FACTURA]]*0.5))</f>
        <v>0</v>
      </c>
      <c r="K360" s="9">
        <f t="shared" si="5"/>
        <v>0</v>
      </c>
      <c r="L360" s="4"/>
      <c r="M360" s="10"/>
      <c r="N360" s="10">
        <f>Tabla24567894[[#This Row],[MONTO DE COMPRA]]/1.19</f>
        <v>0</v>
      </c>
      <c r="O360" s="10">
        <f>Tabla24567894[[#This Row],[Columna1]]*19%</f>
        <v>0</v>
      </c>
      <c r="P360" s="10"/>
      <c r="Q360" s="10">
        <f>Tabla24567894[[#This Row],[VENTA ]]/1.19</f>
        <v>0</v>
      </c>
      <c r="R360" s="10">
        <f>Tabla24567894[[#This Row],[Columna2]]*19%</f>
        <v>0</v>
      </c>
      <c r="S360" s="10">
        <f>Tabla24567894[[#This Row],[IVA VENTA ]]-Tabla24567894[[#This Row],[IV COMPRA]]</f>
        <v>0</v>
      </c>
      <c r="T360" s="10">
        <f>(Tabla24567894[[#This Row],[VENTA ]]-(Tabla24567894[[#This Row],[MONTO DE COMPRA]]+Tabla24567894[[#This Row],[DIFERENCIA IVA ]]))</f>
        <v>0</v>
      </c>
      <c r="V360" s="17"/>
    </row>
    <row r="361" spans="1:22" s="15" customFormat="1" ht="20.100000000000001" hidden="1" customHeight="1" x14ac:dyDescent="0.25">
      <c r="A361" s="13"/>
      <c r="B361" s="14"/>
      <c r="C361" s="14"/>
      <c r="D361" s="14"/>
      <c r="G361" s="14"/>
      <c r="H361" s="16"/>
      <c r="I361" s="20"/>
      <c r="J361" s="20">
        <f>IF(G:G="FRENOS",(Tabla24567894[[#This Row],[TOTAL FACTURA]]*0.8),(Tabla24567894[[#This Row],[TOTAL FACTURA]]*0.5))</f>
        <v>0</v>
      </c>
      <c r="K361" s="9">
        <f t="shared" si="5"/>
        <v>0</v>
      </c>
      <c r="L361" s="4"/>
      <c r="M361" s="10"/>
      <c r="N361" s="10">
        <f>Tabla24567894[[#This Row],[MONTO DE COMPRA]]/1.19</f>
        <v>0</v>
      </c>
      <c r="O361" s="10">
        <f>Tabla24567894[[#This Row],[Columna1]]*19%</f>
        <v>0</v>
      </c>
      <c r="P361" s="10"/>
      <c r="Q361" s="10">
        <f>Tabla24567894[[#This Row],[VENTA ]]/1.19</f>
        <v>0</v>
      </c>
      <c r="R361" s="10">
        <f>Tabla24567894[[#This Row],[Columna2]]*19%</f>
        <v>0</v>
      </c>
      <c r="S361" s="10">
        <f>Tabla24567894[[#This Row],[IVA VENTA ]]-Tabla24567894[[#This Row],[IV COMPRA]]</f>
        <v>0</v>
      </c>
      <c r="T361" s="10">
        <f>(Tabla24567894[[#This Row],[VENTA ]]-(Tabla24567894[[#This Row],[MONTO DE COMPRA]]+Tabla24567894[[#This Row],[DIFERENCIA IVA ]]))</f>
        <v>0</v>
      </c>
      <c r="V361" s="17"/>
    </row>
    <row r="362" spans="1:22" s="15" customFormat="1" ht="20.100000000000001" hidden="1" customHeight="1" x14ac:dyDescent="0.25">
      <c r="A362" s="13"/>
      <c r="B362" s="14"/>
      <c r="C362" s="14"/>
      <c r="D362" s="14"/>
      <c r="G362" s="14"/>
      <c r="H362" s="16"/>
      <c r="I362" s="20"/>
      <c r="J362" s="20">
        <f>IF(G:G="FRENOS",(Tabla24567894[[#This Row],[TOTAL FACTURA]]*0.8),(Tabla24567894[[#This Row],[TOTAL FACTURA]]*0.5))</f>
        <v>0</v>
      </c>
      <c r="K362" s="9">
        <f t="shared" si="5"/>
        <v>0</v>
      </c>
      <c r="L362" s="4"/>
      <c r="M362" s="10"/>
      <c r="N362" s="10">
        <f>Tabla24567894[[#This Row],[MONTO DE COMPRA]]/1.19</f>
        <v>0</v>
      </c>
      <c r="O362" s="10">
        <f>Tabla24567894[[#This Row],[Columna1]]*19%</f>
        <v>0</v>
      </c>
      <c r="P362" s="10"/>
      <c r="Q362" s="10">
        <f>Tabla24567894[[#This Row],[VENTA ]]/1.19</f>
        <v>0</v>
      </c>
      <c r="R362" s="10">
        <f>Tabla24567894[[#This Row],[Columna2]]*19%</f>
        <v>0</v>
      </c>
      <c r="S362" s="10">
        <f>Tabla24567894[[#This Row],[IVA VENTA ]]-Tabla24567894[[#This Row],[IV COMPRA]]</f>
        <v>0</v>
      </c>
      <c r="T362" s="10">
        <f>(Tabla24567894[[#This Row],[VENTA ]]-(Tabla24567894[[#This Row],[MONTO DE COMPRA]]+Tabla24567894[[#This Row],[DIFERENCIA IVA ]]))</f>
        <v>0</v>
      </c>
      <c r="V362" s="17"/>
    </row>
    <row r="363" spans="1:22" s="15" customFormat="1" ht="20.100000000000001" hidden="1" customHeight="1" x14ac:dyDescent="0.25">
      <c r="A363" s="13"/>
      <c r="B363" s="14"/>
      <c r="C363" s="14"/>
      <c r="D363" s="14"/>
      <c r="G363" s="14"/>
      <c r="H363" s="16"/>
      <c r="I363" s="20"/>
      <c r="J363" s="20">
        <f>IF(G:G="FRENOS",(Tabla24567894[[#This Row],[TOTAL FACTURA]]*0.8),(Tabla24567894[[#This Row],[TOTAL FACTURA]]*0.5))</f>
        <v>0</v>
      </c>
      <c r="K363" s="9">
        <f t="shared" si="5"/>
        <v>0</v>
      </c>
      <c r="L363" s="4"/>
      <c r="M363" s="10"/>
      <c r="N363" s="10">
        <f>Tabla24567894[[#This Row],[MONTO DE COMPRA]]/1.19</f>
        <v>0</v>
      </c>
      <c r="O363" s="10">
        <f>Tabla24567894[[#This Row],[Columna1]]*19%</f>
        <v>0</v>
      </c>
      <c r="P363" s="10"/>
      <c r="Q363" s="10">
        <f>Tabla24567894[[#This Row],[VENTA ]]/1.19</f>
        <v>0</v>
      </c>
      <c r="R363" s="10">
        <f>Tabla24567894[[#This Row],[Columna2]]*19%</f>
        <v>0</v>
      </c>
      <c r="S363" s="10">
        <f>Tabla24567894[[#This Row],[IVA VENTA ]]-Tabla24567894[[#This Row],[IV COMPRA]]</f>
        <v>0</v>
      </c>
      <c r="T363" s="10">
        <f>(Tabla24567894[[#This Row],[VENTA ]]-(Tabla24567894[[#This Row],[MONTO DE COMPRA]]+Tabla24567894[[#This Row],[DIFERENCIA IVA ]]))</f>
        <v>0</v>
      </c>
      <c r="V363" s="17"/>
    </row>
    <row r="364" spans="1:22" s="15" customFormat="1" ht="20.100000000000001" hidden="1" customHeight="1" x14ac:dyDescent="0.25">
      <c r="A364" s="13"/>
      <c r="B364" s="14"/>
      <c r="C364" s="14"/>
      <c r="D364" s="14"/>
      <c r="G364" s="14"/>
      <c r="H364" s="16"/>
      <c r="I364" s="20"/>
      <c r="J364" s="20">
        <f>IF(G:G="FRENOS",(Tabla24567894[[#This Row],[TOTAL FACTURA]]*0.8),(Tabla24567894[[#This Row],[TOTAL FACTURA]]*0.5))</f>
        <v>0</v>
      </c>
      <c r="K364" s="9">
        <f t="shared" si="5"/>
        <v>0</v>
      </c>
      <c r="L364" s="4"/>
      <c r="M364" s="10"/>
      <c r="N364" s="10">
        <f>Tabla24567894[[#This Row],[MONTO DE COMPRA]]/1.19</f>
        <v>0</v>
      </c>
      <c r="O364" s="10">
        <f>Tabla24567894[[#This Row],[Columna1]]*19%</f>
        <v>0</v>
      </c>
      <c r="P364" s="10"/>
      <c r="Q364" s="10">
        <f>Tabla24567894[[#This Row],[VENTA ]]/1.19</f>
        <v>0</v>
      </c>
      <c r="R364" s="10">
        <f>Tabla24567894[[#This Row],[Columna2]]*19%</f>
        <v>0</v>
      </c>
      <c r="S364" s="10">
        <f>Tabla24567894[[#This Row],[IVA VENTA ]]-Tabla24567894[[#This Row],[IV COMPRA]]</f>
        <v>0</v>
      </c>
      <c r="T364" s="10">
        <f>(Tabla24567894[[#This Row],[VENTA ]]-(Tabla24567894[[#This Row],[MONTO DE COMPRA]]+Tabla24567894[[#This Row],[DIFERENCIA IVA ]]))</f>
        <v>0</v>
      </c>
      <c r="V364" s="17"/>
    </row>
    <row r="365" spans="1:22" s="15" customFormat="1" ht="20.100000000000001" hidden="1" customHeight="1" x14ac:dyDescent="0.25">
      <c r="A365" s="13"/>
      <c r="B365" s="14"/>
      <c r="C365" s="14"/>
      <c r="D365" s="14"/>
      <c r="G365" s="14"/>
      <c r="H365" s="16"/>
      <c r="I365" s="20"/>
      <c r="J365" s="20">
        <f>IF(G:G="FRENOS",(Tabla24567894[[#This Row],[TOTAL FACTURA]]*0.8),(Tabla24567894[[#This Row],[TOTAL FACTURA]]*0.5))</f>
        <v>0</v>
      </c>
      <c r="K365" s="9">
        <f t="shared" si="5"/>
        <v>0</v>
      </c>
      <c r="L365" s="4"/>
      <c r="M365" s="10"/>
      <c r="N365" s="10">
        <f>Tabla24567894[[#This Row],[MONTO DE COMPRA]]/1.19</f>
        <v>0</v>
      </c>
      <c r="O365" s="10">
        <f>Tabla24567894[[#This Row],[Columna1]]*19%</f>
        <v>0</v>
      </c>
      <c r="P365" s="10"/>
      <c r="Q365" s="10">
        <f>Tabla24567894[[#This Row],[VENTA ]]/1.19</f>
        <v>0</v>
      </c>
      <c r="R365" s="10">
        <f>Tabla24567894[[#This Row],[Columna2]]*19%</f>
        <v>0</v>
      </c>
      <c r="S365" s="10">
        <f>Tabla24567894[[#This Row],[IVA VENTA ]]-Tabla24567894[[#This Row],[IV COMPRA]]</f>
        <v>0</v>
      </c>
      <c r="T365" s="10">
        <f>(Tabla24567894[[#This Row],[VENTA ]]-(Tabla24567894[[#This Row],[MONTO DE COMPRA]]+Tabla24567894[[#This Row],[DIFERENCIA IVA ]]))</f>
        <v>0</v>
      </c>
      <c r="V365" s="17"/>
    </row>
    <row r="366" spans="1:22" s="15" customFormat="1" ht="20.100000000000001" hidden="1" customHeight="1" x14ac:dyDescent="0.25">
      <c r="A366" s="13"/>
      <c r="B366" s="14"/>
      <c r="C366" s="14"/>
      <c r="D366" s="14"/>
      <c r="G366" s="14"/>
      <c r="H366" s="16"/>
      <c r="I366" s="20"/>
      <c r="J366" s="20">
        <f>IF(G:G="FRENOS",(Tabla24567894[[#This Row],[TOTAL FACTURA]]*0.8),(Tabla24567894[[#This Row],[TOTAL FACTURA]]*0.5))</f>
        <v>0</v>
      </c>
      <c r="K366" s="9">
        <f t="shared" si="5"/>
        <v>0</v>
      </c>
      <c r="L366" s="4"/>
      <c r="M366" s="10"/>
      <c r="N366" s="10">
        <f>Tabla24567894[[#This Row],[MONTO DE COMPRA]]/1.19</f>
        <v>0</v>
      </c>
      <c r="O366" s="10">
        <f>Tabla24567894[[#This Row],[Columna1]]*19%</f>
        <v>0</v>
      </c>
      <c r="P366" s="10"/>
      <c r="Q366" s="10">
        <f>Tabla24567894[[#This Row],[VENTA ]]/1.19</f>
        <v>0</v>
      </c>
      <c r="R366" s="10">
        <f>Tabla24567894[[#This Row],[Columna2]]*19%</f>
        <v>0</v>
      </c>
      <c r="S366" s="10">
        <f>Tabla24567894[[#This Row],[IVA VENTA ]]-Tabla24567894[[#This Row],[IV COMPRA]]</f>
        <v>0</v>
      </c>
      <c r="T366" s="10">
        <f>(Tabla24567894[[#This Row],[VENTA ]]-(Tabla24567894[[#This Row],[MONTO DE COMPRA]]+Tabla24567894[[#This Row],[DIFERENCIA IVA ]]))</f>
        <v>0</v>
      </c>
      <c r="V366" s="17"/>
    </row>
    <row r="367" spans="1:22" s="15" customFormat="1" ht="20.100000000000001" hidden="1" customHeight="1" x14ac:dyDescent="0.25">
      <c r="A367" s="13"/>
      <c r="B367" s="14"/>
      <c r="C367" s="14"/>
      <c r="D367" s="14"/>
      <c r="G367" s="14"/>
      <c r="H367" s="16"/>
      <c r="I367" s="20"/>
      <c r="J367" s="20">
        <f>IF(G:G="FRENOS",(Tabla24567894[[#This Row],[TOTAL FACTURA]]*0.8),(Tabla24567894[[#This Row],[TOTAL FACTURA]]*0.5))</f>
        <v>0</v>
      </c>
      <c r="K367" s="9">
        <f t="shared" si="5"/>
        <v>0</v>
      </c>
      <c r="L367" s="4"/>
      <c r="M367" s="10"/>
      <c r="N367" s="10">
        <f>Tabla24567894[[#This Row],[MONTO DE COMPRA]]/1.19</f>
        <v>0</v>
      </c>
      <c r="O367" s="10">
        <f>Tabla24567894[[#This Row],[Columna1]]*19%</f>
        <v>0</v>
      </c>
      <c r="P367" s="10"/>
      <c r="Q367" s="10">
        <f>Tabla24567894[[#This Row],[VENTA ]]/1.19</f>
        <v>0</v>
      </c>
      <c r="R367" s="10">
        <f>Tabla24567894[[#This Row],[Columna2]]*19%</f>
        <v>0</v>
      </c>
      <c r="S367" s="10">
        <f>Tabla24567894[[#This Row],[IVA VENTA ]]-Tabla24567894[[#This Row],[IV COMPRA]]</f>
        <v>0</v>
      </c>
      <c r="T367" s="10">
        <f>(Tabla24567894[[#This Row],[VENTA ]]-(Tabla24567894[[#This Row],[MONTO DE COMPRA]]+Tabla24567894[[#This Row],[DIFERENCIA IVA ]]))</f>
        <v>0</v>
      </c>
      <c r="V367" s="17"/>
    </row>
    <row r="368" spans="1:22" s="15" customFormat="1" ht="20.100000000000001" hidden="1" customHeight="1" x14ac:dyDescent="0.25">
      <c r="A368" s="13"/>
      <c r="B368" s="14"/>
      <c r="C368" s="14"/>
      <c r="D368" s="14"/>
      <c r="G368" s="14"/>
      <c r="H368" s="16"/>
      <c r="I368" s="20"/>
      <c r="J368" s="20">
        <f>IF(G:G="FRENOS",(Tabla24567894[[#This Row],[TOTAL FACTURA]]*0.8),(Tabla24567894[[#This Row],[TOTAL FACTURA]]*0.5))</f>
        <v>0</v>
      </c>
      <c r="K368" s="9">
        <f t="shared" si="5"/>
        <v>0</v>
      </c>
      <c r="L368" s="4"/>
      <c r="M368" s="10"/>
      <c r="N368" s="10">
        <f>Tabla24567894[[#This Row],[MONTO DE COMPRA]]/1.19</f>
        <v>0</v>
      </c>
      <c r="O368" s="10">
        <f>Tabla24567894[[#This Row],[Columna1]]*19%</f>
        <v>0</v>
      </c>
      <c r="P368" s="10"/>
      <c r="Q368" s="10">
        <f>Tabla24567894[[#This Row],[VENTA ]]/1.19</f>
        <v>0</v>
      </c>
      <c r="R368" s="10">
        <f>Tabla24567894[[#This Row],[Columna2]]*19%</f>
        <v>0</v>
      </c>
      <c r="S368" s="10">
        <f>Tabla24567894[[#This Row],[IVA VENTA ]]-Tabla24567894[[#This Row],[IV COMPRA]]</f>
        <v>0</v>
      </c>
      <c r="T368" s="10">
        <f>(Tabla24567894[[#This Row],[VENTA ]]-(Tabla24567894[[#This Row],[MONTO DE COMPRA]]+Tabla24567894[[#This Row],[DIFERENCIA IVA ]]))</f>
        <v>0</v>
      </c>
      <c r="V368" s="17"/>
    </row>
    <row r="369" spans="1:22" s="15" customFormat="1" ht="20.100000000000001" hidden="1" customHeight="1" x14ac:dyDescent="0.25">
      <c r="A369" s="13"/>
      <c r="B369" s="14"/>
      <c r="C369" s="14"/>
      <c r="D369" s="14"/>
      <c r="G369" s="14"/>
      <c r="H369" s="16"/>
      <c r="I369" s="20"/>
      <c r="J369" s="20">
        <f>IF(G:G="FRENOS",(Tabla24567894[[#This Row],[TOTAL FACTURA]]*0.8),(Tabla24567894[[#This Row],[TOTAL FACTURA]]*0.5))</f>
        <v>0</v>
      </c>
      <c r="K369" s="9">
        <f t="shared" si="5"/>
        <v>0</v>
      </c>
      <c r="L369" s="4"/>
      <c r="M369" s="10"/>
      <c r="N369" s="10">
        <f>Tabla24567894[[#This Row],[MONTO DE COMPRA]]/1.19</f>
        <v>0</v>
      </c>
      <c r="O369" s="10">
        <f>Tabla24567894[[#This Row],[Columna1]]*19%</f>
        <v>0</v>
      </c>
      <c r="P369" s="10"/>
      <c r="Q369" s="10">
        <f>Tabla24567894[[#This Row],[VENTA ]]/1.19</f>
        <v>0</v>
      </c>
      <c r="R369" s="10">
        <f>Tabla24567894[[#This Row],[Columna2]]*19%</f>
        <v>0</v>
      </c>
      <c r="S369" s="10">
        <f>Tabla24567894[[#This Row],[IVA VENTA ]]-Tabla24567894[[#This Row],[IV COMPRA]]</f>
        <v>0</v>
      </c>
      <c r="T369" s="10">
        <f>(Tabla24567894[[#This Row],[VENTA ]]-(Tabla24567894[[#This Row],[MONTO DE COMPRA]]+Tabla24567894[[#This Row],[DIFERENCIA IVA ]]))</f>
        <v>0</v>
      </c>
      <c r="V369" s="17"/>
    </row>
    <row r="370" spans="1:22" s="15" customFormat="1" ht="20.100000000000001" hidden="1" customHeight="1" x14ac:dyDescent="0.25">
      <c r="A370" s="13"/>
      <c r="B370" s="14"/>
      <c r="C370" s="14"/>
      <c r="D370" s="14"/>
      <c r="G370" s="14"/>
      <c r="H370" s="16"/>
      <c r="I370" s="20"/>
      <c r="J370" s="20">
        <f>IF(G:G="FRENOS",(Tabla24567894[[#This Row],[TOTAL FACTURA]]*0.8),(Tabla24567894[[#This Row],[TOTAL FACTURA]]*0.5))</f>
        <v>0</v>
      </c>
      <c r="K370" s="9">
        <f t="shared" si="5"/>
        <v>0</v>
      </c>
      <c r="L370" s="4"/>
      <c r="M370" s="10"/>
      <c r="N370" s="10">
        <f>Tabla24567894[[#This Row],[MONTO DE COMPRA]]/1.19</f>
        <v>0</v>
      </c>
      <c r="O370" s="10">
        <f>Tabla24567894[[#This Row],[Columna1]]*19%</f>
        <v>0</v>
      </c>
      <c r="P370" s="10"/>
      <c r="Q370" s="10">
        <f>Tabla24567894[[#This Row],[VENTA ]]/1.19</f>
        <v>0</v>
      </c>
      <c r="R370" s="10">
        <f>Tabla24567894[[#This Row],[Columna2]]*19%</f>
        <v>0</v>
      </c>
      <c r="S370" s="10">
        <f>Tabla24567894[[#This Row],[IVA VENTA ]]-Tabla24567894[[#This Row],[IV COMPRA]]</f>
        <v>0</v>
      </c>
      <c r="T370" s="10">
        <f>(Tabla24567894[[#This Row],[VENTA ]]-(Tabla24567894[[#This Row],[MONTO DE COMPRA]]+Tabla24567894[[#This Row],[DIFERENCIA IVA ]]))</f>
        <v>0</v>
      </c>
      <c r="V370" s="17"/>
    </row>
    <row r="371" spans="1:22" s="15" customFormat="1" ht="20.100000000000001" hidden="1" customHeight="1" x14ac:dyDescent="0.25">
      <c r="A371" s="13"/>
      <c r="B371" s="14"/>
      <c r="C371" s="14"/>
      <c r="D371" s="14"/>
      <c r="G371" s="14"/>
      <c r="H371" s="16"/>
      <c r="I371" s="20"/>
      <c r="J371" s="20">
        <f>IF(G:G="FRENOS",(Tabla24567894[[#This Row],[TOTAL FACTURA]]*0.8),(Tabla24567894[[#This Row],[TOTAL FACTURA]]*0.5))</f>
        <v>0</v>
      </c>
      <c r="K371" s="9">
        <f t="shared" si="5"/>
        <v>0</v>
      </c>
      <c r="L371" s="4"/>
      <c r="M371" s="10"/>
      <c r="N371" s="10">
        <f>Tabla24567894[[#This Row],[MONTO DE COMPRA]]/1.19</f>
        <v>0</v>
      </c>
      <c r="O371" s="10">
        <f>Tabla24567894[[#This Row],[Columna1]]*19%</f>
        <v>0</v>
      </c>
      <c r="P371" s="10"/>
      <c r="Q371" s="10">
        <f>Tabla24567894[[#This Row],[VENTA ]]/1.19</f>
        <v>0</v>
      </c>
      <c r="R371" s="10">
        <f>Tabla24567894[[#This Row],[Columna2]]*19%</f>
        <v>0</v>
      </c>
      <c r="S371" s="10">
        <f>Tabla24567894[[#This Row],[IVA VENTA ]]-Tabla24567894[[#This Row],[IV COMPRA]]</f>
        <v>0</v>
      </c>
      <c r="T371" s="10">
        <f>(Tabla24567894[[#This Row],[VENTA ]]-(Tabla24567894[[#This Row],[MONTO DE COMPRA]]+Tabla24567894[[#This Row],[DIFERENCIA IVA ]]))</f>
        <v>0</v>
      </c>
      <c r="V371" s="17"/>
    </row>
    <row r="372" spans="1:22" s="15" customFormat="1" ht="20.100000000000001" hidden="1" customHeight="1" x14ac:dyDescent="0.25">
      <c r="A372" s="13"/>
      <c r="B372" s="14"/>
      <c r="C372" s="14"/>
      <c r="D372" s="14"/>
      <c r="G372" s="14"/>
      <c r="H372" s="16"/>
      <c r="I372" s="20"/>
      <c r="J372" s="20">
        <f>IF(G:G="FRENOS",(Tabla24567894[[#This Row],[TOTAL FACTURA]]*0.8),(Tabla24567894[[#This Row],[TOTAL FACTURA]]*0.5))</f>
        <v>0</v>
      </c>
      <c r="K372" s="9">
        <f t="shared" si="5"/>
        <v>0</v>
      </c>
      <c r="L372" s="4"/>
      <c r="M372" s="10"/>
      <c r="N372" s="10">
        <f>Tabla24567894[[#This Row],[MONTO DE COMPRA]]/1.19</f>
        <v>0</v>
      </c>
      <c r="O372" s="10">
        <f>Tabla24567894[[#This Row],[Columna1]]*19%</f>
        <v>0</v>
      </c>
      <c r="P372" s="10"/>
      <c r="Q372" s="10">
        <f>Tabla24567894[[#This Row],[VENTA ]]/1.19</f>
        <v>0</v>
      </c>
      <c r="R372" s="10">
        <f>Tabla24567894[[#This Row],[Columna2]]*19%</f>
        <v>0</v>
      </c>
      <c r="S372" s="10">
        <f>Tabla24567894[[#This Row],[IVA VENTA ]]-Tabla24567894[[#This Row],[IV COMPRA]]</f>
        <v>0</v>
      </c>
      <c r="T372" s="10">
        <f>(Tabla24567894[[#This Row],[VENTA ]]-(Tabla24567894[[#This Row],[MONTO DE COMPRA]]+Tabla24567894[[#This Row],[DIFERENCIA IVA ]]))</f>
        <v>0</v>
      </c>
      <c r="V372" s="17"/>
    </row>
    <row r="373" spans="1:22" s="15" customFormat="1" ht="20.100000000000001" hidden="1" customHeight="1" x14ac:dyDescent="0.25">
      <c r="A373" s="13"/>
      <c r="B373" s="14"/>
      <c r="C373" s="14"/>
      <c r="D373" s="14"/>
      <c r="G373" s="14"/>
      <c r="H373" s="16"/>
      <c r="I373" s="20"/>
      <c r="J373" s="20">
        <f>IF(G:G="FRENOS",(Tabla24567894[[#This Row],[TOTAL FACTURA]]*0.8),(Tabla24567894[[#This Row],[TOTAL FACTURA]]*0.5))</f>
        <v>0</v>
      </c>
      <c r="K373" s="9">
        <f t="shared" si="5"/>
        <v>0</v>
      </c>
      <c r="L373" s="4"/>
      <c r="M373" s="10"/>
      <c r="N373" s="10">
        <f>Tabla24567894[[#This Row],[MONTO DE COMPRA]]/1.19</f>
        <v>0</v>
      </c>
      <c r="O373" s="10">
        <f>Tabla24567894[[#This Row],[Columna1]]*19%</f>
        <v>0</v>
      </c>
      <c r="P373" s="10"/>
      <c r="Q373" s="10">
        <f>Tabla24567894[[#This Row],[VENTA ]]/1.19</f>
        <v>0</v>
      </c>
      <c r="R373" s="10">
        <f>Tabla24567894[[#This Row],[Columna2]]*19%</f>
        <v>0</v>
      </c>
      <c r="S373" s="10">
        <f>Tabla24567894[[#This Row],[IVA VENTA ]]-Tabla24567894[[#This Row],[IV COMPRA]]</f>
        <v>0</v>
      </c>
      <c r="T373" s="10">
        <f>(Tabla24567894[[#This Row],[VENTA ]]-(Tabla24567894[[#This Row],[MONTO DE COMPRA]]+Tabla24567894[[#This Row],[DIFERENCIA IVA ]]))</f>
        <v>0</v>
      </c>
      <c r="V373" s="17"/>
    </row>
    <row r="374" spans="1:22" s="15" customFormat="1" ht="20.100000000000001" hidden="1" customHeight="1" x14ac:dyDescent="0.25">
      <c r="A374" s="13"/>
      <c r="B374" s="14"/>
      <c r="C374" s="14"/>
      <c r="G374" s="14"/>
      <c r="H374" s="16"/>
      <c r="I374" s="20"/>
      <c r="J374" s="20">
        <f>IF(G:G="FRENOS",(Tabla24567894[[#This Row],[TOTAL FACTURA]]*0.8),(Tabla24567894[[#This Row],[TOTAL FACTURA]]*0.5))</f>
        <v>0</v>
      </c>
      <c r="K374" s="9">
        <f t="shared" si="5"/>
        <v>0</v>
      </c>
      <c r="L374" s="4"/>
      <c r="M374" s="10"/>
      <c r="N374" s="10">
        <f>Tabla24567894[[#This Row],[MONTO DE COMPRA]]/1.19</f>
        <v>0</v>
      </c>
      <c r="O374" s="10">
        <f>Tabla24567894[[#This Row],[Columna1]]*19%</f>
        <v>0</v>
      </c>
      <c r="P374" s="10"/>
      <c r="Q374" s="10">
        <f>Tabla24567894[[#This Row],[VENTA ]]/1.19</f>
        <v>0</v>
      </c>
      <c r="R374" s="10">
        <f>Tabla24567894[[#This Row],[Columna2]]*19%</f>
        <v>0</v>
      </c>
      <c r="S374" s="10">
        <f>Tabla24567894[[#This Row],[IVA VENTA ]]-Tabla24567894[[#This Row],[IV COMPRA]]</f>
        <v>0</v>
      </c>
      <c r="T374" s="10">
        <f>(Tabla24567894[[#This Row],[VENTA ]]-(Tabla24567894[[#This Row],[MONTO DE COMPRA]]+Tabla24567894[[#This Row],[DIFERENCIA IVA ]]))</f>
        <v>0</v>
      </c>
      <c r="V374" s="17"/>
    </row>
    <row r="375" spans="1:22" s="15" customFormat="1" ht="20.100000000000001" hidden="1" customHeight="1" x14ac:dyDescent="0.25">
      <c r="A375" s="13"/>
      <c r="B375" s="14"/>
      <c r="C375" s="14"/>
      <c r="D375" s="14"/>
      <c r="G375" s="14"/>
      <c r="H375" s="16"/>
      <c r="I375" s="20"/>
      <c r="J375" s="20">
        <f>IF(G:G="FRENOS",(Tabla24567894[[#This Row],[TOTAL FACTURA]]*0.8),(Tabla24567894[[#This Row],[TOTAL FACTURA]]*0.5))</f>
        <v>0</v>
      </c>
      <c r="K375" s="9">
        <f t="shared" si="5"/>
        <v>0</v>
      </c>
      <c r="L375" s="4"/>
      <c r="M375" s="10"/>
      <c r="N375" s="10">
        <f>Tabla24567894[[#This Row],[MONTO DE COMPRA]]/1.19</f>
        <v>0</v>
      </c>
      <c r="O375" s="10">
        <f>Tabla24567894[[#This Row],[Columna1]]*19%</f>
        <v>0</v>
      </c>
      <c r="P375" s="10"/>
      <c r="Q375" s="10">
        <f>Tabla24567894[[#This Row],[VENTA ]]/1.19</f>
        <v>0</v>
      </c>
      <c r="R375" s="10">
        <f>Tabla24567894[[#This Row],[Columna2]]*19%</f>
        <v>0</v>
      </c>
      <c r="S375" s="10">
        <f>Tabla24567894[[#This Row],[IVA VENTA ]]-Tabla24567894[[#This Row],[IV COMPRA]]</f>
        <v>0</v>
      </c>
      <c r="T375" s="10">
        <f>(Tabla24567894[[#This Row],[VENTA ]]-(Tabla24567894[[#This Row],[MONTO DE COMPRA]]+Tabla24567894[[#This Row],[DIFERENCIA IVA ]]))</f>
        <v>0</v>
      </c>
      <c r="V375" s="17"/>
    </row>
    <row r="376" spans="1:22" s="15" customFormat="1" ht="20.100000000000001" hidden="1" customHeight="1" x14ac:dyDescent="0.25">
      <c r="A376" s="13"/>
      <c r="B376" s="14"/>
      <c r="C376" s="14"/>
      <c r="D376" s="14"/>
      <c r="G376" s="14"/>
      <c r="H376" s="16"/>
      <c r="I376" s="20"/>
      <c r="J376" s="20">
        <f>IF(G:G="FRENOS",(Tabla24567894[[#This Row],[TOTAL FACTURA]]*0.8),(Tabla24567894[[#This Row],[TOTAL FACTURA]]*0.5))</f>
        <v>0</v>
      </c>
      <c r="K376" s="9">
        <f t="shared" si="5"/>
        <v>0</v>
      </c>
      <c r="L376" s="4"/>
      <c r="M376" s="10"/>
      <c r="N376" s="10">
        <f>Tabla24567894[[#This Row],[MONTO DE COMPRA]]/1.19</f>
        <v>0</v>
      </c>
      <c r="O376" s="10">
        <f>Tabla24567894[[#This Row],[Columna1]]*19%</f>
        <v>0</v>
      </c>
      <c r="P376" s="10"/>
      <c r="Q376" s="10">
        <f>Tabla24567894[[#This Row],[VENTA ]]/1.19</f>
        <v>0</v>
      </c>
      <c r="R376" s="10">
        <f>Tabla24567894[[#This Row],[Columna2]]*19%</f>
        <v>0</v>
      </c>
      <c r="S376" s="10">
        <f>Tabla24567894[[#This Row],[IVA VENTA ]]-Tabla24567894[[#This Row],[IV COMPRA]]</f>
        <v>0</v>
      </c>
      <c r="T376" s="10">
        <f>(Tabla24567894[[#This Row],[VENTA ]]-(Tabla24567894[[#This Row],[MONTO DE COMPRA]]+Tabla24567894[[#This Row],[DIFERENCIA IVA ]]))</f>
        <v>0</v>
      </c>
      <c r="V376" s="17"/>
    </row>
    <row r="377" spans="1:22" s="15" customFormat="1" ht="20.100000000000001" hidden="1" customHeight="1" x14ac:dyDescent="0.25">
      <c r="A377" s="13"/>
      <c r="B377" s="14"/>
      <c r="C377" s="14"/>
      <c r="D377" s="14"/>
      <c r="G377" s="14"/>
      <c r="H377" s="16"/>
      <c r="I377" s="20"/>
      <c r="J377" s="20">
        <f>IF(G:G="FRENOS",(Tabla24567894[[#This Row],[TOTAL FACTURA]]*0.8),(Tabla24567894[[#This Row],[TOTAL FACTURA]]*0.5))</f>
        <v>0</v>
      </c>
      <c r="K377" s="9">
        <f t="shared" si="5"/>
        <v>0</v>
      </c>
      <c r="L377" s="4"/>
      <c r="M377" s="10"/>
      <c r="N377" s="10">
        <f>Tabla24567894[[#This Row],[MONTO DE COMPRA]]/1.19</f>
        <v>0</v>
      </c>
      <c r="O377" s="10">
        <f>Tabla24567894[[#This Row],[Columna1]]*19%</f>
        <v>0</v>
      </c>
      <c r="P377" s="10"/>
      <c r="Q377" s="10">
        <f>Tabla24567894[[#This Row],[VENTA ]]/1.19</f>
        <v>0</v>
      </c>
      <c r="R377" s="10">
        <f>Tabla24567894[[#This Row],[Columna2]]*19%</f>
        <v>0</v>
      </c>
      <c r="S377" s="10">
        <f>Tabla24567894[[#This Row],[IVA VENTA ]]-Tabla24567894[[#This Row],[IV COMPRA]]</f>
        <v>0</v>
      </c>
      <c r="T377" s="10">
        <f>(Tabla24567894[[#This Row],[VENTA ]]-(Tabla24567894[[#This Row],[MONTO DE COMPRA]]+Tabla24567894[[#This Row],[DIFERENCIA IVA ]]))</f>
        <v>0</v>
      </c>
      <c r="V377" s="17"/>
    </row>
    <row r="378" spans="1:22" s="15" customFormat="1" ht="20.100000000000001" hidden="1" customHeight="1" x14ac:dyDescent="0.25">
      <c r="A378" s="13"/>
      <c r="B378" s="14"/>
      <c r="C378" s="14"/>
      <c r="D378" s="14"/>
      <c r="G378" s="14"/>
      <c r="H378" s="16"/>
      <c r="I378" s="20"/>
      <c r="J378" s="20">
        <f>IF(G:G="FRENOS",(Tabla24567894[[#This Row],[TOTAL FACTURA]]*0.8),(Tabla24567894[[#This Row],[TOTAL FACTURA]]*0.5))</f>
        <v>0</v>
      </c>
      <c r="K378" s="9">
        <f t="shared" si="5"/>
        <v>0</v>
      </c>
      <c r="L378" s="4"/>
      <c r="M378" s="10"/>
      <c r="N378" s="10">
        <f>Tabla24567894[[#This Row],[MONTO DE COMPRA]]/1.19</f>
        <v>0</v>
      </c>
      <c r="O378" s="10">
        <f>Tabla24567894[[#This Row],[Columna1]]*19%</f>
        <v>0</v>
      </c>
      <c r="P378" s="10"/>
      <c r="Q378" s="10">
        <f>Tabla24567894[[#This Row],[VENTA ]]/1.19</f>
        <v>0</v>
      </c>
      <c r="R378" s="10">
        <f>Tabla24567894[[#This Row],[Columna2]]*19%</f>
        <v>0</v>
      </c>
      <c r="S378" s="10">
        <f>Tabla24567894[[#This Row],[IVA VENTA ]]-Tabla24567894[[#This Row],[IV COMPRA]]</f>
        <v>0</v>
      </c>
      <c r="T378" s="10">
        <f>(Tabla24567894[[#This Row],[VENTA ]]-(Tabla24567894[[#This Row],[MONTO DE COMPRA]]+Tabla24567894[[#This Row],[DIFERENCIA IVA ]]))</f>
        <v>0</v>
      </c>
      <c r="V378" s="17"/>
    </row>
    <row r="379" spans="1:22" s="15" customFormat="1" ht="20.100000000000001" hidden="1" customHeight="1" x14ac:dyDescent="0.25">
      <c r="A379" s="13"/>
      <c r="B379" s="14"/>
      <c r="C379" s="14"/>
      <c r="D379" s="14"/>
      <c r="G379" s="14"/>
      <c r="H379" s="16"/>
      <c r="I379" s="20"/>
      <c r="J379" s="20">
        <f>IF(G:G="FRENOS",(Tabla24567894[[#This Row],[TOTAL FACTURA]]*0.8),(Tabla24567894[[#This Row],[TOTAL FACTURA]]*0.5))</f>
        <v>0</v>
      </c>
      <c r="K379" s="9">
        <f t="shared" si="5"/>
        <v>0</v>
      </c>
      <c r="L379" s="4"/>
      <c r="M379" s="10"/>
      <c r="N379" s="10">
        <f>Tabla24567894[[#This Row],[MONTO DE COMPRA]]/1.19</f>
        <v>0</v>
      </c>
      <c r="O379" s="10">
        <f>Tabla24567894[[#This Row],[Columna1]]*19%</f>
        <v>0</v>
      </c>
      <c r="P379" s="10"/>
      <c r="Q379" s="10">
        <f>Tabla24567894[[#This Row],[VENTA ]]/1.19</f>
        <v>0</v>
      </c>
      <c r="R379" s="10">
        <f>Tabla24567894[[#This Row],[Columna2]]*19%</f>
        <v>0</v>
      </c>
      <c r="S379" s="10">
        <f>Tabla24567894[[#This Row],[IVA VENTA ]]-Tabla24567894[[#This Row],[IV COMPRA]]</f>
        <v>0</v>
      </c>
      <c r="T379" s="10">
        <f>(Tabla24567894[[#This Row],[VENTA ]]-(Tabla24567894[[#This Row],[MONTO DE COMPRA]]+Tabla24567894[[#This Row],[DIFERENCIA IVA ]]))</f>
        <v>0</v>
      </c>
      <c r="V379" s="17"/>
    </row>
    <row r="380" spans="1:22" s="15" customFormat="1" ht="20.100000000000001" hidden="1" customHeight="1" x14ac:dyDescent="0.25">
      <c r="A380" s="13"/>
      <c r="B380" s="14"/>
      <c r="C380" s="14"/>
      <c r="D380" s="14"/>
      <c r="G380" s="14"/>
      <c r="H380" s="16"/>
      <c r="I380" s="20"/>
      <c r="J380" s="20">
        <f>IF(G:G="FRENOS",(Tabla24567894[[#This Row],[TOTAL FACTURA]]*0.8),(Tabla24567894[[#This Row],[TOTAL FACTURA]]*0.5))</f>
        <v>0</v>
      </c>
      <c r="K380" s="9">
        <f t="shared" si="5"/>
        <v>0</v>
      </c>
      <c r="L380" s="4"/>
      <c r="M380" s="10"/>
      <c r="N380" s="10">
        <f>Tabla24567894[[#This Row],[MONTO DE COMPRA]]/1.19</f>
        <v>0</v>
      </c>
      <c r="O380" s="10">
        <f>Tabla24567894[[#This Row],[Columna1]]*19%</f>
        <v>0</v>
      </c>
      <c r="P380" s="10"/>
      <c r="Q380" s="10">
        <f>Tabla24567894[[#This Row],[VENTA ]]/1.19</f>
        <v>0</v>
      </c>
      <c r="R380" s="10">
        <f>Tabla24567894[[#This Row],[Columna2]]*19%</f>
        <v>0</v>
      </c>
      <c r="S380" s="10">
        <f>Tabla24567894[[#This Row],[IVA VENTA ]]-Tabla24567894[[#This Row],[IV COMPRA]]</f>
        <v>0</v>
      </c>
      <c r="T380" s="10">
        <f>(Tabla24567894[[#This Row],[VENTA ]]-(Tabla24567894[[#This Row],[MONTO DE COMPRA]]+Tabla24567894[[#This Row],[DIFERENCIA IVA ]]))</f>
        <v>0</v>
      </c>
      <c r="V380" s="17"/>
    </row>
    <row r="381" spans="1:22" s="15" customFormat="1" ht="20.100000000000001" hidden="1" customHeight="1" x14ac:dyDescent="0.25">
      <c r="A381" s="13"/>
      <c r="B381" s="14"/>
      <c r="C381" s="14"/>
      <c r="D381" s="14"/>
      <c r="G381" s="14"/>
      <c r="H381" s="16"/>
      <c r="I381" s="20"/>
      <c r="J381" s="20">
        <f>IF(G:G="FRENOS",(Tabla24567894[[#This Row],[TOTAL FACTURA]]*0.8),(Tabla24567894[[#This Row],[TOTAL FACTURA]]*0.5))</f>
        <v>0</v>
      </c>
      <c r="K381" s="9">
        <f t="shared" si="5"/>
        <v>0</v>
      </c>
      <c r="L381" s="4"/>
      <c r="M381" s="10"/>
      <c r="N381" s="10">
        <f>Tabla24567894[[#This Row],[MONTO DE COMPRA]]/1.19</f>
        <v>0</v>
      </c>
      <c r="O381" s="10">
        <f>Tabla24567894[[#This Row],[Columna1]]*19%</f>
        <v>0</v>
      </c>
      <c r="P381" s="10"/>
      <c r="Q381" s="10">
        <f>Tabla24567894[[#This Row],[VENTA ]]/1.19</f>
        <v>0</v>
      </c>
      <c r="R381" s="10">
        <f>Tabla24567894[[#This Row],[Columna2]]*19%</f>
        <v>0</v>
      </c>
      <c r="S381" s="10">
        <f>Tabla24567894[[#This Row],[IVA VENTA ]]-Tabla24567894[[#This Row],[IV COMPRA]]</f>
        <v>0</v>
      </c>
      <c r="T381" s="10">
        <f>(Tabla24567894[[#This Row],[VENTA ]]-(Tabla24567894[[#This Row],[MONTO DE COMPRA]]+Tabla24567894[[#This Row],[DIFERENCIA IVA ]]))</f>
        <v>0</v>
      </c>
      <c r="V381" s="17"/>
    </row>
    <row r="382" spans="1:22" s="15" customFormat="1" ht="20.100000000000001" hidden="1" customHeight="1" x14ac:dyDescent="0.25">
      <c r="A382" s="13"/>
      <c r="B382" s="14"/>
      <c r="C382" s="14"/>
      <c r="D382" s="14"/>
      <c r="G382" s="14"/>
      <c r="H382" s="16"/>
      <c r="I382" s="20"/>
      <c r="J382" s="20">
        <f>IF(G:G="FRENOS",(Tabla24567894[[#This Row],[TOTAL FACTURA]]*0.8),(Tabla24567894[[#This Row],[TOTAL FACTURA]]*0.5))</f>
        <v>0</v>
      </c>
      <c r="K382" s="9">
        <f t="shared" si="5"/>
        <v>0</v>
      </c>
      <c r="L382" s="4"/>
      <c r="M382" s="10"/>
      <c r="N382" s="10">
        <f>Tabla24567894[[#This Row],[MONTO DE COMPRA]]/1.19</f>
        <v>0</v>
      </c>
      <c r="O382" s="10">
        <f>Tabla24567894[[#This Row],[Columna1]]*19%</f>
        <v>0</v>
      </c>
      <c r="P382" s="10"/>
      <c r="Q382" s="10">
        <f>Tabla24567894[[#This Row],[VENTA ]]/1.19</f>
        <v>0</v>
      </c>
      <c r="R382" s="10">
        <f>Tabla24567894[[#This Row],[Columna2]]*19%</f>
        <v>0</v>
      </c>
      <c r="S382" s="10">
        <f>Tabla24567894[[#This Row],[IVA VENTA ]]-Tabla24567894[[#This Row],[IV COMPRA]]</f>
        <v>0</v>
      </c>
      <c r="T382" s="10">
        <f>(Tabla24567894[[#This Row],[VENTA ]]-(Tabla24567894[[#This Row],[MONTO DE COMPRA]]+Tabla24567894[[#This Row],[DIFERENCIA IVA ]]))</f>
        <v>0</v>
      </c>
      <c r="V382" s="17"/>
    </row>
    <row r="383" spans="1:22" s="15" customFormat="1" ht="20.100000000000001" hidden="1" customHeight="1" x14ac:dyDescent="0.25">
      <c r="A383" s="13"/>
      <c r="B383" s="14"/>
      <c r="C383" s="23"/>
      <c r="D383" s="14"/>
      <c r="G383" s="14"/>
      <c r="H383" s="16"/>
      <c r="I383" s="20"/>
      <c r="J383" s="20">
        <f>IF(G:G="FRENOS",(Tabla24567894[[#This Row],[TOTAL FACTURA]]*0.8),(Tabla24567894[[#This Row],[TOTAL FACTURA]]*0.5))</f>
        <v>0</v>
      </c>
      <c r="K383" s="9">
        <f t="shared" si="5"/>
        <v>0</v>
      </c>
      <c r="L383" s="4"/>
      <c r="M383" s="10"/>
      <c r="N383" s="10">
        <f>Tabla24567894[[#This Row],[MONTO DE COMPRA]]/1.19</f>
        <v>0</v>
      </c>
      <c r="O383" s="10">
        <f>Tabla24567894[[#This Row],[Columna1]]*19%</f>
        <v>0</v>
      </c>
      <c r="P383" s="10"/>
      <c r="Q383" s="10">
        <f>Tabla24567894[[#This Row],[VENTA ]]/1.19</f>
        <v>0</v>
      </c>
      <c r="R383" s="10">
        <f>Tabla24567894[[#This Row],[Columna2]]*19%</f>
        <v>0</v>
      </c>
      <c r="S383" s="10">
        <f>Tabla24567894[[#This Row],[IVA VENTA ]]-Tabla24567894[[#This Row],[IV COMPRA]]</f>
        <v>0</v>
      </c>
      <c r="T383" s="10">
        <f>(Tabla24567894[[#This Row],[VENTA ]]-(Tabla24567894[[#This Row],[MONTO DE COMPRA]]+Tabla24567894[[#This Row],[DIFERENCIA IVA ]]))</f>
        <v>0</v>
      </c>
      <c r="V383" s="17"/>
    </row>
    <row r="384" spans="1:22" s="15" customFormat="1" ht="20.100000000000001" hidden="1" customHeight="1" x14ac:dyDescent="0.25">
      <c r="A384" s="13"/>
      <c r="B384" s="14"/>
      <c r="C384" s="14"/>
      <c r="D384" s="14"/>
      <c r="G384" s="14"/>
      <c r="H384" s="16"/>
      <c r="I384" s="20"/>
      <c r="J384" s="20">
        <f>IF(G:G="FRENOS",(Tabla24567894[[#This Row],[TOTAL FACTURA]]*0.8),(Tabla24567894[[#This Row],[TOTAL FACTURA]]*0.5))</f>
        <v>0</v>
      </c>
      <c r="K384" s="9">
        <f t="shared" si="5"/>
        <v>0</v>
      </c>
      <c r="L384" s="4"/>
      <c r="M384" s="10"/>
      <c r="N384" s="10">
        <f>Tabla24567894[[#This Row],[MONTO DE COMPRA]]/1.19</f>
        <v>0</v>
      </c>
      <c r="O384" s="10">
        <f>Tabla24567894[[#This Row],[Columna1]]*19%</f>
        <v>0</v>
      </c>
      <c r="P384" s="10"/>
      <c r="Q384" s="10">
        <f>Tabla24567894[[#This Row],[VENTA ]]/1.19</f>
        <v>0</v>
      </c>
      <c r="R384" s="10">
        <f>Tabla24567894[[#This Row],[Columna2]]*19%</f>
        <v>0</v>
      </c>
      <c r="S384" s="10">
        <f>Tabla24567894[[#This Row],[IVA VENTA ]]-Tabla24567894[[#This Row],[IV COMPRA]]</f>
        <v>0</v>
      </c>
      <c r="T384" s="10">
        <f>(Tabla24567894[[#This Row],[VENTA ]]-(Tabla24567894[[#This Row],[MONTO DE COMPRA]]+Tabla24567894[[#This Row],[DIFERENCIA IVA ]]))</f>
        <v>0</v>
      </c>
      <c r="V384" s="17"/>
    </row>
    <row r="385" spans="1:22" s="15" customFormat="1" ht="20.100000000000001" hidden="1" customHeight="1" x14ac:dyDescent="0.25">
      <c r="A385" s="13"/>
      <c r="B385" s="14"/>
      <c r="C385" s="14"/>
      <c r="D385" s="14"/>
      <c r="G385" s="14"/>
      <c r="H385" s="16"/>
      <c r="I385" s="20"/>
      <c r="J385" s="20">
        <f>IF(G:G="FRENOS",(Tabla24567894[[#This Row],[TOTAL FACTURA]]*0.8),(Tabla24567894[[#This Row],[TOTAL FACTURA]]*0.5))</f>
        <v>0</v>
      </c>
      <c r="K385" s="9">
        <f t="shared" si="5"/>
        <v>0</v>
      </c>
      <c r="L385" s="4"/>
      <c r="M385" s="10"/>
      <c r="N385" s="10">
        <f>Tabla24567894[[#This Row],[MONTO DE COMPRA]]/1.19</f>
        <v>0</v>
      </c>
      <c r="O385" s="10">
        <f>Tabla24567894[[#This Row],[Columna1]]*19%</f>
        <v>0</v>
      </c>
      <c r="P385" s="10"/>
      <c r="Q385" s="10">
        <f>Tabla24567894[[#This Row],[VENTA ]]/1.19</f>
        <v>0</v>
      </c>
      <c r="R385" s="10">
        <f>Tabla24567894[[#This Row],[Columna2]]*19%</f>
        <v>0</v>
      </c>
      <c r="S385" s="10">
        <f>Tabla24567894[[#This Row],[IVA VENTA ]]-Tabla24567894[[#This Row],[IV COMPRA]]</f>
        <v>0</v>
      </c>
      <c r="T385" s="10">
        <f>(Tabla24567894[[#This Row],[VENTA ]]-(Tabla24567894[[#This Row],[MONTO DE COMPRA]]+Tabla24567894[[#This Row],[DIFERENCIA IVA ]]))</f>
        <v>0</v>
      </c>
      <c r="V385" s="17"/>
    </row>
    <row r="386" spans="1:22" s="15" customFormat="1" ht="20.100000000000001" hidden="1" customHeight="1" x14ac:dyDescent="0.25">
      <c r="A386" s="13"/>
      <c r="B386" s="14"/>
      <c r="C386" s="14"/>
      <c r="D386" s="14"/>
      <c r="G386" s="14"/>
      <c r="H386" s="16"/>
      <c r="I386" s="20"/>
      <c r="J386" s="20">
        <f>IF(G:G="FRENOS",(Tabla24567894[[#This Row],[TOTAL FACTURA]]*0.8),(Tabla24567894[[#This Row],[TOTAL FACTURA]]*0.5))</f>
        <v>0</v>
      </c>
      <c r="K386" s="9">
        <f t="shared" si="5"/>
        <v>0</v>
      </c>
      <c r="L386" s="4"/>
      <c r="M386" s="10"/>
      <c r="N386" s="10">
        <f>Tabla24567894[[#This Row],[MONTO DE COMPRA]]/1.19</f>
        <v>0</v>
      </c>
      <c r="O386" s="10">
        <f>Tabla24567894[[#This Row],[Columna1]]*19%</f>
        <v>0</v>
      </c>
      <c r="P386" s="10"/>
      <c r="Q386" s="10">
        <f>Tabla24567894[[#This Row],[VENTA ]]/1.19</f>
        <v>0</v>
      </c>
      <c r="R386" s="10">
        <f>Tabla24567894[[#This Row],[Columna2]]*19%</f>
        <v>0</v>
      </c>
      <c r="S386" s="10">
        <f>Tabla24567894[[#This Row],[IVA VENTA ]]-Tabla24567894[[#This Row],[IV COMPRA]]</f>
        <v>0</v>
      </c>
      <c r="T386" s="10">
        <f>(Tabla24567894[[#This Row],[VENTA ]]-(Tabla24567894[[#This Row],[MONTO DE COMPRA]]+Tabla24567894[[#This Row],[DIFERENCIA IVA ]]))</f>
        <v>0</v>
      </c>
      <c r="V386" s="17"/>
    </row>
    <row r="387" spans="1:22" s="15" customFormat="1" ht="20.100000000000001" hidden="1" customHeight="1" x14ac:dyDescent="0.25">
      <c r="A387" s="13"/>
      <c r="B387" s="14"/>
      <c r="C387" s="14"/>
      <c r="D387" s="14"/>
      <c r="G387" s="14"/>
      <c r="H387" s="16"/>
      <c r="I387" s="20"/>
      <c r="J387" s="20">
        <f>IF(G:G="FRENOS",(Tabla24567894[[#This Row],[TOTAL FACTURA]]*0.8),(Tabla24567894[[#This Row],[TOTAL FACTURA]]*0.5))</f>
        <v>0</v>
      </c>
      <c r="K387" s="9">
        <f t="shared" si="5"/>
        <v>0</v>
      </c>
      <c r="L387" s="4"/>
      <c r="M387" s="10"/>
      <c r="N387" s="10">
        <f>Tabla24567894[[#This Row],[MONTO DE COMPRA]]/1.19</f>
        <v>0</v>
      </c>
      <c r="O387" s="10">
        <f>Tabla24567894[[#This Row],[Columna1]]*19%</f>
        <v>0</v>
      </c>
      <c r="P387" s="10"/>
      <c r="Q387" s="10">
        <f>Tabla24567894[[#This Row],[VENTA ]]/1.19</f>
        <v>0</v>
      </c>
      <c r="R387" s="10">
        <f>Tabla24567894[[#This Row],[Columna2]]*19%</f>
        <v>0</v>
      </c>
      <c r="S387" s="10">
        <f>Tabla24567894[[#This Row],[IVA VENTA ]]-Tabla24567894[[#This Row],[IV COMPRA]]</f>
        <v>0</v>
      </c>
      <c r="T387" s="10">
        <f>(Tabla24567894[[#This Row],[VENTA ]]-(Tabla24567894[[#This Row],[MONTO DE COMPRA]]+Tabla24567894[[#This Row],[DIFERENCIA IVA ]]))</f>
        <v>0</v>
      </c>
      <c r="V387" s="17"/>
    </row>
    <row r="388" spans="1:22" s="15" customFormat="1" ht="20.100000000000001" hidden="1" customHeight="1" x14ac:dyDescent="0.25">
      <c r="A388" s="13"/>
      <c r="B388" s="14"/>
      <c r="C388" s="14"/>
      <c r="D388" s="14"/>
      <c r="G388" s="14"/>
      <c r="H388" s="16"/>
      <c r="I388" s="20"/>
      <c r="J388" s="20">
        <f>IF(G:G="FRENOS",(Tabla24567894[[#This Row],[TOTAL FACTURA]]*0.8),(Tabla24567894[[#This Row],[TOTAL FACTURA]]*0.5))</f>
        <v>0</v>
      </c>
      <c r="K388" s="9">
        <f t="shared" si="5"/>
        <v>0</v>
      </c>
      <c r="L388" s="4"/>
      <c r="M388" s="10"/>
      <c r="N388" s="10">
        <f>Tabla24567894[[#This Row],[MONTO DE COMPRA]]/1.19</f>
        <v>0</v>
      </c>
      <c r="O388" s="10">
        <f>Tabla24567894[[#This Row],[Columna1]]*19%</f>
        <v>0</v>
      </c>
      <c r="P388" s="10"/>
      <c r="Q388" s="10">
        <f>Tabla24567894[[#This Row],[VENTA ]]/1.19</f>
        <v>0</v>
      </c>
      <c r="R388" s="10">
        <f>Tabla24567894[[#This Row],[Columna2]]*19%</f>
        <v>0</v>
      </c>
      <c r="S388" s="10">
        <f>Tabla24567894[[#This Row],[IVA VENTA ]]-Tabla24567894[[#This Row],[IV COMPRA]]</f>
        <v>0</v>
      </c>
      <c r="T388" s="10">
        <f>(Tabla24567894[[#This Row],[VENTA ]]-(Tabla24567894[[#This Row],[MONTO DE COMPRA]]+Tabla24567894[[#This Row],[DIFERENCIA IVA ]]))</f>
        <v>0</v>
      </c>
      <c r="V388" s="17"/>
    </row>
    <row r="389" spans="1:22" s="15" customFormat="1" ht="20.100000000000001" hidden="1" customHeight="1" x14ac:dyDescent="0.25">
      <c r="A389" s="13"/>
      <c r="B389" s="14"/>
      <c r="C389" s="14"/>
      <c r="D389" s="14"/>
      <c r="G389" s="14"/>
      <c r="H389" s="16"/>
      <c r="I389" s="20"/>
      <c r="J389" s="20">
        <f>IF(G:G="FRENOS",(Tabla24567894[[#This Row],[TOTAL FACTURA]]*0.8),(Tabla24567894[[#This Row],[TOTAL FACTURA]]*0.5))</f>
        <v>0</v>
      </c>
      <c r="K389" s="9">
        <f t="shared" si="5"/>
        <v>0</v>
      </c>
      <c r="L389" s="4"/>
      <c r="M389" s="10"/>
      <c r="N389" s="10">
        <f>Tabla24567894[[#This Row],[MONTO DE COMPRA]]/1.19</f>
        <v>0</v>
      </c>
      <c r="O389" s="10">
        <f>Tabla24567894[[#This Row],[Columna1]]*19%</f>
        <v>0</v>
      </c>
      <c r="P389" s="10"/>
      <c r="Q389" s="10">
        <f>Tabla24567894[[#This Row],[VENTA ]]/1.19</f>
        <v>0</v>
      </c>
      <c r="R389" s="10">
        <f>Tabla24567894[[#This Row],[Columna2]]*19%</f>
        <v>0</v>
      </c>
      <c r="S389" s="10">
        <f>Tabla24567894[[#This Row],[IVA VENTA ]]-Tabla24567894[[#This Row],[IV COMPRA]]</f>
        <v>0</v>
      </c>
      <c r="T389" s="10">
        <f>(Tabla24567894[[#This Row],[VENTA ]]-(Tabla24567894[[#This Row],[MONTO DE COMPRA]]+Tabla24567894[[#This Row],[DIFERENCIA IVA ]]))</f>
        <v>0</v>
      </c>
      <c r="V389" s="17"/>
    </row>
    <row r="390" spans="1:22" s="15" customFormat="1" ht="20.100000000000001" hidden="1" customHeight="1" x14ac:dyDescent="0.25">
      <c r="A390" s="13"/>
      <c r="B390" s="14"/>
      <c r="C390" s="14"/>
      <c r="D390" s="14"/>
      <c r="G390" s="14"/>
      <c r="H390" s="16"/>
      <c r="I390" s="20"/>
      <c r="J390" s="20">
        <f>IF(G:G="FRENOS",(Tabla24567894[[#This Row],[TOTAL FACTURA]]*0.8),(Tabla24567894[[#This Row],[TOTAL FACTURA]]*0.5))</f>
        <v>0</v>
      </c>
      <c r="K390" s="9">
        <f t="shared" si="5"/>
        <v>0</v>
      </c>
      <c r="L390" s="4"/>
      <c r="M390" s="10"/>
      <c r="N390" s="10">
        <f>Tabla24567894[[#This Row],[MONTO DE COMPRA]]/1.19</f>
        <v>0</v>
      </c>
      <c r="O390" s="10">
        <f>Tabla24567894[[#This Row],[Columna1]]*19%</f>
        <v>0</v>
      </c>
      <c r="P390" s="10"/>
      <c r="Q390" s="10">
        <f>Tabla24567894[[#This Row],[VENTA ]]/1.19</f>
        <v>0</v>
      </c>
      <c r="R390" s="10">
        <f>Tabla24567894[[#This Row],[Columna2]]*19%</f>
        <v>0</v>
      </c>
      <c r="S390" s="10">
        <f>Tabla24567894[[#This Row],[IVA VENTA ]]-Tabla24567894[[#This Row],[IV COMPRA]]</f>
        <v>0</v>
      </c>
      <c r="T390" s="10">
        <f>(Tabla24567894[[#This Row],[VENTA ]]-(Tabla24567894[[#This Row],[MONTO DE COMPRA]]+Tabla24567894[[#This Row],[DIFERENCIA IVA ]]))</f>
        <v>0</v>
      </c>
      <c r="V390" s="17"/>
    </row>
    <row r="391" spans="1:22" s="15" customFormat="1" ht="20.100000000000001" hidden="1" customHeight="1" x14ac:dyDescent="0.25">
      <c r="A391" s="13"/>
      <c r="B391" s="14"/>
      <c r="C391" s="14"/>
      <c r="D391" s="14"/>
      <c r="G391" s="14"/>
      <c r="H391" s="16"/>
      <c r="I391" s="20"/>
      <c r="J391" s="20">
        <f>IF(G:G="FRENOS",(Tabla24567894[[#This Row],[TOTAL FACTURA]]*0.8),(Tabla24567894[[#This Row],[TOTAL FACTURA]]*0.5))</f>
        <v>0</v>
      </c>
      <c r="K391" s="9">
        <f t="shared" si="5"/>
        <v>0</v>
      </c>
      <c r="L391" s="4"/>
      <c r="M391" s="10"/>
      <c r="N391" s="10">
        <f>Tabla24567894[[#This Row],[MONTO DE COMPRA]]/1.19</f>
        <v>0</v>
      </c>
      <c r="O391" s="10">
        <f>Tabla24567894[[#This Row],[Columna1]]*19%</f>
        <v>0</v>
      </c>
      <c r="P391" s="10"/>
      <c r="Q391" s="10">
        <f>Tabla24567894[[#This Row],[VENTA ]]/1.19</f>
        <v>0</v>
      </c>
      <c r="R391" s="10">
        <f>Tabla24567894[[#This Row],[Columna2]]*19%</f>
        <v>0</v>
      </c>
      <c r="S391" s="10">
        <f>Tabla24567894[[#This Row],[IVA VENTA ]]-Tabla24567894[[#This Row],[IV COMPRA]]</f>
        <v>0</v>
      </c>
      <c r="T391" s="10">
        <f>(Tabla24567894[[#This Row],[VENTA ]]-(Tabla24567894[[#This Row],[MONTO DE COMPRA]]+Tabla24567894[[#This Row],[DIFERENCIA IVA ]]))</f>
        <v>0</v>
      </c>
      <c r="V391" s="17"/>
    </row>
    <row r="392" spans="1:22" s="15" customFormat="1" ht="20.100000000000001" hidden="1" customHeight="1" x14ac:dyDescent="0.25">
      <c r="A392" s="13"/>
      <c r="B392" s="14"/>
      <c r="C392" s="14"/>
      <c r="D392" s="14"/>
      <c r="G392" s="14"/>
      <c r="H392" s="16"/>
      <c r="I392" s="20"/>
      <c r="J392" s="20">
        <f>IF(G:G="FRENOS",(Tabla24567894[[#This Row],[TOTAL FACTURA]]*0.8),(Tabla24567894[[#This Row],[TOTAL FACTURA]]*0.5))</f>
        <v>0</v>
      </c>
      <c r="K392" s="9">
        <f t="shared" si="5"/>
        <v>0</v>
      </c>
      <c r="L392" s="4"/>
      <c r="M392" s="10"/>
      <c r="N392" s="10">
        <f>Tabla24567894[[#This Row],[MONTO DE COMPRA]]/1.19</f>
        <v>0</v>
      </c>
      <c r="O392" s="10">
        <f>Tabla24567894[[#This Row],[Columna1]]*19%</f>
        <v>0</v>
      </c>
      <c r="P392" s="10"/>
      <c r="Q392" s="10">
        <f>Tabla24567894[[#This Row],[VENTA ]]/1.19</f>
        <v>0</v>
      </c>
      <c r="R392" s="10">
        <f>Tabla24567894[[#This Row],[Columna2]]*19%</f>
        <v>0</v>
      </c>
      <c r="S392" s="10">
        <f>Tabla24567894[[#This Row],[IVA VENTA ]]-Tabla24567894[[#This Row],[IV COMPRA]]</f>
        <v>0</v>
      </c>
      <c r="T392" s="10">
        <f>(Tabla24567894[[#This Row],[VENTA ]]-(Tabla24567894[[#This Row],[MONTO DE COMPRA]]+Tabla24567894[[#This Row],[DIFERENCIA IVA ]]))</f>
        <v>0</v>
      </c>
      <c r="V392" s="17"/>
    </row>
    <row r="393" spans="1:22" s="15" customFormat="1" ht="20.100000000000001" hidden="1" customHeight="1" x14ac:dyDescent="0.25">
      <c r="A393" s="13"/>
      <c r="B393" s="14"/>
      <c r="C393" s="14"/>
      <c r="D393" s="14"/>
      <c r="G393" s="14"/>
      <c r="H393" s="16"/>
      <c r="I393" s="20"/>
      <c r="J393" s="20">
        <f>IF(G:G="FRENOS",(Tabla24567894[[#This Row],[TOTAL FACTURA]]*0.8),(Tabla24567894[[#This Row],[TOTAL FACTURA]]*0.5))</f>
        <v>0</v>
      </c>
      <c r="K393" s="9">
        <f t="shared" si="5"/>
        <v>0</v>
      </c>
      <c r="L393" s="4"/>
      <c r="M393" s="10"/>
      <c r="N393" s="10">
        <f>Tabla24567894[[#This Row],[MONTO DE COMPRA]]/1.19</f>
        <v>0</v>
      </c>
      <c r="O393" s="10">
        <f>Tabla24567894[[#This Row],[Columna1]]*19%</f>
        <v>0</v>
      </c>
      <c r="P393" s="10"/>
      <c r="Q393" s="10">
        <f>Tabla24567894[[#This Row],[VENTA ]]/1.19</f>
        <v>0</v>
      </c>
      <c r="R393" s="10">
        <f>Tabla24567894[[#This Row],[Columna2]]*19%</f>
        <v>0</v>
      </c>
      <c r="S393" s="10">
        <f>Tabla24567894[[#This Row],[IVA VENTA ]]-Tabla24567894[[#This Row],[IV COMPRA]]</f>
        <v>0</v>
      </c>
      <c r="T393" s="10">
        <f>(Tabla24567894[[#This Row],[VENTA ]]-(Tabla24567894[[#This Row],[MONTO DE COMPRA]]+Tabla24567894[[#This Row],[DIFERENCIA IVA ]]))</f>
        <v>0</v>
      </c>
      <c r="V393" s="17"/>
    </row>
    <row r="394" spans="1:22" s="15" customFormat="1" ht="20.100000000000001" hidden="1" customHeight="1" x14ac:dyDescent="0.25">
      <c r="A394" s="13"/>
      <c r="B394" s="14"/>
      <c r="C394" s="14"/>
      <c r="D394" s="14"/>
      <c r="G394" s="14"/>
      <c r="H394" s="16"/>
      <c r="I394" s="20"/>
      <c r="J394" s="20">
        <f>IF(G:G="FRENOS",(Tabla24567894[[#This Row],[TOTAL FACTURA]]*0.8),(Tabla24567894[[#This Row],[TOTAL FACTURA]]*0.5))</f>
        <v>0</v>
      </c>
      <c r="K394" s="9">
        <f t="shared" si="5"/>
        <v>0</v>
      </c>
      <c r="L394" s="4"/>
      <c r="M394" s="10"/>
      <c r="N394" s="10">
        <f>Tabla24567894[[#This Row],[MONTO DE COMPRA]]/1.19</f>
        <v>0</v>
      </c>
      <c r="O394" s="10">
        <f>Tabla24567894[[#This Row],[Columna1]]*19%</f>
        <v>0</v>
      </c>
      <c r="P394" s="10"/>
      <c r="Q394" s="10">
        <f>Tabla24567894[[#This Row],[VENTA ]]/1.19</f>
        <v>0</v>
      </c>
      <c r="R394" s="10">
        <f>Tabla24567894[[#This Row],[Columna2]]*19%</f>
        <v>0</v>
      </c>
      <c r="S394" s="10">
        <f>Tabla24567894[[#This Row],[IVA VENTA ]]-Tabla24567894[[#This Row],[IV COMPRA]]</f>
        <v>0</v>
      </c>
      <c r="T394" s="10">
        <f>(Tabla24567894[[#This Row],[VENTA ]]-(Tabla24567894[[#This Row],[MONTO DE COMPRA]]+Tabla24567894[[#This Row],[DIFERENCIA IVA ]]))</f>
        <v>0</v>
      </c>
      <c r="V394" s="17"/>
    </row>
    <row r="395" spans="1:22" s="15" customFormat="1" ht="20.100000000000001" hidden="1" customHeight="1" x14ac:dyDescent="0.25">
      <c r="A395" s="13"/>
      <c r="B395" s="14"/>
      <c r="C395" s="14"/>
      <c r="D395" s="14"/>
      <c r="G395" s="14"/>
      <c r="H395" s="16"/>
      <c r="I395" s="20"/>
      <c r="J395" s="20">
        <f>IF(G:G="FRENOS",(Tabla24567894[[#This Row],[TOTAL FACTURA]]*0.8),(Tabla24567894[[#This Row],[TOTAL FACTURA]]*0.5))</f>
        <v>0</v>
      </c>
      <c r="K395" s="9">
        <f t="shared" si="5"/>
        <v>0</v>
      </c>
      <c r="L395" s="4"/>
      <c r="M395" s="10"/>
      <c r="N395" s="10">
        <f>Tabla24567894[[#This Row],[MONTO DE COMPRA]]/1.19</f>
        <v>0</v>
      </c>
      <c r="O395" s="10">
        <f>Tabla24567894[[#This Row],[Columna1]]*19%</f>
        <v>0</v>
      </c>
      <c r="P395" s="10"/>
      <c r="Q395" s="10">
        <f>Tabla24567894[[#This Row],[VENTA ]]/1.19</f>
        <v>0</v>
      </c>
      <c r="R395" s="10">
        <f>Tabla24567894[[#This Row],[Columna2]]*19%</f>
        <v>0</v>
      </c>
      <c r="S395" s="10">
        <f>Tabla24567894[[#This Row],[IVA VENTA ]]-Tabla24567894[[#This Row],[IV COMPRA]]</f>
        <v>0</v>
      </c>
      <c r="T395" s="10">
        <f>(Tabla24567894[[#This Row],[VENTA ]]-(Tabla24567894[[#This Row],[MONTO DE COMPRA]]+Tabla24567894[[#This Row],[DIFERENCIA IVA ]]))</f>
        <v>0</v>
      </c>
      <c r="V395" s="17"/>
    </row>
    <row r="396" spans="1:22" s="15" customFormat="1" ht="20.100000000000001" hidden="1" customHeight="1" x14ac:dyDescent="0.25">
      <c r="A396" s="13"/>
      <c r="B396" s="14"/>
      <c r="C396" s="14"/>
      <c r="D396" s="14"/>
      <c r="G396" s="14"/>
      <c r="H396" s="16"/>
      <c r="I396" s="20"/>
      <c r="J396" s="20">
        <f>IF(G:G="FRENOS",(Tabla24567894[[#This Row],[TOTAL FACTURA]]*0.8),(Tabla24567894[[#This Row],[TOTAL FACTURA]]*0.5))</f>
        <v>0</v>
      </c>
      <c r="K396" s="9">
        <f t="shared" si="5"/>
        <v>0</v>
      </c>
      <c r="L396" s="4"/>
      <c r="M396" s="10"/>
      <c r="N396" s="10">
        <f>Tabla24567894[[#This Row],[MONTO DE COMPRA]]/1.19</f>
        <v>0</v>
      </c>
      <c r="O396" s="10">
        <f>Tabla24567894[[#This Row],[Columna1]]*19%</f>
        <v>0</v>
      </c>
      <c r="P396" s="10"/>
      <c r="Q396" s="10">
        <f>Tabla24567894[[#This Row],[VENTA ]]/1.19</f>
        <v>0</v>
      </c>
      <c r="R396" s="10">
        <f>Tabla24567894[[#This Row],[Columna2]]*19%</f>
        <v>0</v>
      </c>
      <c r="S396" s="10">
        <f>Tabla24567894[[#This Row],[IVA VENTA ]]-Tabla24567894[[#This Row],[IV COMPRA]]</f>
        <v>0</v>
      </c>
      <c r="T396" s="10">
        <f>(Tabla24567894[[#This Row],[VENTA ]]-(Tabla24567894[[#This Row],[MONTO DE COMPRA]]+Tabla24567894[[#This Row],[DIFERENCIA IVA ]]))</f>
        <v>0</v>
      </c>
      <c r="V396" s="17"/>
    </row>
    <row r="397" spans="1:22" s="15" customFormat="1" ht="20.100000000000001" hidden="1" customHeight="1" x14ac:dyDescent="0.25">
      <c r="A397" s="13"/>
      <c r="B397" s="14"/>
      <c r="C397" s="14"/>
      <c r="D397" s="14"/>
      <c r="G397" s="14"/>
      <c r="H397" s="16"/>
      <c r="I397" s="20"/>
      <c r="J397" s="20">
        <f>IF(G:G="FRENOS",(Tabla24567894[[#This Row],[TOTAL FACTURA]]*0.8),(Tabla24567894[[#This Row],[TOTAL FACTURA]]*0.5))</f>
        <v>0</v>
      </c>
      <c r="K397" s="9">
        <f t="shared" ref="K397:K445" si="6">I397-J397</f>
        <v>0</v>
      </c>
      <c r="L397" s="4"/>
      <c r="M397" s="10"/>
      <c r="N397" s="10">
        <f>Tabla24567894[[#This Row],[MONTO DE COMPRA]]/1.19</f>
        <v>0</v>
      </c>
      <c r="O397" s="10">
        <f>Tabla24567894[[#This Row],[Columna1]]*19%</f>
        <v>0</v>
      </c>
      <c r="P397" s="10"/>
      <c r="Q397" s="10">
        <f>Tabla24567894[[#This Row],[VENTA ]]/1.19</f>
        <v>0</v>
      </c>
      <c r="R397" s="10">
        <f>Tabla24567894[[#This Row],[Columna2]]*19%</f>
        <v>0</v>
      </c>
      <c r="S397" s="10">
        <f>Tabla24567894[[#This Row],[IVA VENTA ]]-Tabla24567894[[#This Row],[IV COMPRA]]</f>
        <v>0</v>
      </c>
      <c r="T397" s="10">
        <f>(Tabla24567894[[#This Row],[VENTA ]]-(Tabla24567894[[#This Row],[MONTO DE COMPRA]]+Tabla24567894[[#This Row],[DIFERENCIA IVA ]]))</f>
        <v>0</v>
      </c>
      <c r="V397" s="17"/>
    </row>
    <row r="398" spans="1:22" s="15" customFormat="1" ht="20.100000000000001" hidden="1" customHeight="1" x14ac:dyDescent="0.25">
      <c r="A398" s="13"/>
      <c r="B398" s="14"/>
      <c r="C398" s="14"/>
      <c r="D398" s="14"/>
      <c r="G398" s="14"/>
      <c r="H398" s="16"/>
      <c r="I398" s="20"/>
      <c r="J398" s="20">
        <f>IF(G:G="FRENOS",(Tabla24567894[[#This Row],[TOTAL FACTURA]]*0.8),(Tabla24567894[[#This Row],[TOTAL FACTURA]]*0.5))</f>
        <v>0</v>
      </c>
      <c r="K398" s="9">
        <f t="shared" si="6"/>
        <v>0</v>
      </c>
      <c r="L398" s="4"/>
      <c r="M398" s="10"/>
      <c r="N398" s="10">
        <f>Tabla24567894[[#This Row],[MONTO DE COMPRA]]/1.19</f>
        <v>0</v>
      </c>
      <c r="O398" s="10">
        <f>Tabla24567894[[#This Row],[Columna1]]*19%</f>
        <v>0</v>
      </c>
      <c r="P398" s="10"/>
      <c r="Q398" s="10">
        <f>Tabla24567894[[#This Row],[VENTA ]]/1.19</f>
        <v>0</v>
      </c>
      <c r="R398" s="10">
        <f>Tabla24567894[[#This Row],[Columna2]]*19%</f>
        <v>0</v>
      </c>
      <c r="S398" s="10">
        <f>Tabla24567894[[#This Row],[IVA VENTA ]]-Tabla24567894[[#This Row],[IV COMPRA]]</f>
        <v>0</v>
      </c>
      <c r="T398" s="10">
        <f>(Tabla24567894[[#This Row],[VENTA ]]-(Tabla24567894[[#This Row],[MONTO DE COMPRA]]+Tabla24567894[[#This Row],[DIFERENCIA IVA ]]))</f>
        <v>0</v>
      </c>
      <c r="V398" s="17"/>
    </row>
    <row r="399" spans="1:22" s="15" customFormat="1" ht="20.100000000000001" hidden="1" customHeight="1" x14ac:dyDescent="0.25">
      <c r="A399" s="13"/>
      <c r="B399" s="14"/>
      <c r="C399" s="14"/>
      <c r="D399" s="14"/>
      <c r="G399" s="14"/>
      <c r="H399" s="16"/>
      <c r="I399" s="20"/>
      <c r="J399" s="20">
        <f>IF(G:G="FRENOS",(Tabla24567894[[#This Row],[TOTAL FACTURA]]*0.8),(Tabla24567894[[#This Row],[TOTAL FACTURA]]*0.5))</f>
        <v>0</v>
      </c>
      <c r="K399" s="9">
        <f t="shared" si="6"/>
        <v>0</v>
      </c>
      <c r="L399" s="4"/>
      <c r="M399" s="10"/>
      <c r="N399" s="10">
        <f>Tabla24567894[[#This Row],[MONTO DE COMPRA]]/1.19</f>
        <v>0</v>
      </c>
      <c r="O399" s="10">
        <f>Tabla24567894[[#This Row],[Columna1]]*19%</f>
        <v>0</v>
      </c>
      <c r="P399" s="10"/>
      <c r="Q399" s="10">
        <f>Tabla24567894[[#This Row],[VENTA ]]/1.19</f>
        <v>0</v>
      </c>
      <c r="R399" s="10">
        <f>Tabla24567894[[#This Row],[Columna2]]*19%</f>
        <v>0</v>
      </c>
      <c r="S399" s="10">
        <f>Tabla24567894[[#This Row],[IVA VENTA ]]-Tabla24567894[[#This Row],[IV COMPRA]]</f>
        <v>0</v>
      </c>
      <c r="T399" s="10">
        <f>(Tabla24567894[[#This Row],[VENTA ]]-(Tabla24567894[[#This Row],[MONTO DE COMPRA]]+Tabla24567894[[#This Row],[DIFERENCIA IVA ]]))</f>
        <v>0</v>
      </c>
      <c r="V399" s="17"/>
    </row>
    <row r="400" spans="1:22" s="15" customFormat="1" ht="20.100000000000001" hidden="1" customHeight="1" x14ac:dyDescent="0.25">
      <c r="A400" s="13"/>
      <c r="B400" s="14"/>
      <c r="C400" s="14"/>
      <c r="D400" s="14"/>
      <c r="G400" s="14"/>
      <c r="H400" s="16"/>
      <c r="I400" s="20"/>
      <c r="J400" s="20">
        <f>IF(G:G="FRENOS",(Tabla24567894[[#This Row],[TOTAL FACTURA]]*0.8),(Tabla24567894[[#This Row],[TOTAL FACTURA]]*0.5))</f>
        <v>0</v>
      </c>
      <c r="K400" s="9">
        <f t="shared" si="6"/>
        <v>0</v>
      </c>
      <c r="L400" s="4"/>
      <c r="M400" s="10"/>
      <c r="N400" s="10">
        <f>Tabla24567894[[#This Row],[MONTO DE COMPRA]]/1.19</f>
        <v>0</v>
      </c>
      <c r="O400" s="10">
        <f>Tabla24567894[[#This Row],[Columna1]]*19%</f>
        <v>0</v>
      </c>
      <c r="P400" s="10"/>
      <c r="Q400" s="10">
        <f>Tabla24567894[[#This Row],[VENTA ]]/1.19</f>
        <v>0</v>
      </c>
      <c r="R400" s="10">
        <f>Tabla24567894[[#This Row],[Columna2]]*19%</f>
        <v>0</v>
      </c>
      <c r="S400" s="10">
        <f>Tabla24567894[[#This Row],[IVA VENTA ]]-Tabla24567894[[#This Row],[IV COMPRA]]</f>
        <v>0</v>
      </c>
      <c r="T400" s="10">
        <f>(Tabla24567894[[#This Row],[VENTA ]]-(Tabla24567894[[#This Row],[MONTO DE COMPRA]]+Tabla24567894[[#This Row],[DIFERENCIA IVA ]]))</f>
        <v>0</v>
      </c>
      <c r="V400" s="17"/>
    </row>
    <row r="401" spans="1:22" s="15" customFormat="1" ht="20.100000000000001" hidden="1" customHeight="1" x14ac:dyDescent="0.25">
      <c r="A401" s="13"/>
      <c r="B401" s="14"/>
      <c r="C401" s="14"/>
      <c r="D401" s="14"/>
      <c r="G401" s="14"/>
      <c r="H401" s="16"/>
      <c r="I401" s="20"/>
      <c r="J401" s="20">
        <f>IF(G:G="FRENOS",(Tabla24567894[[#This Row],[TOTAL FACTURA]]*0.8),(Tabla24567894[[#This Row],[TOTAL FACTURA]]*0.5))</f>
        <v>0</v>
      </c>
      <c r="K401" s="9">
        <f t="shared" si="6"/>
        <v>0</v>
      </c>
      <c r="L401" s="4"/>
      <c r="M401" s="10"/>
      <c r="N401" s="10">
        <f>Tabla24567894[[#This Row],[MONTO DE COMPRA]]/1.19</f>
        <v>0</v>
      </c>
      <c r="O401" s="10">
        <f>Tabla24567894[[#This Row],[Columna1]]*19%</f>
        <v>0</v>
      </c>
      <c r="P401" s="10"/>
      <c r="Q401" s="10">
        <f>Tabla24567894[[#This Row],[VENTA ]]/1.19</f>
        <v>0</v>
      </c>
      <c r="R401" s="10">
        <f>Tabla24567894[[#This Row],[Columna2]]*19%</f>
        <v>0</v>
      </c>
      <c r="S401" s="10">
        <f>Tabla24567894[[#This Row],[IVA VENTA ]]-Tabla24567894[[#This Row],[IV COMPRA]]</f>
        <v>0</v>
      </c>
      <c r="T401" s="10">
        <f>(Tabla24567894[[#This Row],[VENTA ]]-(Tabla24567894[[#This Row],[MONTO DE COMPRA]]+Tabla24567894[[#This Row],[DIFERENCIA IVA ]]))</f>
        <v>0</v>
      </c>
      <c r="V401" s="17"/>
    </row>
    <row r="402" spans="1:22" s="15" customFormat="1" ht="20.100000000000001" hidden="1" customHeight="1" x14ac:dyDescent="0.25">
      <c r="A402" s="13"/>
      <c r="B402" s="14"/>
      <c r="C402" s="14"/>
      <c r="D402" s="14"/>
      <c r="G402" s="14"/>
      <c r="H402" s="16"/>
      <c r="I402" s="20"/>
      <c r="J402" s="20">
        <f>IF(G:G="FRENOS",(Tabla24567894[[#This Row],[TOTAL FACTURA]]*0.8),(Tabla24567894[[#This Row],[TOTAL FACTURA]]*0.5))</f>
        <v>0</v>
      </c>
      <c r="K402" s="9">
        <f t="shared" si="6"/>
        <v>0</v>
      </c>
      <c r="L402" s="4"/>
      <c r="M402" s="10"/>
      <c r="N402" s="10">
        <f>Tabla24567894[[#This Row],[MONTO DE COMPRA]]/1.19</f>
        <v>0</v>
      </c>
      <c r="O402" s="10">
        <f>Tabla24567894[[#This Row],[Columna1]]*19%</f>
        <v>0</v>
      </c>
      <c r="P402" s="10"/>
      <c r="Q402" s="10">
        <f>Tabla24567894[[#This Row],[VENTA ]]/1.19</f>
        <v>0</v>
      </c>
      <c r="R402" s="10">
        <f>Tabla24567894[[#This Row],[Columna2]]*19%</f>
        <v>0</v>
      </c>
      <c r="S402" s="10">
        <f>Tabla24567894[[#This Row],[IVA VENTA ]]-Tabla24567894[[#This Row],[IV COMPRA]]</f>
        <v>0</v>
      </c>
      <c r="T402" s="10">
        <f>(Tabla24567894[[#This Row],[VENTA ]]-(Tabla24567894[[#This Row],[MONTO DE COMPRA]]+Tabla24567894[[#This Row],[DIFERENCIA IVA ]]))</f>
        <v>0</v>
      </c>
      <c r="V402" s="17"/>
    </row>
    <row r="403" spans="1:22" s="15" customFormat="1" ht="20.100000000000001" hidden="1" customHeight="1" x14ac:dyDescent="0.25">
      <c r="A403" s="13"/>
      <c r="B403" s="14"/>
      <c r="C403" s="14"/>
      <c r="D403" s="14"/>
      <c r="G403" s="14"/>
      <c r="H403" s="16"/>
      <c r="I403" s="20"/>
      <c r="J403" s="20">
        <f>IF(G:G="FRENOS",(Tabla24567894[[#This Row],[TOTAL FACTURA]]*0.8),(Tabla24567894[[#This Row],[TOTAL FACTURA]]*0.5))</f>
        <v>0</v>
      </c>
      <c r="K403" s="9">
        <f t="shared" si="6"/>
        <v>0</v>
      </c>
      <c r="L403" s="4"/>
      <c r="M403" s="10"/>
      <c r="N403" s="10">
        <f>Tabla24567894[[#This Row],[MONTO DE COMPRA]]/1.19</f>
        <v>0</v>
      </c>
      <c r="O403" s="10">
        <f>Tabla24567894[[#This Row],[Columna1]]*19%</f>
        <v>0</v>
      </c>
      <c r="P403" s="10"/>
      <c r="Q403" s="10">
        <f>Tabla24567894[[#This Row],[VENTA ]]/1.19</f>
        <v>0</v>
      </c>
      <c r="R403" s="10">
        <f>Tabla24567894[[#This Row],[Columna2]]*19%</f>
        <v>0</v>
      </c>
      <c r="S403" s="10">
        <f>Tabla24567894[[#This Row],[IVA VENTA ]]-Tabla24567894[[#This Row],[IV COMPRA]]</f>
        <v>0</v>
      </c>
      <c r="T403" s="10">
        <f>(Tabla24567894[[#This Row],[VENTA ]]-(Tabla24567894[[#This Row],[MONTO DE COMPRA]]+Tabla24567894[[#This Row],[DIFERENCIA IVA ]]))</f>
        <v>0</v>
      </c>
      <c r="V403" s="17"/>
    </row>
    <row r="404" spans="1:22" s="15" customFormat="1" ht="20.100000000000001" hidden="1" customHeight="1" x14ac:dyDescent="0.25">
      <c r="A404" s="13"/>
      <c r="B404" s="14"/>
      <c r="C404" s="14"/>
      <c r="D404" s="14"/>
      <c r="G404" s="14"/>
      <c r="H404" s="16"/>
      <c r="I404" s="20"/>
      <c r="J404" s="20">
        <f>IF(G:G="FRENOS",(Tabla24567894[[#This Row],[TOTAL FACTURA]]*0.8),(Tabla24567894[[#This Row],[TOTAL FACTURA]]*0.5))</f>
        <v>0</v>
      </c>
      <c r="K404" s="9">
        <f t="shared" si="6"/>
        <v>0</v>
      </c>
      <c r="L404" s="4"/>
      <c r="M404" s="10"/>
      <c r="N404" s="10">
        <f>Tabla24567894[[#This Row],[MONTO DE COMPRA]]/1.19</f>
        <v>0</v>
      </c>
      <c r="O404" s="10">
        <f>Tabla24567894[[#This Row],[Columna1]]*19%</f>
        <v>0</v>
      </c>
      <c r="P404" s="10"/>
      <c r="Q404" s="10">
        <f>Tabla24567894[[#This Row],[VENTA ]]/1.19</f>
        <v>0</v>
      </c>
      <c r="R404" s="10">
        <f>Tabla24567894[[#This Row],[Columna2]]*19%</f>
        <v>0</v>
      </c>
      <c r="S404" s="10">
        <f>Tabla24567894[[#This Row],[IVA VENTA ]]-Tabla24567894[[#This Row],[IV COMPRA]]</f>
        <v>0</v>
      </c>
      <c r="T404" s="10">
        <f>(Tabla24567894[[#This Row],[VENTA ]]-(Tabla24567894[[#This Row],[MONTO DE COMPRA]]+Tabla24567894[[#This Row],[DIFERENCIA IVA ]]))</f>
        <v>0</v>
      </c>
      <c r="V404" s="17"/>
    </row>
    <row r="405" spans="1:22" s="15" customFormat="1" ht="20.100000000000001" hidden="1" customHeight="1" x14ac:dyDescent="0.25">
      <c r="A405" s="13"/>
      <c r="B405" s="14"/>
      <c r="C405" s="14"/>
      <c r="D405" s="14"/>
      <c r="G405" s="14"/>
      <c r="H405" s="16"/>
      <c r="I405" s="20"/>
      <c r="J405" s="20">
        <f>IF(G:G="FRENOS",(Tabla24567894[[#This Row],[TOTAL FACTURA]]*0.8),(Tabla24567894[[#This Row],[TOTAL FACTURA]]*0.5))</f>
        <v>0</v>
      </c>
      <c r="K405" s="9">
        <f t="shared" si="6"/>
        <v>0</v>
      </c>
      <c r="L405" s="4"/>
      <c r="M405" s="10"/>
      <c r="N405" s="10">
        <f>Tabla24567894[[#This Row],[MONTO DE COMPRA]]/1.19</f>
        <v>0</v>
      </c>
      <c r="O405" s="10">
        <f>Tabla24567894[[#This Row],[Columna1]]*19%</f>
        <v>0</v>
      </c>
      <c r="P405" s="10"/>
      <c r="Q405" s="10">
        <f>Tabla24567894[[#This Row],[VENTA ]]/1.19</f>
        <v>0</v>
      </c>
      <c r="R405" s="10">
        <f>Tabla24567894[[#This Row],[Columna2]]*19%</f>
        <v>0</v>
      </c>
      <c r="S405" s="10">
        <f>Tabla24567894[[#This Row],[IVA VENTA ]]-Tabla24567894[[#This Row],[IV COMPRA]]</f>
        <v>0</v>
      </c>
      <c r="T405" s="10">
        <f>(Tabla24567894[[#This Row],[VENTA ]]-(Tabla24567894[[#This Row],[MONTO DE COMPRA]]+Tabla24567894[[#This Row],[DIFERENCIA IVA ]]))</f>
        <v>0</v>
      </c>
      <c r="V405" s="17"/>
    </row>
    <row r="406" spans="1:22" s="15" customFormat="1" ht="20.100000000000001" hidden="1" customHeight="1" x14ac:dyDescent="0.25">
      <c r="A406" s="13"/>
      <c r="B406" s="14"/>
      <c r="C406" s="14"/>
      <c r="D406" s="14"/>
      <c r="G406" s="14"/>
      <c r="H406" s="16"/>
      <c r="I406" s="20"/>
      <c r="J406" s="20">
        <f>IF(G:G="FRENOS",(Tabla24567894[[#This Row],[TOTAL FACTURA]]*0.8),(Tabla24567894[[#This Row],[TOTAL FACTURA]]*0.5))</f>
        <v>0</v>
      </c>
      <c r="K406" s="9">
        <f t="shared" si="6"/>
        <v>0</v>
      </c>
      <c r="L406" s="4"/>
      <c r="M406" s="10"/>
      <c r="N406" s="10">
        <f>Tabla24567894[[#This Row],[MONTO DE COMPRA]]/1.19</f>
        <v>0</v>
      </c>
      <c r="O406" s="10">
        <f>Tabla24567894[[#This Row],[Columna1]]*19%</f>
        <v>0</v>
      </c>
      <c r="P406" s="10"/>
      <c r="Q406" s="10">
        <f>Tabla24567894[[#This Row],[VENTA ]]/1.19</f>
        <v>0</v>
      </c>
      <c r="R406" s="10">
        <f>Tabla24567894[[#This Row],[Columna2]]*19%</f>
        <v>0</v>
      </c>
      <c r="S406" s="10">
        <f>Tabla24567894[[#This Row],[IVA VENTA ]]-Tabla24567894[[#This Row],[IV COMPRA]]</f>
        <v>0</v>
      </c>
      <c r="T406" s="10">
        <f>(Tabla24567894[[#This Row],[VENTA ]]-(Tabla24567894[[#This Row],[MONTO DE COMPRA]]+Tabla24567894[[#This Row],[DIFERENCIA IVA ]]))</f>
        <v>0</v>
      </c>
      <c r="V406" s="17"/>
    </row>
    <row r="407" spans="1:22" s="15" customFormat="1" ht="20.100000000000001" hidden="1" customHeight="1" x14ac:dyDescent="0.25">
      <c r="A407" s="13"/>
      <c r="B407" s="14"/>
      <c r="C407" s="14"/>
      <c r="D407" s="14"/>
      <c r="G407" s="14"/>
      <c r="H407" s="16"/>
      <c r="I407" s="20"/>
      <c r="J407" s="20">
        <f>IF(G:G="FRENOS",(Tabla24567894[[#This Row],[TOTAL FACTURA]]*0.8),(Tabla24567894[[#This Row],[TOTAL FACTURA]]*0.5))</f>
        <v>0</v>
      </c>
      <c r="K407" s="9">
        <f t="shared" si="6"/>
        <v>0</v>
      </c>
      <c r="L407" s="4"/>
      <c r="M407" s="10"/>
      <c r="N407" s="10">
        <f>Tabla24567894[[#This Row],[MONTO DE COMPRA]]/1.19</f>
        <v>0</v>
      </c>
      <c r="O407" s="10">
        <f>Tabla24567894[[#This Row],[Columna1]]*19%</f>
        <v>0</v>
      </c>
      <c r="P407" s="10"/>
      <c r="Q407" s="10">
        <f>Tabla24567894[[#This Row],[VENTA ]]/1.19</f>
        <v>0</v>
      </c>
      <c r="R407" s="10">
        <f>Tabla24567894[[#This Row],[Columna2]]*19%</f>
        <v>0</v>
      </c>
      <c r="S407" s="10">
        <f>Tabla24567894[[#This Row],[IVA VENTA ]]-Tabla24567894[[#This Row],[IV COMPRA]]</f>
        <v>0</v>
      </c>
      <c r="T407" s="10">
        <f>(Tabla24567894[[#This Row],[VENTA ]]-(Tabla24567894[[#This Row],[MONTO DE COMPRA]]+Tabla24567894[[#This Row],[DIFERENCIA IVA ]]))</f>
        <v>0</v>
      </c>
      <c r="V407" s="17"/>
    </row>
    <row r="408" spans="1:22" s="15" customFormat="1" ht="20.100000000000001" hidden="1" customHeight="1" x14ac:dyDescent="0.25">
      <c r="A408" s="13"/>
      <c r="B408" s="14"/>
      <c r="C408" s="14"/>
      <c r="D408" s="14"/>
      <c r="G408" s="14"/>
      <c r="H408" s="16"/>
      <c r="I408" s="20"/>
      <c r="J408" s="20">
        <f>IF(G:G="FRENOS",(Tabla24567894[[#This Row],[TOTAL FACTURA]]*0.8),(Tabla24567894[[#This Row],[TOTAL FACTURA]]*0.5))</f>
        <v>0</v>
      </c>
      <c r="K408" s="9">
        <f t="shared" si="6"/>
        <v>0</v>
      </c>
      <c r="L408" s="4"/>
      <c r="M408" s="10"/>
      <c r="N408" s="10">
        <f>Tabla24567894[[#This Row],[MONTO DE COMPRA]]/1.19</f>
        <v>0</v>
      </c>
      <c r="O408" s="10">
        <f>Tabla24567894[[#This Row],[Columna1]]*19%</f>
        <v>0</v>
      </c>
      <c r="P408" s="10"/>
      <c r="Q408" s="10">
        <f>Tabla24567894[[#This Row],[VENTA ]]/1.19</f>
        <v>0</v>
      </c>
      <c r="R408" s="10">
        <f>Tabla24567894[[#This Row],[Columna2]]*19%</f>
        <v>0</v>
      </c>
      <c r="S408" s="10">
        <f>Tabla24567894[[#This Row],[IVA VENTA ]]-Tabla24567894[[#This Row],[IV COMPRA]]</f>
        <v>0</v>
      </c>
      <c r="T408" s="10">
        <f>(Tabla24567894[[#This Row],[VENTA ]]-(Tabla24567894[[#This Row],[MONTO DE COMPRA]]+Tabla24567894[[#This Row],[DIFERENCIA IVA ]]))</f>
        <v>0</v>
      </c>
      <c r="V408" s="17"/>
    </row>
    <row r="409" spans="1:22" s="15" customFormat="1" ht="20.100000000000001" hidden="1" customHeight="1" x14ac:dyDescent="0.25">
      <c r="A409" s="13"/>
      <c r="B409" s="14"/>
      <c r="C409" s="14"/>
      <c r="D409" s="14"/>
      <c r="G409" s="14"/>
      <c r="H409" s="16"/>
      <c r="I409" s="20"/>
      <c r="J409" s="20">
        <f>IF(G:G="FRENOS",(Tabla24567894[[#This Row],[TOTAL FACTURA]]*0.8),(Tabla24567894[[#This Row],[TOTAL FACTURA]]*0.5))</f>
        <v>0</v>
      </c>
      <c r="K409" s="9">
        <f t="shared" si="6"/>
        <v>0</v>
      </c>
      <c r="L409" s="4"/>
      <c r="M409" s="10"/>
      <c r="N409" s="10">
        <f>Tabla24567894[[#This Row],[MONTO DE COMPRA]]/1.19</f>
        <v>0</v>
      </c>
      <c r="O409" s="10">
        <f>Tabla24567894[[#This Row],[Columna1]]*19%</f>
        <v>0</v>
      </c>
      <c r="P409" s="10"/>
      <c r="Q409" s="10">
        <f>Tabla24567894[[#This Row],[VENTA ]]/1.19</f>
        <v>0</v>
      </c>
      <c r="R409" s="10">
        <f>Tabla24567894[[#This Row],[Columna2]]*19%</f>
        <v>0</v>
      </c>
      <c r="S409" s="10">
        <f>Tabla24567894[[#This Row],[IVA VENTA ]]-Tabla24567894[[#This Row],[IV COMPRA]]</f>
        <v>0</v>
      </c>
      <c r="T409" s="10">
        <f>(Tabla24567894[[#This Row],[VENTA ]]-(Tabla24567894[[#This Row],[MONTO DE COMPRA]]+Tabla24567894[[#This Row],[DIFERENCIA IVA ]]))</f>
        <v>0</v>
      </c>
      <c r="V409" s="17"/>
    </row>
    <row r="410" spans="1:22" s="15" customFormat="1" ht="20.100000000000001" hidden="1" customHeight="1" x14ac:dyDescent="0.25">
      <c r="A410" s="13"/>
      <c r="B410" s="14"/>
      <c r="C410" s="14"/>
      <c r="D410" s="14"/>
      <c r="G410" s="14"/>
      <c r="H410" s="16"/>
      <c r="I410" s="20"/>
      <c r="J410" s="20">
        <f>IF(G:G="FRENOS",(Tabla24567894[[#This Row],[TOTAL FACTURA]]*0.8),(Tabla24567894[[#This Row],[TOTAL FACTURA]]*0.5))</f>
        <v>0</v>
      </c>
      <c r="K410" s="9">
        <f t="shared" si="6"/>
        <v>0</v>
      </c>
      <c r="L410" s="4"/>
      <c r="M410" s="10"/>
      <c r="N410" s="10">
        <f>Tabla24567894[[#This Row],[MONTO DE COMPRA]]/1.19</f>
        <v>0</v>
      </c>
      <c r="O410" s="10">
        <f>Tabla24567894[[#This Row],[Columna1]]*19%</f>
        <v>0</v>
      </c>
      <c r="P410" s="10"/>
      <c r="Q410" s="10">
        <f>Tabla24567894[[#This Row],[VENTA ]]/1.19</f>
        <v>0</v>
      </c>
      <c r="R410" s="10">
        <f>Tabla24567894[[#This Row],[Columna2]]*19%</f>
        <v>0</v>
      </c>
      <c r="S410" s="10">
        <f>Tabla24567894[[#This Row],[IVA VENTA ]]-Tabla24567894[[#This Row],[IV COMPRA]]</f>
        <v>0</v>
      </c>
      <c r="T410" s="10">
        <f>(Tabla24567894[[#This Row],[VENTA ]]-(Tabla24567894[[#This Row],[MONTO DE COMPRA]]+Tabla24567894[[#This Row],[DIFERENCIA IVA ]]))</f>
        <v>0</v>
      </c>
      <c r="V410" s="17"/>
    </row>
    <row r="411" spans="1:22" s="15" customFormat="1" ht="20.100000000000001" hidden="1" customHeight="1" x14ac:dyDescent="0.25">
      <c r="A411" s="13"/>
      <c r="B411" s="14"/>
      <c r="C411" s="14"/>
      <c r="D411" s="14"/>
      <c r="G411" s="14"/>
      <c r="H411" s="16"/>
      <c r="I411" s="20"/>
      <c r="J411" s="20">
        <f>IF(G:G="FRENOS",(Tabla24567894[[#This Row],[TOTAL FACTURA]]*0.8),(Tabla24567894[[#This Row],[TOTAL FACTURA]]*0.5))</f>
        <v>0</v>
      </c>
      <c r="K411" s="9">
        <f t="shared" si="6"/>
        <v>0</v>
      </c>
      <c r="L411" s="4"/>
      <c r="M411" s="10"/>
      <c r="N411" s="10">
        <f>Tabla24567894[[#This Row],[MONTO DE COMPRA]]/1.19</f>
        <v>0</v>
      </c>
      <c r="O411" s="10">
        <f>Tabla24567894[[#This Row],[Columna1]]*19%</f>
        <v>0</v>
      </c>
      <c r="P411" s="10"/>
      <c r="Q411" s="10">
        <f>Tabla24567894[[#This Row],[VENTA ]]/1.19</f>
        <v>0</v>
      </c>
      <c r="R411" s="10">
        <f>Tabla24567894[[#This Row],[Columna2]]*19%</f>
        <v>0</v>
      </c>
      <c r="S411" s="10">
        <f>Tabla24567894[[#This Row],[IVA VENTA ]]-Tabla24567894[[#This Row],[IV COMPRA]]</f>
        <v>0</v>
      </c>
      <c r="T411" s="10">
        <f>(Tabla24567894[[#This Row],[VENTA ]]-(Tabla24567894[[#This Row],[MONTO DE COMPRA]]+Tabla24567894[[#This Row],[DIFERENCIA IVA ]]))</f>
        <v>0</v>
      </c>
      <c r="V411" s="17"/>
    </row>
    <row r="412" spans="1:22" s="15" customFormat="1" ht="20.100000000000001" hidden="1" customHeight="1" x14ac:dyDescent="0.25">
      <c r="A412" s="13"/>
      <c r="B412" s="14"/>
      <c r="C412" s="14"/>
      <c r="D412" s="14"/>
      <c r="G412" s="14"/>
      <c r="H412" s="16"/>
      <c r="I412" s="20"/>
      <c r="J412" s="20">
        <f>IF(G:G="FRENOS",(Tabla24567894[[#This Row],[TOTAL FACTURA]]*0.8),(Tabla24567894[[#This Row],[TOTAL FACTURA]]*0.5))</f>
        <v>0</v>
      </c>
      <c r="K412" s="9">
        <f t="shared" si="6"/>
        <v>0</v>
      </c>
      <c r="L412" s="4"/>
      <c r="M412" s="10"/>
      <c r="N412" s="10">
        <f>Tabla24567894[[#This Row],[MONTO DE COMPRA]]/1.19</f>
        <v>0</v>
      </c>
      <c r="O412" s="10">
        <f>Tabla24567894[[#This Row],[Columna1]]*19%</f>
        <v>0</v>
      </c>
      <c r="P412" s="10"/>
      <c r="Q412" s="10">
        <f>Tabla24567894[[#This Row],[VENTA ]]/1.19</f>
        <v>0</v>
      </c>
      <c r="R412" s="10">
        <f>Tabla24567894[[#This Row],[Columna2]]*19%</f>
        <v>0</v>
      </c>
      <c r="S412" s="10">
        <f>Tabla24567894[[#This Row],[IVA VENTA ]]-Tabla24567894[[#This Row],[IV COMPRA]]</f>
        <v>0</v>
      </c>
      <c r="T412" s="10">
        <f>(Tabla24567894[[#This Row],[VENTA ]]-(Tabla24567894[[#This Row],[MONTO DE COMPRA]]+Tabla24567894[[#This Row],[DIFERENCIA IVA ]]))</f>
        <v>0</v>
      </c>
      <c r="V412" s="17"/>
    </row>
    <row r="413" spans="1:22" s="15" customFormat="1" ht="20.100000000000001" hidden="1" customHeight="1" x14ac:dyDescent="0.25">
      <c r="A413" s="13"/>
      <c r="B413" s="14"/>
      <c r="C413" s="14"/>
      <c r="D413" s="14"/>
      <c r="G413" s="14"/>
      <c r="H413" s="16"/>
      <c r="I413" s="20"/>
      <c r="J413" s="20">
        <f>IF(G:G="FRENOS",(Tabla24567894[[#This Row],[TOTAL FACTURA]]*0.8),(Tabla24567894[[#This Row],[TOTAL FACTURA]]*0.5))</f>
        <v>0</v>
      </c>
      <c r="K413" s="9">
        <f t="shared" si="6"/>
        <v>0</v>
      </c>
      <c r="L413" s="4"/>
      <c r="M413" s="10"/>
      <c r="N413" s="10">
        <f>Tabla24567894[[#This Row],[MONTO DE COMPRA]]/1.19</f>
        <v>0</v>
      </c>
      <c r="O413" s="10">
        <f>Tabla24567894[[#This Row],[Columna1]]*19%</f>
        <v>0</v>
      </c>
      <c r="P413" s="10"/>
      <c r="Q413" s="10">
        <f>Tabla24567894[[#This Row],[VENTA ]]/1.19</f>
        <v>0</v>
      </c>
      <c r="R413" s="10">
        <f>Tabla24567894[[#This Row],[Columna2]]*19%</f>
        <v>0</v>
      </c>
      <c r="S413" s="10">
        <f>Tabla24567894[[#This Row],[IVA VENTA ]]-Tabla24567894[[#This Row],[IV COMPRA]]</f>
        <v>0</v>
      </c>
      <c r="T413" s="10">
        <f>(Tabla24567894[[#This Row],[VENTA ]]-(Tabla24567894[[#This Row],[MONTO DE COMPRA]]+Tabla24567894[[#This Row],[DIFERENCIA IVA ]]))</f>
        <v>0</v>
      </c>
      <c r="V413" s="17"/>
    </row>
    <row r="414" spans="1:22" s="15" customFormat="1" ht="20.100000000000001" hidden="1" customHeight="1" x14ac:dyDescent="0.25">
      <c r="A414" s="13"/>
      <c r="B414" s="14"/>
      <c r="C414" s="14"/>
      <c r="D414" s="14"/>
      <c r="G414" s="14"/>
      <c r="H414" s="16"/>
      <c r="I414" s="20"/>
      <c r="J414" s="20">
        <f>IF(G:G="FRENOS",(Tabla24567894[[#This Row],[TOTAL FACTURA]]*0.8),(Tabla24567894[[#This Row],[TOTAL FACTURA]]*0.5))</f>
        <v>0</v>
      </c>
      <c r="K414" s="9">
        <f t="shared" si="6"/>
        <v>0</v>
      </c>
      <c r="L414" s="4"/>
      <c r="M414" s="10"/>
      <c r="N414" s="10">
        <f>Tabla24567894[[#This Row],[MONTO DE COMPRA]]/1.19</f>
        <v>0</v>
      </c>
      <c r="O414" s="10">
        <f>Tabla24567894[[#This Row],[Columna1]]*19%</f>
        <v>0</v>
      </c>
      <c r="P414" s="10"/>
      <c r="Q414" s="10">
        <f>Tabla24567894[[#This Row],[VENTA ]]/1.19</f>
        <v>0</v>
      </c>
      <c r="R414" s="10">
        <f>Tabla24567894[[#This Row],[Columna2]]*19%</f>
        <v>0</v>
      </c>
      <c r="S414" s="10">
        <f>Tabla24567894[[#This Row],[IVA VENTA ]]-Tabla24567894[[#This Row],[IV COMPRA]]</f>
        <v>0</v>
      </c>
      <c r="T414" s="10">
        <f>(Tabla24567894[[#This Row],[VENTA ]]-(Tabla24567894[[#This Row],[MONTO DE COMPRA]]+Tabla24567894[[#This Row],[DIFERENCIA IVA ]]))</f>
        <v>0</v>
      </c>
      <c r="V414" s="17"/>
    </row>
    <row r="415" spans="1:22" s="15" customFormat="1" ht="20.100000000000001" hidden="1" customHeight="1" x14ac:dyDescent="0.25">
      <c r="A415" s="13"/>
      <c r="B415" s="14"/>
      <c r="C415" s="14"/>
      <c r="D415" s="14"/>
      <c r="G415" s="14"/>
      <c r="H415" s="16"/>
      <c r="I415" s="20"/>
      <c r="J415" s="20">
        <f>IF(G:G="FRENOS",(Tabla24567894[[#This Row],[TOTAL FACTURA]]*0.8),(Tabla24567894[[#This Row],[TOTAL FACTURA]]*0.5))</f>
        <v>0</v>
      </c>
      <c r="K415" s="9">
        <f t="shared" si="6"/>
        <v>0</v>
      </c>
      <c r="L415" s="4"/>
      <c r="M415" s="10"/>
      <c r="N415" s="10">
        <f>Tabla24567894[[#This Row],[MONTO DE COMPRA]]/1.19</f>
        <v>0</v>
      </c>
      <c r="O415" s="10">
        <f>Tabla24567894[[#This Row],[Columna1]]*19%</f>
        <v>0</v>
      </c>
      <c r="P415" s="10"/>
      <c r="Q415" s="10">
        <f>Tabla24567894[[#This Row],[VENTA ]]/1.19</f>
        <v>0</v>
      </c>
      <c r="R415" s="10">
        <f>Tabla24567894[[#This Row],[Columna2]]*19%</f>
        <v>0</v>
      </c>
      <c r="S415" s="10">
        <f>Tabla24567894[[#This Row],[IVA VENTA ]]-Tabla24567894[[#This Row],[IV COMPRA]]</f>
        <v>0</v>
      </c>
      <c r="T415" s="10">
        <f>(Tabla24567894[[#This Row],[VENTA ]]-(Tabla24567894[[#This Row],[MONTO DE COMPRA]]+Tabla24567894[[#This Row],[DIFERENCIA IVA ]]))</f>
        <v>0</v>
      </c>
      <c r="V415" s="17"/>
    </row>
    <row r="416" spans="1:22" s="15" customFormat="1" ht="20.100000000000001" hidden="1" customHeight="1" x14ac:dyDescent="0.25">
      <c r="A416" s="13"/>
      <c r="B416" s="14"/>
      <c r="C416" s="14"/>
      <c r="D416" s="14"/>
      <c r="G416" s="14"/>
      <c r="H416" s="16"/>
      <c r="I416" s="20"/>
      <c r="J416" s="20">
        <f>IF(G:G="FRENOS",(Tabla24567894[[#This Row],[TOTAL FACTURA]]*0.8),(Tabla24567894[[#This Row],[TOTAL FACTURA]]*0.5))</f>
        <v>0</v>
      </c>
      <c r="K416" s="9">
        <f t="shared" si="6"/>
        <v>0</v>
      </c>
      <c r="L416" s="4"/>
      <c r="M416" s="10"/>
      <c r="N416" s="10">
        <f>Tabla24567894[[#This Row],[MONTO DE COMPRA]]/1.19</f>
        <v>0</v>
      </c>
      <c r="O416" s="10">
        <f>Tabla24567894[[#This Row],[Columna1]]*19%</f>
        <v>0</v>
      </c>
      <c r="P416" s="10"/>
      <c r="Q416" s="10">
        <f>Tabla24567894[[#This Row],[VENTA ]]/1.19</f>
        <v>0</v>
      </c>
      <c r="R416" s="10">
        <f>Tabla24567894[[#This Row],[Columna2]]*19%</f>
        <v>0</v>
      </c>
      <c r="S416" s="10">
        <f>Tabla24567894[[#This Row],[IVA VENTA ]]-Tabla24567894[[#This Row],[IV COMPRA]]</f>
        <v>0</v>
      </c>
      <c r="T416" s="10">
        <f>(Tabla24567894[[#This Row],[VENTA ]]-(Tabla24567894[[#This Row],[MONTO DE COMPRA]]+Tabla24567894[[#This Row],[DIFERENCIA IVA ]]))</f>
        <v>0</v>
      </c>
      <c r="V416" s="17"/>
    </row>
    <row r="417" spans="1:22" s="15" customFormat="1" ht="20.100000000000001" hidden="1" customHeight="1" x14ac:dyDescent="0.25">
      <c r="A417" s="13"/>
      <c r="B417" s="14"/>
      <c r="C417" s="14"/>
      <c r="D417" s="14"/>
      <c r="G417" s="14"/>
      <c r="H417" s="16"/>
      <c r="I417" s="20"/>
      <c r="J417" s="20">
        <f>IF(G:G="FRENOS",(Tabla24567894[[#This Row],[TOTAL FACTURA]]*0.8),(Tabla24567894[[#This Row],[TOTAL FACTURA]]*0.5))</f>
        <v>0</v>
      </c>
      <c r="K417" s="9">
        <f t="shared" si="6"/>
        <v>0</v>
      </c>
      <c r="L417" s="4"/>
      <c r="M417" s="10"/>
      <c r="N417" s="10">
        <f>Tabla24567894[[#This Row],[MONTO DE COMPRA]]/1.19</f>
        <v>0</v>
      </c>
      <c r="O417" s="10">
        <f>Tabla24567894[[#This Row],[Columna1]]*19%</f>
        <v>0</v>
      </c>
      <c r="P417" s="10"/>
      <c r="Q417" s="10">
        <f>Tabla24567894[[#This Row],[VENTA ]]/1.19</f>
        <v>0</v>
      </c>
      <c r="R417" s="10">
        <f>Tabla24567894[[#This Row],[Columna2]]*19%</f>
        <v>0</v>
      </c>
      <c r="S417" s="10">
        <f>Tabla24567894[[#This Row],[IVA VENTA ]]-Tabla24567894[[#This Row],[IV COMPRA]]</f>
        <v>0</v>
      </c>
      <c r="T417" s="10">
        <f>(Tabla24567894[[#This Row],[VENTA ]]-(Tabla24567894[[#This Row],[MONTO DE COMPRA]]+Tabla24567894[[#This Row],[DIFERENCIA IVA ]]))</f>
        <v>0</v>
      </c>
      <c r="V417" s="17"/>
    </row>
    <row r="418" spans="1:22" s="15" customFormat="1" ht="20.100000000000001" hidden="1" customHeight="1" x14ac:dyDescent="0.25">
      <c r="A418" s="13"/>
      <c r="B418" s="14"/>
      <c r="C418" s="14"/>
      <c r="D418" s="14"/>
      <c r="G418" s="14"/>
      <c r="H418" s="16"/>
      <c r="I418" s="20"/>
      <c r="J418" s="20">
        <f>IF(G:G="FRENOS",(Tabla24567894[[#This Row],[TOTAL FACTURA]]*0.8),(Tabla24567894[[#This Row],[TOTAL FACTURA]]*0.5))</f>
        <v>0</v>
      </c>
      <c r="K418" s="9">
        <f t="shared" si="6"/>
        <v>0</v>
      </c>
      <c r="L418" s="4"/>
      <c r="M418" s="10"/>
      <c r="N418" s="10">
        <f>Tabla24567894[[#This Row],[MONTO DE COMPRA]]/1.19</f>
        <v>0</v>
      </c>
      <c r="O418" s="10">
        <f>Tabla24567894[[#This Row],[Columna1]]*19%</f>
        <v>0</v>
      </c>
      <c r="P418" s="10"/>
      <c r="Q418" s="10">
        <f>Tabla24567894[[#This Row],[VENTA ]]/1.19</f>
        <v>0</v>
      </c>
      <c r="R418" s="10">
        <f>Tabla24567894[[#This Row],[Columna2]]*19%</f>
        <v>0</v>
      </c>
      <c r="S418" s="10">
        <f>Tabla24567894[[#This Row],[IVA VENTA ]]-Tabla24567894[[#This Row],[IV COMPRA]]</f>
        <v>0</v>
      </c>
      <c r="T418" s="10">
        <f>(Tabla24567894[[#This Row],[VENTA ]]-(Tabla24567894[[#This Row],[MONTO DE COMPRA]]+Tabla24567894[[#This Row],[DIFERENCIA IVA ]]))</f>
        <v>0</v>
      </c>
      <c r="V418" s="17"/>
    </row>
    <row r="419" spans="1:22" s="15" customFormat="1" ht="20.100000000000001" hidden="1" customHeight="1" x14ac:dyDescent="0.25">
      <c r="A419" s="13"/>
      <c r="B419" s="14"/>
      <c r="C419" s="14"/>
      <c r="D419" s="14"/>
      <c r="G419" s="14"/>
      <c r="H419" s="16"/>
      <c r="I419" s="20"/>
      <c r="J419" s="20">
        <f>IF(G:G="FRENOS",(Tabla24567894[[#This Row],[TOTAL FACTURA]]*0.8),(Tabla24567894[[#This Row],[TOTAL FACTURA]]*0.5))</f>
        <v>0</v>
      </c>
      <c r="K419" s="9">
        <f t="shared" si="6"/>
        <v>0</v>
      </c>
      <c r="L419" s="4"/>
      <c r="M419" s="10"/>
      <c r="N419" s="10">
        <f>Tabla24567894[[#This Row],[MONTO DE COMPRA]]/1.19</f>
        <v>0</v>
      </c>
      <c r="O419" s="10">
        <f>Tabla24567894[[#This Row],[Columna1]]*19%</f>
        <v>0</v>
      </c>
      <c r="P419" s="10"/>
      <c r="Q419" s="10">
        <f>Tabla24567894[[#This Row],[VENTA ]]/1.19</f>
        <v>0</v>
      </c>
      <c r="R419" s="10">
        <f>Tabla24567894[[#This Row],[Columna2]]*19%</f>
        <v>0</v>
      </c>
      <c r="S419" s="10">
        <f>Tabla24567894[[#This Row],[IVA VENTA ]]-Tabla24567894[[#This Row],[IV COMPRA]]</f>
        <v>0</v>
      </c>
      <c r="T419" s="10">
        <f>(Tabla24567894[[#This Row],[VENTA ]]-(Tabla24567894[[#This Row],[MONTO DE COMPRA]]+Tabla24567894[[#This Row],[DIFERENCIA IVA ]]))</f>
        <v>0</v>
      </c>
      <c r="V419" s="17"/>
    </row>
    <row r="420" spans="1:22" s="15" customFormat="1" ht="20.100000000000001" hidden="1" customHeight="1" x14ac:dyDescent="0.25">
      <c r="A420" s="13"/>
      <c r="B420" s="14"/>
      <c r="C420" s="14"/>
      <c r="D420" s="14"/>
      <c r="G420" s="14"/>
      <c r="H420" s="16"/>
      <c r="I420" s="20"/>
      <c r="J420" s="20">
        <f>IF(G:G="FRENOS",(Tabla24567894[[#This Row],[TOTAL FACTURA]]*0.8),(Tabla24567894[[#This Row],[TOTAL FACTURA]]*0.5))</f>
        <v>0</v>
      </c>
      <c r="K420" s="9">
        <f t="shared" si="6"/>
        <v>0</v>
      </c>
      <c r="L420" s="4"/>
      <c r="M420" s="10"/>
      <c r="N420" s="10">
        <f>Tabla24567894[[#This Row],[MONTO DE COMPRA]]/1.19</f>
        <v>0</v>
      </c>
      <c r="O420" s="10">
        <f>Tabla24567894[[#This Row],[Columna1]]*19%</f>
        <v>0</v>
      </c>
      <c r="P420" s="10"/>
      <c r="Q420" s="10">
        <f>Tabla24567894[[#This Row],[VENTA ]]/1.19</f>
        <v>0</v>
      </c>
      <c r="R420" s="10">
        <f>Tabla24567894[[#This Row],[Columna2]]*19%</f>
        <v>0</v>
      </c>
      <c r="S420" s="10">
        <f>Tabla24567894[[#This Row],[IVA VENTA ]]-Tabla24567894[[#This Row],[IV COMPRA]]</f>
        <v>0</v>
      </c>
      <c r="T420" s="10">
        <f>(Tabla24567894[[#This Row],[VENTA ]]-(Tabla24567894[[#This Row],[MONTO DE COMPRA]]+Tabla24567894[[#This Row],[DIFERENCIA IVA ]]))</f>
        <v>0</v>
      </c>
      <c r="V420" s="17"/>
    </row>
    <row r="421" spans="1:22" s="15" customFormat="1" ht="20.100000000000001" hidden="1" customHeight="1" x14ac:dyDescent="0.25">
      <c r="A421" s="13"/>
      <c r="B421" s="14"/>
      <c r="C421" s="14"/>
      <c r="D421" s="14"/>
      <c r="G421" s="14"/>
      <c r="H421" s="16"/>
      <c r="I421" s="20"/>
      <c r="J421" s="20">
        <f>IF(G:G="FRENOS",(Tabla24567894[[#This Row],[TOTAL FACTURA]]*0.8),(Tabla24567894[[#This Row],[TOTAL FACTURA]]*0.5))</f>
        <v>0</v>
      </c>
      <c r="K421" s="9">
        <f t="shared" si="6"/>
        <v>0</v>
      </c>
      <c r="L421" s="4"/>
      <c r="M421" s="10"/>
      <c r="N421" s="10">
        <f>Tabla24567894[[#This Row],[MONTO DE COMPRA]]/1.19</f>
        <v>0</v>
      </c>
      <c r="O421" s="10">
        <f>Tabla24567894[[#This Row],[Columna1]]*19%</f>
        <v>0</v>
      </c>
      <c r="P421" s="10"/>
      <c r="Q421" s="10">
        <f>Tabla24567894[[#This Row],[VENTA ]]/1.19</f>
        <v>0</v>
      </c>
      <c r="R421" s="10">
        <f>Tabla24567894[[#This Row],[Columna2]]*19%</f>
        <v>0</v>
      </c>
      <c r="S421" s="10">
        <f>Tabla24567894[[#This Row],[IVA VENTA ]]-Tabla24567894[[#This Row],[IV COMPRA]]</f>
        <v>0</v>
      </c>
      <c r="T421" s="10">
        <f>(Tabla24567894[[#This Row],[VENTA ]]-(Tabla24567894[[#This Row],[MONTO DE COMPRA]]+Tabla24567894[[#This Row],[DIFERENCIA IVA ]]))</f>
        <v>0</v>
      </c>
      <c r="V421" s="17"/>
    </row>
    <row r="422" spans="1:22" s="15" customFormat="1" ht="20.100000000000001" hidden="1" customHeight="1" x14ac:dyDescent="0.25">
      <c r="A422" s="13"/>
      <c r="B422" s="14"/>
      <c r="C422" s="14"/>
      <c r="D422" s="14"/>
      <c r="G422" s="14"/>
      <c r="H422" s="16"/>
      <c r="I422" s="20"/>
      <c r="J422" s="20">
        <f>IF(G:G="FRENOS",(Tabla24567894[[#This Row],[TOTAL FACTURA]]*0.8),(Tabla24567894[[#This Row],[TOTAL FACTURA]]*0.5))</f>
        <v>0</v>
      </c>
      <c r="K422" s="9">
        <f t="shared" si="6"/>
        <v>0</v>
      </c>
      <c r="L422" s="4"/>
      <c r="M422" s="10"/>
      <c r="N422" s="10">
        <f>Tabla24567894[[#This Row],[MONTO DE COMPRA]]/1.19</f>
        <v>0</v>
      </c>
      <c r="O422" s="10">
        <f>Tabla24567894[[#This Row],[Columna1]]*19%</f>
        <v>0</v>
      </c>
      <c r="P422" s="10"/>
      <c r="Q422" s="10">
        <f>Tabla24567894[[#This Row],[VENTA ]]/1.19</f>
        <v>0</v>
      </c>
      <c r="R422" s="10">
        <f>Tabla24567894[[#This Row],[Columna2]]*19%</f>
        <v>0</v>
      </c>
      <c r="S422" s="10">
        <f>Tabla24567894[[#This Row],[IVA VENTA ]]-Tabla24567894[[#This Row],[IV COMPRA]]</f>
        <v>0</v>
      </c>
      <c r="T422" s="10">
        <f>(Tabla24567894[[#This Row],[VENTA ]]-(Tabla24567894[[#This Row],[MONTO DE COMPRA]]+Tabla24567894[[#This Row],[DIFERENCIA IVA ]]))</f>
        <v>0</v>
      </c>
      <c r="V422" s="17"/>
    </row>
    <row r="423" spans="1:22" s="15" customFormat="1" ht="20.100000000000001" hidden="1" customHeight="1" x14ac:dyDescent="0.25">
      <c r="A423" s="13"/>
      <c r="B423" s="14"/>
      <c r="C423" s="23"/>
      <c r="D423" s="14"/>
      <c r="G423" s="14"/>
      <c r="H423" s="16"/>
      <c r="I423" s="20"/>
      <c r="J423" s="20">
        <f>IF(G:G="FRENOS",(Tabla24567894[[#This Row],[TOTAL FACTURA]]*0.8),(Tabla24567894[[#This Row],[TOTAL FACTURA]]*0.5))</f>
        <v>0</v>
      </c>
      <c r="K423" s="9">
        <f t="shared" si="6"/>
        <v>0</v>
      </c>
      <c r="L423" s="4"/>
      <c r="M423" s="10"/>
      <c r="N423" s="10">
        <f>Tabla24567894[[#This Row],[MONTO DE COMPRA]]/1.19</f>
        <v>0</v>
      </c>
      <c r="O423" s="10">
        <f>Tabla24567894[[#This Row],[Columna1]]*19%</f>
        <v>0</v>
      </c>
      <c r="P423" s="10"/>
      <c r="Q423" s="10">
        <f>Tabla24567894[[#This Row],[VENTA ]]/1.19</f>
        <v>0</v>
      </c>
      <c r="R423" s="10">
        <f>Tabla24567894[[#This Row],[Columna2]]*19%</f>
        <v>0</v>
      </c>
      <c r="S423" s="10">
        <f>Tabla24567894[[#This Row],[IVA VENTA ]]-Tabla24567894[[#This Row],[IV COMPRA]]</f>
        <v>0</v>
      </c>
      <c r="T423" s="10">
        <f>(Tabla24567894[[#This Row],[VENTA ]]-(Tabla24567894[[#This Row],[MONTO DE COMPRA]]+Tabla24567894[[#This Row],[DIFERENCIA IVA ]]))</f>
        <v>0</v>
      </c>
      <c r="V423" s="17"/>
    </row>
    <row r="424" spans="1:22" s="15" customFormat="1" ht="20.100000000000001" hidden="1" customHeight="1" x14ac:dyDescent="0.25">
      <c r="A424" s="13"/>
      <c r="B424" s="14"/>
      <c r="C424" s="23"/>
      <c r="D424" s="14"/>
      <c r="G424" s="14"/>
      <c r="H424" s="16"/>
      <c r="I424" s="20"/>
      <c r="J424" s="20">
        <f>IF(G:G="FRENOS",(Tabla24567894[[#This Row],[TOTAL FACTURA]]*0.8),(Tabla24567894[[#This Row],[TOTAL FACTURA]]*0.5))</f>
        <v>0</v>
      </c>
      <c r="K424" s="9">
        <f t="shared" si="6"/>
        <v>0</v>
      </c>
      <c r="L424" s="4"/>
      <c r="M424" s="10"/>
      <c r="N424" s="10">
        <f>Tabla24567894[[#This Row],[MONTO DE COMPRA]]/1.19</f>
        <v>0</v>
      </c>
      <c r="O424" s="10">
        <f>Tabla24567894[[#This Row],[Columna1]]*19%</f>
        <v>0</v>
      </c>
      <c r="P424" s="10"/>
      <c r="Q424" s="10">
        <f>Tabla24567894[[#This Row],[VENTA ]]/1.19</f>
        <v>0</v>
      </c>
      <c r="R424" s="10">
        <f>Tabla24567894[[#This Row],[Columna2]]*19%</f>
        <v>0</v>
      </c>
      <c r="S424" s="10">
        <f>Tabla24567894[[#This Row],[IVA VENTA ]]-Tabla24567894[[#This Row],[IV COMPRA]]</f>
        <v>0</v>
      </c>
      <c r="T424" s="10">
        <f>(Tabla24567894[[#This Row],[VENTA ]]-(Tabla24567894[[#This Row],[MONTO DE COMPRA]]+Tabla24567894[[#This Row],[DIFERENCIA IVA ]]))</f>
        <v>0</v>
      </c>
      <c r="V424" s="17"/>
    </row>
    <row r="425" spans="1:22" s="15" customFormat="1" ht="20.100000000000001" hidden="1" customHeight="1" x14ac:dyDescent="0.25">
      <c r="A425" s="13"/>
      <c r="B425" s="14"/>
      <c r="C425" s="23"/>
      <c r="D425" s="14"/>
      <c r="G425" s="14"/>
      <c r="H425" s="16"/>
      <c r="I425" s="20"/>
      <c r="J425" s="20">
        <f>IF(G:G="FRENOS",(Tabla24567894[[#This Row],[TOTAL FACTURA]]*0.8),(Tabla24567894[[#This Row],[TOTAL FACTURA]]*0.5))</f>
        <v>0</v>
      </c>
      <c r="K425" s="9">
        <f t="shared" si="6"/>
        <v>0</v>
      </c>
      <c r="L425" s="4"/>
      <c r="M425" s="10"/>
      <c r="N425" s="10">
        <f>Tabla24567894[[#This Row],[MONTO DE COMPRA]]/1.19</f>
        <v>0</v>
      </c>
      <c r="O425" s="10">
        <f>Tabla24567894[[#This Row],[Columna1]]*19%</f>
        <v>0</v>
      </c>
      <c r="P425" s="10"/>
      <c r="Q425" s="10">
        <f>Tabla24567894[[#This Row],[VENTA ]]/1.19</f>
        <v>0</v>
      </c>
      <c r="R425" s="10">
        <f>Tabla24567894[[#This Row],[Columna2]]*19%</f>
        <v>0</v>
      </c>
      <c r="S425" s="10">
        <f>Tabla24567894[[#This Row],[IVA VENTA ]]-Tabla24567894[[#This Row],[IV COMPRA]]</f>
        <v>0</v>
      </c>
      <c r="T425" s="10">
        <f>(Tabla24567894[[#This Row],[VENTA ]]-(Tabla24567894[[#This Row],[MONTO DE COMPRA]]+Tabla24567894[[#This Row],[DIFERENCIA IVA ]]))</f>
        <v>0</v>
      </c>
      <c r="V425" s="17"/>
    </row>
    <row r="426" spans="1:22" s="15" customFormat="1" ht="20.100000000000001" hidden="1" customHeight="1" x14ac:dyDescent="0.25">
      <c r="A426" s="13"/>
      <c r="B426" s="14"/>
      <c r="C426" s="14"/>
      <c r="D426" s="14"/>
      <c r="G426" s="14"/>
      <c r="H426" s="16"/>
      <c r="I426" s="20"/>
      <c r="J426" s="20">
        <f>IF(G:G="FRENOS",(Tabla24567894[[#This Row],[TOTAL FACTURA]]*0.8),(Tabla24567894[[#This Row],[TOTAL FACTURA]]*0.5))</f>
        <v>0</v>
      </c>
      <c r="K426" s="9">
        <f t="shared" si="6"/>
        <v>0</v>
      </c>
      <c r="L426" s="4"/>
      <c r="M426" s="10"/>
      <c r="N426" s="10">
        <f>Tabla24567894[[#This Row],[MONTO DE COMPRA]]/1.19</f>
        <v>0</v>
      </c>
      <c r="O426" s="10">
        <f>Tabla24567894[[#This Row],[Columna1]]*19%</f>
        <v>0</v>
      </c>
      <c r="P426" s="10"/>
      <c r="Q426" s="10">
        <f>Tabla24567894[[#This Row],[VENTA ]]/1.19</f>
        <v>0</v>
      </c>
      <c r="R426" s="10">
        <f>Tabla24567894[[#This Row],[Columna2]]*19%</f>
        <v>0</v>
      </c>
      <c r="S426" s="10">
        <f>Tabla24567894[[#This Row],[IVA VENTA ]]-Tabla24567894[[#This Row],[IV COMPRA]]</f>
        <v>0</v>
      </c>
      <c r="T426" s="10">
        <f>(Tabla24567894[[#This Row],[VENTA ]]-(Tabla24567894[[#This Row],[MONTO DE COMPRA]]+Tabla24567894[[#This Row],[DIFERENCIA IVA ]]))</f>
        <v>0</v>
      </c>
      <c r="V426" s="17"/>
    </row>
    <row r="427" spans="1:22" s="15" customFormat="1" ht="20.100000000000001" hidden="1" customHeight="1" x14ac:dyDescent="0.25">
      <c r="A427" s="13"/>
      <c r="B427" s="14"/>
      <c r="C427" s="14"/>
      <c r="D427" s="14"/>
      <c r="G427" s="14"/>
      <c r="H427" s="16"/>
      <c r="I427" s="20"/>
      <c r="J427" s="20">
        <f>IF(G:G="FRENOS",(Tabla24567894[[#This Row],[TOTAL FACTURA]]*0.8),(Tabla24567894[[#This Row],[TOTAL FACTURA]]*0.5))</f>
        <v>0</v>
      </c>
      <c r="K427" s="9">
        <f t="shared" si="6"/>
        <v>0</v>
      </c>
      <c r="L427" s="4"/>
      <c r="M427" s="10"/>
      <c r="N427" s="10">
        <f>Tabla24567894[[#This Row],[MONTO DE COMPRA]]/1.19</f>
        <v>0</v>
      </c>
      <c r="O427" s="10">
        <f>Tabla24567894[[#This Row],[Columna1]]*19%</f>
        <v>0</v>
      </c>
      <c r="P427" s="10"/>
      <c r="Q427" s="10">
        <f>Tabla24567894[[#This Row],[VENTA ]]/1.19</f>
        <v>0</v>
      </c>
      <c r="R427" s="10">
        <f>Tabla24567894[[#This Row],[Columna2]]*19%</f>
        <v>0</v>
      </c>
      <c r="S427" s="10">
        <f>Tabla24567894[[#This Row],[IVA VENTA ]]-Tabla24567894[[#This Row],[IV COMPRA]]</f>
        <v>0</v>
      </c>
      <c r="T427" s="10">
        <f>(Tabla24567894[[#This Row],[VENTA ]]-(Tabla24567894[[#This Row],[MONTO DE COMPRA]]+Tabla24567894[[#This Row],[DIFERENCIA IVA ]]))</f>
        <v>0</v>
      </c>
      <c r="V427" s="17"/>
    </row>
    <row r="428" spans="1:22" s="15" customFormat="1" ht="20.100000000000001" hidden="1" customHeight="1" x14ac:dyDescent="0.25">
      <c r="A428" s="13"/>
      <c r="B428" s="14"/>
      <c r="C428" s="14"/>
      <c r="D428" s="14"/>
      <c r="G428" s="14"/>
      <c r="H428" s="16"/>
      <c r="I428" s="20"/>
      <c r="J428" s="20">
        <f>IF(G:G="FRENOS",(Tabla24567894[[#This Row],[TOTAL FACTURA]]*0.8),(Tabla24567894[[#This Row],[TOTAL FACTURA]]*0.5))</f>
        <v>0</v>
      </c>
      <c r="K428" s="9">
        <f t="shared" si="6"/>
        <v>0</v>
      </c>
      <c r="L428" s="4"/>
      <c r="M428" s="10"/>
      <c r="N428" s="10">
        <f>Tabla24567894[[#This Row],[MONTO DE COMPRA]]/1.19</f>
        <v>0</v>
      </c>
      <c r="O428" s="10">
        <f>Tabla24567894[[#This Row],[Columna1]]*19%</f>
        <v>0</v>
      </c>
      <c r="P428" s="10"/>
      <c r="Q428" s="10">
        <f>Tabla24567894[[#This Row],[VENTA ]]/1.19</f>
        <v>0</v>
      </c>
      <c r="R428" s="10">
        <f>Tabla24567894[[#This Row],[Columna2]]*19%</f>
        <v>0</v>
      </c>
      <c r="S428" s="10">
        <f>Tabla24567894[[#This Row],[IVA VENTA ]]-Tabla24567894[[#This Row],[IV COMPRA]]</f>
        <v>0</v>
      </c>
      <c r="T428" s="10">
        <f>(Tabla24567894[[#This Row],[VENTA ]]-(Tabla24567894[[#This Row],[MONTO DE COMPRA]]+Tabla24567894[[#This Row],[DIFERENCIA IVA ]]))</f>
        <v>0</v>
      </c>
      <c r="V428" s="17"/>
    </row>
    <row r="429" spans="1:22" s="15" customFormat="1" ht="20.100000000000001" hidden="1" customHeight="1" x14ac:dyDescent="0.25">
      <c r="A429" s="13"/>
      <c r="B429" s="14"/>
      <c r="C429" s="14"/>
      <c r="D429" s="14"/>
      <c r="G429" s="14"/>
      <c r="H429" s="16"/>
      <c r="I429" s="20"/>
      <c r="J429" s="20">
        <f>IF(G:G="FRENOS",(Tabla24567894[[#This Row],[TOTAL FACTURA]]*0.8),(Tabla24567894[[#This Row],[TOTAL FACTURA]]*0.5))</f>
        <v>0</v>
      </c>
      <c r="K429" s="9">
        <f t="shared" si="6"/>
        <v>0</v>
      </c>
      <c r="L429" s="4"/>
      <c r="M429" s="10"/>
      <c r="N429" s="10">
        <f>Tabla24567894[[#This Row],[MONTO DE COMPRA]]/1.19</f>
        <v>0</v>
      </c>
      <c r="O429" s="10">
        <f>Tabla24567894[[#This Row],[Columna1]]*19%</f>
        <v>0</v>
      </c>
      <c r="P429" s="10"/>
      <c r="Q429" s="10">
        <f>Tabla24567894[[#This Row],[VENTA ]]/1.19</f>
        <v>0</v>
      </c>
      <c r="R429" s="10">
        <f>Tabla24567894[[#This Row],[Columna2]]*19%</f>
        <v>0</v>
      </c>
      <c r="S429" s="10">
        <f>Tabla24567894[[#This Row],[IVA VENTA ]]-Tabla24567894[[#This Row],[IV COMPRA]]</f>
        <v>0</v>
      </c>
      <c r="T429" s="10">
        <f>(Tabla24567894[[#This Row],[VENTA ]]-(Tabla24567894[[#This Row],[MONTO DE COMPRA]]+Tabla24567894[[#This Row],[DIFERENCIA IVA ]]))</f>
        <v>0</v>
      </c>
      <c r="V429" s="17"/>
    </row>
    <row r="430" spans="1:22" s="15" customFormat="1" ht="20.100000000000001" hidden="1" customHeight="1" x14ac:dyDescent="0.25">
      <c r="A430" s="13"/>
      <c r="B430" s="14"/>
      <c r="C430" s="14"/>
      <c r="D430" s="14"/>
      <c r="G430" s="14"/>
      <c r="H430" s="16"/>
      <c r="I430" s="20"/>
      <c r="J430" s="20">
        <f>IF(G:G="FRENOS",(Tabla24567894[[#This Row],[TOTAL FACTURA]]*0.8),(Tabla24567894[[#This Row],[TOTAL FACTURA]]*0.5))</f>
        <v>0</v>
      </c>
      <c r="K430" s="9">
        <f t="shared" si="6"/>
        <v>0</v>
      </c>
      <c r="L430" s="4"/>
      <c r="M430" s="10"/>
      <c r="N430" s="10">
        <f>Tabla24567894[[#This Row],[MONTO DE COMPRA]]/1.19</f>
        <v>0</v>
      </c>
      <c r="O430" s="10">
        <f>Tabla24567894[[#This Row],[Columna1]]*19%</f>
        <v>0</v>
      </c>
      <c r="P430" s="10"/>
      <c r="Q430" s="10">
        <f>Tabla24567894[[#This Row],[VENTA ]]/1.19</f>
        <v>0</v>
      </c>
      <c r="R430" s="10">
        <f>Tabla24567894[[#This Row],[Columna2]]*19%</f>
        <v>0</v>
      </c>
      <c r="S430" s="10">
        <f>Tabla24567894[[#This Row],[IVA VENTA ]]-Tabla24567894[[#This Row],[IV COMPRA]]</f>
        <v>0</v>
      </c>
      <c r="T430" s="10">
        <f>(Tabla24567894[[#This Row],[VENTA ]]-(Tabla24567894[[#This Row],[MONTO DE COMPRA]]+Tabla24567894[[#This Row],[DIFERENCIA IVA ]]))</f>
        <v>0</v>
      </c>
      <c r="V430" s="17"/>
    </row>
    <row r="431" spans="1:22" s="15" customFormat="1" ht="20.100000000000001" hidden="1" customHeight="1" x14ac:dyDescent="0.25">
      <c r="A431" s="13"/>
      <c r="B431" s="14"/>
      <c r="C431" s="14"/>
      <c r="D431" s="14"/>
      <c r="G431" s="14"/>
      <c r="H431" s="16"/>
      <c r="I431" s="20"/>
      <c r="J431" s="20">
        <f>IF(G:G="FRENOS",(Tabla24567894[[#This Row],[TOTAL FACTURA]]*0.8),(Tabla24567894[[#This Row],[TOTAL FACTURA]]*0.5))</f>
        <v>0</v>
      </c>
      <c r="K431" s="9">
        <f t="shared" si="6"/>
        <v>0</v>
      </c>
      <c r="L431" s="4"/>
      <c r="M431" s="10"/>
      <c r="N431" s="10">
        <f>Tabla24567894[[#This Row],[MONTO DE COMPRA]]/1.19</f>
        <v>0</v>
      </c>
      <c r="O431" s="10">
        <f>Tabla24567894[[#This Row],[Columna1]]*19%</f>
        <v>0</v>
      </c>
      <c r="P431" s="10"/>
      <c r="Q431" s="10">
        <f>Tabla24567894[[#This Row],[VENTA ]]/1.19</f>
        <v>0</v>
      </c>
      <c r="R431" s="10">
        <f>Tabla24567894[[#This Row],[Columna2]]*19%</f>
        <v>0</v>
      </c>
      <c r="S431" s="10">
        <f>Tabla24567894[[#This Row],[IVA VENTA ]]-Tabla24567894[[#This Row],[IV COMPRA]]</f>
        <v>0</v>
      </c>
      <c r="T431" s="10">
        <f>(Tabla24567894[[#This Row],[VENTA ]]-(Tabla24567894[[#This Row],[MONTO DE COMPRA]]+Tabla24567894[[#This Row],[DIFERENCIA IVA ]]))</f>
        <v>0</v>
      </c>
      <c r="V431" s="17"/>
    </row>
    <row r="432" spans="1:22" s="15" customFormat="1" ht="20.100000000000001" hidden="1" customHeight="1" x14ac:dyDescent="0.25">
      <c r="A432" s="13"/>
      <c r="B432" s="14"/>
      <c r="C432" s="14"/>
      <c r="D432" s="14"/>
      <c r="G432" s="14"/>
      <c r="H432" s="16"/>
      <c r="I432" s="20"/>
      <c r="J432" s="20">
        <f>IF(G:G="FRENOS",(Tabla24567894[[#This Row],[TOTAL FACTURA]]*0.8),(Tabla24567894[[#This Row],[TOTAL FACTURA]]*0.5))</f>
        <v>0</v>
      </c>
      <c r="K432" s="9">
        <f t="shared" si="6"/>
        <v>0</v>
      </c>
      <c r="L432" s="4"/>
      <c r="M432" s="10"/>
      <c r="N432" s="10">
        <f>Tabla24567894[[#This Row],[MONTO DE COMPRA]]/1.19</f>
        <v>0</v>
      </c>
      <c r="O432" s="10">
        <f>Tabla24567894[[#This Row],[Columna1]]*19%</f>
        <v>0</v>
      </c>
      <c r="P432" s="10"/>
      <c r="Q432" s="10">
        <f>Tabla24567894[[#This Row],[VENTA ]]/1.19</f>
        <v>0</v>
      </c>
      <c r="R432" s="10">
        <f>Tabla24567894[[#This Row],[Columna2]]*19%</f>
        <v>0</v>
      </c>
      <c r="S432" s="10">
        <f>Tabla24567894[[#This Row],[IVA VENTA ]]-Tabla24567894[[#This Row],[IV COMPRA]]</f>
        <v>0</v>
      </c>
      <c r="T432" s="10">
        <f>(Tabla24567894[[#This Row],[VENTA ]]-(Tabla24567894[[#This Row],[MONTO DE COMPRA]]+Tabla24567894[[#This Row],[DIFERENCIA IVA ]]))</f>
        <v>0</v>
      </c>
      <c r="V432" s="17"/>
    </row>
    <row r="433" spans="1:23" s="15" customFormat="1" ht="20.100000000000001" hidden="1" customHeight="1" x14ac:dyDescent="0.25">
      <c r="A433" s="13"/>
      <c r="B433" s="14"/>
      <c r="C433" s="14"/>
      <c r="D433" s="14"/>
      <c r="G433" s="14"/>
      <c r="H433" s="16"/>
      <c r="I433" s="20"/>
      <c r="J433" s="20">
        <f>IF(G:G="FRENOS",(Tabla24567894[[#This Row],[TOTAL FACTURA]]*0.8),(Tabla24567894[[#This Row],[TOTAL FACTURA]]*0.5))</f>
        <v>0</v>
      </c>
      <c r="K433" s="9">
        <f t="shared" si="6"/>
        <v>0</v>
      </c>
      <c r="L433" s="4"/>
      <c r="M433" s="10"/>
      <c r="N433" s="10">
        <f>Tabla24567894[[#This Row],[MONTO DE COMPRA]]/1.19</f>
        <v>0</v>
      </c>
      <c r="O433" s="10">
        <f>Tabla24567894[[#This Row],[Columna1]]*19%</f>
        <v>0</v>
      </c>
      <c r="P433" s="10"/>
      <c r="Q433" s="10">
        <f>Tabla24567894[[#This Row],[VENTA ]]/1.19</f>
        <v>0</v>
      </c>
      <c r="R433" s="10">
        <f>Tabla24567894[[#This Row],[Columna2]]*19%</f>
        <v>0</v>
      </c>
      <c r="S433" s="10">
        <f>Tabla24567894[[#This Row],[IVA VENTA ]]-Tabla24567894[[#This Row],[IV COMPRA]]</f>
        <v>0</v>
      </c>
      <c r="T433" s="10">
        <f>(Tabla24567894[[#This Row],[VENTA ]]-(Tabla24567894[[#This Row],[MONTO DE COMPRA]]+Tabla24567894[[#This Row],[DIFERENCIA IVA ]]))</f>
        <v>0</v>
      </c>
      <c r="V433" s="17"/>
    </row>
    <row r="434" spans="1:23" ht="20.100000000000001" hidden="1" customHeight="1" x14ac:dyDescent="0.25">
      <c r="A434" s="13"/>
      <c r="B434" s="14"/>
      <c r="C434" s="14"/>
      <c r="D434" s="14"/>
      <c r="E434" s="15"/>
      <c r="F434" s="15"/>
      <c r="G434" s="14"/>
      <c r="H434" s="16"/>
      <c r="I434" s="20"/>
      <c r="J434" s="20">
        <f>IF(G:G="FRENOS",(Tabla24567894[[#This Row],[TOTAL FACTURA]]*0.8),(Tabla24567894[[#This Row],[TOTAL FACTURA]]*0.5))</f>
        <v>0</v>
      </c>
      <c r="K434" s="9">
        <f t="shared" si="6"/>
        <v>0</v>
      </c>
      <c r="L434" s="4"/>
      <c r="M434" s="10"/>
      <c r="N434" s="10">
        <f>Tabla24567894[[#This Row],[MONTO DE COMPRA]]/1.19</f>
        <v>0</v>
      </c>
      <c r="O434" s="10">
        <f>Tabla24567894[[#This Row],[Columna1]]*19%</f>
        <v>0</v>
      </c>
      <c r="P434" s="10"/>
      <c r="Q434" s="10">
        <f>Tabla24567894[[#This Row],[VENTA ]]/1.19</f>
        <v>0</v>
      </c>
      <c r="R434" s="10">
        <f>Tabla24567894[[#This Row],[Columna2]]*19%</f>
        <v>0</v>
      </c>
      <c r="S434" s="10">
        <f>Tabla24567894[[#This Row],[IVA VENTA ]]-Tabla24567894[[#This Row],[IV COMPRA]]</f>
        <v>0</v>
      </c>
      <c r="T434" s="10">
        <f>(Tabla24567894[[#This Row],[VENTA ]]-(Tabla24567894[[#This Row],[MONTO DE COMPRA]]+Tabla24567894[[#This Row],[DIFERENCIA IVA ]]))</f>
        <v>0</v>
      </c>
      <c r="U434" s="15"/>
      <c r="V434" s="5"/>
      <c r="W434" s="3"/>
    </row>
    <row r="435" spans="1:23" ht="20.100000000000001" hidden="1" customHeight="1" x14ac:dyDescent="0.25">
      <c r="A435" s="13"/>
      <c r="B435" s="14"/>
      <c r="C435" s="14"/>
      <c r="D435" s="14"/>
      <c r="E435" s="15"/>
      <c r="F435" s="15"/>
      <c r="G435" s="14"/>
      <c r="H435" s="16"/>
      <c r="I435" s="20"/>
      <c r="J435" s="20">
        <f>IF(G:G="FRENOS",(Tabla24567894[[#This Row],[TOTAL FACTURA]]*0.8),(Tabla24567894[[#This Row],[TOTAL FACTURA]]*0.5))</f>
        <v>0</v>
      </c>
      <c r="K435" s="9">
        <f t="shared" si="6"/>
        <v>0</v>
      </c>
      <c r="L435" s="4"/>
      <c r="M435" s="10"/>
      <c r="N435" s="10">
        <f>Tabla24567894[[#This Row],[MONTO DE COMPRA]]/1.19</f>
        <v>0</v>
      </c>
      <c r="O435" s="10">
        <f>Tabla24567894[[#This Row],[Columna1]]*19%</f>
        <v>0</v>
      </c>
      <c r="P435" s="10"/>
      <c r="Q435" s="10">
        <f>Tabla24567894[[#This Row],[VENTA ]]/1.19</f>
        <v>0</v>
      </c>
      <c r="R435" s="10">
        <f>Tabla24567894[[#This Row],[Columna2]]*19%</f>
        <v>0</v>
      </c>
      <c r="S435" s="10">
        <f>Tabla24567894[[#This Row],[IVA VENTA ]]-Tabla24567894[[#This Row],[IV COMPRA]]</f>
        <v>0</v>
      </c>
      <c r="T435" s="10">
        <f>(Tabla24567894[[#This Row],[VENTA ]]-(Tabla24567894[[#This Row],[MONTO DE COMPRA]]+Tabla24567894[[#This Row],[DIFERENCIA IVA ]]))</f>
        <v>0</v>
      </c>
      <c r="U435" s="15"/>
      <c r="V435" s="5"/>
      <c r="W435" s="3"/>
    </row>
    <row r="436" spans="1:23" ht="20.100000000000001" hidden="1" customHeight="1" x14ac:dyDescent="0.25">
      <c r="A436" s="13"/>
      <c r="B436" s="14"/>
      <c r="C436" s="14"/>
      <c r="D436" s="14"/>
      <c r="E436" s="15"/>
      <c r="F436" s="15"/>
      <c r="G436" s="14"/>
      <c r="H436" s="16"/>
      <c r="I436" s="20"/>
      <c r="J436" s="20">
        <f>IF(G:G="FRENOS",(Tabla24567894[[#This Row],[TOTAL FACTURA]]*0.8),(Tabla24567894[[#This Row],[TOTAL FACTURA]]*0.5))</f>
        <v>0</v>
      </c>
      <c r="K436" s="9">
        <f t="shared" si="6"/>
        <v>0</v>
      </c>
      <c r="L436" s="4"/>
      <c r="M436" s="10"/>
      <c r="N436" s="10">
        <f>Tabla24567894[[#This Row],[MONTO DE COMPRA]]/1.19</f>
        <v>0</v>
      </c>
      <c r="O436" s="10">
        <f>Tabla24567894[[#This Row],[Columna1]]*19%</f>
        <v>0</v>
      </c>
      <c r="P436" s="10"/>
      <c r="Q436" s="10">
        <f>Tabla24567894[[#This Row],[VENTA ]]/1.19</f>
        <v>0</v>
      </c>
      <c r="R436" s="10">
        <f>Tabla24567894[[#This Row],[Columna2]]*19%</f>
        <v>0</v>
      </c>
      <c r="S436" s="10">
        <f>Tabla24567894[[#This Row],[IVA VENTA ]]-Tabla24567894[[#This Row],[IV COMPRA]]</f>
        <v>0</v>
      </c>
      <c r="T436" s="10">
        <f>(Tabla24567894[[#This Row],[VENTA ]]-(Tabla24567894[[#This Row],[MONTO DE COMPRA]]+Tabla24567894[[#This Row],[DIFERENCIA IVA ]]))</f>
        <v>0</v>
      </c>
      <c r="U436" s="15"/>
    </row>
    <row r="437" spans="1:23" ht="20.100000000000001" hidden="1" customHeight="1" x14ac:dyDescent="0.25">
      <c r="A437" s="13"/>
      <c r="B437" s="14"/>
      <c r="C437" s="14"/>
      <c r="D437" s="14"/>
      <c r="E437" s="15"/>
      <c r="F437" s="15"/>
      <c r="G437" s="14"/>
      <c r="H437" s="16"/>
      <c r="I437" s="20"/>
      <c r="J437" s="20">
        <f>IF(G:G="FRENOS",(Tabla24567894[[#This Row],[TOTAL FACTURA]]*0.8),(Tabla24567894[[#This Row],[TOTAL FACTURA]]*0.5))</f>
        <v>0</v>
      </c>
      <c r="K437" s="9">
        <f t="shared" si="6"/>
        <v>0</v>
      </c>
      <c r="L437" s="4"/>
      <c r="M437" s="10"/>
      <c r="N437" s="10">
        <f>Tabla24567894[[#This Row],[MONTO DE COMPRA]]/1.19</f>
        <v>0</v>
      </c>
      <c r="O437" s="10">
        <f>Tabla24567894[[#This Row],[Columna1]]*19%</f>
        <v>0</v>
      </c>
      <c r="P437" s="10"/>
      <c r="Q437" s="10">
        <f>Tabla24567894[[#This Row],[VENTA ]]/1.19</f>
        <v>0</v>
      </c>
      <c r="R437" s="10">
        <f>Tabla24567894[[#This Row],[Columna2]]*19%</f>
        <v>0</v>
      </c>
      <c r="S437" s="10">
        <f>Tabla24567894[[#This Row],[IVA VENTA ]]-Tabla24567894[[#This Row],[IV COMPRA]]</f>
        <v>0</v>
      </c>
      <c r="T437" s="10">
        <f>(Tabla24567894[[#This Row],[VENTA ]]-(Tabla24567894[[#This Row],[MONTO DE COMPRA]]+Tabla24567894[[#This Row],[DIFERENCIA IVA ]]))</f>
        <v>0</v>
      </c>
      <c r="U437" s="15"/>
    </row>
    <row r="438" spans="1:23" ht="20.100000000000001" hidden="1" customHeight="1" x14ac:dyDescent="0.25">
      <c r="A438" s="13"/>
      <c r="B438" s="14"/>
      <c r="C438" s="14"/>
      <c r="D438" s="14"/>
      <c r="E438" s="15"/>
      <c r="F438" s="15"/>
      <c r="G438" s="14"/>
      <c r="H438" s="16"/>
      <c r="I438" s="20"/>
      <c r="J438" s="20">
        <f>IF(G:G="FRENOS",(Tabla24567894[[#This Row],[TOTAL FACTURA]]*0.8),(Tabla24567894[[#This Row],[TOTAL FACTURA]]*0.5))</f>
        <v>0</v>
      </c>
      <c r="K438" s="9">
        <f t="shared" si="6"/>
        <v>0</v>
      </c>
      <c r="L438" s="4"/>
      <c r="M438" s="10"/>
      <c r="N438" s="10">
        <f>Tabla24567894[[#This Row],[MONTO DE COMPRA]]/1.19</f>
        <v>0</v>
      </c>
      <c r="O438" s="10">
        <f>Tabla24567894[[#This Row],[Columna1]]*19%</f>
        <v>0</v>
      </c>
      <c r="P438" s="10"/>
      <c r="Q438" s="10">
        <f>Tabla24567894[[#This Row],[VENTA ]]/1.19</f>
        <v>0</v>
      </c>
      <c r="R438" s="10">
        <f>Tabla24567894[[#This Row],[Columna2]]*19%</f>
        <v>0</v>
      </c>
      <c r="S438" s="10">
        <f>Tabla24567894[[#This Row],[IVA VENTA ]]-Tabla24567894[[#This Row],[IV COMPRA]]</f>
        <v>0</v>
      </c>
      <c r="T438" s="10">
        <f>(Tabla24567894[[#This Row],[VENTA ]]-(Tabla24567894[[#This Row],[MONTO DE COMPRA]]+Tabla24567894[[#This Row],[DIFERENCIA IVA ]]))</f>
        <v>0</v>
      </c>
      <c r="U438" s="15"/>
    </row>
    <row r="439" spans="1:23" ht="20.100000000000001" hidden="1" customHeight="1" x14ac:dyDescent="0.25">
      <c r="A439" s="13"/>
      <c r="B439" s="14"/>
      <c r="C439" s="14"/>
      <c r="D439" s="14"/>
      <c r="E439" s="15"/>
      <c r="F439" s="15"/>
      <c r="G439" s="14"/>
      <c r="H439" s="16"/>
      <c r="I439" s="20"/>
      <c r="J439" s="20">
        <f>IF(G:G="FRENOS",(Tabla24567894[[#This Row],[TOTAL FACTURA]]*0.8),(Tabla24567894[[#This Row],[TOTAL FACTURA]]*0.5))</f>
        <v>0</v>
      </c>
      <c r="K439" s="9">
        <f t="shared" si="6"/>
        <v>0</v>
      </c>
      <c r="L439" s="4"/>
      <c r="M439" s="10"/>
      <c r="N439" s="10">
        <f>Tabla24567894[[#This Row],[MONTO DE COMPRA]]/1.19</f>
        <v>0</v>
      </c>
      <c r="O439" s="10">
        <f>Tabla24567894[[#This Row],[Columna1]]*19%</f>
        <v>0</v>
      </c>
      <c r="P439" s="10"/>
      <c r="Q439" s="10">
        <f>Tabla24567894[[#This Row],[VENTA ]]/1.19</f>
        <v>0</v>
      </c>
      <c r="R439" s="10">
        <f>Tabla24567894[[#This Row],[Columna2]]*19%</f>
        <v>0</v>
      </c>
      <c r="S439" s="10">
        <f>Tabla24567894[[#This Row],[IVA VENTA ]]-Tabla24567894[[#This Row],[IV COMPRA]]</f>
        <v>0</v>
      </c>
      <c r="T439" s="10">
        <f>(Tabla24567894[[#This Row],[VENTA ]]-(Tabla24567894[[#This Row],[MONTO DE COMPRA]]+Tabla24567894[[#This Row],[DIFERENCIA IVA ]]))</f>
        <v>0</v>
      </c>
      <c r="U439" s="15"/>
    </row>
    <row r="440" spans="1:23" ht="20.100000000000001" hidden="1" customHeight="1" x14ac:dyDescent="0.25">
      <c r="A440" s="13"/>
      <c r="B440" s="14"/>
      <c r="C440" s="14"/>
      <c r="D440" s="14"/>
      <c r="E440" s="15"/>
      <c r="F440" s="15"/>
      <c r="G440" s="14"/>
      <c r="H440" s="16"/>
      <c r="I440" s="20"/>
      <c r="J440" s="20">
        <f>IF(G:G="FRENOS",(Tabla24567894[[#This Row],[TOTAL FACTURA]]*0.8),(Tabla24567894[[#This Row],[TOTAL FACTURA]]*0.5))</f>
        <v>0</v>
      </c>
      <c r="K440" s="9">
        <f t="shared" si="6"/>
        <v>0</v>
      </c>
      <c r="L440" s="4"/>
      <c r="M440" s="10"/>
      <c r="N440" s="10">
        <f>Tabla24567894[[#This Row],[MONTO DE COMPRA]]/1.19</f>
        <v>0</v>
      </c>
      <c r="O440" s="10">
        <f>Tabla24567894[[#This Row],[Columna1]]*19%</f>
        <v>0</v>
      </c>
      <c r="P440" s="10"/>
      <c r="Q440" s="10">
        <f>Tabla24567894[[#This Row],[VENTA ]]/1.19</f>
        <v>0</v>
      </c>
      <c r="R440" s="10">
        <f>Tabla24567894[[#This Row],[Columna2]]*19%</f>
        <v>0</v>
      </c>
      <c r="S440" s="10">
        <f>Tabla24567894[[#This Row],[IVA VENTA ]]-Tabla24567894[[#This Row],[IV COMPRA]]</f>
        <v>0</v>
      </c>
      <c r="T440" s="10">
        <f>(Tabla24567894[[#This Row],[VENTA ]]-(Tabla24567894[[#This Row],[MONTO DE COMPRA]]+Tabla24567894[[#This Row],[DIFERENCIA IVA ]]))</f>
        <v>0</v>
      </c>
      <c r="U440" s="15"/>
    </row>
    <row r="441" spans="1:23" ht="20.100000000000001" hidden="1" customHeight="1" x14ac:dyDescent="0.25">
      <c r="A441" s="13"/>
      <c r="B441" s="14"/>
      <c r="C441" s="14"/>
      <c r="D441" s="14"/>
      <c r="E441" s="15"/>
      <c r="F441" s="15"/>
      <c r="G441" s="14"/>
      <c r="H441" s="16"/>
      <c r="I441" s="20"/>
      <c r="J441" s="20">
        <f>IF(G:G="FRENOS",(Tabla24567894[[#This Row],[TOTAL FACTURA]]*0.8),(Tabla24567894[[#This Row],[TOTAL FACTURA]]*0.5))</f>
        <v>0</v>
      </c>
      <c r="K441" s="9">
        <f t="shared" si="6"/>
        <v>0</v>
      </c>
      <c r="L441" s="4"/>
      <c r="M441" s="10"/>
      <c r="N441" s="10">
        <f>Tabla24567894[[#This Row],[MONTO DE COMPRA]]/1.19</f>
        <v>0</v>
      </c>
      <c r="O441" s="10">
        <f>Tabla24567894[[#This Row],[Columna1]]*19%</f>
        <v>0</v>
      </c>
      <c r="P441" s="10"/>
      <c r="Q441" s="10">
        <f>Tabla24567894[[#This Row],[VENTA ]]/1.19</f>
        <v>0</v>
      </c>
      <c r="R441" s="10">
        <f>Tabla24567894[[#This Row],[Columna2]]*19%</f>
        <v>0</v>
      </c>
      <c r="S441" s="10">
        <f>Tabla24567894[[#This Row],[IVA VENTA ]]-Tabla24567894[[#This Row],[IV COMPRA]]</f>
        <v>0</v>
      </c>
      <c r="T441" s="10">
        <f>(Tabla24567894[[#This Row],[VENTA ]]-(Tabla24567894[[#This Row],[MONTO DE COMPRA]]+Tabla24567894[[#This Row],[DIFERENCIA IVA ]]))</f>
        <v>0</v>
      </c>
      <c r="U441" s="15"/>
    </row>
    <row r="442" spans="1:23" ht="20.100000000000001" hidden="1" customHeight="1" x14ac:dyDescent="0.25">
      <c r="A442" s="13"/>
      <c r="B442" s="14"/>
      <c r="C442" s="14"/>
      <c r="D442" s="14"/>
      <c r="E442" s="15"/>
      <c r="F442" s="15"/>
      <c r="G442" s="14"/>
      <c r="H442" s="16"/>
      <c r="I442" s="20"/>
      <c r="J442" s="20">
        <f>IF(G:G="FRENOS",(Tabla24567894[[#This Row],[TOTAL FACTURA]]*0.8),(Tabla24567894[[#This Row],[TOTAL FACTURA]]*0.5))</f>
        <v>0</v>
      </c>
      <c r="K442" s="9">
        <f t="shared" si="6"/>
        <v>0</v>
      </c>
      <c r="L442" s="4"/>
      <c r="M442" s="10"/>
      <c r="N442" s="10">
        <f>Tabla24567894[[#This Row],[MONTO DE COMPRA]]/1.19</f>
        <v>0</v>
      </c>
      <c r="O442" s="10">
        <f>Tabla24567894[[#This Row],[Columna1]]*19%</f>
        <v>0</v>
      </c>
      <c r="P442" s="10"/>
      <c r="Q442" s="10">
        <f>Tabla24567894[[#This Row],[VENTA ]]/1.19</f>
        <v>0</v>
      </c>
      <c r="R442" s="10">
        <f>Tabla24567894[[#This Row],[Columna2]]*19%</f>
        <v>0</v>
      </c>
      <c r="S442" s="10">
        <f>Tabla24567894[[#This Row],[IVA VENTA ]]-Tabla24567894[[#This Row],[IV COMPRA]]</f>
        <v>0</v>
      </c>
      <c r="T442" s="10">
        <f>(Tabla24567894[[#This Row],[VENTA ]]-(Tabla24567894[[#This Row],[MONTO DE COMPRA]]+Tabla24567894[[#This Row],[DIFERENCIA IVA ]]))</f>
        <v>0</v>
      </c>
      <c r="U442" s="15"/>
    </row>
    <row r="443" spans="1:23" ht="20.100000000000001" hidden="1" customHeight="1" x14ac:dyDescent="0.25">
      <c r="A443" s="13"/>
      <c r="B443" s="14"/>
      <c r="C443" s="14"/>
      <c r="D443" s="14"/>
      <c r="E443" s="15"/>
      <c r="F443" s="15"/>
      <c r="G443" s="14"/>
      <c r="H443" s="16"/>
      <c r="I443" s="20"/>
      <c r="J443" s="20">
        <f>IF(G:G="FRENOS",(Tabla24567894[[#This Row],[TOTAL FACTURA]]*0.8),(Tabla24567894[[#This Row],[TOTAL FACTURA]]*0.5))</f>
        <v>0</v>
      </c>
      <c r="K443" s="9">
        <f t="shared" si="6"/>
        <v>0</v>
      </c>
      <c r="L443" s="4"/>
      <c r="M443" s="10"/>
      <c r="N443" s="10">
        <f>Tabla24567894[[#This Row],[MONTO DE COMPRA]]/1.19</f>
        <v>0</v>
      </c>
      <c r="O443" s="10">
        <f>Tabla24567894[[#This Row],[Columna1]]*19%</f>
        <v>0</v>
      </c>
      <c r="P443" s="10"/>
      <c r="Q443" s="10">
        <f>Tabla24567894[[#This Row],[VENTA ]]/1.19</f>
        <v>0</v>
      </c>
      <c r="R443" s="10">
        <f>Tabla24567894[[#This Row],[Columna2]]*19%</f>
        <v>0</v>
      </c>
      <c r="S443" s="10">
        <f>Tabla24567894[[#This Row],[IVA VENTA ]]-Tabla24567894[[#This Row],[IV COMPRA]]</f>
        <v>0</v>
      </c>
      <c r="T443" s="10">
        <f>(Tabla24567894[[#This Row],[VENTA ]]-(Tabla24567894[[#This Row],[MONTO DE COMPRA]]+Tabla24567894[[#This Row],[DIFERENCIA IVA ]]))</f>
        <v>0</v>
      </c>
      <c r="U443" s="15"/>
    </row>
    <row r="444" spans="1:23" ht="20.100000000000001" hidden="1" customHeight="1" x14ac:dyDescent="0.25">
      <c r="A444" s="13"/>
      <c r="B444" s="14"/>
      <c r="C444" s="14"/>
      <c r="D444" s="14"/>
      <c r="E444" s="15"/>
      <c r="F444" s="15"/>
      <c r="G444" s="14"/>
      <c r="H444" s="16"/>
      <c r="I444" s="20"/>
      <c r="J444" s="20">
        <f>IF(G:G="FRENOS",(Tabla24567894[[#This Row],[TOTAL FACTURA]]*0.8),(Tabla24567894[[#This Row],[TOTAL FACTURA]]*0.5))</f>
        <v>0</v>
      </c>
      <c r="K444" s="9">
        <f t="shared" si="6"/>
        <v>0</v>
      </c>
      <c r="L444" s="4"/>
      <c r="M444" s="10"/>
      <c r="N444" s="10">
        <f>Tabla24567894[[#This Row],[MONTO DE COMPRA]]/1.19</f>
        <v>0</v>
      </c>
      <c r="O444" s="10">
        <f>Tabla24567894[[#This Row],[Columna1]]*19%</f>
        <v>0</v>
      </c>
      <c r="P444" s="10"/>
      <c r="Q444" s="10">
        <f>Tabla24567894[[#This Row],[VENTA ]]/1.19</f>
        <v>0</v>
      </c>
      <c r="R444" s="10">
        <f>Tabla24567894[[#This Row],[Columna2]]*19%</f>
        <v>0</v>
      </c>
      <c r="S444" s="10">
        <f>Tabla24567894[[#This Row],[IVA VENTA ]]-Tabla24567894[[#This Row],[IV COMPRA]]</f>
        <v>0</v>
      </c>
      <c r="T444" s="10">
        <f>(Tabla24567894[[#This Row],[VENTA ]]-(Tabla24567894[[#This Row],[MONTO DE COMPRA]]+Tabla24567894[[#This Row],[DIFERENCIA IVA ]]))</f>
        <v>0</v>
      </c>
      <c r="U444" s="15"/>
    </row>
    <row r="445" spans="1:23" ht="20.100000000000001" hidden="1" customHeight="1" x14ac:dyDescent="0.25">
      <c r="A445" s="7"/>
      <c r="C445" s="11"/>
      <c r="D445" s="2"/>
      <c r="E445" s="3"/>
      <c r="G445" s="14"/>
      <c r="H445" s="8"/>
      <c r="I445" s="6"/>
      <c r="J445" s="6">
        <f>IF(G:G="FRENOS",(Tabla24567894[[#This Row],[TOTAL FACTURA]]*0.8),(Tabla24567894[[#This Row],[TOTAL FACTURA]]*0.5))</f>
        <v>0</v>
      </c>
      <c r="K445" s="9">
        <f t="shared" si="6"/>
        <v>0</v>
      </c>
      <c r="L445" s="4"/>
      <c r="M445" s="10"/>
      <c r="N445" s="10">
        <f>Tabla24567894[[#This Row],[MONTO DE COMPRA]]/1.19</f>
        <v>0</v>
      </c>
      <c r="O445" s="10">
        <f>Tabla24567894[[#This Row],[Columna1]]*19%</f>
        <v>0</v>
      </c>
      <c r="P445" s="10"/>
      <c r="Q445" s="10">
        <f>Tabla24567894[[#This Row],[VENTA ]]/1.19</f>
        <v>0</v>
      </c>
      <c r="R445" s="10">
        <f>Tabla24567894[[#This Row],[Columna2]]*19%</f>
        <v>0</v>
      </c>
      <c r="S445" s="10">
        <f>Tabla24567894[[#This Row],[IVA VENTA ]]-Tabla24567894[[#This Row],[IV COMPRA]]</f>
        <v>0</v>
      </c>
      <c r="T445" s="10">
        <f>(Tabla24567894[[#This Row],[VENTA ]]-(Tabla24567894[[#This Row],[MONTO DE COMPRA]]+Tabla24567894[[#This Row],[DIFERENCIA IVA ]]))</f>
        <v>0</v>
      </c>
    </row>
    <row r="446" spans="1:23" ht="20.100000000000001" customHeight="1" x14ac:dyDescent="0.25">
      <c r="E446" s="3"/>
      <c r="G446" s="3"/>
      <c r="H446" s="12"/>
      <c r="I446" s="10">
        <f>SUBTOTAL(109,Tabla24567894[TOTAL FACTURA])</f>
        <v>870000</v>
      </c>
      <c r="J446" s="10">
        <f>SUBTOTAL(109,Tabla24567894[TOTAL A PAGAR])</f>
        <v>435000</v>
      </c>
      <c r="K446" s="10">
        <f>SUBTOTAL(109,Tabla24567894[GANANCIA POR SERVICIOS])</f>
        <v>435000</v>
      </c>
      <c r="L446" s="3"/>
      <c r="T446" s="10">
        <f>SUBTOTAL(9,T2:T445)</f>
        <v>260504.20168067224</v>
      </c>
      <c r="U446" s="10"/>
    </row>
    <row r="447" spans="1:23" ht="20.100000000000001" customHeight="1" x14ac:dyDescent="0.25">
      <c r="U447" s="10"/>
    </row>
  </sheetData>
  <phoneticPr fontId="12" type="noConversion"/>
  <dataValidations count="1">
    <dataValidation type="list" allowBlank="1" showInputMessage="1" showErrorMessage="1" sqref="F1" xr:uid="{45787986-22DD-4752-92C1-5ED1E53C8180}">
      <formula1>"SAMIR VASQUEZ"</formula1>
    </dataValidation>
  </dataValidations>
  <pageMargins left="0.70866141732283472" right="0.70866141732283472" top="0.74803149606299213" bottom="0.74803149606299213" header="0.31496062992125984" footer="0.31496062992125984"/>
  <pageSetup paperSize="9" scale="65" orientation="landscape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0C3692-78D9-4E22-8E4E-43C0D4D416DE}">
          <x14:formula1>
            <xm:f>AREA!$A$2:$A$12</xm:f>
          </x14:formula1>
          <xm:sqref>G2:G55 F2:F445</xm:sqref>
        </x14:dataValidation>
        <x14:dataValidation type="list" allowBlank="1" showInputMessage="1" showErrorMessage="1" xr:uid="{6EFF8CC8-F7AB-4E8E-A517-CCBBD7853C00}">
          <x14:formula1>
            <xm:f>AREA!$A$17:$A$21</xm:f>
          </x14:formula1>
          <xm:sqref>G56:G445</xm:sqref>
        </x14:dataValidation>
        <x14:dataValidation type="list" allowBlank="1" showInputMessage="1" showErrorMessage="1" xr:uid="{21125E7C-E459-4E7D-B0D4-5E18C7532DFA}">
          <x14:formula1>
            <xm:f>AREA!$A$17:$A$20</xm:f>
          </x14:formula1>
          <xm:sqref>G2:G445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3A62-CCF4-4D66-9A18-E0B1D9DDEB99}">
  <dimension ref="A1:K93"/>
  <sheetViews>
    <sheetView topLeftCell="A80" workbookViewId="0">
      <selection activeCell="G100" sqref="G100"/>
    </sheetView>
  </sheetViews>
  <sheetFormatPr baseColWidth="10" defaultRowHeight="18.75" x14ac:dyDescent="0.3"/>
  <cols>
    <col min="1" max="1" width="31.42578125" style="32" customWidth="1"/>
    <col min="2" max="2" width="20" style="32" customWidth="1"/>
    <col min="3" max="3" width="32.140625" style="32" customWidth="1"/>
    <col min="4" max="4" width="23.85546875" style="32" customWidth="1"/>
    <col min="5" max="5" width="19.42578125" style="32" customWidth="1"/>
    <col min="6" max="6" width="25" style="32" customWidth="1"/>
    <col min="7" max="7" width="22.5703125" style="32" customWidth="1"/>
    <col min="8" max="10" width="11.42578125" style="32"/>
    <col min="11" max="11" width="38.28515625" style="32" customWidth="1"/>
    <col min="12" max="12" width="34.7109375" style="32" customWidth="1"/>
    <col min="13" max="16384" width="11.42578125" style="32"/>
  </cols>
  <sheetData>
    <row r="1" spans="1:9" x14ac:dyDescent="0.3">
      <c r="A1" s="31" t="s">
        <v>230</v>
      </c>
    </row>
    <row r="2" spans="1:9" x14ac:dyDescent="0.3">
      <c r="A2" s="33" t="s">
        <v>219</v>
      </c>
      <c r="B2" s="33" t="s">
        <v>220</v>
      </c>
      <c r="C2" s="33" t="s">
        <v>5</v>
      </c>
      <c r="D2" s="33" t="s">
        <v>221</v>
      </c>
      <c r="E2" s="33" t="s">
        <v>222</v>
      </c>
      <c r="F2" s="34" t="s">
        <v>223</v>
      </c>
    </row>
    <row r="3" spans="1:9" x14ac:dyDescent="0.3">
      <c r="A3" s="35" t="s">
        <v>225</v>
      </c>
      <c r="B3" s="36">
        <v>18929731</v>
      </c>
      <c r="C3" s="33" t="s">
        <v>39</v>
      </c>
      <c r="D3" s="37">
        <v>800000</v>
      </c>
      <c r="E3" s="37"/>
      <c r="F3" s="34">
        <f t="shared" ref="F3:F6" si="0">D3-E3</f>
        <v>800000</v>
      </c>
    </row>
    <row r="4" spans="1:9" x14ac:dyDescent="0.3">
      <c r="A4" s="35" t="s">
        <v>41</v>
      </c>
      <c r="B4" s="36">
        <v>29642952</v>
      </c>
      <c r="C4" s="33" t="s">
        <v>226</v>
      </c>
      <c r="D4" s="37">
        <f>1963500/2</f>
        <v>981750</v>
      </c>
      <c r="E4" s="37">
        <v>10000</v>
      </c>
      <c r="F4" s="34">
        <f t="shared" si="0"/>
        <v>971750</v>
      </c>
    </row>
    <row r="5" spans="1:9" x14ac:dyDescent="0.3">
      <c r="A5" s="35" t="s">
        <v>40</v>
      </c>
      <c r="B5" s="36">
        <v>26823112</v>
      </c>
      <c r="C5" s="33" t="s">
        <v>226</v>
      </c>
      <c r="D5" s="37">
        <f>1963500/2</f>
        <v>981750</v>
      </c>
      <c r="E5" s="37">
        <v>165000</v>
      </c>
      <c r="F5" s="34">
        <f t="shared" si="0"/>
        <v>816750</v>
      </c>
    </row>
    <row r="6" spans="1:9" x14ac:dyDescent="0.3">
      <c r="A6" s="35" t="s">
        <v>35</v>
      </c>
      <c r="B6" s="36"/>
      <c r="C6" s="33" t="s">
        <v>224</v>
      </c>
      <c r="D6" s="37">
        <v>282000</v>
      </c>
      <c r="E6" s="37"/>
      <c r="F6" s="34">
        <f t="shared" si="0"/>
        <v>282000</v>
      </c>
    </row>
    <row r="7" spans="1:9" x14ac:dyDescent="0.3">
      <c r="A7" s="35" t="s">
        <v>232</v>
      </c>
      <c r="B7" s="36"/>
      <c r="C7" s="33"/>
      <c r="D7" s="37">
        <v>52500</v>
      </c>
      <c r="E7" s="37"/>
      <c r="F7" s="34"/>
    </row>
    <row r="8" spans="1:9" x14ac:dyDescent="0.3">
      <c r="F8" s="38">
        <f>SUM(F3:F7)</f>
        <v>2870500</v>
      </c>
    </row>
    <row r="11" spans="1:9" x14ac:dyDescent="0.3">
      <c r="F11" s="39">
        <f>17600-F8</f>
        <v>-2852900</v>
      </c>
    </row>
    <row r="12" spans="1:9" x14ac:dyDescent="0.3">
      <c r="I12" s="32" t="s">
        <v>231</v>
      </c>
    </row>
    <row r="14" spans="1:9" x14ac:dyDescent="0.3">
      <c r="A14" s="31" t="s">
        <v>318</v>
      </c>
    </row>
    <row r="15" spans="1:9" x14ac:dyDescent="0.3">
      <c r="A15" s="33" t="s">
        <v>219</v>
      </c>
      <c r="B15" s="33" t="s">
        <v>220</v>
      </c>
      <c r="C15" s="33" t="s">
        <v>5</v>
      </c>
      <c r="D15" s="33" t="s">
        <v>221</v>
      </c>
      <c r="E15" s="33" t="s">
        <v>222</v>
      </c>
      <c r="F15" s="34" t="s">
        <v>223</v>
      </c>
    </row>
    <row r="16" spans="1:9" x14ac:dyDescent="0.3">
      <c r="A16" s="35" t="s">
        <v>225</v>
      </c>
      <c r="B16" s="36">
        <v>18929731</v>
      </c>
      <c r="C16" s="33" t="s">
        <v>39</v>
      </c>
      <c r="D16" s="37">
        <v>760500</v>
      </c>
      <c r="E16" s="37"/>
      <c r="F16" s="34">
        <f>D16</f>
        <v>760500</v>
      </c>
    </row>
    <row r="17" spans="1:6" x14ac:dyDescent="0.3">
      <c r="A17" s="35" t="s">
        <v>41</v>
      </c>
      <c r="B17" s="36">
        <v>29642952</v>
      </c>
      <c r="C17" s="33" t="s">
        <v>226</v>
      </c>
      <c r="D17" s="37">
        <f>1065000/2</f>
        <v>532500</v>
      </c>
      <c r="E17" s="37"/>
      <c r="F17" s="34">
        <f t="shared" ref="F17:F22" si="1">D17-E17</f>
        <v>532500</v>
      </c>
    </row>
    <row r="18" spans="1:6" x14ac:dyDescent="0.3">
      <c r="A18" s="35" t="s">
        <v>40</v>
      </c>
      <c r="B18" s="36">
        <v>26823112</v>
      </c>
      <c r="C18" s="33" t="s">
        <v>226</v>
      </c>
      <c r="D18" s="37">
        <f>1065000/2</f>
        <v>532500</v>
      </c>
      <c r="E18" s="37"/>
      <c r="F18" s="34">
        <f t="shared" si="1"/>
        <v>532500</v>
      </c>
    </row>
    <row r="19" spans="1:6" x14ac:dyDescent="0.3">
      <c r="A19" s="35" t="s">
        <v>35</v>
      </c>
      <c r="B19" s="36"/>
      <c r="C19" s="33" t="s">
        <v>224</v>
      </c>
      <c r="D19" s="37">
        <v>300000</v>
      </c>
      <c r="E19" s="37"/>
      <c r="F19" s="34"/>
    </row>
    <row r="20" spans="1:6" x14ac:dyDescent="0.3">
      <c r="A20" s="35" t="s">
        <v>26</v>
      </c>
      <c r="B20" s="36"/>
      <c r="C20" s="33"/>
      <c r="D20" s="37">
        <v>204000</v>
      </c>
      <c r="E20" s="37"/>
      <c r="F20" s="34"/>
    </row>
    <row r="21" spans="1:6" x14ac:dyDescent="0.3">
      <c r="A21" s="35" t="s">
        <v>319</v>
      </c>
      <c r="B21" s="36"/>
      <c r="C21" s="33"/>
      <c r="D21" s="37">
        <v>650000</v>
      </c>
      <c r="E21" s="37"/>
      <c r="F21" s="34">
        <f t="shared" si="1"/>
        <v>650000</v>
      </c>
    </row>
    <row r="22" spans="1:6" x14ac:dyDescent="0.3">
      <c r="A22" s="35" t="s">
        <v>320</v>
      </c>
      <c r="B22" s="36"/>
      <c r="C22" s="33"/>
      <c r="D22" s="37">
        <v>300000</v>
      </c>
      <c r="E22" s="37">
        <v>100000</v>
      </c>
      <c r="F22" s="34">
        <f t="shared" si="1"/>
        <v>200000</v>
      </c>
    </row>
    <row r="23" spans="1:6" x14ac:dyDescent="0.3">
      <c r="F23" s="38">
        <f>SUM(F16:F22)</f>
        <v>2675500</v>
      </c>
    </row>
    <row r="27" spans="1:6" x14ac:dyDescent="0.3">
      <c r="A27" s="31" t="s">
        <v>385</v>
      </c>
    </row>
    <row r="28" spans="1:6" x14ac:dyDescent="0.3">
      <c r="A28" s="33" t="s">
        <v>219</v>
      </c>
      <c r="B28" s="33" t="s">
        <v>220</v>
      </c>
      <c r="C28" s="33" t="s">
        <v>5</v>
      </c>
      <c r="D28" s="33" t="s">
        <v>221</v>
      </c>
      <c r="E28" s="33" t="s">
        <v>222</v>
      </c>
      <c r="F28" s="34" t="s">
        <v>223</v>
      </c>
    </row>
    <row r="29" spans="1:6" x14ac:dyDescent="0.3">
      <c r="A29" s="35" t="s">
        <v>225</v>
      </c>
      <c r="B29" s="36">
        <v>18929731</v>
      </c>
      <c r="C29" s="33" t="s">
        <v>39</v>
      </c>
      <c r="D29" s="37">
        <v>840000</v>
      </c>
      <c r="E29" s="37"/>
      <c r="F29" s="34">
        <f>D29</f>
        <v>840000</v>
      </c>
    </row>
    <row r="30" spans="1:6" x14ac:dyDescent="0.3">
      <c r="A30" s="35" t="s">
        <v>41</v>
      </c>
      <c r="B30" s="36">
        <v>29642952</v>
      </c>
      <c r="C30" s="33" t="s">
        <v>226</v>
      </c>
      <c r="D30" s="37">
        <f>642000/2</f>
        <v>321000</v>
      </c>
      <c r="E30" s="37"/>
      <c r="F30" s="34">
        <f t="shared" ref="F30:F32" si="2">D30-E30</f>
        <v>321000</v>
      </c>
    </row>
    <row r="31" spans="1:6" x14ac:dyDescent="0.3">
      <c r="A31" s="35" t="s">
        <v>40</v>
      </c>
      <c r="B31" s="36">
        <v>26823112</v>
      </c>
      <c r="C31" s="33" t="s">
        <v>226</v>
      </c>
      <c r="D31" s="37">
        <f>642000/2</f>
        <v>321000</v>
      </c>
      <c r="E31" s="37"/>
      <c r="F31" s="34">
        <f t="shared" si="2"/>
        <v>321000</v>
      </c>
    </row>
    <row r="32" spans="1:6" x14ac:dyDescent="0.3">
      <c r="A32" s="35" t="s">
        <v>35</v>
      </c>
      <c r="B32" s="36"/>
      <c r="C32" s="33" t="s">
        <v>224</v>
      </c>
      <c r="D32" s="37">
        <v>645000</v>
      </c>
      <c r="E32" s="37">
        <v>60000</v>
      </c>
      <c r="F32" s="34">
        <f t="shared" si="2"/>
        <v>585000</v>
      </c>
    </row>
    <row r="33" spans="1:6" x14ac:dyDescent="0.3">
      <c r="F33" s="38">
        <f>SUM(F29:F32)</f>
        <v>2067000</v>
      </c>
    </row>
    <row r="37" spans="1:6" ht="19.5" thickBot="1" x14ac:dyDescent="0.35">
      <c r="A37" s="31" t="s">
        <v>438</v>
      </c>
    </row>
    <row r="38" spans="1:6" ht="19.5" thickBot="1" x14ac:dyDescent="0.35">
      <c r="A38" s="69" t="s">
        <v>219</v>
      </c>
      <c r="B38" s="70" t="s">
        <v>220</v>
      </c>
      <c r="C38" s="70" t="s">
        <v>5</v>
      </c>
      <c r="D38" s="70" t="s">
        <v>221</v>
      </c>
      <c r="E38" s="70" t="s">
        <v>222</v>
      </c>
      <c r="F38" s="71" t="s">
        <v>223</v>
      </c>
    </row>
    <row r="39" spans="1:6" x14ac:dyDescent="0.3">
      <c r="A39" s="64" t="s">
        <v>225</v>
      </c>
      <c r="B39" s="65">
        <v>18929731</v>
      </c>
      <c r="C39" s="66" t="s">
        <v>39</v>
      </c>
      <c r="D39" s="67">
        <v>841000</v>
      </c>
      <c r="E39" s="67"/>
      <c r="F39" s="68">
        <f>D39</f>
        <v>841000</v>
      </c>
    </row>
    <row r="40" spans="1:6" x14ac:dyDescent="0.3">
      <c r="A40" s="35" t="s">
        <v>41</v>
      </c>
      <c r="B40" s="36">
        <v>29642952</v>
      </c>
      <c r="C40" s="33" t="s">
        <v>226</v>
      </c>
      <c r="D40" s="37">
        <v>275500</v>
      </c>
      <c r="E40" s="37"/>
      <c r="F40" s="34">
        <f t="shared" ref="F40:F43" si="3">D40-E40</f>
        <v>275500</v>
      </c>
    </row>
    <row r="41" spans="1:6" x14ac:dyDescent="0.3">
      <c r="A41" s="35" t="s">
        <v>40</v>
      </c>
      <c r="B41" s="36">
        <v>26823112</v>
      </c>
      <c r="C41" s="33" t="s">
        <v>226</v>
      </c>
      <c r="D41" s="37">
        <v>275500</v>
      </c>
      <c r="E41" s="37">
        <v>30000</v>
      </c>
      <c r="F41" s="34">
        <f t="shared" si="3"/>
        <v>245500</v>
      </c>
    </row>
    <row r="42" spans="1:6" x14ac:dyDescent="0.3">
      <c r="A42" s="35" t="s">
        <v>35</v>
      </c>
      <c r="B42" s="35"/>
      <c r="C42" s="33" t="s">
        <v>224</v>
      </c>
      <c r="D42" s="37">
        <v>250000</v>
      </c>
      <c r="E42" s="37">
        <v>20000</v>
      </c>
      <c r="F42" s="34">
        <f t="shared" si="3"/>
        <v>230000</v>
      </c>
    </row>
    <row r="43" spans="1:6" x14ac:dyDescent="0.3">
      <c r="A43" s="35" t="s">
        <v>439</v>
      </c>
      <c r="B43" s="35"/>
      <c r="C43" s="33" t="s">
        <v>440</v>
      </c>
      <c r="D43" s="37">
        <v>650000</v>
      </c>
      <c r="E43" s="37"/>
      <c r="F43" s="34">
        <f t="shared" si="3"/>
        <v>650000</v>
      </c>
    </row>
    <row r="44" spans="1:6" x14ac:dyDescent="0.3">
      <c r="A44" s="35" t="s">
        <v>441</v>
      </c>
      <c r="B44" s="35"/>
      <c r="C44" s="33" t="s">
        <v>440</v>
      </c>
      <c r="D44" s="37">
        <v>300000</v>
      </c>
      <c r="E44" s="37"/>
      <c r="F44" s="34">
        <f>D44-E44</f>
        <v>300000</v>
      </c>
    </row>
    <row r="45" spans="1:6" x14ac:dyDescent="0.3">
      <c r="A45" s="35" t="s">
        <v>442</v>
      </c>
      <c r="B45" s="35"/>
      <c r="C45" s="33" t="s">
        <v>440</v>
      </c>
      <c r="D45" s="37">
        <v>200000</v>
      </c>
      <c r="E45" s="37"/>
      <c r="F45" s="34">
        <f>D45-E45</f>
        <v>200000</v>
      </c>
    </row>
    <row r="46" spans="1:6" x14ac:dyDescent="0.3">
      <c r="F46" s="38">
        <f>SUM(F39:F45)</f>
        <v>2742000</v>
      </c>
    </row>
    <row r="48" spans="1:6" ht="19.5" thickBot="1" x14ac:dyDescent="0.35">
      <c r="A48" s="32" t="s">
        <v>599</v>
      </c>
    </row>
    <row r="49" spans="1:11" ht="19.5" thickBot="1" x14ac:dyDescent="0.35">
      <c r="A49" s="69" t="s">
        <v>219</v>
      </c>
      <c r="B49" s="70" t="s">
        <v>220</v>
      </c>
      <c r="C49" s="70" t="s">
        <v>5</v>
      </c>
      <c r="D49" s="70" t="s">
        <v>221</v>
      </c>
      <c r="E49" s="70" t="s">
        <v>222</v>
      </c>
      <c r="F49" s="71" t="s">
        <v>223</v>
      </c>
    </row>
    <row r="50" spans="1:11" x14ac:dyDescent="0.3">
      <c r="A50" s="64" t="s">
        <v>225</v>
      </c>
      <c r="B50" s="65">
        <v>18929731</v>
      </c>
      <c r="C50" s="66" t="s">
        <v>39</v>
      </c>
      <c r="D50" s="67">
        <v>800000</v>
      </c>
      <c r="E50" s="67"/>
      <c r="F50" s="68">
        <f>D50</f>
        <v>800000</v>
      </c>
    </row>
    <row r="51" spans="1:11" x14ac:dyDescent="0.3">
      <c r="A51" s="35" t="s">
        <v>41</v>
      </c>
      <c r="B51" s="36">
        <v>29642952</v>
      </c>
      <c r="C51" s="33" t="s">
        <v>226</v>
      </c>
      <c r="D51" s="37">
        <v>477500</v>
      </c>
      <c r="E51" s="37"/>
      <c r="F51" s="34">
        <f t="shared" ref="F51:F54" si="4">D51-E51</f>
        <v>477500</v>
      </c>
    </row>
    <row r="52" spans="1:11" x14ac:dyDescent="0.3">
      <c r="A52" s="35" t="s">
        <v>40</v>
      </c>
      <c r="B52" s="36">
        <v>26823112</v>
      </c>
      <c r="C52" s="33" t="s">
        <v>226</v>
      </c>
      <c r="D52" s="37">
        <v>477500</v>
      </c>
      <c r="E52" s="37"/>
      <c r="F52" s="34">
        <f t="shared" si="4"/>
        <v>477500</v>
      </c>
    </row>
    <row r="53" spans="1:11" x14ac:dyDescent="0.3">
      <c r="A53" s="35" t="s">
        <v>35</v>
      </c>
      <c r="B53" s="35"/>
      <c r="C53" s="33" t="s">
        <v>224</v>
      </c>
      <c r="D53" s="37">
        <v>490000</v>
      </c>
      <c r="E53" s="37"/>
      <c r="F53" s="34">
        <f t="shared" si="4"/>
        <v>490000</v>
      </c>
    </row>
    <row r="54" spans="1:11" x14ac:dyDescent="0.3">
      <c r="A54" s="35"/>
      <c r="B54" s="35"/>
      <c r="C54" s="33"/>
      <c r="D54" s="37"/>
      <c r="E54" s="37"/>
      <c r="F54" s="34">
        <f t="shared" si="4"/>
        <v>0</v>
      </c>
    </row>
    <row r="55" spans="1:11" x14ac:dyDescent="0.3">
      <c r="A55" s="35"/>
      <c r="B55" s="35"/>
      <c r="C55" s="33"/>
      <c r="D55" s="37"/>
      <c r="E55" s="37"/>
      <c r="F55" s="34">
        <f>D55-E55</f>
        <v>0</v>
      </c>
    </row>
    <row r="56" spans="1:11" x14ac:dyDescent="0.3">
      <c r="A56" s="35"/>
      <c r="B56" s="35"/>
      <c r="C56" s="33"/>
      <c r="D56" s="37"/>
      <c r="E56" s="37"/>
      <c r="F56" s="34">
        <f>D56-E56</f>
        <v>0</v>
      </c>
    </row>
    <row r="57" spans="1:11" x14ac:dyDescent="0.3">
      <c r="F57" s="38">
        <f>SUM(F50:F55)</f>
        <v>2245000</v>
      </c>
    </row>
    <row r="59" spans="1:11" ht="19.5" thickBot="1" x14ac:dyDescent="0.35">
      <c r="A59" s="32" t="s">
        <v>600</v>
      </c>
      <c r="B59" s="32" t="s">
        <v>601</v>
      </c>
    </row>
    <row r="60" spans="1:11" ht="19.5" thickBot="1" x14ac:dyDescent="0.35">
      <c r="A60" s="69" t="s">
        <v>219</v>
      </c>
      <c r="B60" s="70" t="s">
        <v>220</v>
      </c>
      <c r="C60" s="70" t="s">
        <v>5</v>
      </c>
      <c r="D60" s="70" t="s">
        <v>221</v>
      </c>
      <c r="E60" s="70" t="s">
        <v>222</v>
      </c>
      <c r="F60" s="71" t="s">
        <v>223</v>
      </c>
    </row>
    <row r="61" spans="1:11" x14ac:dyDescent="0.3">
      <c r="A61" s="64" t="s">
        <v>225</v>
      </c>
      <c r="B61" s="65">
        <v>18929731</v>
      </c>
      <c r="C61" s="66" t="s">
        <v>39</v>
      </c>
      <c r="D61" s="67">
        <v>1768580</v>
      </c>
      <c r="E61" s="67">
        <v>800000</v>
      </c>
      <c r="F61" s="68">
        <v>968000</v>
      </c>
    </row>
    <row r="62" spans="1:11" x14ac:dyDescent="0.3">
      <c r="A62" s="35" t="s">
        <v>41</v>
      </c>
      <c r="B62" s="36">
        <v>29642952</v>
      </c>
      <c r="C62" s="33" t="s">
        <v>226</v>
      </c>
      <c r="D62" s="37">
        <v>471500</v>
      </c>
      <c r="E62" s="37">
        <v>205000</v>
      </c>
      <c r="F62" s="34">
        <f t="shared" ref="F62:F65" si="5">D62-E62</f>
        <v>266500</v>
      </c>
    </row>
    <row r="63" spans="1:11" x14ac:dyDescent="0.3">
      <c r="A63" s="35" t="s">
        <v>40</v>
      </c>
      <c r="B63" s="36">
        <v>26823112</v>
      </c>
      <c r="C63" s="33" t="s">
        <v>226</v>
      </c>
      <c r="D63" s="37">
        <v>471500</v>
      </c>
      <c r="E63" s="37">
        <v>230000</v>
      </c>
      <c r="F63" s="34">
        <f t="shared" si="5"/>
        <v>241500</v>
      </c>
    </row>
    <row r="64" spans="1:11" x14ac:dyDescent="0.3">
      <c r="A64" s="35" t="s">
        <v>35</v>
      </c>
      <c r="B64" s="35"/>
      <c r="C64" s="33" t="s">
        <v>224</v>
      </c>
      <c r="D64" s="37">
        <v>265000</v>
      </c>
      <c r="E64" s="37">
        <v>200000</v>
      </c>
      <c r="F64" s="34">
        <f t="shared" si="5"/>
        <v>65000</v>
      </c>
      <c r="K64" s="32" t="s">
        <v>656</v>
      </c>
    </row>
    <row r="65" spans="1:11" x14ac:dyDescent="0.3">
      <c r="A65" s="35"/>
      <c r="B65" s="35"/>
      <c r="C65" s="33"/>
      <c r="D65" s="37"/>
      <c r="E65" s="37"/>
      <c r="F65" s="34">
        <f t="shared" si="5"/>
        <v>0</v>
      </c>
    </row>
    <row r="66" spans="1:11" x14ac:dyDescent="0.3">
      <c r="A66" s="35"/>
      <c r="B66" s="35"/>
      <c r="C66" s="33"/>
      <c r="D66" s="37"/>
      <c r="E66" s="37"/>
      <c r="F66" s="34">
        <f>D66-E66</f>
        <v>0</v>
      </c>
    </row>
    <row r="67" spans="1:11" x14ac:dyDescent="0.3">
      <c r="A67" s="35"/>
      <c r="B67" s="35"/>
      <c r="C67" s="33"/>
      <c r="D67" s="37"/>
      <c r="E67" s="37"/>
      <c r="F67" s="34">
        <f>D67-E67</f>
        <v>0</v>
      </c>
    </row>
    <row r="68" spans="1:11" x14ac:dyDescent="0.3">
      <c r="F68" s="38">
        <f>SUM(F61:F66)</f>
        <v>1541000</v>
      </c>
    </row>
    <row r="71" spans="1:11" ht="19.5" thickBot="1" x14ac:dyDescent="0.35">
      <c r="A71" s="32" t="s">
        <v>657</v>
      </c>
      <c r="B71" s="32" t="s">
        <v>660</v>
      </c>
    </row>
    <row r="72" spans="1:11" ht="19.5" thickBot="1" x14ac:dyDescent="0.35">
      <c r="A72" s="69" t="s">
        <v>219</v>
      </c>
      <c r="B72" s="70" t="s">
        <v>220</v>
      </c>
      <c r="C72" s="70" t="s">
        <v>5</v>
      </c>
      <c r="D72" s="70" t="s">
        <v>221</v>
      </c>
      <c r="E72" s="70" t="s">
        <v>222</v>
      </c>
      <c r="F72" s="71" t="s">
        <v>223</v>
      </c>
    </row>
    <row r="73" spans="1:11" x14ac:dyDescent="0.3">
      <c r="A73" s="64" t="s">
        <v>225</v>
      </c>
      <c r="B73" s="65">
        <v>18929731</v>
      </c>
      <c r="C73" s="66" t="s">
        <v>39</v>
      </c>
      <c r="D73" s="67">
        <v>1430000</v>
      </c>
      <c r="E73" s="67">
        <v>130000</v>
      </c>
      <c r="F73" s="34">
        <f t="shared" ref="F73:F77" si="6">D73-E73</f>
        <v>1300000</v>
      </c>
      <c r="K73" s="32" t="s">
        <v>658</v>
      </c>
    </row>
    <row r="74" spans="1:11" x14ac:dyDescent="0.3">
      <c r="A74" s="35" t="s">
        <v>41</v>
      </c>
      <c r="B74" s="36">
        <v>29642952</v>
      </c>
      <c r="C74" s="33" t="s">
        <v>226</v>
      </c>
      <c r="D74" s="37">
        <v>563500</v>
      </c>
      <c r="E74" s="37"/>
      <c r="F74" s="34" t="s">
        <v>659</v>
      </c>
      <c r="K74" s="32" t="s">
        <v>654</v>
      </c>
    </row>
    <row r="75" spans="1:11" x14ac:dyDescent="0.3">
      <c r="A75" s="35" t="s">
        <v>40</v>
      </c>
      <c r="B75" s="36">
        <v>26823112</v>
      </c>
      <c r="C75" s="33" t="s">
        <v>226</v>
      </c>
      <c r="D75" s="37">
        <v>538500</v>
      </c>
      <c r="E75" s="37"/>
      <c r="F75" s="34">
        <f t="shared" si="6"/>
        <v>538500</v>
      </c>
      <c r="K75" s="32" t="s">
        <v>654</v>
      </c>
    </row>
    <row r="76" spans="1:11" x14ac:dyDescent="0.3">
      <c r="A76" s="35" t="s">
        <v>35</v>
      </c>
      <c r="B76" s="35"/>
      <c r="C76" s="33" t="s">
        <v>224</v>
      </c>
      <c r="D76" s="37">
        <v>652500</v>
      </c>
      <c r="E76" s="37"/>
      <c r="F76" s="34">
        <f t="shared" si="6"/>
        <v>652500</v>
      </c>
      <c r="K76" s="32" t="s">
        <v>655</v>
      </c>
    </row>
    <row r="77" spans="1:11" x14ac:dyDescent="0.3">
      <c r="A77" s="35" t="s">
        <v>653</v>
      </c>
      <c r="B77" s="35"/>
      <c r="C77" s="33" t="s">
        <v>440</v>
      </c>
      <c r="D77" s="37">
        <v>650000</v>
      </c>
      <c r="E77" s="37"/>
      <c r="F77" s="34">
        <f t="shared" si="6"/>
        <v>650000</v>
      </c>
    </row>
    <row r="78" spans="1:11" x14ac:dyDescent="0.3">
      <c r="A78" s="35" t="s">
        <v>441</v>
      </c>
      <c r="B78" s="36">
        <v>30816852</v>
      </c>
      <c r="C78" s="33" t="s">
        <v>440</v>
      </c>
      <c r="D78" s="37">
        <v>400000</v>
      </c>
      <c r="E78" s="37"/>
      <c r="F78" s="34">
        <f>D78-E78</f>
        <v>400000</v>
      </c>
    </row>
    <row r="79" spans="1:11" x14ac:dyDescent="0.3">
      <c r="A79" s="35"/>
      <c r="B79" s="35"/>
      <c r="C79" s="33"/>
      <c r="D79" s="37"/>
      <c r="E79" s="37"/>
      <c r="F79" s="34">
        <f>D79-E79</f>
        <v>0</v>
      </c>
    </row>
    <row r="80" spans="1:11" x14ac:dyDescent="0.3">
      <c r="F80" s="38">
        <f>SUM(F73:F78)</f>
        <v>3541000</v>
      </c>
    </row>
    <row r="84" spans="1:6" ht="19.5" thickBot="1" x14ac:dyDescent="0.35">
      <c r="A84" s="32" t="s">
        <v>801</v>
      </c>
      <c r="B84" s="32" t="s">
        <v>712</v>
      </c>
    </row>
    <row r="85" spans="1:6" ht="19.5" thickBot="1" x14ac:dyDescent="0.35">
      <c r="A85" s="69" t="s">
        <v>219</v>
      </c>
      <c r="B85" s="70" t="s">
        <v>220</v>
      </c>
      <c r="C85" s="70" t="s">
        <v>5</v>
      </c>
      <c r="D85" s="70" t="s">
        <v>221</v>
      </c>
      <c r="E85" s="70" t="s">
        <v>222</v>
      </c>
      <c r="F85" s="71" t="s">
        <v>223</v>
      </c>
    </row>
    <row r="86" spans="1:6" x14ac:dyDescent="0.3">
      <c r="A86" s="64" t="s">
        <v>661</v>
      </c>
      <c r="B86" s="65"/>
      <c r="C86" s="66" t="s">
        <v>39</v>
      </c>
      <c r="D86" s="67">
        <v>301380</v>
      </c>
      <c r="E86" s="67"/>
      <c r="F86" s="34">
        <f t="shared" ref="F86:F87" si="7">D86-E86</f>
        <v>301380</v>
      </c>
    </row>
    <row r="87" spans="1:6" x14ac:dyDescent="0.3">
      <c r="A87" s="35" t="s">
        <v>41</v>
      </c>
      <c r="B87" s="36">
        <v>29642952</v>
      </c>
      <c r="C87" s="33" t="s">
        <v>226</v>
      </c>
      <c r="D87" s="37">
        <v>348500</v>
      </c>
      <c r="E87" s="37">
        <v>12000</v>
      </c>
      <c r="F87" s="34">
        <f t="shared" si="7"/>
        <v>336500</v>
      </c>
    </row>
    <row r="88" spans="1:6" x14ac:dyDescent="0.3">
      <c r="A88" s="35" t="s">
        <v>40</v>
      </c>
      <c r="B88" s="36">
        <v>26823112</v>
      </c>
      <c r="C88" s="33" t="s">
        <v>226</v>
      </c>
      <c r="D88" s="37">
        <v>348500</v>
      </c>
      <c r="E88" s="37"/>
      <c r="F88" s="34">
        <f t="shared" ref="F88:F90" si="8">D88-E88</f>
        <v>348500</v>
      </c>
    </row>
    <row r="89" spans="1:6" x14ac:dyDescent="0.3">
      <c r="A89" s="35" t="s">
        <v>35</v>
      </c>
      <c r="B89" s="35"/>
      <c r="C89" s="33" t="s">
        <v>224</v>
      </c>
      <c r="D89" s="37">
        <v>210000</v>
      </c>
      <c r="E89" s="37"/>
      <c r="F89" s="34">
        <f t="shared" si="8"/>
        <v>210000</v>
      </c>
    </row>
    <row r="90" spans="1:6" x14ac:dyDescent="0.3">
      <c r="A90" s="35"/>
      <c r="B90" s="35"/>
      <c r="C90" s="33"/>
      <c r="D90" s="37"/>
      <c r="E90" s="37"/>
      <c r="F90" s="34">
        <f t="shared" si="8"/>
        <v>0</v>
      </c>
    </row>
    <row r="91" spans="1:6" x14ac:dyDescent="0.3">
      <c r="A91" s="35"/>
      <c r="B91" s="36"/>
      <c r="C91" s="33"/>
      <c r="D91" s="37"/>
      <c r="E91" s="37"/>
      <c r="F91" s="34">
        <f>D91-E91</f>
        <v>0</v>
      </c>
    </row>
    <row r="92" spans="1:6" x14ac:dyDescent="0.3">
      <c r="A92" s="35"/>
      <c r="B92" s="35"/>
      <c r="C92" s="33"/>
      <c r="D92" s="37"/>
      <c r="E92" s="37"/>
      <c r="F92" s="34">
        <f>D92-E92</f>
        <v>0</v>
      </c>
    </row>
    <row r="93" spans="1:6" x14ac:dyDescent="0.3">
      <c r="F93" s="38">
        <f>SUM(F86:F91)</f>
        <v>1196380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75DE-73C6-43BF-AB99-ED269B958D13}">
  <dimension ref="A4:F48"/>
  <sheetViews>
    <sheetView tabSelected="1" topLeftCell="A31" workbookViewId="0">
      <selection activeCell="F40" sqref="F40"/>
    </sheetView>
  </sheetViews>
  <sheetFormatPr baseColWidth="10" defaultRowHeight="15" x14ac:dyDescent="0.25"/>
  <cols>
    <col min="1" max="1" width="24.42578125" customWidth="1"/>
    <col min="2" max="2" width="22.42578125" customWidth="1"/>
    <col min="3" max="3" width="26.5703125" customWidth="1"/>
    <col min="4" max="4" width="20.5703125" customWidth="1"/>
    <col min="5" max="5" width="20.85546875" customWidth="1"/>
    <col min="6" max="6" width="22.140625" customWidth="1"/>
  </cols>
  <sheetData>
    <row r="4" spans="1:6" ht="19.5" thickBot="1" x14ac:dyDescent="0.35">
      <c r="A4" s="32" t="s">
        <v>848</v>
      </c>
      <c r="B4" s="32"/>
      <c r="C4" s="32"/>
      <c r="D4" s="32"/>
      <c r="E4" s="32"/>
      <c r="F4" s="32"/>
    </row>
    <row r="5" spans="1:6" ht="19.5" thickBot="1" x14ac:dyDescent="0.35">
      <c r="A5" s="69" t="s">
        <v>219</v>
      </c>
      <c r="B5" s="70" t="s">
        <v>220</v>
      </c>
      <c r="C5" s="70" t="s">
        <v>5</v>
      </c>
      <c r="D5" s="70" t="s">
        <v>221</v>
      </c>
      <c r="E5" s="70" t="s">
        <v>222</v>
      </c>
      <c r="F5" s="71" t="s">
        <v>223</v>
      </c>
    </row>
    <row r="6" spans="1:6" ht="18.75" x14ac:dyDescent="0.3">
      <c r="A6" s="64" t="s">
        <v>661</v>
      </c>
      <c r="B6" s="65">
        <v>22212583</v>
      </c>
      <c r="C6" s="66" t="s">
        <v>39</v>
      </c>
      <c r="D6" s="67">
        <v>800000</v>
      </c>
      <c r="E6" s="67">
        <v>50000</v>
      </c>
      <c r="F6" s="34">
        <f t="shared" ref="F6:F10" si="0">D6-E6</f>
        <v>750000</v>
      </c>
    </row>
    <row r="7" spans="1:6" ht="18.75" x14ac:dyDescent="0.3">
      <c r="A7" s="35" t="s">
        <v>41</v>
      </c>
      <c r="B7" s="36">
        <v>29642952</v>
      </c>
      <c r="C7" s="33" t="s">
        <v>226</v>
      </c>
      <c r="D7" s="37">
        <v>634000</v>
      </c>
      <c r="E7" s="37">
        <v>30000</v>
      </c>
      <c r="F7" s="34">
        <f t="shared" si="0"/>
        <v>604000</v>
      </c>
    </row>
    <row r="8" spans="1:6" ht="18.75" x14ac:dyDescent="0.3">
      <c r="A8" s="35" t="s">
        <v>40</v>
      </c>
      <c r="B8" s="36">
        <v>26823112</v>
      </c>
      <c r="C8" s="33" t="s">
        <v>226</v>
      </c>
      <c r="D8" s="37">
        <v>634000</v>
      </c>
      <c r="E8" s="37">
        <v>10000</v>
      </c>
      <c r="F8" s="34">
        <f t="shared" si="0"/>
        <v>624000</v>
      </c>
    </row>
    <row r="9" spans="1:6" ht="18.75" x14ac:dyDescent="0.3">
      <c r="A9" s="35" t="s">
        <v>35</v>
      </c>
      <c r="B9" s="35"/>
      <c r="C9" s="33" t="s">
        <v>224</v>
      </c>
      <c r="D9" s="37">
        <v>195000</v>
      </c>
      <c r="E9" s="37"/>
      <c r="F9" s="34">
        <f t="shared" si="0"/>
        <v>195000</v>
      </c>
    </row>
    <row r="10" spans="1:6" ht="18.75" x14ac:dyDescent="0.3">
      <c r="A10" s="35" t="s">
        <v>441</v>
      </c>
      <c r="B10" s="35"/>
      <c r="C10" s="33" t="s">
        <v>440</v>
      </c>
      <c r="D10" s="37">
        <v>400000</v>
      </c>
      <c r="E10" s="37"/>
      <c r="F10" s="34">
        <f t="shared" si="0"/>
        <v>400000</v>
      </c>
    </row>
    <row r="11" spans="1:6" ht="18.75" x14ac:dyDescent="0.3">
      <c r="A11" s="35" t="s">
        <v>653</v>
      </c>
      <c r="B11" s="36"/>
      <c r="C11" s="33" t="s">
        <v>440</v>
      </c>
      <c r="D11" s="37">
        <v>650000</v>
      </c>
      <c r="E11" s="37"/>
      <c r="F11" s="34">
        <f>D11-E11</f>
        <v>650000</v>
      </c>
    </row>
    <row r="12" spans="1:6" ht="18.75" x14ac:dyDescent="0.3">
      <c r="A12" s="35"/>
      <c r="B12" s="35"/>
      <c r="C12" s="33"/>
      <c r="D12" s="37"/>
      <c r="E12" s="37"/>
      <c r="F12" s="34">
        <f>D12-E12</f>
        <v>0</v>
      </c>
    </row>
    <row r="13" spans="1:6" ht="18.75" x14ac:dyDescent="0.3">
      <c r="A13" s="32"/>
      <c r="B13" s="32"/>
      <c r="C13" s="32"/>
      <c r="D13" s="32"/>
      <c r="E13" s="32"/>
      <c r="F13" s="38">
        <f>SUM(F6:F11)</f>
        <v>3223000</v>
      </c>
    </row>
    <row r="14" spans="1:6" ht="18.75" x14ac:dyDescent="0.3">
      <c r="A14" s="32"/>
      <c r="B14" s="32"/>
      <c r="C14" s="32"/>
      <c r="D14" s="32"/>
      <c r="E14" s="32"/>
      <c r="F14" s="32"/>
    </row>
    <row r="15" spans="1:6" ht="19.5" thickBot="1" x14ac:dyDescent="0.35">
      <c r="A15" s="32" t="s">
        <v>849</v>
      </c>
      <c r="B15" s="32"/>
      <c r="C15" s="32"/>
      <c r="D15" s="32"/>
      <c r="E15" s="32"/>
      <c r="F15" s="32"/>
    </row>
    <row r="16" spans="1:6" ht="19.5" thickBot="1" x14ac:dyDescent="0.35">
      <c r="A16" s="69" t="s">
        <v>219</v>
      </c>
      <c r="B16" s="70" t="s">
        <v>220</v>
      </c>
      <c r="C16" s="70" t="s">
        <v>5</v>
      </c>
      <c r="D16" s="70" t="s">
        <v>221</v>
      </c>
      <c r="E16" s="70" t="s">
        <v>222</v>
      </c>
      <c r="F16" s="71" t="s">
        <v>223</v>
      </c>
    </row>
    <row r="17" spans="1:6" ht="18.75" x14ac:dyDescent="0.3">
      <c r="A17" s="64" t="s">
        <v>661</v>
      </c>
      <c r="B17" s="65">
        <v>22212583</v>
      </c>
      <c r="C17" s="66" t="s">
        <v>39</v>
      </c>
      <c r="D17" s="67">
        <v>2981620</v>
      </c>
      <c r="E17" s="67">
        <v>300000</v>
      </c>
      <c r="F17" s="34">
        <f t="shared" ref="F17:F21" si="1">D17-E17</f>
        <v>2681620</v>
      </c>
    </row>
    <row r="18" spans="1:6" ht="18.75" x14ac:dyDescent="0.3">
      <c r="A18" s="35" t="s">
        <v>41</v>
      </c>
      <c r="B18" s="36">
        <v>29642952</v>
      </c>
      <c r="C18" s="33" t="s">
        <v>226</v>
      </c>
      <c r="D18" s="37">
        <v>542000</v>
      </c>
      <c r="E18" s="37"/>
      <c r="F18" s="34">
        <f t="shared" si="1"/>
        <v>542000</v>
      </c>
    </row>
    <row r="19" spans="1:6" ht="18.75" x14ac:dyDescent="0.3">
      <c r="A19" s="35" t="s">
        <v>40</v>
      </c>
      <c r="B19" s="36">
        <v>26823112</v>
      </c>
      <c r="C19" s="33" t="s">
        <v>226</v>
      </c>
      <c r="D19" s="37">
        <v>542000</v>
      </c>
      <c r="E19" s="37"/>
      <c r="F19" s="34">
        <f t="shared" si="1"/>
        <v>542000</v>
      </c>
    </row>
    <row r="20" spans="1:6" ht="18.75" x14ac:dyDescent="0.3">
      <c r="A20" s="35" t="s">
        <v>875</v>
      </c>
      <c r="B20" s="35"/>
      <c r="C20" s="33" t="s">
        <v>224</v>
      </c>
      <c r="D20" s="37">
        <v>585000</v>
      </c>
      <c r="E20" s="37"/>
      <c r="F20" s="34">
        <f t="shared" si="1"/>
        <v>585000</v>
      </c>
    </row>
    <row r="21" spans="1:6" ht="18.75" x14ac:dyDescent="0.3">
      <c r="A21" s="35"/>
      <c r="B21" s="35"/>
      <c r="C21" s="33"/>
      <c r="D21" s="37"/>
      <c r="E21" s="37"/>
      <c r="F21" s="34">
        <f t="shared" si="1"/>
        <v>0</v>
      </c>
    </row>
    <row r="22" spans="1:6" ht="18.75" x14ac:dyDescent="0.3">
      <c r="A22" s="35"/>
      <c r="B22" s="36"/>
      <c r="C22" s="33"/>
      <c r="D22" s="37"/>
      <c r="E22" s="37"/>
      <c r="F22" s="34">
        <f>D22-E22</f>
        <v>0</v>
      </c>
    </row>
    <row r="23" spans="1:6" ht="18.75" x14ac:dyDescent="0.3">
      <c r="A23" s="35"/>
      <c r="B23" s="35"/>
      <c r="C23" s="33"/>
      <c r="D23" s="37"/>
      <c r="E23" s="37"/>
      <c r="F23" s="34">
        <f>D23-E23</f>
        <v>0</v>
      </c>
    </row>
    <row r="24" spans="1:6" ht="18.75" x14ac:dyDescent="0.3">
      <c r="A24" s="32"/>
      <c r="B24" s="32"/>
      <c r="C24" s="32"/>
      <c r="D24" s="32"/>
      <c r="E24" s="32"/>
      <c r="F24" s="38">
        <f>SUM(F17:F22)</f>
        <v>4350620</v>
      </c>
    </row>
    <row r="27" spans="1:6" ht="19.5" thickBot="1" x14ac:dyDescent="0.35">
      <c r="A27" s="32" t="s">
        <v>942</v>
      </c>
      <c r="B27" s="32"/>
      <c r="C27" s="32"/>
      <c r="D27" s="32"/>
      <c r="E27" s="32"/>
      <c r="F27" s="32"/>
    </row>
    <row r="28" spans="1:6" ht="19.5" thickBot="1" x14ac:dyDescent="0.35">
      <c r="A28" s="69" t="s">
        <v>219</v>
      </c>
      <c r="B28" s="70" t="s">
        <v>220</v>
      </c>
      <c r="C28" s="70" t="s">
        <v>5</v>
      </c>
      <c r="D28" s="70" t="s">
        <v>221</v>
      </c>
      <c r="E28" s="70" t="s">
        <v>222</v>
      </c>
      <c r="F28" s="71" t="s">
        <v>223</v>
      </c>
    </row>
    <row r="29" spans="1:6" ht="18.75" x14ac:dyDescent="0.3">
      <c r="A29" s="64" t="s">
        <v>661</v>
      </c>
      <c r="B29" s="65">
        <v>22212583</v>
      </c>
      <c r="C29" s="66" t="s">
        <v>39</v>
      </c>
      <c r="D29" s="67">
        <v>731900</v>
      </c>
      <c r="E29" s="67"/>
      <c r="F29" s="34">
        <f t="shared" ref="F29:F33" si="2">D29-E29</f>
        <v>731900</v>
      </c>
    </row>
    <row r="30" spans="1:6" ht="18.75" x14ac:dyDescent="0.3">
      <c r="A30" s="35" t="s">
        <v>41</v>
      </c>
      <c r="B30" s="36">
        <v>29642952</v>
      </c>
      <c r="C30" s="33" t="s">
        <v>226</v>
      </c>
      <c r="D30" s="37">
        <v>387000</v>
      </c>
      <c r="E30" s="37">
        <v>10000</v>
      </c>
      <c r="F30" s="34">
        <f t="shared" si="2"/>
        <v>377000</v>
      </c>
    </row>
    <row r="31" spans="1:6" ht="18.75" x14ac:dyDescent="0.3">
      <c r="A31" s="35" t="s">
        <v>40</v>
      </c>
      <c r="B31" s="36">
        <v>26823112</v>
      </c>
      <c r="C31" s="33" t="s">
        <v>226</v>
      </c>
      <c r="D31" s="37">
        <v>387000</v>
      </c>
      <c r="E31" s="37"/>
      <c r="F31" s="34">
        <f t="shared" si="2"/>
        <v>387000</v>
      </c>
    </row>
    <row r="32" spans="1:6" ht="18.75" x14ac:dyDescent="0.3">
      <c r="A32" s="35" t="s">
        <v>875</v>
      </c>
      <c r="B32" s="35"/>
      <c r="C32" s="33" t="s">
        <v>224</v>
      </c>
      <c r="D32" s="37">
        <v>1355000</v>
      </c>
      <c r="E32" s="37">
        <v>10000</v>
      </c>
      <c r="F32" s="34">
        <f t="shared" si="2"/>
        <v>1345000</v>
      </c>
    </row>
    <row r="33" spans="1:6" ht="18.75" x14ac:dyDescent="0.3">
      <c r="A33" s="35" t="s">
        <v>653</v>
      </c>
      <c r="B33" s="35"/>
      <c r="C33" s="33" t="s">
        <v>440</v>
      </c>
      <c r="D33" s="37">
        <v>650000</v>
      </c>
      <c r="E33" s="37"/>
      <c r="F33" s="34">
        <f t="shared" si="2"/>
        <v>650000</v>
      </c>
    </row>
    <row r="34" spans="1:6" ht="18.75" x14ac:dyDescent="0.3">
      <c r="A34" s="35" t="s">
        <v>441</v>
      </c>
      <c r="B34" s="36"/>
      <c r="C34" s="33" t="s">
        <v>440</v>
      </c>
      <c r="D34" s="37">
        <v>400000</v>
      </c>
      <c r="E34" s="37"/>
      <c r="F34" s="34">
        <f>D34-E34</f>
        <v>400000</v>
      </c>
    </row>
    <row r="35" spans="1:6" ht="18.75" x14ac:dyDescent="0.3">
      <c r="A35" s="35"/>
      <c r="B35" s="35"/>
      <c r="C35" s="33"/>
      <c r="D35" s="37"/>
      <c r="E35" s="37"/>
      <c r="F35" s="34">
        <f>D35-E35</f>
        <v>0</v>
      </c>
    </row>
    <row r="36" spans="1:6" ht="18.75" x14ac:dyDescent="0.3">
      <c r="A36" s="32"/>
      <c r="B36" s="32"/>
      <c r="C36" s="32"/>
      <c r="D36" s="32"/>
      <c r="E36" s="32"/>
      <c r="F36" s="38">
        <f>SUM(F29:F34)</f>
        <v>3890900</v>
      </c>
    </row>
    <row r="39" spans="1:6" ht="19.5" thickBot="1" x14ac:dyDescent="0.35">
      <c r="A39" s="32" t="s">
        <v>1018</v>
      </c>
      <c r="B39" s="32"/>
      <c r="C39" s="32"/>
      <c r="D39" s="32"/>
      <c r="E39" s="32"/>
      <c r="F39" s="32"/>
    </row>
    <row r="40" spans="1:6" ht="19.5" thickBot="1" x14ac:dyDescent="0.35">
      <c r="A40" s="69" t="s">
        <v>219</v>
      </c>
      <c r="B40" s="70" t="s">
        <v>220</v>
      </c>
      <c r="C40" s="70" t="s">
        <v>5</v>
      </c>
      <c r="D40" s="70" t="s">
        <v>221</v>
      </c>
      <c r="E40" s="70" t="s">
        <v>222</v>
      </c>
      <c r="F40" s="71" t="s">
        <v>223</v>
      </c>
    </row>
    <row r="41" spans="1:6" ht="21" x14ac:dyDescent="0.45">
      <c r="A41" s="64" t="s">
        <v>661</v>
      </c>
      <c r="B41" s="65">
        <v>22212583</v>
      </c>
      <c r="C41" s="66" t="s">
        <v>39</v>
      </c>
      <c r="D41" s="67">
        <v>1270980</v>
      </c>
      <c r="E41" s="67"/>
      <c r="F41" s="97">
        <f>D41-E41</f>
        <v>1270980</v>
      </c>
    </row>
    <row r="42" spans="1:6" ht="21" x14ac:dyDescent="0.45">
      <c r="A42" s="35" t="s">
        <v>41</v>
      </c>
      <c r="B42" s="36">
        <v>29642952</v>
      </c>
      <c r="C42" s="33" t="s">
        <v>226</v>
      </c>
      <c r="D42" s="37">
        <v>495000</v>
      </c>
      <c r="E42" s="37"/>
      <c r="F42" s="97">
        <f t="shared" ref="F42:F46" si="3">D42-E42</f>
        <v>495000</v>
      </c>
    </row>
    <row r="43" spans="1:6" ht="21" x14ac:dyDescent="0.45">
      <c r="A43" s="35" t="s">
        <v>40</v>
      </c>
      <c r="B43" s="36">
        <v>26823112</v>
      </c>
      <c r="C43" s="33" t="s">
        <v>226</v>
      </c>
      <c r="D43" s="37">
        <v>495000</v>
      </c>
      <c r="E43" s="37">
        <v>30000</v>
      </c>
      <c r="F43" s="97">
        <f t="shared" si="3"/>
        <v>465000</v>
      </c>
    </row>
    <row r="44" spans="1:6" ht="21" x14ac:dyDescent="0.45">
      <c r="A44" s="35" t="s">
        <v>875</v>
      </c>
      <c r="B44" s="35"/>
      <c r="C44" s="33" t="s">
        <v>224</v>
      </c>
      <c r="D44" s="37">
        <v>435000</v>
      </c>
      <c r="E44" s="37"/>
      <c r="F44" s="97">
        <f t="shared" si="3"/>
        <v>435000</v>
      </c>
    </row>
    <row r="45" spans="1:6" ht="21" x14ac:dyDescent="0.45">
      <c r="A45" s="35" t="s">
        <v>26</v>
      </c>
      <c r="B45" s="35"/>
      <c r="C45" s="33" t="s">
        <v>224</v>
      </c>
      <c r="D45" s="37">
        <v>75000</v>
      </c>
      <c r="E45" s="37"/>
      <c r="F45" s="97">
        <f t="shared" si="3"/>
        <v>75000</v>
      </c>
    </row>
    <row r="46" spans="1:6" ht="21" x14ac:dyDescent="0.45">
      <c r="A46" s="35"/>
      <c r="B46" s="36"/>
      <c r="C46" s="33"/>
      <c r="D46" s="37">
        <v>87000</v>
      </c>
      <c r="E46" s="37"/>
      <c r="F46" s="97">
        <f t="shared" si="3"/>
        <v>87000</v>
      </c>
    </row>
    <row r="47" spans="1:6" ht="21" x14ac:dyDescent="0.45">
      <c r="A47" s="35"/>
      <c r="B47" s="35"/>
      <c r="C47" s="33"/>
      <c r="D47" s="37"/>
      <c r="E47" s="37"/>
      <c r="F47" s="97">
        <f>D47-E47</f>
        <v>0</v>
      </c>
    </row>
    <row r="48" spans="1:6" ht="18.75" x14ac:dyDescent="0.3">
      <c r="A48" s="32"/>
      <c r="B48" s="32"/>
      <c r="C48" s="32"/>
      <c r="D48" s="32"/>
      <c r="E48" s="32"/>
      <c r="F48" s="38">
        <f>SUM(F41:F46)</f>
        <v>2827980</v>
      </c>
    </row>
  </sheetData>
  <phoneticPr fontId="12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8D80-A4C2-45BC-911E-E5419AC4CE30}">
  <dimension ref="A1:A20"/>
  <sheetViews>
    <sheetView workbookViewId="0">
      <selection activeCell="A3" sqref="A3"/>
    </sheetView>
  </sheetViews>
  <sheetFormatPr baseColWidth="10" defaultRowHeight="15" x14ac:dyDescent="0.25"/>
  <cols>
    <col min="1" max="1" width="38.42578125" style="29" customWidth="1"/>
    <col min="2" max="16384" width="11.42578125" style="29"/>
  </cols>
  <sheetData>
    <row r="1" spans="1:1" x14ac:dyDescent="0.25">
      <c r="A1" s="28" t="s">
        <v>5</v>
      </c>
    </row>
    <row r="2" spans="1:1" x14ac:dyDescent="0.25">
      <c r="A2" s="28" t="s">
        <v>26</v>
      </c>
    </row>
    <row r="3" spans="1:1" x14ac:dyDescent="0.25">
      <c r="A3" s="28" t="s">
        <v>33</v>
      </c>
    </row>
    <row r="4" spans="1:1" x14ac:dyDescent="0.25">
      <c r="A4" s="28" t="s">
        <v>40</v>
      </c>
    </row>
    <row r="5" spans="1:1" x14ac:dyDescent="0.25">
      <c r="A5" s="28" t="s">
        <v>19</v>
      </c>
    </row>
    <row r="6" spans="1:1" x14ac:dyDescent="0.25">
      <c r="A6" s="28" t="s">
        <v>41</v>
      </c>
    </row>
    <row r="7" spans="1:1" x14ac:dyDescent="0.25">
      <c r="A7" s="28" t="s">
        <v>35</v>
      </c>
    </row>
    <row r="9" spans="1:1" x14ac:dyDescent="0.25">
      <c r="A9" s="28"/>
    </row>
    <row r="11" spans="1:1" x14ac:dyDescent="0.25">
      <c r="A11" s="28"/>
    </row>
    <row r="12" spans="1:1" x14ac:dyDescent="0.25">
      <c r="A12" s="28"/>
    </row>
    <row r="17" spans="1:1" x14ac:dyDescent="0.25">
      <c r="A17" s="62" t="s">
        <v>224</v>
      </c>
    </row>
    <row r="18" spans="1:1" x14ac:dyDescent="0.25">
      <c r="A18" s="63" t="s">
        <v>314</v>
      </c>
    </row>
    <row r="19" spans="1:1" x14ac:dyDescent="0.25">
      <c r="A19" s="62" t="s">
        <v>315</v>
      </c>
    </row>
    <row r="20" spans="1:1" x14ac:dyDescent="0.25">
      <c r="A20" s="62" t="s">
        <v>316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D03E-92CB-40B5-BF47-803E0C80CF13}">
  <dimension ref="A1:Q67"/>
  <sheetViews>
    <sheetView topLeftCell="A22" workbookViewId="0">
      <selection activeCell="G44" sqref="G44"/>
    </sheetView>
  </sheetViews>
  <sheetFormatPr baseColWidth="10" defaultRowHeight="15" x14ac:dyDescent="0.25"/>
  <cols>
    <col min="1" max="1" width="13.28515625" style="40" customWidth="1"/>
    <col min="2" max="2" width="15.5703125" style="40" customWidth="1"/>
    <col min="3" max="3" width="2.140625" style="40" customWidth="1"/>
    <col min="4" max="4" width="13.7109375" style="40" customWidth="1"/>
    <col min="5" max="5" width="19.7109375" style="40" customWidth="1"/>
    <col min="6" max="6" width="17.7109375" style="40" customWidth="1"/>
    <col min="7" max="7" width="16.140625" style="40" customWidth="1"/>
    <col min="8" max="8" width="11.42578125" style="40"/>
    <col min="9" max="9" width="15.7109375" style="40" customWidth="1"/>
    <col min="10" max="10" width="16" style="40" customWidth="1"/>
    <col min="11" max="11" width="2.85546875" style="40" customWidth="1"/>
    <col min="12" max="12" width="17.140625" style="40" bestFit="1" customWidth="1"/>
    <col min="13" max="13" width="14.140625" style="40" bestFit="1" customWidth="1"/>
    <col min="14" max="14" width="11.42578125" style="40"/>
    <col min="15" max="15" width="15.140625" style="40" customWidth="1"/>
    <col min="16" max="16" width="11.42578125" style="40"/>
    <col min="17" max="17" width="13.28515625" style="40" customWidth="1"/>
    <col min="18" max="16384" width="11.42578125" style="40"/>
  </cols>
  <sheetData>
    <row r="1" spans="1:17" ht="23.25" x14ac:dyDescent="0.35">
      <c r="A1" s="59" t="s">
        <v>233</v>
      </c>
      <c r="G1" s="57" t="s">
        <v>227</v>
      </c>
      <c r="I1" s="59"/>
      <c r="O1" s="57" t="s">
        <v>227</v>
      </c>
    </row>
    <row r="2" spans="1:17" x14ac:dyDescent="0.25">
      <c r="D2" s="42"/>
      <c r="E2" s="42"/>
      <c r="G2" s="47">
        <f>B30-E30</f>
        <v>100000</v>
      </c>
      <c r="O2" s="47">
        <f>J31-M30</f>
        <v>0</v>
      </c>
    </row>
    <row r="3" spans="1:17" x14ac:dyDescent="0.25">
      <c r="A3" s="57" t="s">
        <v>0</v>
      </c>
      <c r="B3" s="57" t="s">
        <v>229</v>
      </c>
      <c r="C3" s="58"/>
      <c r="D3" s="57" t="s">
        <v>0</v>
      </c>
      <c r="E3" s="57" t="s">
        <v>228</v>
      </c>
      <c r="I3" s="57" t="s">
        <v>0</v>
      </c>
      <c r="J3" s="57" t="s">
        <v>229</v>
      </c>
      <c r="K3" s="58"/>
      <c r="L3" s="57" t="s">
        <v>0</v>
      </c>
      <c r="M3" s="57" t="s">
        <v>228</v>
      </c>
    </row>
    <row r="4" spans="1:17" x14ac:dyDescent="0.25">
      <c r="A4" s="46">
        <v>44567</v>
      </c>
      <c r="B4" s="48">
        <v>100000</v>
      </c>
      <c r="C4" s="55"/>
      <c r="D4" s="53"/>
      <c r="E4" s="48"/>
      <c r="I4" s="46"/>
      <c r="J4" s="48"/>
      <c r="K4" s="55"/>
      <c r="L4" s="53"/>
      <c r="M4" s="48"/>
      <c r="P4" s="56"/>
      <c r="Q4" s="55"/>
    </row>
    <row r="5" spans="1:17" x14ac:dyDescent="0.25">
      <c r="A5" s="50"/>
      <c r="B5" s="48"/>
      <c r="D5" s="53"/>
      <c r="E5" s="48"/>
      <c r="F5" s="47"/>
      <c r="I5" s="46"/>
      <c r="J5" s="48"/>
      <c r="L5" s="42"/>
      <c r="M5" s="48"/>
      <c r="N5" s="47"/>
      <c r="P5" s="56"/>
      <c r="Q5" s="55"/>
    </row>
    <row r="6" spans="1:17" x14ac:dyDescent="0.25">
      <c r="A6" s="50"/>
      <c r="B6" s="48"/>
      <c r="D6" s="53"/>
      <c r="E6" s="48"/>
      <c r="F6" s="47"/>
      <c r="I6" s="46"/>
      <c r="J6" s="48"/>
      <c r="L6" s="53"/>
      <c r="M6" s="48"/>
      <c r="N6" s="47"/>
      <c r="P6" s="56"/>
      <c r="Q6" s="55"/>
    </row>
    <row r="7" spans="1:17" x14ac:dyDescent="0.25">
      <c r="A7" s="50"/>
      <c r="B7" s="48"/>
      <c r="D7" s="53"/>
      <c r="E7" s="48"/>
      <c r="F7" s="47"/>
      <c r="I7" s="46"/>
      <c r="J7" s="48"/>
      <c r="L7" s="53"/>
      <c r="M7" s="48"/>
      <c r="N7" s="47"/>
      <c r="P7" s="54"/>
      <c r="Q7" s="44"/>
    </row>
    <row r="8" spans="1:17" x14ac:dyDescent="0.25">
      <c r="A8" s="50"/>
      <c r="B8" s="48"/>
      <c r="D8" s="53"/>
      <c r="E8" s="48"/>
      <c r="F8" s="47"/>
      <c r="I8" s="46"/>
      <c r="J8" s="48"/>
      <c r="L8" s="53"/>
      <c r="M8" s="48"/>
      <c r="N8" s="47"/>
    </row>
    <row r="9" spans="1:17" x14ac:dyDescent="0.25">
      <c r="A9" s="50"/>
      <c r="B9" s="48"/>
      <c r="D9" s="53"/>
      <c r="E9" s="48"/>
      <c r="F9" s="47"/>
      <c r="I9" s="46"/>
      <c r="J9" s="48"/>
      <c r="L9" s="53"/>
      <c r="M9" s="48"/>
      <c r="N9" s="47"/>
      <c r="Q9" s="44"/>
    </row>
    <row r="10" spans="1:17" x14ac:dyDescent="0.25">
      <c r="A10" s="50"/>
      <c r="B10" s="48"/>
      <c r="D10" s="53"/>
      <c r="E10" s="48"/>
      <c r="F10" s="47"/>
      <c r="I10" s="46"/>
      <c r="J10" s="48"/>
      <c r="L10" s="53"/>
      <c r="M10" s="48"/>
      <c r="N10" s="47"/>
    </row>
    <row r="11" spans="1:17" x14ac:dyDescent="0.25">
      <c r="A11" s="50"/>
      <c r="B11" s="48"/>
      <c r="D11" s="53"/>
      <c r="E11" s="48"/>
      <c r="F11" s="47"/>
      <c r="I11" s="46"/>
      <c r="J11" s="48"/>
      <c r="L11" s="53"/>
      <c r="M11" s="48"/>
      <c r="N11" s="47"/>
    </row>
    <row r="12" spans="1:17" x14ac:dyDescent="0.25">
      <c r="A12" s="50"/>
      <c r="B12" s="48"/>
      <c r="D12" s="50"/>
      <c r="E12" s="48"/>
      <c r="F12" s="47"/>
      <c r="I12" s="46"/>
      <c r="J12" s="48"/>
      <c r="L12" s="53"/>
      <c r="M12" s="48"/>
      <c r="N12" s="47"/>
    </row>
    <row r="13" spans="1:17" x14ac:dyDescent="0.25">
      <c r="A13" s="50"/>
      <c r="B13" s="48"/>
      <c r="D13" s="53"/>
      <c r="E13" s="48"/>
      <c r="F13" s="47"/>
      <c r="I13" s="46"/>
      <c r="J13" s="48"/>
      <c r="L13" s="42"/>
      <c r="M13" s="48"/>
      <c r="N13" s="47"/>
    </row>
    <row r="14" spans="1:17" x14ac:dyDescent="0.25">
      <c r="A14" s="50"/>
      <c r="B14" s="48"/>
      <c r="D14" s="53"/>
      <c r="E14" s="48"/>
      <c r="F14" s="47"/>
      <c r="I14" s="46"/>
      <c r="J14" s="48"/>
      <c r="L14" s="42"/>
      <c r="M14" s="48"/>
      <c r="N14" s="47"/>
    </row>
    <row r="15" spans="1:17" x14ac:dyDescent="0.25">
      <c r="A15" s="50"/>
      <c r="B15" s="48"/>
      <c r="D15" s="53"/>
      <c r="E15" s="48"/>
      <c r="F15" s="47"/>
      <c r="I15" s="46"/>
      <c r="J15" s="48"/>
      <c r="L15" s="42"/>
      <c r="M15" s="48"/>
      <c r="N15" s="47"/>
    </row>
    <row r="16" spans="1:17" x14ac:dyDescent="0.25">
      <c r="A16" s="52"/>
      <c r="B16" s="51"/>
      <c r="D16" s="42"/>
      <c r="E16" s="48"/>
      <c r="F16" s="47"/>
      <c r="I16" s="46"/>
      <c r="J16" s="48"/>
      <c r="L16" s="42"/>
      <c r="M16" s="48"/>
      <c r="N16" s="47"/>
    </row>
    <row r="17" spans="1:14" x14ac:dyDescent="0.25">
      <c r="A17" s="50"/>
      <c r="B17" s="48"/>
      <c r="D17" s="42"/>
      <c r="E17" s="48"/>
      <c r="F17" s="47"/>
      <c r="I17" s="46"/>
      <c r="J17" s="48"/>
      <c r="L17" s="42"/>
      <c r="M17" s="48"/>
      <c r="N17" s="47"/>
    </row>
    <row r="18" spans="1:14" x14ac:dyDescent="0.25">
      <c r="A18" s="49"/>
      <c r="B18" s="48"/>
      <c r="D18" s="42"/>
      <c r="E18" s="48"/>
      <c r="F18" s="47"/>
      <c r="I18" s="46"/>
      <c r="J18" s="48"/>
      <c r="L18" s="42"/>
      <c r="M18" s="48"/>
      <c r="N18" s="47"/>
    </row>
    <row r="19" spans="1:14" x14ac:dyDescent="0.25">
      <c r="A19" s="49"/>
      <c r="B19" s="48"/>
      <c r="D19" s="42"/>
      <c r="E19" s="48"/>
      <c r="F19" s="47"/>
      <c r="I19" s="46"/>
      <c r="J19" s="48"/>
      <c r="L19" s="42"/>
      <c r="M19" s="48"/>
      <c r="N19" s="47"/>
    </row>
    <row r="20" spans="1:14" x14ac:dyDescent="0.25">
      <c r="A20" s="49"/>
      <c r="B20" s="48"/>
      <c r="D20" s="42"/>
      <c r="E20" s="48"/>
      <c r="F20" s="47"/>
      <c r="I20" s="46"/>
      <c r="J20" s="48"/>
      <c r="L20" s="42"/>
      <c r="M20" s="48"/>
      <c r="N20" s="47"/>
    </row>
    <row r="21" spans="1:14" x14ac:dyDescent="0.25">
      <c r="A21" s="49"/>
      <c r="B21" s="48"/>
      <c r="D21" s="42"/>
      <c r="E21" s="48"/>
      <c r="F21" s="47"/>
      <c r="I21" s="46"/>
      <c r="J21" s="48"/>
      <c r="L21" s="42"/>
      <c r="M21" s="48"/>
      <c r="N21" s="47"/>
    </row>
    <row r="22" spans="1:14" x14ac:dyDescent="0.25">
      <c r="A22" s="49"/>
      <c r="B22" s="48"/>
      <c r="D22" s="42"/>
      <c r="E22" s="48"/>
      <c r="F22" s="47"/>
      <c r="I22" s="46"/>
      <c r="J22" s="48"/>
      <c r="L22" s="42"/>
      <c r="M22" s="48"/>
      <c r="N22" s="47"/>
    </row>
    <row r="23" spans="1:14" x14ac:dyDescent="0.25">
      <c r="A23" s="49"/>
      <c r="B23" s="48"/>
      <c r="D23" s="42"/>
      <c r="E23" s="48"/>
      <c r="F23" s="47"/>
      <c r="I23" s="46"/>
      <c r="J23" s="48"/>
      <c r="L23" s="42"/>
      <c r="M23" s="48"/>
      <c r="N23" s="47"/>
    </row>
    <row r="24" spans="1:14" x14ac:dyDescent="0.25">
      <c r="A24" s="49"/>
      <c r="B24" s="48"/>
      <c r="D24" s="42"/>
      <c r="E24" s="48"/>
      <c r="F24" s="47"/>
      <c r="I24" s="46"/>
      <c r="J24" s="48"/>
      <c r="L24" s="42"/>
      <c r="M24" s="48"/>
      <c r="N24" s="47"/>
    </row>
    <row r="25" spans="1:14" x14ac:dyDescent="0.25">
      <c r="A25" s="49"/>
      <c r="B25" s="48"/>
      <c r="D25" s="42"/>
      <c r="E25" s="48"/>
      <c r="F25" s="47"/>
      <c r="I25" s="46"/>
      <c r="J25" s="48"/>
      <c r="L25" s="42"/>
      <c r="M25" s="48"/>
      <c r="N25" s="47"/>
    </row>
    <row r="26" spans="1:14" x14ac:dyDescent="0.25">
      <c r="A26" s="49"/>
      <c r="B26" s="48"/>
      <c r="D26" s="42"/>
      <c r="E26" s="48"/>
      <c r="F26" s="47"/>
      <c r="I26" s="46"/>
      <c r="J26" s="48"/>
      <c r="L26" s="42"/>
      <c r="M26" s="48"/>
      <c r="N26" s="47"/>
    </row>
    <row r="27" spans="1:14" x14ac:dyDescent="0.25">
      <c r="A27" s="49"/>
      <c r="B27" s="48"/>
      <c r="D27" s="42"/>
      <c r="E27" s="48"/>
      <c r="F27" s="47"/>
      <c r="I27" s="46"/>
      <c r="J27" s="48"/>
      <c r="L27" s="42"/>
      <c r="M27" s="48"/>
      <c r="N27" s="47"/>
    </row>
    <row r="28" spans="1:14" x14ac:dyDescent="0.25">
      <c r="A28" s="49"/>
      <c r="B28" s="48"/>
      <c r="D28" s="42"/>
      <c r="E28" s="48"/>
      <c r="F28" s="47"/>
      <c r="I28" s="46"/>
      <c r="J28" s="48"/>
      <c r="L28" s="42"/>
      <c r="M28" s="48"/>
      <c r="N28" s="47"/>
    </row>
    <row r="29" spans="1:14" x14ac:dyDescent="0.25">
      <c r="A29" s="49"/>
      <c r="B29" s="48"/>
      <c r="D29" s="42"/>
      <c r="E29" s="48"/>
      <c r="F29" s="47"/>
      <c r="I29" s="46"/>
      <c r="J29" s="48"/>
      <c r="L29" s="42"/>
      <c r="M29" s="48"/>
      <c r="N29" s="47"/>
    </row>
    <row r="30" spans="1:14" x14ac:dyDescent="0.25">
      <c r="A30" s="43" t="s">
        <v>223</v>
      </c>
      <c r="B30" s="41">
        <f>SUM(B4:B17)</f>
        <v>100000</v>
      </c>
      <c r="C30" s="44"/>
      <c r="D30" s="42"/>
      <c r="E30" s="41">
        <f>SUM(E4:E15)</f>
        <v>0</v>
      </c>
      <c r="I30" s="46"/>
      <c r="J30" s="45"/>
      <c r="K30" s="44"/>
      <c r="L30" s="42"/>
      <c r="M30" s="41"/>
    </row>
    <row r="31" spans="1:14" x14ac:dyDescent="0.25">
      <c r="I31" s="43" t="s">
        <v>223</v>
      </c>
      <c r="J31" s="41">
        <f>SUM(J4:J30)</f>
        <v>0</v>
      </c>
      <c r="L31" s="42"/>
      <c r="M31" s="41">
        <f>SUM(M4:M30)</f>
        <v>0</v>
      </c>
    </row>
    <row r="37" spans="1:7" ht="23.25" x14ac:dyDescent="0.35">
      <c r="A37" s="59"/>
      <c r="G37" s="57" t="s">
        <v>227</v>
      </c>
    </row>
    <row r="38" spans="1:7" x14ac:dyDescent="0.25">
      <c r="G38" s="47">
        <f>B67-E66</f>
        <v>0</v>
      </c>
    </row>
    <row r="39" spans="1:7" x14ac:dyDescent="0.25">
      <c r="A39" s="57" t="s">
        <v>0</v>
      </c>
      <c r="B39" s="57" t="s">
        <v>229</v>
      </c>
      <c r="C39" s="58"/>
      <c r="D39" s="57" t="s">
        <v>0</v>
      </c>
      <c r="E39" s="57" t="s">
        <v>228</v>
      </c>
    </row>
    <row r="40" spans="1:7" x14ac:dyDescent="0.25">
      <c r="A40" s="46"/>
      <c r="B40" s="48"/>
      <c r="C40" s="55"/>
      <c r="D40" s="53"/>
      <c r="E40" s="48"/>
    </row>
    <row r="41" spans="1:7" x14ac:dyDescent="0.25">
      <c r="A41" s="46"/>
      <c r="B41" s="48"/>
      <c r="D41" s="42"/>
      <c r="E41" s="48"/>
      <c r="F41" s="47"/>
    </row>
    <row r="42" spans="1:7" x14ac:dyDescent="0.25">
      <c r="A42" s="46"/>
      <c r="B42" s="48"/>
      <c r="D42" s="53"/>
      <c r="E42" s="48"/>
      <c r="F42" s="47"/>
    </row>
    <row r="43" spans="1:7" x14ac:dyDescent="0.25">
      <c r="A43" s="46"/>
      <c r="B43" s="48"/>
      <c r="D43" s="53"/>
      <c r="E43" s="48"/>
      <c r="F43" s="47"/>
    </row>
    <row r="44" spans="1:7" x14ac:dyDescent="0.25">
      <c r="A44" s="46"/>
      <c r="B44" s="48"/>
      <c r="D44" s="53"/>
      <c r="E44" s="48"/>
      <c r="F44" s="47"/>
    </row>
    <row r="45" spans="1:7" x14ac:dyDescent="0.25">
      <c r="A45" s="46"/>
      <c r="B45" s="48"/>
      <c r="D45" s="53"/>
      <c r="E45" s="48"/>
      <c r="F45" s="47"/>
    </row>
    <row r="46" spans="1:7" x14ac:dyDescent="0.25">
      <c r="A46" s="46"/>
      <c r="B46" s="48"/>
      <c r="D46" s="53"/>
      <c r="E46" s="48"/>
      <c r="F46" s="47"/>
    </row>
    <row r="47" spans="1:7" x14ac:dyDescent="0.25">
      <c r="A47" s="46"/>
      <c r="B47" s="48"/>
      <c r="D47" s="53"/>
      <c r="E47" s="48"/>
      <c r="F47" s="47"/>
    </row>
    <row r="48" spans="1:7" x14ac:dyDescent="0.25">
      <c r="A48" s="46"/>
      <c r="B48" s="48"/>
      <c r="D48" s="53"/>
      <c r="E48" s="48"/>
      <c r="F48" s="47"/>
    </row>
    <row r="49" spans="1:6" x14ac:dyDescent="0.25">
      <c r="A49" s="46"/>
      <c r="B49" s="48"/>
      <c r="D49" s="42"/>
      <c r="E49" s="48"/>
      <c r="F49" s="47"/>
    </row>
    <row r="50" spans="1:6" x14ac:dyDescent="0.25">
      <c r="A50" s="46"/>
      <c r="B50" s="48"/>
      <c r="D50" s="42"/>
      <c r="E50" s="48"/>
      <c r="F50" s="47"/>
    </row>
    <row r="51" spans="1:6" x14ac:dyDescent="0.25">
      <c r="A51" s="46"/>
      <c r="B51" s="48"/>
      <c r="D51" s="42"/>
      <c r="E51" s="48"/>
      <c r="F51" s="47"/>
    </row>
    <row r="52" spans="1:6" x14ac:dyDescent="0.25">
      <c r="A52" s="46"/>
      <c r="B52" s="48"/>
      <c r="D52" s="42"/>
      <c r="E52" s="48"/>
      <c r="F52" s="47"/>
    </row>
    <row r="53" spans="1:6" x14ac:dyDescent="0.25">
      <c r="A53" s="46"/>
      <c r="B53" s="48"/>
      <c r="D53" s="42"/>
      <c r="E53" s="48"/>
      <c r="F53" s="47"/>
    </row>
    <row r="54" spans="1:6" x14ac:dyDescent="0.25">
      <c r="A54" s="46"/>
      <c r="B54" s="48"/>
      <c r="D54" s="42"/>
      <c r="E54" s="48"/>
      <c r="F54" s="47"/>
    </row>
    <row r="55" spans="1:6" x14ac:dyDescent="0.25">
      <c r="A55" s="46"/>
      <c r="B55" s="48"/>
      <c r="D55" s="42"/>
      <c r="E55" s="48"/>
      <c r="F55" s="47"/>
    </row>
    <row r="56" spans="1:6" x14ac:dyDescent="0.25">
      <c r="A56" s="46"/>
      <c r="B56" s="48"/>
      <c r="D56" s="42"/>
      <c r="E56" s="48"/>
      <c r="F56" s="47"/>
    </row>
    <row r="57" spans="1:6" x14ac:dyDescent="0.25">
      <c r="A57" s="46"/>
      <c r="B57" s="48"/>
      <c r="D57" s="42"/>
      <c r="E57" s="48"/>
      <c r="F57" s="47"/>
    </row>
    <row r="58" spans="1:6" x14ac:dyDescent="0.25">
      <c r="A58" s="46"/>
      <c r="B58" s="48"/>
      <c r="D58" s="42"/>
      <c r="E58" s="48"/>
      <c r="F58" s="47"/>
    </row>
    <row r="59" spans="1:6" x14ac:dyDescent="0.25">
      <c r="A59" s="46"/>
      <c r="B59" s="48"/>
      <c r="D59" s="42"/>
      <c r="E59" s="48"/>
      <c r="F59" s="47"/>
    </row>
    <row r="60" spans="1:6" x14ac:dyDescent="0.25">
      <c r="A60" s="46"/>
      <c r="B60" s="48"/>
      <c r="D60" s="42"/>
      <c r="E60" s="48"/>
      <c r="F60" s="47"/>
    </row>
    <row r="61" spans="1:6" x14ac:dyDescent="0.25">
      <c r="A61" s="46"/>
      <c r="B61" s="48"/>
      <c r="D61" s="42"/>
      <c r="E61" s="48"/>
      <c r="F61" s="47"/>
    </row>
    <row r="62" spans="1:6" x14ac:dyDescent="0.25">
      <c r="A62" s="46"/>
      <c r="B62" s="48"/>
      <c r="D62" s="42"/>
      <c r="E62" s="48"/>
      <c r="F62" s="47"/>
    </row>
    <row r="63" spans="1:6" x14ac:dyDescent="0.25">
      <c r="A63" s="46"/>
      <c r="B63" s="48"/>
      <c r="D63" s="42"/>
      <c r="E63" s="48"/>
      <c r="F63" s="47"/>
    </row>
    <row r="64" spans="1:6" x14ac:dyDescent="0.25">
      <c r="A64" s="46"/>
      <c r="B64" s="48"/>
      <c r="D64" s="42"/>
      <c r="E64" s="48"/>
      <c r="F64" s="47"/>
    </row>
    <row r="65" spans="1:6" x14ac:dyDescent="0.25">
      <c r="A65" s="46"/>
      <c r="B65" s="48"/>
      <c r="D65" s="42"/>
      <c r="E65" s="48"/>
      <c r="F65" s="47"/>
    </row>
    <row r="66" spans="1:6" x14ac:dyDescent="0.25">
      <c r="A66" s="46"/>
      <c r="B66" s="45"/>
      <c r="C66" s="44"/>
      <c r="D66" s="42"/>
      <c r="E66" s="41"/>
    </row>
    <row r="67" spans="1:6" x14ac:dyDescent="0.25">
      <c r="A67" s="43" t="s">
        <v>223</v>
      </c>
      <c r="B67" s="41">
        <f>SUM(B40:B66)</f>
        <v>0</v>
      </c>
      <c r="D67" s="42"/>
      <c r="E67" s="41">
        <f>SUM(E40:E66)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NOMINA ENERO</vt:lpstr>
      <vt:lpstr>MARZO</vt:lpstr>
      <vt:lpstr>AREA</vt:lpstr>
      <vt:lpstr>ADELANTOS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MultiFrenos de la Sabana</dc:creator>
  <cp:lastModifiedBy>MultiFrenos de la Sabana</cp:lastModifiedBy>
  <cp:lastPrinted>2023-02-24T22:06:48Z</cp:lastPrinted>
  <dcterms:created xsi:type="dcterms:W3CDTF">2023-01-04T14:06:15Z</dcterms:created>
  <dcterms:modified xsi:type="dcterms:W3CDTF">2023-03-25T19:10:11Z</dcterms:modified>
</cp:coreProperties>
</file>