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pivotTables/pivotTable1.xml" ContentType="application/vnd.openxmlformats-officedocument.spreadsheetml.pivotTab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ulti\Desktop\MULTISERVICIO\"/>
    </mc:Choice>
  </mc:AlternateContent>
  <xr:revisionPtr revIDLastSave="0" documentId="13_ncr:1_{4EFC9A50-6E77-465F-A406-3743977D344D}" xr6:coauthVersionLast="47" xr6:coauthVersionMax="47" xr10:uidLastSave="{00000000-0000-0000-0000-000000000000}"/>
  <bookViews>
    <workbookView xWindow="0" yWindow="390" windowWidth="28800" windowHeight="15480" tabRatio="886" activeTab="19" xr2:uid="{00000000-000D-0000-FFFF-FFFF00000000}"/>
  </bookViews>
  <sheets>
    <sheet name="MASILLA" sheetId="44" r:id="rId1"/>
    <sheet name="RESUMEN ENERO-SEPT" sheetId="1" r:id="rId2"/>
    <sheet name="RESUMEN2022" sheetId="27" r:id="rId3"/>
    <sheet name="REGISTRO 2023" sheetId="47" r:id="rId4"/>
    <sheet name="VARICHEM" sheetId="25" state="hidden" r:id="rId5"/>
    <sheet name="LANDROVER" sheetId="23" state="hidden" r:id="rId6"/>
    <sheet name="CARRO" sheetId="46" state="hidden" r:id="rId7"/>
    <sheet name="ESTADISTICAS" sheetId="43" state="hidden" r:id="rId8"/>
    <sheet name="Hoja8" sheetId="35" state="hidden" r:id="rId9"/>
    <sheet name="CHANA" sheetId="22" state="hidden" r:id="rId10"/>
    <sheet name="LOGAN NEGRO" sheetId="24" state="hidden" r:id="rId11"/>
    <sheet name="BUSETA TMGOLF" sheetId="45" r:id="rId12"/>
    <sheet name="WILLYS" sheetId="26" r:id="rId13"/>
    <sheet name="BUSETA CITROEN" sheetId="49" r:id="rId14"/>
    <sheet name="PAGOS" sheetId="20" state="hidden" r:id="rId15"/>
    <sheet name="JAC" sheetId="48" r:id="rId16"/>
    <sheet name="SWICK- CITROEN" sheetId="17" r:id="rId17"/>
    <sheet name="RENAULT CLIO" sheetId="51" r:id="rId18"/>
    <sheet name="METALCARGO NKR" sheetId="50" r:id="rId19"/>
    <sheet name="TOYOTA" sheetId="54" r:id="rId20"/>
    <sheet name="ADELANTOS" sheetId="9" r:id="rId21"/>
    <sheet name="Hoja4" sheetId="42" state="hidden" r:id="rId22"/>
    <sheet name="Hoja1" sheetId="28" state="hidden" r:id="rId23"/>
    <sheet name="LAND ROVER" sheetId="19" state="hidden" r:id="rId24"/>
    <sheet name="BUSETA NEGRA" sheetId="18" state="hidden" r:id="rId25"/>
    <sheet name="TWINGO (2)" sheetId="15" state="hidden" r:id="rId26"/>
    <sheet name="CARRO VERDE" sheetId="7" state="hidden" r:id="rId27"/>
    <sheet name="CAMION ROJO" sheetId="10" state="hidden" r:id="rId28"/>
    <sheet name="LOGAN" sheetId="11" state="hidden" r:id="rId29"/>
    <sheet name="DETALLES" sheetId="6" state="hidden" r:id="rId30"/>
    <sheet name="KENWORTH" sheetId="12" state="hidden" r:id="rId31"/>
  </sheets>
  <externalReferences>
    <externalReference r:id="rId32"/>
    <externalReference r:id="rId33"/>
  </externalReferences>
  <definedNames>
    <definedName name="Nombre_empresa">[1]Factura!$B$1</definedName>
    <definedName name="NumeroColumna">7</definedName>
    <definedName name="NumeroFila">3</definedName>
    <definedName name="TítuloColumna1">[2]!Factura[[#Headers],[CANT]]</definedName>
  </definedNames>
  <calcPr calcId="181029"/>
  <pivotCaches>
    <pivotCache cacheId="0" r:id="rId3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42" i="54" l="1"/>
  <c r="G43" i="54"/>
  <c r="G44" i="54"/>
  <c r="G41" i="54"/>
  <c r="E70" i="54"/>
  <c r="G70" i="54" s="1"/>
  <c r="G69" i="54"/>
  <c r="E45" i="54"/>
  <c r="H36" i="54"/>
  <c r="H10" i="54"/>
  <c r="G50" i="54" s="1"/>
  <c r="F124" i="51"/>
  <c r="H124" i="51" s="1"/>
  <c r="H123" i="51"/>
  <c r="F99" i="51"/>
  <c r="H95" i="51"/>
  <c r="I90" i="51"/>
  <c r="I74" i="51"/>
  <c r="H104" i="51" s="1"/>
  <c r="F61" i="51"/>
  <c r="H61" i="51" s="1"/>
  <c r="H60" i="51"/>
  <c r="F36" i="51"/>
  <c r="H32" i="51"/>
  <c r="I27" i="51"/>
  <c r="I11" i="51"/>
  <c r="H41" i="51" s="1"/>
  <c r="E61" i="50"/>
  <c r="G61" i="50" s="1"/>
  <c r="G60" i="50"/>
  <c r="E36" i="50"/>
  <c r="G32" i="50"/>
  <c r="H27" i="50"/>
  <c r="H11" i="50"/>
  <c r="G41" i="50" s="1"/>
  <c r="E63" i="49"/>
  <c r="G63" i="49" s="1"/>
  <c r="G62" i="49"/>
  <c r="E38" i="49"/>
  <c r="G34" i="49"/>
  <c r="H29" i="49"/>
  <c r="H11" i="49"/>
  <c r="G43" i="49" s="1"/>
  <c r="I8" i="49"/>
  <c r="E122" i="48" l="1"/>
  <c r="G122" i="48" s="1"/>
  <c r="G121" i="48"/>
  <c r="E97" i="48"/>
  <c r="G93" i="48"/>
  <c r="H88" i="48"/>
  <c r="H72" i="48"/>
  <c r="G102" i="48" s="1"/>
  <c r="E121" i="17"/>
  <c r="G121" i="17" s="1"/>
  <c r="G120" i="17"/>
  <c r="E96" i="17"/>
  <c r="G92" i="17"/>
  <c r="H87" i="17"/>
  <c r="H71" i="17"/>
  <c r="G101" i="17" s="1"/>
  <c r="I49" i="27"/>
  <c r="E59" i="48"/>
  <c r="G59" i="48" s="1"/>
  <c r="G58" i="48"/>
  <c r="E34" i="48"/>
  <c r="G30" i="48"/>
  <c r="H25" i="48"/>
  <c r="H9" i="48"/>
  <c r="G39" i="48" s="1"/>
  <c r="J7" i="47"/>
  <c r="O7" i="47"/>
  <c r="J8" i="47"/>
  <c r="O8" i="47"/>
  <c r="G19" i="45"/>
  <c r="P56" i="47"/>
  <c r="N56" i="47"/>
  <c r="K56" i="47"/>
  <c r="M55" i="47"/>
  <c r="J55" i="47"/>
  <c r="O55" i="47" s="1"/>
  <c r="M54" i="47"/>
  <c r="J54" i="47"/>
  <c r="O54" i="47" s="1"/>
  <c r="M53" i="47"/>
  <c r="J53" i="47"/>
  <c r="O53" i="47" s="1"/>
  <c r="M52" i="47"/>
  <c r="J52" i="47"/>
  <c r="O52" i="47" s="1"/>
  <c r="M51" i="47"/>
  <c r="J51" i="47"/>
  <c r="O51" i="47" s="1"/>
  <c r="M50" i="47"/>
  <c r="J50" i="47"/>
  <c r="O50" i="47" s="1"/>
  <c r="J49" i="47"/>
  <c r="O49" i="47" s="1"/>
  <c r="J48" i="47"/>
  <c r="O48" i="47" s="1"/>
  <c r="M47" i="47"/>
  <c r="J47" i="47"/>
  <c r="M46" i="47"/>
  <c r="J46" i="47"/>
  <c r="O46" i="47" s="1"/>
  <c r="M45" i="47"/>
  <c r="M56" i="47" s="1"/>
  <c r="J45" i="47"/>
  <c r="O45" i="47" s="1"/>
  <c r="J44" i="47"/>
  <c r="O44" i="47" s="1"/>
  <c r="J43" i="47"/>
  <c r="O43" i="47" s="1"/>
  <c r="J42" i="47"/>
  <c r="O42" i="47" s="1"/>
  <c r="J41" i="47"/>
  <c r="O41" i="47" s="1"/>
  <c r="J40" i="47"/>
  <c r="O40" i="47" s="1"/>
  <c r="J39" i="47"/>
  <c r="O39" i="47" s="1"/>
  <c r="J38" i="47"/>
  <c r="O38" i="47" s="1"/>
  <c r="J37" i="47"/>
  <c r="O37" i="47" s="1"/>
  <c r="J36" i="47"/>
  <c r="O36" i="47" s="1"/>
  <c r="J35" i="47"/>
  <c r="O35" i="47" s="1"/>
  <c r="J34" i="47"/>
  <c r="O34" i="47" s="1"/>
  <c r="J33" i="47"/>
  <c r="O33" i="47" s="1"/>
  <c r="J32" i="47"/>
  <c r="O32" i="47" s="1"/>
  <c r="J31" i="47"/>
  <c r="O31" i="47" s="1"/>
  <c r="J30" i="47"/>
  <c r="O30" i="47" s="1"/>
  <c r="J29" i="47"/>
  <c r="O29" i="47" s="1"/>
  <c r="J28" i="47"/>
  <c r="O28" i="47" s="1"/>
  <c r="J27" i="47"/>
  <c r="O27" i="47" s="1"/>
  <c r="J26" i="47"/>
  <c r="O26" i="47" s="1"/>
  <c r="J25" i="47"/>
  <c r="O25" i="47" s="1"/>
  <c r="J24" i="47"/>
  <c r="O24" i="47" s="1"/>
  <c r="J23" i="47"/>
  <c r="O23" i="47" s="1"/>
  <c r="J22" i="47"/>
  <c r="O22" i="47" s="1"/>
  <c r="J21" i="47"/>
  <c r="O21" i="47" s="1"/>
  <c r="J20" i="47"/>
  <c r="O20" i="47" s="1"/>
  <c r="J19" i="47"/>
  <c r="O19" i="47" s="1"/>
  <c r="J18" i="47"/>
  <c r="O18" i="47" s="1"/>
  <c r="J17" i="47"/>
  <c r="O17" i="47" s="1"/>
  <c r="J16" i="47"/>
  <c r="O16" i="47" s="1"/>
  <c r="J15" i="47"/>
  <c r="O15" i="47" s="1"/>
  <c r="J14" i="47"/>
  <c r="O14" i="47" s="1"/>
  <c r="J13" i="47"/>
  <c r="O13" i="47" s="1"/>
  <c r="J12" i="47"/>
  <c r="O12" i="47" s="1"/>
  <c r="J11" i="47"/>
  <c r="O11" i="47" s="1"/>
  <c r="J10" i="47"/>
  <c r="O10" i="47" s="1"/>
  <c r="J9" i="47"/>
  <c r="O9" i="47" s="1"/>
  <c r="J6" i="47"/>
  <c r="O6" i="47" s="1"/>
  <c r="O5" i="47"/>
  <c r="O4" i="47"/>
  <c r="J3" i="47"/>
  <c r="O3" i="47" s="1"/>
  <c r="J2" i="47"/>
  <c r="O2" i="47" s="1"/>
  <c r="L56" i="47"/>
  <c r="E7" i="43"/>
  <c r="I56" i="47" l="1"/>
  <c r="B7" i="43"/>
  <c r="K101" i="27"/>
  <c r="N101" i="27"/>
  <c r="P101" i="27"/>
  <c r="I101" i="27"/>
  <c r="O18" i="1"/>
  <c r="O19" i="1"/>
  <c r="G16" i="45"/>
  <c r="E59" i="46"/>
  <c r="G59" i="46" s="1"/>
  <c r="G58" i="46"/>
  <c r="E34" i="46"/>
  <c r="G30" i="46"/>
  <c r="H25" i="46"/>
  <c r="H9" i="46"/>
  <c r="G39" i="46" s="1"/>
  <c r="J56" i="47" l="1"/>
  <c r="O56" i="47"/>
  <c r="L42" i="27"/>
  <c r="E69" i="45"/>
  <c r="G69" i="45" s="1"/>
  <c r="G68" i="45"/>
  <c r="E44" i="45"/>
  <c r="G40" i="45" s="1"/>
  <c r="H35" i="45"/>
  <c r="H9" i="45"/>
  <c r="G49" i="45" s="1"/>
  <c r="L41" i="27"/>
  <c r="L36" i="27"/>
  <c r="L35" i="27"/>
  <c r="J35" i="27"/>
  <c r="J36" i="27"/>
  <c r="J37" i="27"/>
  <c r="J38" i="27"/>
  <c r="J40" i="27"/>
  <c r="L32" i="27"/>
  <c r="L34" i="27"/>
  <c r="L31" i="27" l="1"/>
  <c r="L22" i="27"/>
  <c r="L21" i="27"/>
  <c r="P15" i="22"/>
  <c r="P19" i="22" s="1"/>
  <c r="L25" i="27"/>
  <c r="J25" i="27" s="1"/>
  <c r="L23" i="27" l="1"/>
  <c r="L20" i="27"/>
  <c r="L19" i="27"/>
  <c r="J16" i="27"/>
  <c r="K5" i="35"/>
  <c r="L5" i="35"/>
  <c r="M5" i="35"/>
  <c r="J5" i="35"/>
  <c r="C45" i="35"/>
  <c r="D45" i="35"/>
  <c r="E45" i="35"/>
  <c r="F45" i="35"/>
  <c r="B45" i="35"/>
  <c r="C29" i="35"/>
  <c r="D29" i="35"/>
  <c r="E29" i="35"/>
  <c r="B29" i="35"/>
  <c r="D10" i="35"/>
  <c r="E10" i="35"/>
  <c r="B10" i="35"/>
  <c r="C6" i="35"/>
  <c r="C10" i="35" s="1"/>
  <c r="F6" i="35"/>
  <c r="F10" i="35" s="1"/>
  <c r="F27" i="35"/>
  <c r="F29" i="35" s="1"/>
  <c r="R102" i="1"/>
  <c r="L102" i="1"/>
  <c r="L9" i="27" l="1"/>
  <c r="L10" i="27"/>
  <c r="J7" i="27" l="1"/>
  <c r="O7" i="27"/>
  <c r="L2" i="27" l="1"/>
  <c r="J2" i="27" l="1"/>
  <c r="L4" i="27"/>
  <c r="L101" i="27" s="1"/>
  <c r="J3" i="27"/>
  <c r="O2" i="27"/>
  <c r="J10" i="27"/>
  <c r="J11" i="27"/>
  <c r="O11" i="27" s="1"/>
  <c r="J12" i="27"/>
  <c r="J15" i="27"/>
  <c r="J21" i="27"/>
  <c r="J17" i="27"/>
  <c r="J18" i="27"/>
  <c r="J19" i="27"/>
  <c r="J20" i="27"/>
  <c r="J22" i="27"/>
  <c r="J23" i="27"/>
  <c r="J24" i="27"/>
  <c r="J26" i="27"/>
  <c r="J27" i="27"/>
  <c r="J28" i="27"/>
  <c r="J30" i="27"/>
  <c r="J31" i="27"/>
  <c r="J32" i="27"/>
  <c r="J33" i="27"/>
  <c r="J34" i="27"/>
  <c r="J41" i="27"/>
  <c r="J42" i="27"/>
  <c r="J43" i="27"/>
  <c r="J45" i="27"/>
  <c r="J47" i="27"/>
  <c r="J48" i="27"/>
  <c r="J49" i="27"/>
  <c r="J50" i="27"/>
  <c r="J51" i="27"/>
  <c r="J52" i="27"/>
  <c r="J53" i="27"/>
  <c r="J54" i="27"/>
  <c r="J55" i="27"/>
  <c r="J56" i="27"/>
  <c r="J57" i="27"/>
  <c r="J58" i="27"/>
  <c r="J59" i="27"/>
  <c r="J60" i="27"/>
  <c r="J61" i="27"/>
  <c r="J62" i="27"/>
  <c r="J63" i="27"/>
  <c r="J64" i="27"/>
  <c r="J65" i="27"/>
  <c r="J66" i="27"/>
  <c r="J67" i="27"/>
  <c r="J68" i="27"/>
  <c r="J69" i="27"/>
  <c r="J70" i="27"/>
  <c r="J71" i="27"/>
  <c r="J72" i="27"/>
  <c r="J73" i="27"/>
  <c r="J74" i="27"/>
  <c r="J75" i="27"/>
  <c r="J76" i="27"/>
  <c r="J77" i="27"/>
  <c r="J78" i="27"/>
  <c r="J79" i="27"/>
  <c r="J80" i="27"/>
  <c r="J81" i="27"/>
  <c r="J82" i="27"/>
  <c r="J83" i="27"/>
  <c r="J84" i="27"/>
  <c r="J85" i="27"/>
  <c r="J86" i="27"/>
  <c r="J87" i="27"/>
  <c r="J88" i="27"/>
  <c r="J89" i="27"/>
  <c r="J90" i="27"/>
  <c r="J91" i="27"/>
  <c r="J92" i="27"/>
  <c r="J93" i="27"/>
  <c r="J94" i="27"/>
  <c r="J95" i="27"/>
  <c r="J96" i="27"/>
  <c r="J97" i="27"/>
  <c r="J98" i="27"/>
  <c r="J99" i="27"/>
  <c r="J100" i="27"/>
  <c r="J4" i="27"/>
  <c r="J6" i="27"/>
  <c r="J8" i="27"/>
  <c r="J9" i="27"/>
  <c r="J101" i="27" l="1"/>
  <c r="M90" i="27"/>
  <c r="M91" i="27"/>
  <c r="M92" i="27"/>
  <c r="M95" i="27"/>
  <c r="M96" i="27"/>
  <c r="M97" i="27"/>
  <c r="M98" i="27"/>
  <c r="M99" i="27"/>
  <c r="M100" i="27"/>
  <c r="O20" i="27"/>
  <c r="O22" i="27"/>
  <c r="O3" i="27"/>
  <c r="O5" i="27"/>
  <c r="O4" i="27"/>
  <c r="O6" i="27"/>
  <c r="O8" i="27"/>
  <c r="O9" i="27"/>
  <c r="O10" i="27"/>
  <c r="O12" i="27"/>
  <c r="O13" i="27"/>
  <c r="O14" i="27"/>
  <c r="O15" i="27"/>
  <c r="O16" i="27"/>
  <c r="O21" i="27"/>
  <c r="O17" i="27"/>
  <c r="O18" i="27"/>
  <c r="O19" i="27"/>
  <c r="O23" i="27"/>
  <c r="O24" i="27"/>
  <c r="O25" i="27"/>
  <c r="O26" i="27"/>
  <c r="O27" i="27"/>
  <c r="O28" i="27"/>
  <c r="O29" i="27"/>
  <c r="O30" i="27"/>
  <c r="O31" i="27"/>
  <c r="O32" i="27"/>
  <c r="O33" i="27"/>
  <c r="O34" i="27"/>
  <c r="O35" i="27"/>
  <c r="O36" i="27"/>
  <c r="O37" i="27"/>
  <c r="O38" i="27"/>
  <c r="O39" i="27"/>
  <c r="O40" i="27"/>
  <c r="O41" i="27"/>
  <c r="O42" i="27"/>
  <c r="O43" i="27"/>
  <c r="O44" i="27"/>
  <c r="O45" i="27"/>
  <c r="O46" i="27"/>
  <c r="O47" i="27"/>
  <c r="O48" i="27"/>
  <c r="O49" i="27"/>
  <c r="O50" i="27"/>
  <c r="O51" i="27"/>
  <c r="O52" i="27"/>
  <c r="O53" i="27"/>
  <c r="O54" i="27"/>
  <c r="O55" i="27"/>
  <c r="O56" i="27"/>
  <c r="O57" i="27"/>
  <c r="O58" i="27"/>
  <c r="O59" i="27"/>
  <c r="O60" i="27"/>
  <c r="O61" i="27"/>
  <c r="O62" i="27"/>
  <c r="O63" i="27"/>
  <c r="O64" i="27"/>
  <c r="O65" i="27"/>
  <c r="O66" i="27"/>
  <c r="O67" i="27"/>
  <c r="O68" i="27"/>
  <c r="O69" i="27"/>
  <c r="O70" i="27"/>
  <c r="O71" i="27"/>
  <c r="O72" i="27"/>
  <c r="O73" i="27"/>
  <c r="O74" i="27"/>
  <c r="O75" i="27"/>
  <c r="O76" i="27"/>
  <c r="O77" i="27"/>
  <c r="O78" i="27"/>
  <c r="O79" i="27"/>
  <c r="O80" i="27"/>
  <c r="O81" i="27"/>
  <c r="O82" i="27"/>
  <c r="O83" i="27"/>
  <c r="O84" i="27"/>
  <c r="O85" i="27"/>
  <c r="O86" i="27"/>
  <c r="O87" i="27"/>
  <c r="O88" i="27"/>
  <c r="O89" i="27"/>
  <c r="O90" i="27"/>
  <c r="O91" i="27"/>
  <c r="O93" i="27"/>
  <c r="O94" i="27"/>
  <c r="O95" i="27"/>
  <c r="O96" i="27"/>
  <c r="O97" i="27"/>
  <c r="O98" i="27"/>
  <c r="O100" i="27"/>
  <c r="O99" i="27"/>
  <c r="M101" i="27" l="1"/>
  <c r="O101" i="27"/>
  <c r="Q96" i="1"/>
  <c r="E61" i="26"/>
  <c r="G61" i="26" s="1"/>
  <c r="G60" i="26"/>
  <c r="E36" i="26"/>
  <c r="G32" i="26" s="1"/>
  <c r="H27" i="26"/>
  <c r="H9" i="26" s="1"/>
  <c r="G41" i="26" l="1"/>
  <c r="I6" i="26"/>
  <c r="O90" i="1"/>
  <c r="O92" i="1"/>
  <c r="O91" i="1" l="1"/>
  <c r="B39" i="9"/>
  <c r="M86" i="1" l="1"/>
  <c r="D196" i="20"/>
  <c r="D197" i="20" s="1"/>
  <c r="M85" i="1"/>
  <c r="M87" i="1"/>
  <c r="M88" i="1"/>
  <c r="M90" i="1"/>
  <c r="M91" i="1"/>
  <c r="M92" i="1"/>
  <c r="M94" i="1"/>
  <c r="M95" i="1"/>
  <c r="M97" i="1"/>
  <c r="M98" i="1"/>
  <c r="M99" i="1"/>
  <c r="M100" i="1"/>
  <c r="M101" i="1"/>
  <c r="Q91" i="1"/>
  <c r="Q92" i="1"/>
  <c r="Q93" i="1"/>
  <c r="Q97" i="1"/>
  <c r="Q98" i="1"/>
  <c r="Q99" i="1"/>
  <c r="Q100" i="1"/>
  <c r="Q101" i="1"/>
  <c r="S85" i="1"/>
  <c r="S86" i="1"/>
  <c r="S87" i="1"/>
  <c r="S88" i="1"/>
  <c r="S89" i="1"/>
  <c r="S90" i="1"/>
  <c r="S91" i="1"/>
  <c r="S92" i="1"/>
  <c r="S94" i="1"/>
  <c r="S95" i="1"/>
  <c r="S96" i="1"/>
  <c r="S97" i="1"/>
  <c r="S98" i="1"/>
  <c r="S99" i="1"/>
  <c r="S100" i="1"/>
  <c r="S101" i="1"/>
  <c r="M84" i="1"/>
  <c r="S84" i="1" s="1"/>
  <c r="M83" i="1" l="1"/>
  <c r="S83" i="1"/>
  <c r="D190" i="20"/>
  <c r="S81" i="1"/>
  <c r="S76" i="1"/>
  <c r="S75" i="1"/>
  <c r="S71" i="1"/>
  <c r="E59" i="25"/>
  <c r="G59" i="25" s="1"/>
  <c r="G58" i="25"/>
  <c r="E34" i="25"/>
  <c r="H25" i="25"/>
  <c r="H9" i="25"/>
  <c r="S82" i="1"/>
  <c r="O79" i="1"/>
  <c r="J4" i="25" l="1"/>
  <c r="M80" i="1"/>
  <c r="S80" i="1" s="1"/>
  <c r="M79" i="1"/>
  <c r="S79" i="1" s="1"/>
  <c r="D174" i="20"/>
  <c r="N77" i="1"/>
  <c r="D156" i="20"/>
  <c r="D157" i="20" s="1"/>
  <c r="D165" i="20"/>
  <c r="O69" i="1"/>
  <c r="O68" i="1" l="1"/>
  <c r="O70" i="1"/>
  <c r="D150" i="20"/>
  <c r="G14" i="24" l="1"/>
  <c r="E59" i="24"/>
  <c r="G58" i="24"/>
  <c r="E34" i="24"/>
  <c r="H25" i="24"/>
  <c r="H9" i="24"/>
  <c r="Q58" i="1"/>
  <c r="S58" i="1"/>
  <c r="O56" i="1"/>
  <c r="O55" i="1"/>
  <c r="O57" i="1"/>
  <c r="M56" i="1"/>
  <c r="O54" i="1"/>
  <c r="G40" i="23"/>
  <c r="G41" i="23"/>
  <c r="G18" i="22"/>
  <c r="G59" i="24" l="1"/>
  <c r="K9" i="24"/>
  <c r="G17" i="23"/>
  <c r="E59" i="23"/>
  <c r="G59" i="23" s="1"/>
  <c r="G58" i="23"/>
  <c r="E34" i="23"/>
  <c r="H25" i="23"/>
  <c r="H9" i="23"/>
  <c r="O41" i="1"/>
  <c r="D107" i="20"/>
  <c r="G39" i="23" l="1"/>
  <c r="J7" i="23"/>
  <c r="O48" i="1"/>
  <c r="P47" i="1"/>
  <c r="P102" i="1" s="1"/>
  <c r="D74" i="20"/>
  <c r="D86" i="20"/>
  <c r="O47" i="1" l="1"/>
  <c r="D97" i="20"/>
  <c r="N41" i="1"/>
  <c r="N102" i="1" s="1"/>
  <c r="E59" i="22"/>
  <c r="G59" i="22" s="1"/>
  <c r="G58" i="22"/>
  <c r="E34" i="22"/>
  <c r="G30" i="22" s="1"/>
  <c r="H25" i="22"/>
  <c r="H9" i="22"/>
  <c r="K8" i="22" s="1"/>
  <c r="G39" i="22" l="1"/>
  <c r="K38" i="22" s="1"/>
  <c r="Q41" i="1"/>
  <c r="Q102" i="1" s="1"/>
  <c r="M44" i="1" l="1"/>
  <c r="S44" i="1" s="1"/>
  <c r="B21" i="9" l="1"/>
  <c r="B22" i="9"/>
  <c r="O33" i="1"/>
  <c r="D62" i="20"/>
  <c r="D54" i="20"/>
  <c r="M36" i="1"/>
  <c r="S36" i="1" s="1"/>
  <c r="O35" i="1"/>
  <c r="M35" i="1"/>
  <c r="S35" i="1" s="1"/>
  <c r="D42" i="20"/>
  <c r="D45" i="20" s="1"/>
  <c r="O32" i="1"/>
  <c r="D30" i="20"/>
  <c r="B23" i="9" l="1"/>
  <c r="D19" i="20"/>
  <c r="D21" i="20" s="1"/>
  <c r="D9" i="20"/>
  <c r="O30" i="1" l="1"/>
  <c r="G40" i="19"/>
  <c r="G41" i="19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E59" i="19"/>
  <c r="E34" i="19"/>
  <c r="G30" i="19" s="1"/>
  <c r="H25" i="19"/>
  <c r="H9" i="19" s="1"/>
  <c r="J6" i="19" s="1"/>
  <c r="O21" i="1"/>
  <c r="S21" i="1" s="1"/>
  <c r="M19" i="1"/>
  <c r="S19" i="1" s="1"/>
  <c r="G59" i="19" l="1"/>
  <c r="G39" i="19"/>
  <c r="E59" i="18" l="1"/>
  <c r="G59" i="18" s="1"/>
  <c r="G58" i="18"/>
  <c r="E34" i="18"/>
  <c r="H25" i="18"/>
  <c r="E59" i="17"/>
  <c r="G59" i="17" s="1"/>
  <c r="G58" i="17"/>
  <c r="E34" i="17"/>
  <c r="G30" i="17" s="1"/>
  <c r="H25" i="17"/>
  <c r="H9" i="17"/>
  <c r="G39" i="17" s="1"/>
  <c r="E59" i="15"/>
  <c r="G59" i="15" s="1"/>
  <c r="G58" i="15"/>
  <c r="E34" i="15"/>
  <c r="H25" i="15"/>
  <c r="H9" i="15" s="1"/>
  <c r="G39" i="15" l="1"/>
  <c r="J8" i="15"/>
  <c r="H9" i="18"/>
  <c r="B14" i="9"/>
  <c r="G39" i="18" l="1"/>
  <c r="J9" i="18"/>
  <c r="H25" i="12"/>
  <c r="O9" i="1"/>
  <c r="E59" i="12" l="1"/>
  <c r="G59" i="12" s="1"/>
  <c r="G58" i="12"/>
  <c r="E34" i="12"/>
  <c r="G30" i="12" s="1"/>
  <c r="H9" i="12"/>
  <c r="B10" i="9"/>
  <c r="G39" i="12" l="1"/>
  <c r="L10" i="12"/>
  <c r="J4" i="12"/>
  <c r="B9" i="9"/>
  <c r="C8" i="9" l="1"/>
  <c r="B8" i="9" s="1"/>
  <c r="B11" i="9" s="1"/>
  <c r="B12" i="9" s="1"/>
  <c r="B15" i="9" s="1"/>
  <c r="B19" i="9" s="1"/>
  <c r="B24" i="9" s="1"/>
  <c r="B26" i="9" s="1"/>
  <c r="B32" i="9" s="1"/>
  <c r="B36" i="9" s="1"/>
  <c r="B41" i="9" s="1"/>
  <c r="O4" i="1"/>
  <c r="D4" i="9"/>
  <c r="D5" i="9"/>
  <c r="D6" i="9"/>
  <c r="D7" i="9"/>
  <c r="D3" i="9"/>
  <c r="H27" i="11" l="1"/>
  <c r="E62" i="7" l="1"/>
  <c r="M3" i="1"/>
  <c r="S3" i="1" s="1"/>
  <c r="M4" i="1"/>
  <c r="S4" i="1" s="1"/>
  <c r="M5" i="1"/>
  <c r="S5" i="1" s="1"/>
  <c r="M6" i="1"/>
  <c r="S6" i="1" s="1"/>
  <c r="M7" i="1"/>
  <c r="S7" i="1" s="1"/>
  <c r="M8" i="1"/>
  <c r="S8" i="1" s="1"/>
  <c r="M9" i="1"/>
  <c r="S9" i="1" s="1"/>
  <c r="M10" i="1"/>
  <c r="S10" i="1" s="1"/>
  <c r="M11" i="1"/>
  <c r="S11" i="1" s="1"/>
  <c r="M12" i="1"/>
  <c r="S12" i="1" s="1"/>
  <c r="M13" i="1"/>
  <c r="S13" i="1" s="1"/>
  <c r="M14" i="1"/>
  <c r="S14" i="1" s="1"/>
  <c r="M15" i="1"/>
  <c r="S15" i="1" s="1"/>
  <c r="M16" i="1"/>
  <c r="S16" i="1" s="1"/>
  <c r="M18" i="1"/>
  <c r="S18" i="1" s="1"/>
  <c r="M17" i="1"/>
  <c r="S17" i="1" s="1"/>
  <c r="M20" i="1"/>
  <c r="S20" i="1" s="1"/>
  <c r="M22" i="1"/>
  <c r="S22" i="1" s="1"/>
  <c r="M23" i="1"/>
  <c r="S23" i="1" s="1"/>
  <c r="M24" i="1"/>
  <c r="S24" i="1" s="1"/>
  <c r="E61" i="11"/>
  <c r="G61" i="11" s="1"/>
  <c r="G60" i="11"/>
  <c r="E36" i="11"/>
  <c r="H10" i="11"/>
  <c r="J7" i="11" s="1"/>
  <c r="E59" i="10" l="1"/>
  <c r="G59" i="10" s="1"/>
  <c r="G58" i="10"/>
  <c r="E34" i="10"/>
  <c r="H25" i="10"/>
  <c r="H9" i="10" l="1"/>
  <c r="J6" i="10" s="1"/>
  <c r="M25" i="1"/>
  <c r="S25" i="1" s="1"/>
  <c r="M26" i="1"/>
  <c r="S26" i="1" s="1"/>
  <c r="M27" i="1"/>
  <c r="S27" i="1" s="1"/>
  <c r="G15" i="7" l="1"/>
  <c r="H28" i="7" s="1"/>
  <c r="G62" i="7" l="1"/>
  <c r="G61" i="7"/>
  <c r="E37" i="7"/>
  <c r="G36" i="7"/>
  <c r="G35" i="7"/>
  <c r="G34" i="7"/>
  <c r="H9" i="7" l="1"/>
  <c r="O2" i="1"/>
  <c r="M2" i="1" l="1"/>
  <c r="S2" i="1" s="1"/>
  <c r="O102" i="1"/>
  <c r="S78" i="1"/>
  <c r="M77" i="1"/>
  <c r="S77" i="1" s="1"/>
  <c r="M74" i="1"/>
  <c r="S74" i="1" s="1"/>
  <c r="M73" i="1"/>
  <c r="S73" i="1" s="1"/>
  <c r="M72" i="1"/>
  <c r="S72" i="1" s="1"/>
  <c r="M70" i="1"/>
  <c r="S70" i="1" s="1"/>
  <c r="M69" i="1"/>
  <c r="S69" i="1" s="1"/>
  <c r="M68" i="1"/>
  <c r="S68" i="1" s="1"/>
  <c r="M67" i="1"/>
  <c r="S67" i="1" s="1"/>
  <c r="M65" i="1"/>
  <c r="S65" i="1" s="1"/>
  <c r="M66" i="1"/>
  <c r="S66" i="1" s="1"/>
  <c r="M64" i="1"/>
  <c r="S64" i="1" s="1"/>
  <c r="M63" i="1"/>
  <c r="S63" i="1" s="1"/>
  <c r="M62" i="1"/>
  <c r="S62" i="1" s="1"/>
  <c r="M61" i="1"/>
  <c r="S61" i="1" s="1"/>
  <c r="M60" i="1"/>
  <c r="S60" i="1" s="1"/>
  <c r="M59" i="1"/>
  <c r="S59" i="1" s="1"/>
  <c r="M57" i="1"/>
  <c r="S57" i="1" s="1"/>
  <c r="S56" i="1"/>
  <c r="M54" i="1"/>
  <c r="S54" i="1" s="1"/>
  <c r="M55" i="1"/>
  <c r="S55" i="1" s="1"/>
  <c r="M53" i="1"/>
  <c r="M52" i="1"/>
  <c r="S52" i="1" s="1"/>
  <c r="M51" i="1"/>
  <c r="S51" i="1" s="1"/>
  <c r="M50" i="1"/>
  <c r="S50" i="1" s="1"/>
  <c r="M49" i="1"/>
  <c r="S49" i="1" s="1"/>
  <c r="M48" i="1"/>
  <c r="S48" i="1" s="1"/>
  <c r="M47" i="1"/>
  <c r="S47" i="1" s="1"/>
  <c r="M46" i="1"/>
  <c r="S46" i="1" s="1"/>
  <c r="M45" i="1"/>
  <c r="S45" i="1" s="1"/>
  <c r="M43" i="1"/>
  <c r="S43" i="1" s="1"/>
  <c r="M42" i="1"/>
  <c r="S42" i="1" s="1"/>
  <c r="M41" i="1"/>
  <c r="S41" i="1" s="1"/>
  <c r="M40" i="1"/>
  <c r="S40" i="1" s="1"/>
  <c r="M39" i="1"/>
  <c r="S39" i="1" s="1"/>
  <c r="M38" i="1"/>
  <c r="S38" i="1" s="1"/>
  <c r="M37" i="1"/>
  <c r="S37" i="1" s="1"/>
  <c r="M34" i="1"/>
  <c r="S34" i="1" s="1"/>
  <c r="M33" i="1"/>
  <c r="S33" i="1" s="1"/>
  <c r="M32" i="1"/>
  <c r="S32" i="1" s="1"/>
  <c r="M31" i="1"/>
  <c r="S31" i="1" s="1"/>
  <c r="M30" i="1"/>
  <c r="S30" i="1" s="1"/>
  <c r="M29" i="1"/>
  <c r="S29" i="1" s="1"/>
  <c r="M28" i="1"/>
  <c r="S28" i="1" s="1"/>
  <c r="S53" i="1" l="1"/>
  <c r="S102" i="1" s="1"/>
  <c r="M102" i="1"/>
  <c r="U41" i="1"/>
</calcChain>
</file>

<file path=xl/sharedStrings.xml><?xml version="1.0" encoding="utf-8"?>
<sst xmlns="http://schemas.openxmlformats.org/spreadsheetml/2006/main" count="1745" uniqueCount="689">
  <si>
    <t>FECHA</t>
  </si>
  <si>
    <t>FECHA DE SALIDA</t>
  </si>
  <si>
    <t>NUMERO DE FACTURA</t>
  </si>
  <si>
    <t>MODELO</t>
  </si>
  <si>
    <t>PLACA</t>
  </si>
  <si>
    <t>DETALLES</t>
  </si>
  <si>
    <t>TOTAL FACTURA</t>
  </si>
  <si>
    <t>PORCENTAJE A CANCELAR</t>
  </si>
  <si>
    <t>REPUESTOS USADOS</t>
  </si>
  <si>
    <t>MONTO DE COMPRA</t>
  </si>
  <si>
    <t>ABONOS CLIENTES</t>
  </si>
  <si>
    <t>ABONOS A TRABAJO</t>
  </si>
  <si>
    <t>LATONERIA Y PINTURA</t>
  </si>
  <si>
    <t>ESTATUS</t>
  </si>
  <si>
    <t>GANANCIA</t>
  </si>
  <si>
    <t>CANCELADO</t>
  </si>
  <si>
    <t>POR CANCELAR</t>
  </si>
  <si>
    <t>CARRO VERDE</t>
  </si>
  <si>
    <t>MODELO:</t>
  </si>
  <si>
    <t>FECHA DE ENTRADA:</t>
  </si>
  <si>
    <t>PLACA:</t>
  </si>
  <si>
    <t>FECHA DE SALIDA:</t>
  </si>
  <si>
    <t>CLIENTE:</t>
  </si>
  <si>
    <t>DIRECCION:</t>
  </si>
  <si>
    <t>TELEFONO:</t>
  </si>
  <si>
    <t>MONTO TRABAJO:</t>
  </si>
  <si>
    <t xml:space="preserve">PORCENTAJE A CANCELAR: </t>
  </si>
  <si>
    <t>GASTOS</t>
  </si>
  <si>
    <t>FECHA DE COMPRA</t>
  </si>
  <si>
    <t>NUMERO FACT</t>
  </si>
  <si>
    <t>DETALLE</t>
  </si>
  <si>
    <t>MONTO</t>
  </si>
  <si>
    <t>TOTAL GASTOS</t>
  </si>
  <si>
    <t>NUMERO FACTURA</t>
  </si>
  <si>
    <t>ABONOS</t>
  </si>
  <si>
    <t>SALDO</t>
  </si>
  <si>
    <t>TOTAL:</t>
  </si>
  <si>
    <t xml:space="preserve">ABONOS  DE PAGO A LATONERIA </t>
  </si>
  <si>
    <t>PAGOS</t>
  </si>
  <si>
    <t>1 ERA COMPRA</t>
  </si>
  <si>
    <t>DEL 02 AL 07/08/2021</t>
  </si>
  <si>
    <t>DEL 18 AL 24/07/2021</t>
  </si>
  <si>
    <t>DEL 26 AL 31/07/2021</t>
  </si>
  <si>
    <t>DEL 09 AL 14/08/2021</t>
  </si>
  <si>
    <t>DEL 16 AL 21/08/2021</t>
  </si>
  <si>
    <t>DEL 23 AL 28/08/2021</t>
  </si>
  <si>
    <t>DEL 30 AL 04/09/2021</t>
  </si>
  <si>
    <t>DEL 06 AL 11-09-2021</t>
  </si>
  <si>
    <t>DEL 13 AL 18/09/2021</t>
  </si>
  <si>
    <t>DEL 20 AL 25/09/2021</t>
  </si>
  <si>
    <t>DEL 27 AL 02/10/2021</t>
  </si>
  <si>
    <t>DEL 04 AL 09/10/2021</t>
  </si>
  <si>
    <t>1849-4308</t>
  </si>
  <si>
    <t>MASILLA-VARIOS</t>
  </si>
  <si>
    <t>LAMINA</t>
  </si>
  <si>
    <t xml:space="preserve">MASILLA </t>
  </si>
  <si>
    <t>RESTAURACION Y PINTURA</t>
  </si>
  <si>
    <t>ADELANTOS</t>
  </si>
  <si>
    <t>DEL 23 AL 03/12/2021</t>
  </si>
  <si>
    <t>DEL 03 AL 11/12/2021</t>
  </si>
  <si>
    <t>BRILLO DE ALAMBRE</t>
  </si>
  <si>
    <t>DISCO DE CORTE</t>
  </si>
  <si>
    <t>BYX-992</t>
  </si>
  <si>
    <t>GERMAN MONTAÑEZ</t>
  </si>
  <si>
    <t>germanm31@hotmail.com</t>
  </si>
  <si>
    <t>SALDO ADELANTOS</t>
  </si>
  <si>
    <t>RENAULT LOGAN</t>
  </si>
  <si>
    <t>CHEVROLET LOGAN</t>
  </si>
  <si>
    <t>CEDULA</t>
  </si>
  <si>
    <t>PINTURA EXTERNA</t>
  </si>
  <si>
    <t>VARICHEM DE COLOMBIA</t>
  </si>
  <si>
    <t>MASILLA, THINER, LIJAS</t>
  </si>
  <si>
    <t>APRESTO</t>
  </si>
  <si>
    <t xml:space="preserve">ELECTRODOS </t>
  </si>
  <si>
    <t>VARIOS</t>
  </si>
  <si>
    <t>TIRRO VERDE</t>
  </si>
  <si>
    <t>ERTICA</t>
  </si>
  <si>
    <t>HFO-272</t>
  </si>
  <si>
    <t>PINTAR RETOQUES PUERTAS</t>
  </si>
  <si>
    <t>CLIENTE</t>
  </si>
  <si>
    <t>TELEFONO</t>
  </si>
  <si>
    <t>CORREO</t>
  </si>
  <si>
    <t>MIGUEL ANGEL BLANCO</t>
  </si>
  <si>
    <t>arq.migue@hotmail.com</t>
  </si>
  <si>
    <t>CINTA</t>
  </si>
  <si>
    <t>REMACHES</t>
  </si>
  <si>
    <t>TRABAJOS</t>
  </si>
  <si>
    <t>TOTAL PAGADO</t>
  </si>
  <si>
    <t>PINTURA NEGRA PARA CHASSI</t>
  </si>
  <si>
    <t>RAMIRO TOVAR</t>
  </si>
  <si>
    <t>ramirooswaldosuarez@gmail.com</t>
  </si>
  <si>
    <t>NISSAN FROTIER</t>
  </si>
  <si>
    <t>FWX-911</t>
  </si>
  <si>
    <t>ARREGLO DE BOMPER Y PUERTA LATERAL</t>
  </si>
  <si>
    <t>DISOLVENTE, GRIS</t>
  </si>
  <si>
    <t>COMBO PLACAS</t>
  </si>
  <si>
    <t>CAMION</t>
  </si>
  <si>
    <t>REPARACION EN FIBRA Y PINTAR GUARDAFANGO IZQ</t>
  </si>
  <si>
    <t>PEGA</t>
  </si>
  <si>
    <t>|</t>
  </si>
  <si>
    <t>ARANDELAS Y TORNILLOS</t>
  </si>
  <si>
    <t>TORNILLOS</t>
  </si>
  <si>
    <t>BOP-852</t>
  </si>
  <si>
    <t xml:space="preserve">PINTURA </t>
  </si>
  <si>
    <t>GASTOS VARIOS</t>
  </si>
  <si>
    <t>THY-344</t>
  </si>
  <si>
    <t>FOTON</t>
  </si>
  <si>
    <t>TOTAL</t>
  </si>
  <si>
    <t xml:space="preserve">SALDO ADELANTOS  AL 11-02-2022  </t>
  </si>
  <si>
    <t xml:space="preserve">FOTON </t>
  </si>
  <si>
    <t>RAYON</t>
  </si>
  <si>
    <t>KENWORTH</t>
  </si>
  <si>
    <t>SKY-780</t>
  </si>
  <si>
    <t>JULIO DUARTE</t>
  </si>
  <si>
    <t>CHIA</t>
  </si>
  <si>
    <t>CT-1-17</t>
  </si>
  <si>
    <t>26/2/20222</t>
  </si>
  <si>
    <t>GASOLINA</t>
  </si>
  <si>
    <t>CINTA VERDE</t>
  </si>
  <si>
    <t>DODGE JOURNEY</t>
  </si>
  <si>
    <t>MCR-374</t>
  </si>
  <si>
    <t>PINTURA EXTERNA PARTE TRASERA</t>
  </si>
  <si>
    <t>RENAULT DUSTER</t>
  </si>
  <si>
    <t>UBX-114</t>
  </si>
  <si>
    <t>CARRO ROJO</t>
  </si>
  <si>
    <t>PINTURA PUERTA</t>
  </si>
  <si>
    <t>2 TIRRAJES DE 5CMS</t>
  </si>
  <si>
    <t>PINTURA CAPO</t>
  </si>
  <si>
    <t>ESMALTES , CINTA VERDE</t>
  </si>
  <si>
    <t>RENAULT TWINGO</t>
  </si>
  <si>
    <t>CESAR HUERFANO</t>
  </si>
  <si>
    <t>LIJA</t>
  </si>
  <si>
    <t>RESINA</t>
  </si>
  <si>
    <t>NIXON PEREZ</t>
  </si>
  <si>
    <t>nixon.perez04@gmail.com</t>
  </si>
  <si>
    <t>MC 2017</t>
  </si>
  <si>
    <t>EBR-836</t>
  </si>
  <si>
    <t>RETOQUE DE BOMPER</t>
  </si>
  <si>
    <t>MB</t>
  </si>
  <si>
    <t>KGH-591</t>
  </si>
  <si>
    <t>ALEJANDRO LEON</t>
  </si>
  <si>
    <t>BARNIZ POLIESTER</t>
  </si>
  <si>
    <t>RM-120</t>
  </si>
  <si>
    <t>DAEWOO (TAXI)</t>
  </si>
  <si>
    <t>REPARAR PARACHOQUE</t>
  </si>
  <si>
    <t>CMF-783 /CKF-173</t>
  </si>
  <si>
    <t>LATONERIA</t>
  </si>
  <si>
    <t>NEVERA</t>
  </si>
  <si>
    <t>PEGEOUT</t>
  </si>
  <si>
    <t>MASILLA/POLIESTER</t>
  </si>
  <si>
    <t>CHEVROLET</t>
  </si>
  <si>
    <t>PINTURA EN GENERAL</t>
  </si>
  <si>
    <t xml:space="preserve">TOYOTA </t>
  </si>
  <si>
    <t>DKZ-301</t>
  </si>
  <si>
    <t>MASILLA</t>
  </si>
  <si>
    <t>ABONO</t>
  </si>
  <si>
    <t>ABONO 26-03-2022</t>
  </si>
  <si>
    <t>SALDO AL 26-03</t>
  </si>
  <si>
    <t xml:space="preserve"> HONDA CIVIC</t>
  </si>
  <si>
    <t>Varios (2365)</t>
  </si>
  <si>
    <t>SPARK</t>
  </si>
  <si>
    <t>PINTURA</t>
  </si>
  <si>
    <t>Varios (2363)</t>
  </si>
  <si>
    <t>DCP-344</t>
  </si>
  <si>
    <t>SPARK ROJO</t>
  </si>
  <si>
    <t>ICX-540</t>
  </si>
  <si>
    <t>VARIOS (2376)</t>
  </si>
  <si>
    <t>DODGE NARANJA</t>
  </si>
  <si>
    <t>EKH-222</t>
  </si>
  <si>
    <t>PINTAR CHASSI Y MOTOR</t>
  </si>
  <si>
    <t>LAND ROVER</t>
  </si>
  <si>
    <t>AJD-707</t>
  </si>
  <si>
    <t xml:space="preserve">DAGLI PAVA </t>
  </si>
  <si>
    <t>F-350</t>
  </si>
  <si>
    <t>CIF-574</t>
  </si>
  <si>
    <t>PINTAR PUERTA</t>
  </si>
  <si>
    <t>MONGUIBELLO</t>
  </si>
  <si>
    <t>SUZUKI</t>
  </si>
  <si>
    <t>HCN-348</t>
  </si>
  <si>
    <t>PINTAR PARACHOQUE DEL</t>
  </si>
  <si>
    <t>PINTURA ALUMINIO</t>
  </si>
  <si>
    <t>POLICHADA</t>
  </si>
  <si>
    <t>BUSETA</t>
  </si>
  <si>
    <t>REPARACION ESTRIBO TRASERO</t>
  </si>
  <si>
    <t>(2) DISCO DE CORTE</t>
  </si>
  <si>
    <t>TRAVERSE</t>
  </si>
  <si>
    <t>GPP-868</t>
  </si>
  <si>
    <t>REARACION Y PINTURA BOMPER</t>
  </si>
  <si>
    <t>THINER, PINTURA (2426)</t>
  </si>
  <si>
    <t>AMAROK</t>
  </si>
  <si>
    <t>HJV-493</t>
  </si>
  <si>
    <t>PINTAR RINES</t>
  </si>
  <si>
    <t>OCATI</t>
  </si>
  <si>
    <t>WOS-477</t>
  </si>
  <si>
    <t>REPARACION CON FRIBRA CAVA</t>
  </si>
  <si>
    <t>MATERIALES</t>
  </si>
  <si>
    <t>CKF-173</t>
  </si>
  <si>
    <t>REPARACION BOMPER TRASERO</t>
  </si>
  <si>
    <t>DFSK</t>
  </si>
  <si>
    <t>TLO-165</t>
  </si>
  <si>
    <t>PINTAR TABLERO</t>
  </si>
  <si>
    <t>PAGOS DEL 16 AL 22-04-2022</t>
  </si>
  <si>
    <t>PAGOS DEL 22-04 AL 30/04</t>
  </si>
  <si>
    <t>WOS-474</t>
  </si>
  <si>
    <t>REPARACION DE CAVA</t>
  </si>
  <si>
    <t>BEU-479</t>
  </si>
  <si>
    <t>SOLDAR CHASSI</t>
  </si>
  <si>
    <t>BZX-793</t>
  </si>
  <si>
    <t>REPARACION PUERTA</t>
  </si>
  <si>
    <t>LAN ROVER</t>
  </si>
  <si>
    <t>RENAULT 12</t>
  </si>
  <si>
    <t>FCC-465</t>
  </si>
  <si>
    <t>SOLDADURA SOPORTE</t>
  </si>
  <si>
    <t>SALDO LAND ROVER</t>
  </si>
  <si>
    <t>ADELANTO</t>
  </si>
  <si>
    <t>TRABAJO LOGAN (POR GARANTIA)</t>
  </si>
  <si>
    <t>ENDEREZAR ESTRIBO Y PINTAR</t>
  </si>
  <si>
    <t xml:space="preserve">REPARACION DE PINTURA LATA IN DE MOTORQ </t>
  </si>
  <si>
    <t>CUADRE Y ENDEREZAR</t>
  </si>
  <si>
    <t>CUADRE DE CAPO Y GUARDAFANGO</t>
  </si>
  <si>
    <t>PULIDA</t>
  </si>
  <si>
    <t xml:space="preserve">CAMIONETA BLANCA </t>
  </si>
  <si>
    <t>AJUSTE DE PARACHOQUE</t>
  </si>
  <si>
    <t>TWINGO</t>
  </si>
  <si>
    <t>SEMANA DEL 30-04 AL 07/05/2022</t>
  </si>
  <si>
    <t>ENDEREZAR DE CAPO Y PINTURA</t>
  </si>
  <si>
    <t>SALDO LOGAN (GARANTIA)</t>
  </si>
  <si>
    <t xml:space="preserve">ADELANTO </t>
  </si>
  <si>
    <t>RENAULT 4</t>
  </si>
  <si>
    <t>S/P</t>
  </si>
  <si>
    <t>COMPRA</t>
  </si>
  <si>
    <t xml:space="preserve">SPARK </t>
  </si>
  <si>
    <t>DCP-334</t>
  </si>
  <si>
    <t>SPRINT</t>
  </si>
  <si>
    <t>BBL-523</t>
  </si>
  <si>
    <t xml:space="preserve">COMPRA </t>
  </si>
  <si>
    <t>SEMANA DEL 7/05 AL 13/05/2022</t>
  </si>
  <si>
    <t>SOLDADURA DE TIJERAS</t>
  </si>
  <si>
    <t xml:space="preserve">REMACHE DE CAVA </t>
  </si>
  <si>
    <t>SOLDADURA SOPORTE TUBO ESCAPE</t>
  </si>
  <si>
    <t>SOLDADURA</t>
  </si>
  <si>
    <t>CARRO SR ALEJANDRO</t>
  </si>
  <si>
    <t>SEMANA DEL 13/05 AL 20/05/2022</t>
  </si>
  <si>
    <t>REPARACION BOMPER</t>
  </si>
  <si>
    <t>STEEM</t>
  </si>
  <si>
    <t>ANDRES BELTRAN</t>
  </si>
  <si>
    <t>RENAULT</t>
  </si>
  <si>
    <t>SGTK-452</t>
  </si>
  <si>
    <t xml:space="preserve">POLICHADA </t>
  </si>
  <si>
    <t xml:space="preserve">CARRO AZUL </t>
  </si>
  <si>
    <t>CPV-485</t>
  </si>
  <si>
    <t>FUSION</t>
  </si>
  <si>
    <t>PINTAR CAPO</t>
  </si>
  <si>
    <t>JKJ-296</t>
  </si>
  <si>
    <t>RM-312</t>
  </si>
  <si>
    <t>HORMAN SATOQUE</t>
  </si>
  <si>
    <t>FORD</t>
  </si>
  <si>
    <t>SEMANA DEL 21-05 AL 27-05-2022</t>
  </si>
  <si>
    <t>TUCSO</t>
  </si>
  <si>
    <t>FRESKIFRUTA</t>
  </si>
  <si>
    <t xml:space="preserve">LATONERIA PISO </t>
  </si>
  <si>
    <t>YANURIS SIMACO</t>
  </si>
  <si>
    <t>RENAULT CLIO</t>
  </si>
  <si>
    <t>BYU-890</t>
  </si>
  <si>
    <t>REPARACION DE PUERTA Y DOS BOMPER</t>
  </si>
  <si>
    <t>ARREGLO MARCO DE PUERTA</t>
  </si>
  <si>
    <t>HBN-909</t>
  </si>
  <si>
    <t>SEMANA DEL 11/06 AL 17/06/2022</t>
  </si>
  <si>
    <t xml:space="preserve">LAND ROVER </t>
  </si>
  <si>
    <t>CHANA</t>
  </si>
  <si>
    <t>USA-874</t>
  </si>
  <si>
    <t>JOSE GUTIERREZ</t>
  </si>
  <si>
    <t>KIAT</t>
  </si>
  <si>
    <t>KAU-471</t>
  </si>
  <si>
    <t>PINTAR 4 PIEZAS</t>
  </si>
  <si>
    <t xml:space="preserve">FORD </t>
  </si>
  <si>
    <t>DD-669</t>
  </si>
  <si>
    <t>PINTAR BOMPERS</t>
  </si>
  <si>
    <t xml:space="preserve">CHEVROLET VITARA </t>
  </si>
  <si>
    <t>DISCO DE CORTE (4)</t>
  </si>
  <si>
    <t>ADELANTO CHANA</t>
  </si>
  <si>
    <t>VOLSKWAGEN JETTA</t>
  </si>
  <si>
    <t>PINTAR RINES, SPOILER Y RETROVISOR</t>
  </si>
  <si>
    <t>SEMANA DEL 04-06 AL 10-06-2022</t>
  </si>
  <si>
    <t>SEMANA DEL 28-05 AL 03-06-2022</t>
  </si>
  <si>
    <t xml:space="preserve">SOLDAR TAPA BATERIA Y COLOCAR PLACAS </t>
  </si>
  <si>
    <t>ARREGLO PUERTA</t>
  </si>
  <si>
    <t>ARREGLO TUBIO</t>
  </si>
  <si>
    <t>REPARACION DE GOTERA</t>
  </si>
  <si>
    <t xml:space="preserve">TOTAL </t>
  </si>
  <si>
    <t>PAGO</t>
  </si>
  <si>
    <t>SEMANA DEL 18-06-2022 AL 24-06-2022</t>
  </si>
  <si>
    <t xml:space="preserve">ABONO CHANA </t>
  </si>
  <si>
    <t>HCN-400</t>
  </si>
  <si>
    <t>VITARA</t>
  </si>
  <si>
    <t>HCU-908</t>
  </si>
  <si>
    <t>MARIA TERESA MULLER</t>
  </si>
  <si>
    <t>SYMBOL</t>
  </si>
  <si>
    <t>BLT-604</t>
  </si>
  <si>
    <t>WCZ-221</t>
  </si>
  <si>
    <t>PAGO DESDE 25-06 AL 02/07/2022</t>
  </si>
  <si>
    <t xml:space="preserve"> </t>
  </si>
  <si>
    <t>MASILLAS</t>
  </si>
  <si>
    <t>CVZ-365</t>
  </si>
  <si>
    <t>PINTURA BOMPER, ESTRIBO DERECHO, GUARDA FANGO  TRASERO DEREC</t>
  </si>
  <si>
    <t>JOSE VASQUEZ</t>
  </si>
  <si>
    <t>MBS-736</t>
  </si>
  <si>
    <t>GUARDA FANGO TRASERO, BOMPER TRASERO</t>
  </si>
  <si>
    <t>BALNCO, DISOLVENTE, BARNIZ</t>
  </si>
  <si>
    <t>TELA</t>
  </si>
  <si>
    <t>BUSETA ESCOLAR</t>
  </si>
  <si>
    <t>UFV-295</t>
  </si>
  <si>
    <t>SALDO CHANA</t>
  </si>
  <si>
    <t>ABO DEUDA</t>
  </si>
  <si>
    <t>ALEXANDER HERNANDEZ</t>
  </si>
  <si>
    <t>FORD FESTIVA</t>
  </si>
  <si>
    <t>CQV-295</t>
  </si>
  <si>
    <t>REPARACION DE BOMPER Y GUARDA FANGO DEL IZQ</t>
  </si>
  <si>
    <t>CESAR CACERES</t>
  </si>
  <si>
    <t>LOGAN</t>
  </si>
  <si>
    <t>KEX-298</t>
  </si>
  <si>
    <t>DEL 03-07 AL 08-07-2022,</t>
  </si>
  <si>
    <t xml:space="preserve">LATONERIA Y PINTURA </t>
  </si>
  <si>
    <t>DEL 09/07 AL 15/07/2022</t>
  </si>
  <si>
    <t>REPARACION DE COMPACTO</t>
  </si>
  <si>
    <t>MASILLA WURTH/LIJA 150</t>
  </si>
  <si>
    <t>LIJAS, THINNER, OTROS</t>
  </si>
  <si>
    <t>PINTURA GUARDAFANGO/ BOMPER DELANTERO/ PUERTA CONDUCTOR</t>
  </si>
  <si>
    <t>FACT 2609</t>
  </si>
  <si>
    <t>PAGO CORRESPONDIENTE DEL 16-07 AL 22-07-2022</t>
  </si>
  <si>
    <t>JMC-012</t>
  </si>
  <si>
    <t>PINTAR PUERTA TRASERA LADO DERECHO/ PARTE BAJA GUARDAFANGO</t>
  </si>
  <si>
    <t>NQR</t>
  </si>
  <si>
    <t>WLQ-529</t>
  </si>
  <si>
    <t>SOLDAURA TRASERA</t>
  </si>
  <si>
    <t>DQL-105</t>
  </si>
  <si>
    <t>VOLSKWAGEN</t>
  </si>
  <si>
    <t>FRONTIER</t>
  </si>
  <si>
    <t>SUBARU</t>
  </si>
  <si>
    <t>BWP-890</t>
  </si>
  <si>
    <t>HILUX</t>
  </si>
  <si>
    <t>BUW-614</t>
  </si>
  <si>
    <t>PINTAR BLOQUE MOTOR/CUADRO COMPUERTAS</t>
  </si>
  <si>
    <t>JSX-737</t>
  </si>
  <si>
    <t>MITSUBISHI</t>
  </si>
  <si>
    <t>REPARACION GUADAFANGO DEL IZQ/ PUNTA BOMPER</t>
  </si>
  <si>
    <t>RJQ-134</t>
  </si>
  <si>
    <t>REPA DE DOS BOMPER, CAPO, PUERTA</t>
  </si>
  <si>
    <t>NISAN TIDA</t>
  </si>
  <si>
    <t>PAGO CORRESPONDIENTE DEL 22-07 AL 29-07-2022</t>
  </si>
  <si>
    <t>PAGO DEL 30/07 AL 05/08</t>
  </si>
  <si>
    <t>MAZDA 3</t>
  </si>
  <si>
    <t>NER -493</t>
  </si>
  <si>
    <t>RETOQUE PARACHOQUE DELANTERO</t>
  </si>
  <si>
    <t>REPARACION DE DOS BOMPER, EXTENSION ESTRIVO, GUARDAFANGO TRASERO</t>
  </si>
  <si>
    <t>PAGO DEL 06/08 AL 12/08</t>
  </si>
  <si>
    <t>MAZDA2</t>
  </si>
  <si>
    <t>HVP-928</t>
  </si>
  <si>
    <t>NISSAN</t>
  </si>
  <si>
    <t>GQQ-499</t>
  </si>
  <si>
    <t>PULIR FAROS</t>
  </si>
  <si>
    <t>JEEP</t>
  </si>
  <si>
    <t>TRABAJO DE LATONERIA</t>
  </si>
  <si>
    <t>MAZDA3</t>
  </si>
  <si>
    <t>CINTA1/2 / 1/8 RUBIN BLANCO</t>
  </si>
  <si>
    <t>RETOQUE PUERTA</t>
  </si>
  <si>
    <t>LAVADO DE MOTOR</t>
  </si>
  <si>
    <t>LAVADO DE TAPICERIA</t>
  </si>
  <si>
    <t>MAZDA</t>
  </si>
  <si>
    <t>BIO-488</t>
  </si>
  <si>
    <t>SWK-745</t>
  </si>
  <si>
    <t>JAC</t>
  </si>
  <si>
    <t>COLOCAR REMACHES</t>
  </si>
  <si>
    <t>SOLDAR GUARDAFANGO DEL Y PINTAR GUARDAFANGO DEL DERE</t>
  </si>
  <si>
    <t>OCTAVIO CARRION</t>
  </si>
  <si>
    <t>JCU-726</t>
  </si>
  <si>
    <t>PINTURA DE DOS PUERTAS IZQ- BOMPER DELANTERO Y GUARDA FANGO IZQ</t>
  </si>
  <si>
    <t>SOLDAR TANQUE</t>
  </si>
  <si>
    <t>AJUSTE BOMPER</t>
  </si>
  <si>
    <t>CZF-259</t>
  </si>
  <si>
    <t>NISSAN FRONTIER</t>
  </si>
  <si>
    <t>UVL-706</t>
  </si>
  <si>
    <t>VARICHEM</t>
  </si>
  <si>
    <t>DEL 13/08 AL 19/08/2022</t>
  </si>
  <si>
    <t>DEL 19/08 AL 26/08/2022</t>
  </si>
  <si>
    <t>DEL 27/08 AL 02/09/2022</t>
  </si>
  <si>
    <t>VARCHEM</t>
  </si>
  <si>
    <t>BDN-052</t>
  </si>
  <si>
    <t>RIT-880</t>
  </si>
  <si>
    <t>NO2810</t>
  </si>
  <si>
    <t>DEL 03/09 AL 09/09/2022</t>
  </si>
  <si>
    <t>ADELANTO 10/09</t>
  </si>
  <si>
    <t>HINO</t>
  </si>
  <si>
    <t>GZZ-228</t>
  </si>
  <si>
    <t>REPARACION DE BOMPER</t>
  </si>
  <si>
    <t>OLB-058</t>
  </si>
  <si>
    <t>VOLQUETA</t>
  </si>
  <si>
    <t>CUADRAR SILLAS</t>
  </si>
  <si>
    <t>REPARACION GUARDAPOLVO</t>
  </si>
  <si>
    <t>VARILLAJE</t>
  </si>
  <si>
    <t>ENDEREZAR PARACHOQUE</t>
  </si>
  <si>
    <t>FECHA DE PAGO</t>
  </si>
  <si>
    <t>LIMNY GACHARNA</t>
  </si>
  <si>
    <t>SAIL</t>
  </si>
  <si>
    <t>HKM-167</t>
  </si>
  <si>
    <t>BOMPER DEL, PUENTES LADO DERECHO, BOMPER TRASERO, PUERTA GUARDA FANGO TRASERO LADO IZQ</t>
  </si>
  <si>
    <t>NO 2842, MASILLA</t>
  </si>
  <si>
    <t>AVEO</t>
  </si>
  <si>
    <t>ADELANTO  17/09</t>
  </si>
  <si>
    <t>LAND ROVER EXCEDENTE LAND ROVER</t>
  </si>
  <si>
    <t>SALDO ADELANTOS AL 17-09-2022</t>
  </si>
  <si>
    <t>EZO-248</t>
  </si>
  <si>
    <t>CESAR ISAZA</t>
  </si>
  <si>
    <t>TFP-394</t>
  </si>
  <si>
    <t>PINTAR CAPO/ PULIR FAROLAS/ AJUSTE BOMPER DEL.</t>
  </si>
  <si>
    <t>NO. 2848, MASILLA</t>
  </si>
  <si>
    <t>2850, MASILLA</t>
  </si>
  <si>
    <t>PENDIENTE</t>
  </si>
  <si>
    <t>TSM-325</t>
  </si>
  <si>
    <t>EXTRAER ESPARRAGOS ROTOS</t>
  </si>
  <si>
    <t>WILLYS</t>
  </si>
  <si>
    <t>DISCO DE ESMERILAR</t>
  </si>
  <si>
    <t>BDY-763</t>
  </si>
  <si>
    <t>CH</t>
  </si>
  <si>
    <t>WTM-950</t>
  </si>
  <si>
    <t>SOLDAR BASE DE MOTOR</t>
  </si>
  <si>
    <t>RC:22</t>
  </si>
  <si>
    <t>CRISTIAN MILLA</t>
  </si>
  <si>
    <t>LLO-893</t>
  </si>
  <si>
    <t>FURGON</t>
  </si>
  <si>
    <t>REPARACION ESQUINA FURGON</t>
  </si>
  <si>
    <t xml:space="preserve">DISCO DE CORTE </t>
  </si>
  <si>
    <t>FACTURADO</t>
  </si>
  <si>
    <t xml:space="preserve">GANANCIA </t>
  </si>
  <si>
    <t>CYV-936</t>
  </si>
  <si>
    <t>ARREGLAR GUAYA DE VIDRIO Y RIEL</t>
  </si>
  <si>
    <t>TMAGOLF</t>
  </si>
  <si>
    <t>IMPERMEABILIZAE TECHO</t>
  </si>
  <si>
    <t>PICANTO</t>
  </si>
  <si>
    <t>DJV-993</t>
  </si>
  <si>
    <t>REPARACION BOMPER/ GUARDAFANGO TRASERO DERECHO</t>
  </si>
  <si>
    <t>SERGIO PEÑA</t>
  </si>
  <si>
    <t>RM:293</t>
  </si>
  <si>
    <t>KEVIN MONTAÑEZ</t>
  </si>
  <si>
    <t>RNV-662</t>
  </si>
  <si>
    <t>ANTONIO PLAZA</t>
  </si>
  <si>
    <t>IWY-795</t>
  </si>
  <si>
    <t>RICHARD VILLABONA</t>
  </si>
  <si>
    <t>TUCSON</t>
  </si>
  <si>
    <t>KJO-948</t>
  </si>
  <si>
    <t>PINTAR PARACHOQUE</t>
  </si>
  <si>
    <t>DUSTER</t>
  </si>
  <si>
    <t>RETOQUE MALETERA Y GUARDABARRO TRASERO</t>
  </si>
  <si>
    <t>YANETH DIAZ</t>
  </si>
  <si>
    <t>FORD DIESTA</t>
  </si>
  <si>
    <t>ZYU-277</t>
  </si>
  <si>
    <t>BOMPER TRASERO/ PUERTAS LADO CHOFER / ESTRIBO DEL MISMO LADO</t>
  </si>
  <si>
    <t>HONDA</t>
  </si>
  <si>
    <t>BOMPER Y GF DERECHO</t>
  </si>
  <si>
    <t>HTP-618</t>
  </si>
  <si>
    <t>MASILLA /FACTURA 2900</t>
  </si>
  <si>
    <t>MASILLA/FACTURA 2900</t>
  </si>
  <si>
    <t>DMW-431</t>
  </si>
  <si>
    <t>Suma de MONTO DE COMPRA</t>
  </si>
  <si>
    <t>Suma de PORCENTAJE A CANCELAR</t>
  </si>
  <si>
    <t>Etiquetas de fila</t>
  </si>
  <si>
    <t>Total general</t>
  </si>
  <si>
    <t>jul</t>
  </si>
  <si>
    <t>ago</t>
  </si>
  <si>
    <t>sep</t>
  </si>
  <si>
    <t>Cuenta de REPUESTOS USADOS</t>
  </si>
  <si>
    <t>JULIO</t>
  </si>
  <si>
    <t>AGOSTO</t>
  </si>
  <si>
    <t>SEPTIEMBRE</t>
  </si>
  <si>
    <t>OCTUBRE</t>
  </si>
  <si>
    <t>BRONCO</t>
  </si>
  <si>
    <t>CAMBIO ESPARRAGO</t>
  </si>
  <si>
    <t xml:space="preserve"> 02 DISCO LIJA 80</t>
  </si>
  <si>
    <t>ACCENT</t>
  </si>
  <si>
    <t>BTR-666</t>
  </si>
  <si>
    <t>DISCO DE CORTE , ELECTRODOS</t>
  </si>
  <si>
    <t>ADAPTAR SILLA</t>
  </si>
  <si>
    <t>REMOVEDOR/CINTA</t>
  </si>
  <si>
    <t>22/10/200</t>
  </si>
  <si>
    <t>PETROSERVIS</t>
  </si>
  <si>
    <t>SWR-662</t>
  </si>
  <si>
    <t>ARREGLO SOPORTE REPUESTOS</t>
  </si>
  <si>
    <t>RGU-265</t>
  </si>
  <si>
    <t>LATONERIA Y PINTURA EN GENERAL EXTERIOR</t>
  </si>
  <si>
    <t>JORGE MOLINA</t>
  </si>
  <si>
    <t>SANDERO</t>
  </si>
  <si>
    <t>UCR-553</t>
  </si>
  <si>
    <t>PULIR</t>
  </si>
  <si>
    <t>JUZ-653</t>
  </si>
  <si>
    <t>REPARACION DE PARRILLA</t>
  </si>
  <si>
    <t>KEX-032</t>
  </si>
  <si>
    <t>PINTAR VARIAS PIEZAS</t>
  </si>
  <si>
    <t>Columna1</t>
  </si>
  <si>
    <t>MASILLA/FV: 2948</t>
  </si>
  <si>
    <t>MARIELA SOSA</t>
  </si>
  <si>
    <t>NKR</t>
  </si>
  <si>
    <t>WCX-670</t>
  </si>
  <si>
    <t>RETOQUE BOMPER , TECHO DE CABINA, PINTURA  DE COSTADOS FURGON</t>
  </si>
  <si>
    <t>MIGUEL A MESTIZO</t>
  </si>
  <si>
    <t>OVE-038</t>
  </si>
  <si>
    <t>2954/2953/GASOLINA/MASILLA</t>
  </si>
  <si>
    <t xml:space="preserve">  7/11/2022</t>
  </si>
  <si>
    <t>MARCO TULIO AVILA</t>
  </si>
  <si>
    <t>MAZDA 626</t>
  </si>
  <si>
    <t>CSG-165</t>
  </si>
  <si>
    <t>LATONERIA Y PINTURA PUERTA Y COSTADO</t>
  </si>
  <si>
    <t>MASILLA/F:2964</t>
  </si>
  <si>
    <t>CIPAVI SAS</t>
  </si>
  <si>
    <t>DBO-650</t>
  </si>
  <si>
    <t>PULIR DOS FAROS</t>
  </si>
  <si>
    <t>SKODA</t>
  </si>
  <si>
    <t>JUAN CARLOS RIVERA</t>
  </si>
  <si>
    <t>UDK-208</t>
  </si>
  <si>
    <t>PINTURA BOMPER Y ESTRIBO/POLICHADO</t>
  </si>
  <si>
    <t>MASILLA/F:2969</t>
  </si>
  <si>
    <t>MARIA SOSA</t>
  </si>
  <si>
    <t>LJU-419</t>
  </si>
  <si>
    <t>PUERTA LADO CONDUCTOR</t>
  </si>
  <si>
    <t>CH ONIX</t>
  </si>
  <si>
    <t>MARIA IBAÑEZ</t>
  </si>
  <si>
    <t>KZZ-379</t>
  </si>
  <si>
    <t>CBOMPER TRSERO / DELANTERO/ PUERTA LADO CONDUCTOR/BAUL</t>
  </si>
  <si>
    <t>PAULA CVALDERON</t>
  </si>
  <si>
    <t>CVR-058</t>
  </si>
  <si>
    <t>CORRECCION ENTRADA DE AGUA</t>
  </si>
  <si>
    <t>NELSON PARRA</t>
  </si>
  <si>
    <t>OJF-038</t>
  </si>
  <si>
    <t>LATONERIA Y PINTURA COMPLETO</t>
  </si>
  <si>
    <t>REMOVEDOR/MASILLA/2975/2992</t>
  </si>
  <si>
    <t>CAPOT</t>
  </si>
  <si>
    <t>OSCAR GARCIA</t>
  </si>
  <si>
    <t>LUV</t>
  </si>
  <si>
    <t>KJQ-294</t>
  </si>
  <si>
    <t>PINTAR CHASSIS</t>
  </si>
  <si>
    <t>GASOLINA/</t>
  </si>
  <si>
    <t>2992/PINES</t>
  </si>
  <si>
    <t>BSB-780</t>
  </si>
  <si>
    <t>TERRACAN</t>
  </si>
  <si>
    <t>CARLOS SUPELANO</t>
  </si>
  <si>
    <t>PINTAR EXTENSIONES/RETROVISOR DERECHO/ESTRIBO DERECHO/PUERTA TRASERA/GFANGO IZQ TRASERO</t>
  </si>
  <si>
    <t>PINES/MASILLA/2999</t>
  </si>
  <si>
    <t>CEN-995</t>
  </si>
  <si>
    <t>FORD EXPLORER</t>
  </si>
  <si>
    <t>SOLDADURA CHASSIS</t>
  </si>
  <si>
    <t>ELECTRODOS</t>
  </si>
  <si>
    <t>UTP-973</t>
  </si>
  <si>
    <t>PINTAR 2 PUERTAS DERECHA Y UNA IZQUIERDA</t>
  </si>
  <si>
    <t>2640/MASILLA</t>
  </si>
  <si>
    <t>JOVANNY CARREON</t>
  </si>
  <si>
    <t>JAU-726</t>
  </si>
  <si>
    <t>PINTURA BOMPER TRASERO</t>
  </si>
  <si>
    <t>GILMER BELTRAN</t>
  </si>
  <si>
    <t>LHZ-389</t>
  </si>
  <si>
    <t>RETOQUE PUERTA DERECHA TRASERA</t>
  </si>
  <si>
    <t>GTL-424</t>
  </si>
  <si>
    <t>REPARACION DE BABERO</t>
  </si>
  <si>
    <t>SOLDAURA CHASSIS</t>
  </si>
  <si>
    <t>COMERCIALIZADORA AKESA SAS</t>
  </si>
  <si>
    <t>JKV-527</t>
  </si>
  <si>
    <t>ENDEREZAR GUARDA BARRO</t>
  </si>
  <si>
    <t>DUVAN MORENO</t>
  </si>
  <si>
    <t>HKM-663</t>
  </si>
  <si>
    <t>ARREGLO GUARDAFANGO IZQ/BOMPER</t>
  </si>
  <si>
    <t>MASILLA/2644</t>
  </si>
  <si>
    <t>2644/MASILLA</t>
  </si>
  <si>
    <t>METALCARGOS</t>
  </si>
  <si>
    <t>NPR</t>
  </si>
  <si>
    <t>TFT-701</t>
  </si>
  <si>
    <t>ARREGLO CHASSIS</t>
  </si>
  <si>
    <t>15 PINES PENDIENTES / DISCO DE CORTE /ELECTRODOS / LAMINA/ TUERCA/MADERAS/REMACHES</t>
  </si>
  <si>
    <t>CAMRY</t>
  </si>
  <si>
    <t>BUI</t>
  </si>
  <si>
    <t>MCS-580</t>
  </si>
  <si>
    <t>ARREGLO DE PUERTAS</t>
  </si>
  <si>
    <t>TOYOTA</t>
  </si>
  <si>
    <t>2543/MASILLA</t>
  </si>
  <si>
    <t>QFV-339</t>
  </si>
  <si>
    <t>SASTOQUE</t>
  </si>
  <si>
    <t>3032/3033</t>
  </si>
  <si>
    <t>VARSOL</t>
  </si>
  <si>
    <t>PAGO DAV</t>
  </si>
  <si>
    <t>RM:563</t>
  </si>
  <si>
    <t>FLORICONSTRUCCIONES</t>
  </si>
  <si>
    <t>BWO-959</t>
  </si>
  <si>
    <t xml:space="preserve">REPARACION BOMPER </t>
  </si>
  <si>
    <t>LIJA P/ORBITAL 280</t>
  </si>
  <si>
    <t>LIJA P/ORBITAL 280-80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</si>
  <si>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</si>
  <si>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JULIAN CARO</t>
  </si>
  <si>
    <t>INTER</t>
  </si>
  <si>
    <t>TZS-344</t>
  </si>
  <si>
    <t>COLOCAR BABERO</t>
  </si>
  <si>
    <t>SOLDADURA BASE PLACA</t>
  </si>
  <si>
    <t>EMEB</t>
  </si>
  <si>
    <t>FIAT SIENA</t>
  </si>
  <si>
    <t>REPARACION SOPORTE TAPA MOTOR</t>
  </si>
  <si>
    <t>REPARACION DE TABLERO</t>
  </si>
  <si>
    <t>UIG-883</t>
  </si>
  <si>
    <t>BLANCO P</t>
  </si>
  <si>
    <t>COMERCIALIZADORA AKESAN</t>
  </si>
  <si>
    <t>ABONO CLIENTE</t>
  </si>
  <si>
    <t>CUENTA SALDADA CON LA PINTADA CARRO VERDE</t>
  </si>
  <si>
    <t>JKV 527</t>
  </si>
  <si>
    <t>10 ELECTRODOS</t>
  </si>
  <si>
    <t>1 CINTA</t>
  </si>
  <si>
    <t>RCHE CIEGO</t>
  </si>
  <si>
    <t>RCHE CIEGO ARCOLI</t>
  </si>
  <si>
    <t>1/4 MASILLA</t>
  </si>
  <si>
    <t>10 LIJAS</t>
  </si>
  <si>
    <t>5 VELCRO</t>
  </si>
  <si>
    <t>1/4 ESMALTE NEGRO</t>
  </si>
  <si>
    <t>1/4 THINER</t>
  </si>
  <si>
    <t>1/8 RUDINNY</t>
  </si>
  <si>
    <t>6 LIJOS BRILLO</t>
  </si>
  <si>
    <t>8 LIJAS</t>
  </si>
  <si>
    <t>POLIURETANO NEGRO</t>
  </si>
  <si>
    <t>1/2 GAL DISOLVENTE</t>
  </si>
  <si>
    <t>2 CINTA VERDE</t>
  </si>
  <si>
    <t>BLANCO UN 3/4</t>
  </si>
  <si>
    <t>THINNER</t>
  </si>
  <si>
    <t>THINNER 1/4</t>
  </si>
  <si>
    <t>CARCRIL 2/4</t>
  </si>
  <si>
    <t>ROLLO PLASTICO</t>
  </si>
  <si>
    <t>DISOLVENTE 1/4</t>
  </si>
  <si>
    <t>CREMATO 7MC</t>
  </si>
  <si>
    <t>LIJAS 20 + LIJAS 4+ 2</t>
  </si>
  <si>
    <t>MASILLAS 1/4</t>
  </si>
  <si>
    <t>PLATA</t>
  </si>
  <si>
    <t>RUDDINY</t>
  </si>
  <si>
    <t>FONDO</t>
  </si>
  <si>
    <t>FE:378</t>
  </si>
  <si>
    <t>MAQUINA</t>
  </si>
  <si>
    <t>REPINTADA</t>
  </si>
  <si>
    <t>SOLDADURAS</t>
  </si>
  <si>
    <t>PINTURA CARPA</t>
  </si>
  <si>
    <t>COLOR BLANCO</t>
  </si>
  <si>
    <t>DISOLVENTE</t>
  </si>
  <si>
    <t>CATALIZADOR</t>
  </si>
  <si>
    <t>POLIVERTANO COLOR</t>
  </si>
  <si>
    <t>POLIMER PLASTICO</t>
  </si>
  <si>
    <t>23 LIJAS</t>
  </si>
  <si>
    <t>6 ELECTRODOS</t>
  </si>
  <si>
    <t>SMN-654</t>
  </si>
  <si>
    <t>CITROEN</t>
  </si>
  <si>
    <t>LIJA P/ ORBITAL</t>
  </si>
  <si>
    <t>REPACION PIEZA</t>
  </si>
  <si>
    <t>MASILLA ´POLIESTER</t>
  </si>
  <si>
    <t>PQ DE ESPATULA</t>
  </si>
  <si>
    <t>MASILLA WURTH</t>
  </si>
  <si>
    <t>PRIMER PLASTICO</t>
  </si>
  <si>
    <t>LIJAS</t>
  </si>
  <si>
    <t>MASILLA DE RETOQUE</t>
  </si>
  <si>
    <t>METALCARGO</t>
  </si>
  <si>
    <t>OSCAR URREGO OCAMPO</t>
  </si>
  <si>
    <t>SQI-- 349</t>
  </si>
  <si>
    <t>1/2 BLANCO</t>
  </si>
  <si>
    <t>1/8 DE FONDO</t>
  </si>
  <si>
    <t>1/2 GALON DE THINNER</t>
  </si>
  <si>
    <t>1/16 NEGRO POLIURETANA</t>
  </si>
  <si>
    <t>BARMIZ</t>
  </si>
  <si>
    <t>2/4 CALCRIL</t>
  </si>
  <si>
    <t>2 MARTILLOS</t>
  </si>
  <si>
    <t>2 CINTA</t>
  </si>
  <si>
    <t>PINTURA BOMPER</t>
  </si>
  <si>
    <t>HZP-647</t>
  </si>
  <si>
    <t xml:space="preserve">2 CINTAS </t>
  </si>
  <si>
    <t>VELCRO</t>
  </si>
  <si>
    <t>DISCOS FLAX</t>
  </si>
  <si>
    <t>NEGRO</t>
  </si>
  <si>
    <t>ROJO</t>
  </si>
  <si>
    <t>THINNER / THINNER</t>
  </si>
  <si>
    <t>BEIZ / DISOLVENTE</t>
  </si>
  <si>
    <t>3117 / 3258</t>
  </si>
  <si>
    <t>DISOLVENTE 3280</t>
  </si>
  <si>
    <t>LIJAS + BLANCO 3280</t>
  </si>
  <si>
    <t>4 LIJAS + NEGRO 1/16</t>
  </si>
  <si>
    <t>MASILLA+ MASILLA WURT</t>
  </si>
  <si>
    <t>THINNER 3280 / CINTA</t>
  </si>
  <si>
    <t>FONDO POLI / 2 CINTAS</t>
  </si>
  <si>
    <t>ALEJANDRO ALONZO</t>
  </si>
  <si>
    <t>EDY-728</t>
  </si>
  <si>
    <t>RM:636</t>
  </si>
  <si>
    <t>lamina x 145</t>
  </si>
  <si>
    <t xml:space="preserve">lamina x 118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</si>
</sst>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-&quot;$&quot;* #,##0.00_-;\-&quot;$&quot;* #,##0.00_-;_-&quot;$&quot;* &quot;-&quot;??_-;_-@_-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1"/>
      <color rgb="FF131313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63">
    <xf numFmtId="0" fontId="0" fillId="0" borderId="0" xfId="0"/>
    <xf numFmtId="0" fontId="0" fillId="0" borderId="0" xfId="0" applyAlignment="1">
      <alignment horizontal="center"/>
    </xf>
    <xf numFmtId="164" fontId="0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164" fontId="0" fillId="0" borderId="0" xfId="0" applyNumberFormat="1" applyAlignment="1">
      <alignment horizontal="center"/>
    </xf>
    <xf numFmtId="0" fontId="0" fillId="2" borderId="0" xfId="0" applyFill="1"/>
    <xf numFmtId="0" fontId="2" fillId="0" borderId="0" xfId="0" applyFont="1"/>
    <xf numFmtId="0" fontId="0" fillId="3" borderId="0" xfId="0" applyFill="1"/>
    <xf numFmtId="14" fontId="0" fillId="0" borderId="0" xfId="0" applyNumberFormat="1"/>
    <xf numFmtId="164" fontId="2" fillId="0" borderId="0" xfId="1" applyFont="1"/>
    <xf numFmtId="0" fontId="2" fillId="4" borderId="6" xfId="0" applyFont="1" applyFill="1" applyBorder="1" applyAlignment="1">
      <alignment horizontal="center"/>
    </xf>
    <xf numFmtId="164" fontId="0" fillId="0" borderId="2" xfId="1" applyFont="1" applyBorder="1"/>
    <xf numFmtId="0" fontId="2" fillId="4" borderId="3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1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1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5" fillId="3" borderId="0" xfId="2" applyFill="1" applyAlignment="1">
      <alignment horizontal="center"/>
    </xf>
    <xf numFmtId="14" fontId="0" fillId="6" borderId="1" xfId="0" applyNumberFormat="1" applyFill="1" applyBorder="1" applyAlignment="1">
      <alignment horizontal="center"/>
    </xf>
    <xf numFmtId="164" fontId="2" fillId="0" borderId="1" xfId="1" applyFont="1" applyFill="1" applyBorder="1"/>
    <xf numFmtId="0" fontId="2" fillId="0" borderId="1" xfId="0" applyFont="1" applyBorder="1"/>
    <xf numFmtId="0" fontId="1" fillId="0" borderId="1" xfId="0" applyFont="1" applyBorder="1"/>
    <xf numFmtId="164" fontId="0" fillId="0" borderId="1" xfId="0" applyNumberFormat="1" applyBorder="1"/>
    <xf numFmtId="164" fontId="2" fillId="0" borderId="1" xfId="0" applyNumberFormat="1" applyFont="1" applyBorder="1"/>
    <xf numFmtId="0" fontId="0" fillId="0" borderId="1" xfId="0" applyBorder="1" applyAlignment="1">
      <alignment horizontal="right"/>
    </xf>
    <xf numFmtId="14" fontId="2" fillId="0" borderId="1" xfId="0" applyNumberFormat="1" applyFont="1" applyBorder="1"/>
    <xf numFmtId="0" fontId="2" fillId="0" borderId="1" xfId="0" applyFont="1" applyBorder="1" applyAlignment="1">
      <alignment horizontal="right"/>
    </xf>
    <xf numFmtId="0" fontId="6" fillId="0" borderId="1" xfId="0" applyFont="1" applyBorder="1" applyAlignment="1">
      <alignment horizontal="right" wrapText="1"/>
    </xf>
    <xf numFmtId="164" fontId="2" fillId="7" borderId="1" xfId="0" applyNumberFormat="1" applyFont="1" applyFill="1" applyBorder="1"/>
    <xf numFmtId="164" fontId="2" fillId="0" borderId="1" xfId="0" applyNumberFormat="1" applyFont="1" applyBorder="1" applyAlignment="1">
      <alignment horizontal="center"/>
    </xf>
    <xf numFmtId="14" fontId="0" fillId="0" borderId="8" xfId="0" applyNumberFormat="1" applyBorder="1" applyAlignment="1">
      <alignment horizontal="center"/>
    </xf>
    <xf numFmtId="44" fontId="0" fillId="0" borderId="0" xfId="0" applyNumberFormat="1"/>
    <xf numFmtId="14" fontId="0" fillId="8" borderId="0" xfId="0" applyNumberFormat="1" applyFill="1" applyAlignment="1">
      <alignment horizontal="center"/>
    </xf>
    <xf numFmtId="0" fontId="0" fillId="8" borderId="0" xfId="0" applyFill="1" applyAlignment="1">
      <alignment horizontal="center"/>
    </xf>
    <xf numFmtId="164" fontId="0" fillId="8" borderId="0" xfId="1" applyFont="1" applyFill="1" applyAlignment="1">
      <alignment horizontal="center"/>
    </xf>
    <xf numFmtId="0" fontId="5" fillId="8" borderId="0" xfId="2" applyFill="1" applyAlignment="1">
      <alignment horizontal="center"/>
    </xf>
    <xf numFmtId="164" fontId="2" fillId="0" borderId="0" xfId="0" applyNumberFormat="1" applyFont="1"/>
    <xf numFmtId="44" fontId="2" fillId="0" borderId="0" xfId="0" applyNumberFormat="1" applyFont="1"/>
    <xf numFmtId="164" fontId="0" fillId="8" borderId="0" xfId="0" applyNumberFormat="1" applyFill="1" applyAlignment="1">
      <alignment horizontal="center"/>
    </xf>
    <xf numFmtId="44" fontId="0" fillId="8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1" xfId="1" applyFont="1" applyFill="1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9" borderId="1" xfId="1" applyFont="1" applyFill="1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1" applyNumberFormat="1" applyFont="1" applyFill="1" applyBorder="1" applyAlignment="1">
      <alignment horizontal="left"/>
    </xf>
    <xf numFmtId="164" fontId="0" fillId="0" borderId="12" xfId="1" applyFont="1" applyFill="1" applyBorder="1" applyAlignment="1">
      <alignment horizontal="center"/>
    </xf>
    <xf numFmtId="164" fontId="7" fillId="0" borderId="11" xfId="1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0" fontId="0" fillId="0" borderId="11" xfId="0" applyBorder="1" applyAlignment="1">
      <alignment horizontal="center"/>
    </xf>
    <xf numFmtId="164" fontId="8" fillId="0" borderId="1" xfId="1" applyFont="1" applyFill="1" applyBorder="1" applyAlignment="1">
      <alignment horizontal="center"/>
    </xf>
    <xf numFmtId="0" fontId="8" fillId="0" borderId="1" xfId="1" applyNumberFormat="1" applyFont="1" applyFill="1" applyBorder="1" applyAlignment="1">
      <alignment horizontal="center"/>
    </xf>
    <xf numFmtId="44" fontId="0" fillId="0" borderId="0" xfId="0" applyNumberFormat="1" applyAlignment="1">
      <alignment horizontal="center"/>
    </xf>
    <xf numFmtId="164" fontId="0" fillId="0" borderId="0" xfId="1" applyFont="1"/>
    <xf numFmtId="0" fontId="0" fillId="0" borderId="0" xfId="0" applyAlignment="1">
      <alignment wrapText="1"/>
    </xf>
    <xf numFmtId="0" fontId="0" fillId="8" borderId="0" xfId="0" applyFill="1" applyAlignment="1">
      <alignment horizontal="center" wrapText="1"/>
    </xf>
    <xf numFmtId="0" fontId="0" fillId="10" borderId="11" xfId="0" applyFill="1" applyBorder="1" applyAlignment="1">
      <alignment horizontal="center"/>
    </xf>
    <xf numFmtId="164" fontId="0" fillId="10" borderId="11" xfId="1" applyFont="1" applyFill="1" applyBorder="1" applyAlignment="1">
      <alignment horizontal="center"/>
    </xf>
    <xf numFmtId="164" fontId="0" fillId="0" borderId="11" xfId="1" applyFont="1" applyBorder="1" applyAlignment="1">
      <alignment horizontal="center"/>
    </xf>
    <xf numFmtId="164" fontId="0" fillId="8" borderId="0" xfId="1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3" borderId="0" xfId="0" applyFill="1" applyAlignment="1">
      <alignment horizontal="center" wrapText="1"/>
    </xf>
    <xf numFmtId="164" fontId="0" fillId="0" borderId="0" xfId="1" applyFont="1" applyAlignment="1">
      <alignment horizontal="center" wrapText="1"/>
    </xf>
    <xf numFmtId="164" fontId="0" fillId="8" borderId="15" xfId="1" applyFont="1" applyFill="1" applyBorder="1" applyAlignment="1">
      <alignment horizontal="center"/>
    </xf>
    <xf numFmtId="164" fontId="0" fillId="0" borderId="0" xfId="1" applyFont="1" applyFill="1" applyAlignment="1">
      <alignment horizontal="center"/>
    </xf>
    <xf numFmtId="164" fontId="0" fillId="0" borderId="0" xfId="1" applyFont="1" applyFill="1" applyBorder="1" applyAlignment="1">
      <alignment horizontal="center"/>
    </xf>
    <xf numFmtId="164" fontId="0" fillId="0" borderId="0" xfId="1" applyFont="1" applyFill="1" applyAlignment="1">
      <alignment horizontal="center" wrapText="1"/>
    </xf>
    <xf numFmtId="164" fontId="0" fillId="0" borderId="1" xfId="1" applyFont="1" applyBorder="1" applyAlignment="1">
      <alignment horizontal="center" wrapText="1"/>
    </xf>
    <xf numFmtId="14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center"/>
    </xf>
    <xf numFmtId="164" fontId="0" fillId="11" borderId="0" xfId="1" applyFont="1" applyFill="1" applyAlignment="1">
      <alignment horizontal="center"/>
    </xf>
    <xf numFmtId="164" fontId="0" fillId="11" borderId="0" xfId="0" applyNumberFormat="1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pivotButton="1"/>
    <xf numFmtId="14" fontId="0" fillId="8" borderId="17" xfId="0" applyNumberFormat="1" applyFill="1" applyBorder="1" applyAlignment="1">
      <alignment horizontal="center"/>
    </xf>
    <xf numFmtId="0" fontId="0" fillId="8" borderId="11" xfId="0" applyFill="1" applyBorder="1" applyAlignment="1">
      <alignment horizontal="center"/>
    </xf>
    <xf numFmtId="164" fontId="0" fillId="8" borderId="11" xfId="1" applyFont="1" applyFill="1" applyBorder="1" applyAlignment="1">
      <alignment horizontal="center"/>
    </xf>
    <xf numFmtId="164" fontId="0" fillId="8" borderId="16" xfId="1" applyFont="1" applyFill="1" applyBorder="1" applyAlignment="1">
      <alignment horizontal="center"/>
    </xf>
    <xf numFmtId="14" fontId="0" fillId="3" borderId="17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164" fontId="0" fillId="3" borderId="11" xfId="1" applyFont="1" applyFill="1" applyBorder="1" applyAlignment="1">
      <alignment horizontal="center"/>
    </xf>
    <xf numFmtId="44" fontId="0" fillId="8" borderId="11" xfId="0" applyNumberFormat="1" applyFill="1" applyBorder="1" applyAlignment="1">
      <alignment horizontal="center"/>
    </xf>
    <xf numFmtId="164" fontId="0" fillId="3" borderId="16" xfId="1" applyFont="1" applyFill="1" applyBorder="1" applyAlignment="1">
      <alignment horizontal="center"/>
    </xf>
    <xf numFmtId="14" fontId="0" fillId="0" borderId="17" xfId="0" applyNumberFormat="1" applyBorder="1" applyAlignment="1">
      <alignment horizontal="center"/>
    </xf>
    <xf numFmtId="14" fontId="0" fillId="10" borderId="17" xfId="0" applyNumberFormat="1" applyFill="1" applyBorder="1" applyAlignment="1">
      <alignment horizontal="center"/>
    </xf>
    <xf numFmtId="164" fontId="0" fillId="0" borderId="16" xfId="1" applyFont="1" applyBorder="1" applyAlignment="1">
      <alignment horizontal="center"/>
    </xf>
    <xf numFmtId="164" fontId="0" fillId="10" borderId="16" xfId="1" applyFont="1" applyFill="1" applyBorder="1" applyAlignment="1">
      <alignment horizontal="center"/>
    </xf>
    <xf numFmtId="0" fontId="10" fillId="12" borderId="17" xfId="0" applyFont="1" applyFill="1" applyBorder="1" applyAlignment="1">
      <alignment horizontal="center"/>
    </xf>
    <xf numFmtId="0" fontId="10" fillId="12" borderId="11" xfId="0" applyFont="1" applyFill="1" applyBorder="1" applyAlignment="1">
      <alignment horizontal="center"/>
    </xf>
    <xf numFmtId="164" fontId="10" fillId="12" borderId="11" xfId="1" applyFont="1" applyFill="1" applyBorder="1" applyAlignment="1">
      <alignment horizontal="center"/>
    </xf>
    <xf numFmtId="164" fontId="10" fillId="12" borderId="16" xfId="1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0" fontId="10" fillId="12" borderId="1" xfId="0" applyFont="1" applyFill="1" applyBorder="1" applyAlignment="1">
      <alignment horizontal="center"/>
    </xf>
    <xf numFmtId="164" fontId="10" fillId="12" borderId="1" xfId="1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2" fillId="11" borderId="0" xfId="0" applyFont="1" applyFill="1" applyAlignment="1">
      <alignment horizontal="center"/>
    </xf>
    <xf numFmtId="164" fontId="2" fillId="0" borderId="0" xfId="1" applyFont="1" applyFill="1" applyAlignment="1">
      <alignment horizontal="center"/>
    </xf>
    <xf numFmtId="164" fontId="2" fillId="11" borderId="0" xfId="1" applyFont="1" applyFill="1" applyAlignment="1">
      <alignment horizontal="center"/>
    </xf>
    <xf numFmtId="164" fontId="2" fillId="0" borderId="0" xfId="1" applyFont="1" applyFill="1" applyBorder="1" applyAlignment="1">
      <alignment horizontal="center"/>
    </xf>
    <xf numFmtId="11" fontId="2" fillId="11" borderId="0" xfId="0" applyNumberFormat="1" applyFont="1" applyFill="1" applyAlignment="1">
      <alignment horizontal="center"/>
    </xf>
    <xf numFmtId="44" fontId="0" fillId="11" borderId="0" xfId="0" applyNumberFormat="1" applyFill="1" applyAlignment="1">
      <alignment horizontal="center"/>
    </xf>
    <xf numFmtId="0" fontId="0" fillId="11" borderId="11" xfId="0" applyFill="1" applyBorder="1" applyAlignment="1">
      <alignment horizontal="center"/>
    </xf>
    <xf numFmtId="0" fontId="0" fillId="11" borderId="0" xfId="0" applyFill="1" applyAlignment="1">
      <alignment horizontal="center" wrapText="1"/>
    </xf>
    <xf numFmtId="0" fontId="0" fillId="11" borderId="0" xfId="1" applyNumberFormat="1" applyFont="1" applyFill="1" applyAlignment="1">
      <alignment horizontal="center"/>
    </xf>
    <xf numFmtId="44" fontId="0" fillId="11" borderId="0" xfId="0" applyNumberFormat="1" applyFill="1" applyAlignment="1">
      <alignment horizontal="center" wrapText="1"/>
    </xf>
    <xf numFmtId="44" fontId="2" fillId="11" borderId="0" xfId="0" applyNumberFormat="1" applyFont="1" applyFill="1" applyAlignment="1">
      <alignment horizontal="center"/>
    </xf>
    <xf numFmtId="164" fontId="2" fillId="0" borderId="0" xfId="0" applyNumberFormat="1" applyFont="1" applyAlignment="1">
      <alignment horizontal="center"/>
    </xf>
    <xf numFmtId="164" fontId="0" fillId="0" borderId="21" xfId="1" applyFont="1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0" xfId="0" applyFill="1"/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horizontal="center"/>
    </xf>
    <xf numFmtId="164" fontId="0" fillId="0" borderId="1" xfId="1" applyFont="1" applyFill="1" applyBorder="1" applyAlignment="1">
      <alignment horizontal="center"/>
    </xf>
    <xf numFmtId="164" fontId="0" fillId="0" borderId="0" xfId="1" applyFont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5" xfId="0" applyFont="1" applyFill="1" applyBorder="1" applyAlignment="1">
      <alignment horizontal="center"/>
    </xf>
    <xf numFmtId="0" fontId="2" fillId="4" borderId="7" xfId="0" applyFont="1" applyFill="1" applyBorder="1" applyAlignment="1">
      <alignment horizontal="center"/>
    </xf>
    <xf numFmtId="164" fontId="0" fillId="0" borderId="1" xfId="1" applyFont="1" applyBorder="1" applyAlignment="1">
      <alignment horizontal="center"/>
    </xf>
    <xf numFmtId="164" fontId="0" fillId="0" borderId="8" xfId="1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4" borderId="4" xfId="0" applyFont="1" applyFill="1" applyBorder="1" applyAlignment="1">
      <alignment horizontal="center" wrapText="1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1" applyFont="1" applyBorder="1" applyAlignment="1"/>
    <xf numFmtId="164" fontId="0" fillId="0" borderId="9" xfId="1" applyFont="1" applyBorder="1" applyAlignment="1">
      <alignment horizontal="center"/>
    </xf>
    <xf numFmtId="0" fontId="0" fillId="0" borderId="0" xfId="0" applyAlignment="1">
      <alignment horizontal="right"/>
    </xf>
    <xf numFmtId="164" fontId="0" fillId="0" borderId="3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164" fontId="0" fillId="0" borderId="13" xfId="1" applyFont="1" applyBorder="1" applyAlignment="1">
      <alignment horizontal="center"/>
    </xf>
    <xf numFmtId="164" fontId="0" fillId="0" borderId="14" xfId="1" applyFon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164" fontId="0" fillId="0" borderId="18" xfId="1" applyFont="1" applyFill="1" applyBorder="1" applyAlignment="1">
      <alignment horizontal="center"/>
    </xf>
    <xf numFmtId="164" fontId="0" fillId="0" borderId="19" xfId="1" applyFont="1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9" xfId="0" applyBorder="1" applyAlignment="1">
      <alignment horizontal="center"/>
    </xf>
    <xf numFmtId="164" fontId="0" fillId="0" borderId="18" xfId="1" applyFont="1" applyBorder="1" applyAlignment="1">
      <alignment horizontal="center"/>
    </xf>
    <xf numFmtId="164" fontId="0" fillId="0" borderId="19" xfId="1" applyFont="1" applyBorder="1" applyAlignment="1">
      <alignment horizontal="center"/>
    </xf>
    <xf numFmtId="22" fontId="0" fillId="0" borderId="18" xfId="0" applyNumberFormat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0" fontId="11" fillId="2" borderId="0" xfId="0" applyFont="1" applyFill="1" applyAlignment="1">
      <alignment horizontal="center"/>
    </xf>
    <xf numFmtId="17" fontId="0" fillId="0" borderId="1" xfId="0" applyNumberFormat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6" borderId="1" xfId="1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1" applyFont="1" applyFill="1" applyBorder="1" applyAlignment="1">
      <alignment horizontal="center"/>
    </xf>
    <xf numFmtId="0" fontId="5" fillId="0" borderId="0" xfId="2" applyAlignment="1">
      <alignment horizontal="center"/>
    </xf>
  </cellXfs>
  <cellStyles count="3">
    <cellStyle name="Hipervínculo" xfId="2" builtinId="8"/>
    <cellStyle name="Moneda" xfId="1" builtinId="4"/>
    <cellStyle name="Normal" xfId="0" builtinId="0"/>
  </cellStyles>
  <dxfs count="10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rgb="FF000000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</font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</font>
      <numFmt numFmtId="164" formatCode="_-&quot;$&quot;* #,##0.00_-;\-&quot;$&quot;* #,##0.00_-;_-&quot;$&quot;* &quot;-&quot;??_-;_-@_-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-&quot;$&quot;* #,##0.00_-;\-&quot;$&quot;* #,##0.00_-;_-&quot;$&quot;* &quot;-&quot;??_-;_-@_-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externalLink" Target="externalLinks/externalLink2.xml"/><Relationship Id="rId38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externalLink" Target="externalLinks/externalLink1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TOTAL</a:t>
            </a:r>
            <a:r>
              <a:rPr lang="es-CO" baseline="0"/>
              <a:t> FACTURAS </a:t>
            </a:r>
          </a:p>
          <a:p>
            <a:pPr>
              <a:defRPr/>
            </a:pPr>
            <a:r>
              <a:rPr lang="es-CO" baseline="0"/>
              <a:t>LATONERIA Y PINTURA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ESTADISTICAS!$A$2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5971223021582732E-2"/>
                  <c:y val="-0.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DB93-4E2A-98EC-F2FC6DB18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ESTADISTICAS!$B$1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ESTADISTICAS!$B$2:$E$2</c15:sqref>
                  </c15:fullRef>
                </c:ext>
              </c:extLst>
              <c:f>ESTADISTICAS!$B$2</c:f>
              <c:numCache>
                <c:formatCode>_-"$"* #,##0.00_-;\-"$"* #,##0.00_-;_-"$"* "-"??_-;_-@_-</c:formatCode>
                <c:ptCount val="1"/>
                <c:pt idx="0">
                  <c:v>5350000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B93-4E2A-98EC-F2FC6DB18FD4}"/>
            </c:ext>
          </c:extLst>
        </c:ser>
        <c:ser>
          <c:idx val="1"/>
          <c:order val="1"/>
          <c:tx>
            <c:strRef>
              <c:f>ESTADISTICAS!$A$3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9424460431654678"/>
                  <c:y val="-6.0000000000000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DB93-4E2A-98EC-F2FC6DB18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ESTADISTICAS!$B$1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ESTADISTICAS!$B$3:$E$3</c15:sqref>
                  </c15:fullRef>
                </c:ext>
              </c:extLst>
              <c:f>ESTADISTICAS!$B$3</c:f>
              <c:numCache>
                <c:formatCode>_-"$"* #,##0.00_-;\-"$"* #,##0.00_-;_-"$"* "-"??_-;_-@_-</c:formatCode>
                <c:ptCount val="1"/>
                <c:pt idx="0">
                  <c:v>9600000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B93-4E2A-98EC-F2FC6DB18FD4}"/>
            </c:ext>
          </c:extLst>
        </c:ser>
        <c:ser>
          <c:idx val="2"/>
          <c:order val="2"/>
          <c:tx>
            <c:strRef>
              <c:f>ESTADISTICAS!$A$4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9136690647482008E-2"/>
                  <c:y val="-8.0000000000000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DB93-4E2A-98EC-F2FC6DB18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ESTADISTICAS!$B$1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ESTADISTICAS!$B$4:$E$4</c15:sqref>
                  </c15:fullRef>
                </c:ext>
              </c:extLst>
              <c:f>ESTADISTICAS!$B$4</c:f>
              <c:numCache>
                <c:formatCode>_-"$"* #,##0.00_-;\-"$"* #,##0.00_-;_-"$"* "-"??_-;_-@_-</c:formatCode>
                <c:ptCount val="1"/>
                <c:pt idx="0">
                  <c:v>4130000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B93-4E2A-98EC-F2FC6DB18FD4}"/>
            </c:ext>
          </c:extLst>
        </c:ser>
        <c:ser>
          <c:idx val="3"/>
          <c:order val="3"/>
          <c:tx>
            <c:strRef>
              <c:f>ESTADISTICAS!$A$5</c:f>
              <c:strCache>
                <c:ptCount val="1"/>
                <c:pt idx="0">
                  <c:v>OCTUBRE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8818129661503155"/>
                  <c:y val="-6.829268292682927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DB93-4E2A-98EC-F2FC6DB18FD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ESTADISTICAS!$B$1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ESTADISTICAS!$B$5:$E$5</c15:sqref>
                  </c15:fullRef>
                </c:ext>
              </c:extLst>
              <c:f>ESTADISTICAS!$B$5</c:f>
              <c:numCache>
                <c:formatCode>_-"$"* #,##0.00_-;\-"$"* #,##0.00_-;_-"$"* "-"??_-;_-@_-</c:formatCode>
                <c:ptCount val="1"/>
                <c:pt idx="0">
                  <c:v>4400000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B93-4E2A-98EC-F2FC6DB18FD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GASTOS</a:t>
            </a:r>
          </a:p>
          <a:p>
            <a:pPr>
              <a:defRPr/>
            </a:pPr>
            <a:r>
              <a:rPr lang="es-CO"/>
              <a:t>LATONERIA Y PINTURA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ESTADISTICAS!$A$2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4388489208633094E-2"/>
                  <c:y val="-3.6666666666666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E6A-47F8-B82D-3B84CA24E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ESTADISTICAS!$D$1</c:f>
              <c:strCache>
                <c:ptCount val="1"/>
                <c:pt idx="0">
                  <c:v> GASTOS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ESTADISTICAS!$B$2:$E$2</c15:sqref>
                  </c15:fullRef>
                </c:ext>
              </c:extLst>
              <c:f>ESTADISTICAS!$D$2</c:f>
              <c:numCache>
                <c:formatCode>_-"$"* #,##0.00_-;\-"$"* #,##0.00_-;_-"$"* "-"??_-;_-@_-</c:formatCode>
                <c:ptCount val="1"/>
                <c:pt idx="0">
                  <c:v>1018900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ESTADISTICAS!$B$2</c15:sqref>
                  <c15:dLbl>
                    <c:idx val="-1"/>
                    <c:layout>
                      <c:manualLayout>
                        <c:x val="-3.5971223021582732E-2"/>
                        <c:y val="-0.1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D7C9-42AC-967F-0939BF0E5423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0E6A-47F8-B82D-3B84CA24EF97}"/>
            </c:ext>
          </c:extLst>
        </c:ser>
        <c:ser>
          <c:idx val="1"/>
          <c:order val="1"/>
          <c:tx>
            <c:strRef>
              <c:f>ESTADISTICAS!$A$3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4340527577937646E-2"/>
                  <c:y val="-7.3333333333333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E6A-47F8-B82D-3B84CA24E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ESTADISTICAS!$D$1</c:f>
              <c:strCache>
                <c:ptCount val="1"/>
                <c:pt idx="0">
                  <c:v> GASTOS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ESTADISTICAS!$B$3:$E$3</c15:sqref>
                  </c15:fullRef>
                </c:ext>
              </c:extLst>
              <c:f>ESTADISTICAS!$D$3</c:f>
              <c:numCache>
                <c:formatCode>_-"$"* #,##0.00_-;\-"$"* #,##0.00_-;_-"$"* "-"??_-;_-@_-</c:formatCode>
                <c:ptCount val="1"/>
                <c:pt idx="0">
                  <c:v>1567500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ESTADISTICAS!$B$3</c15:sqref>
                  <c15:dLbl>
                    <c:idx val="-1"/>
                    <c:layout>
                      <c:manualLayout>
                        <c:x val="0.19424460431654678"/>
                        <c:y val="-6.000000000000003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D7C9-42AC-967F-0939BF0E5423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3-0E6A-47F8-B82D-3B84CA24EF97}"/>
            </c:ext>
          </c:extLst>
        </c:ser>
        <c:ser>
          <c:idx val="2"/>
          <c:order val="2"/>
          <c:tx>
            <c:strRef>
              <c:f>ESTADISTICAS!$A$4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5.3862746678849445E-2"/>
                  <c:y val="-0.1653858784893268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E6A-47F8-B82D-3B84CA24E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ESTADISTICAS!$D$1</c:f>
              <c:strCache>
                <c:ptCount val="1"/>
                <c:pt idx="0">
                  <c:v> GASTOS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ESTADISTICAS!$B$4:$E$4</c15:sqref>
                  </c15:fullRef>
                </c:ext>
              </c:extLst>
              <c:f>ESTADISTICAS!$D$4</c:f>
              <c:numCache>
                <c:formatCode>_-"$"* #,##0.00_-;\-"$"* #,##0.00_-;_-"$"* "-"??_-;_-@_-</c:formatCode>
                <c:ptCount val="1"/>
                <c:pt idx="0">
                  <c:v>687000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ESTADISTICAS!$B$4</c15:sqref>
                  <c15:dLbl>
                    <c:idx val="-1"/>
                    <c:layout>
                      <c:manualLayout>
                        <c:x val="7.9136690647482008E-2"/>
                        <c:y val="-8.000000000000005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D7C9-42AC-967F-0939BF0E5423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5-0E6A-47F8-B82D-3B84CA24EF97}"/>
            </c:ext>
          </c:extLst>
        </c:ser>
        <c:ser>
          <c:idx val="3"/>
          <c:order val="3"/>
          <c:tx>
            <c:strRef>
              <c:f>ESTADISTICAS!$A$5</c:f>
              <c:strCache>
                <c:ptCount val="1"/>
                <c:pt idx="0">
                  <c:v>OCTUBRE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8.6461888509669918E-2"/>
                  <c:y val="-6.896551724137936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E6A-47F8-B82D-3B84CA24EF9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ESTADISTICAS!$D$1</c:f>
              <c:strCache>
                <c:ptCount val="1"/>
                <c:pt idx="0">
                  <c:v> GASTOS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ESTADISTICAS!$B$5:$E$5</c15:sqref>
                  </c15:fullRef>
                </c:ext>
              </c:extLst>
              <c:f>ESTADISTICAS!$D$5</c:f>
              <c:numCache>
                <c:formatCode>_-"$"* #,##0.00_-;\-"$"* #,##0.00_-;_-"$"* "-"??_-;_-@_-</c:formatCode>
                <c:ptCount val="1"/>
                <c:pt idx="0">
                  <c:v>904700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0E6A-47F8-B82D-3B84CA24E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GANANCIA</a:t>
            </a:r>
          </a:p>
        </c:rich>
      </c:tx>
      <c:layout>
        <c:manualLayout>
          <c:xMode val="edge"/>
          <c:yMode val="edge"/>
          <c:x val="2.7123359580052499E-2"/>
          <c:y val="4.22163588390501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ESTADISTICAS!$A$2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4.7961630695443645E-2"/>
                  <c:y val="-0.140000000000000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8CA1-4609-9158-5892B80E6B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ESTADISTICAS!$E$1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ESTADISTICAS!$B$2:$E$2</c15:sqref>
                  </c15:fullRef>
                </c:ext>
              </c:extLst>
              <c:f>ESTADISTICAS!$E$2</c:f>
              <c:numCache>
                <c:formatCode>_-"$"* #,##0.00_-;\-"$"* #,##0.00_-;_-"$"* "-"??_-;_-@_-</c:formatCode>
                <c:ptCount val="1"/>
                <c:pt idx="0">
                  <c:v>1732440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ESTADISTICAS!$B$2</c15:sqref>
                  <c15:dLbl>
                    <c:idx val="-1"/>
                    <c:layout>
                      <c:manualLayout>
                        <c:x val="-3.5971223021582732E-2"/>
                        <c:y val="-0.1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5BCF-4825-8F37-90C8B8F31746}"/>
                      </c:ext>
                    </c:extLst>
                  </c15:dLbl>
                </c15:categoryFilterException>
                <c15:categoryFilterException>
                  <c15:sqref>ESTADISTICAS!$D$2</c15:sqref>
                  <c15:dLbl>
                    <c:idx val="-1"/>
                    <c:layout>
                      <c:manualLayout>
                        <c:x val="-1.4388489208633094E-2"/>
                        <c:y val="-3.666666666666672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5BCF-4825-8F37-90C8B8F3174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8CA1-4609-9158-5892B80E6B7A}"/>
            </c:ext>
          </c:extLst>
        </c:ser>
        <c:ser>
          <c:idx val="1"/>
          <c:order val="1"/>
          <c:tx>
            <c:strRef>
              <c:f>ESTADISTICAS!$A$3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7026378896882494"/>
                  <c:y val="-8.99999999999999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8CA1-4609-9158-5892B80E6B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ESTADISTICAS!$E$1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ESTADISTICAS!$B$3:$E$3</c15:sqref>
                  </c15:fullRef>
                </c:ext>
              </c:extLst>
              <c:f>ESTADISTICAS!$E$3</c:f>
              <c:numCache>
                <c:formatCode>_-"$"* #,##0.00_-;\-"$"* #,##0.00_-;_-"$"* "-"??_-;_-@_-</c:formatCode>
                <c:ptCount val="1"/>
                <c:pt idx="0">
                  <c:v>3155800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ESTADISTICAS!$B$3</c15:sqref>
                  <c15:dLbl>
                    <c:idx val="-1"/>
                    <c:layout>
                      <c:manualLayout>
                        <c:x val="0.19424460431654678"/>
                        <c:y val="-6.000000000000003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5BCF-4825-8F37-90C8B8F31746}"/>
                      </c:ext>
                    </c:extLst>
                  </c15:dLbl>
                </c15:categoryFilterException>
                <c15:categoryFilterException>
                  <c15:sqref>ESTADISTICAS!$D$3</c15:sqref>
                  <c15:dLbl>
                    <c:idx val="-1"/>
                    <c:layout>
                      <c:manualLayout>
                        <c:x val="7.4340527577937646E-2"/>
                        <c:y val="-7.333333333333334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5BCF-4825-8F37-90C8B8F3174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3-8CA1-4609-9158-5892B80E6B7A}"/>
            </c:ext>
          </c:extLst>
        </c:ser>
        <c:ser>
          <c:idx val="2"/>
          <c:order val="2"/>
          <c:tx>
            <c:strRef>
              <c:f>ESTADISTICAS!$A$4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2949640287769784"/>
                  <c:y val="-0.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8CA1-4609-9158-5892B80E6B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ESTADISTICAS!$E$1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ESTADISTICAS!$B$4:$E$4</c15:sqref>
                  </c15:fullRef>
                </c:ext>
              </c:extLst>
              <c:f>ESTADISTICAS!$E$4</c:f>
              <c:numCache>
                <c:formatCode>_-"$"* #,##0.00_-;\-"$"* #,##0.00_-;_-"$"* "-"??_-;_-@_-</c:formatCode>
                <c:ptCount val="1"/>
                <c:pt idx="0">
                  <c:v>1355200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ESTADISTICAS!$B$4</c15:sqref>
                  <c15:dLbl>
                    <c:idx val="-1"/>
                    <c:layout>
                      <c:manualLayout>
                        <c:x val="7.9136690647482008E-2"/>
                        <c:y val="-8.000000000000005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5BCF-4825-8F37-90C8B8F31746}"/>
                      </c:ext>
                    </c:extLst>
                  </c15:dLbl>
                </c15:categoryFilterException>
                <c15:categoryFilterException>
                  <c15:sqref>ESTADISTICAS!$D$4</c15:sqref>
                  <c15:dLbl>
                    <c:idx val="-1"/>
                    <c:layout>
                      <c:manualLayout>
                        <c:x val="7.4340527577937646E-2"/>
                        <c:y val="-0.08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5BCF-4825-8F37-90C8B8F31746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5-8CA1-4609-9158-5892B80E6B7A}"/>
            </c:ext>
          </c:extLst>
        </c:ser>
        <c:ser>
          <c:idx val="3"/>
          <c:order val="3"/>
          <c:tx>
            <c:strRef>
              <c:f>ESTADISTICAS!$A$5</c:f>
              <c:strCache>
                <c:ptCount val="1"/>
                <c:pt idx="0">
                  <c:v>OCTUBRE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4662084765177549"/>
                  <c:y val="-5.10366826156300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8CA1-4609-9158-5892B80E6B7A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ESTADISTICAS!$B$1:$E$1</c15:sqref>
                  </c15:fullRef>
                </c:ext>
              </c:extLst>
              <c:f>ESTADISTICAS!$E$1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ESTADISTICAS!$B$5:$E$5</c15:sqref>
                  </c15:fullRef>
                </c:ext>
              </c:extLst>
              <c:f>ESTADISTICAS!$E$5</c:f>
              <c:numCache>
                <c:formatCode>_-"$"* #,##0.00_-;\-"$"* #,##0.00_-;_-"$"* "-"??_-;_-@_-</c:formatCode>
                <c:ptCount val="1"/>
                <c:pt idx="0">
                  <c:v>1326120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8CA1-4609-9158-5892B80E6B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Hoja8!$I$2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3.5971223021582732E-2"/>
                  <c:y val="-0.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7E18-472B-8020-FFA2D41D80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Hoja8!$J$1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Hoja8!$J$2:$M$2</c15:sqref>
                  </c15:fullRef>
                </c:ext>
              </c:extLst>
              <c:f>Hoja8!$J$2</c:f>
              <c:numCache>
                <c:formatCode>_-"$"* #,##0.00_-;\-"$"* #,##0.00_-;_-"$"* "-"??_-;_-@_-</c:formatCode>
                <c:ptCount val="1"/>
                <c:pt idx="0">
                  <c:v>5350000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E18-472B-8020-FFA2D41D809E}"/>
            </c:ext>
          </c:extLst>
        </c:ser>
        <c:ser>
          <c:idx val="1"/>
          <c:order val="1"/>
          <c:tx>
            <c:strRef>
              <c:f>Hoja8!$I$3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9424460431654678"/>
                  <c:y val="-6.0000000000000032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7E18-472B-8020-FFA2D41D80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Hoja8!$J$1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Hoja8!$J$3:$M$3</c15:sqref>
                  </c15:fullRef>
                </c:ext>
              </c:extLst>
              <c:f>Hoja8!$J$3</c:f>
              <c:numCache>
                <c:formatCode>_-"$"* #,##0.00_-;\-"$"* #,##0.00_-;_-"$"* "-"??_-;_-@_-</c:formatCode>
                <c:ptCount val="1"/>
                <c:pt idx="0">
                  <c:v>9600000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E18-472B-8020-FFA2D41D809E}"/>
            </c:ext>
          </c:extLst>
        </c:ser>
        <c:ser>
          <c:idx val="2"/>
          <c:order val="2"/>
          <c:tx>
            <c:strRef>
              <c:f>Hoja8!$I$4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9136690647482008E-2"/>
                  <c:y val="-8.0000000000000057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7E18-472B-8020-FFA2D41D809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Hoja8!$J$1</c:f>
              <c:strCache>
                <c:ptCount val="1"/>
                <c:pt idx="0">
                  <c:v> TOTAL FACTURA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Hoja8!$J$4:$M$4</c15:sqref>
                  </c15:fullRef>
                </c:ext>
              </c:extLst>
              <c:f>Hoja8!$J$4</c:f>
              <c:numCache>
                <c:formatCode>_-"$"* #,##0.00_-;\-"$"* #,##0.00_-;_-"$"* "-"??_-;_-@_-</c:formatCode>
                <c:ptCount val="1"/>
                <c:pt idx="0">
                  <c:v>4130000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E18-472B-8020-FFA2D41D80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Hoja8!$I$2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1.4388489208633094E-2"/>
                  <c:y val="-3.6666666666666729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5F55-4DF6-84DB-C4FC95EFCE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Hoja8!$L$1</c:f>
              <c:strCache>
                <c:ptCount val="1"/>
                <c:pt idx="0">
                  <c:v> MONTO DE COMPRA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Hoja8!$J$2:$M$2</c15:sqref>
                  </c15:fullRef>
                </c:ext>
              </c:extLst>
              <c:f>Hoja8!$L$2</c:f>
              <c:numCache>
                <c:formatCode>_-"$"* #,##0.00_-;\-"$"* #,##0.00_-;_-"$"* "-"??_-;_-@_-</c:formatCode>
                <c:ptCount val="1"/>
                <c:pt idx="0">
                  <c:v>1018900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Hoja8!$J$2</c15:sqref>
                  <c15:dLbl>
                    <c:idx val="-1"/>
                    <c:layout>
                      <c:manualLayout>
                        <c:x val="-3.5971223021582732E-2"/>
                        <c:y val="-0.1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25C0-4EBB-8373-D9A6FF29403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5F55-4DF6-84DB-C4FC95EFCE95}"/>
            </c:ext>
          </c:extLst>
        </c:ser>
        <c:ser>
          <c:idx val="1"/>
          <c:order val="1"/>
          <c:tx>
            <c:strRef>
              <c:f>Hoja8!$I$3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4340527577937646E-2"/>
                  <c:y val="-7.333333333333334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5F55-4DF6-84DB-C4FC95EFCE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Hoja8!$L$1</c:f>
              <c:strCache>
                <c:ptCount val="1"/>
                <c:pt idx="0">
                  <c:v> MONTO DE COMPRA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Hoja8!$J$3:$M$3</c15:sqref>
                  </c15:fullRef>
                </c:ext>
              </c:extLst>
              <c:f>Hoja8!$L$3</c:f>
              <c:numCache>
                <c:formatCode>_-"$"* #,##0.00_-;\-"$"* #,##0.00_-;_-"$"* "-"??_-;_-@_-</c:formatCode>
                <c:ptCount val="1"/>
                <c:pt idx="0">
                  <c:v>1567500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Hoja8!$J$3</c15:sqref>
                  <c15:dLbl>
                    <c:idx val="-1"/>
                    <c:layout>
                      <c:manualLayout>
                        <c:x val="0.19424460431654678"/>
                        <c:y val="-6.000000000000003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25C0-4EBB-8373-D9A6FF29403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3-5F55-4DF6-84DB-C4FC95EFCE95}"/>
            </c:ext>
          </c:extLst>
        </c:ser>
        <c:ser>
          <c:idx val="2"/>
          <c:order val="2"/>
          <c:tx>
            <c:strRef>
              <c:f>Hoja8!$I$4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7.4340527577937646E-2"/>
                  <c:y val="-0.08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5F55-4DF6-84DB-C4FC95EFCE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Hoja8!$L$1</c:f>
              <c:strCache>
                <c:ptCount val="1"/>
                <c:pt idx="0">
                  <c:v> MONTO DE COMPRA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Hoja8!$J$4:$M$4</c15:sqref>
                  </c15:fullRef>
                </c:ext>
              </c:extLst>
              <c:f>Hoja8!$L$4</c:f>
              <c:numCache>
                <c:formatCode>_-"$"* #,##0.00_-;\-"$"* #,##0.00_-;_-"$"* "-"??_-;_-@_-</c:formatCode>
                <c:ptCount val="1"/>
                <c:pt idx="0">
                  <c:v>687000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Hoja8!$J$4</c15:sqref>
                  <c15:dLbl>
                    <c:idx val="-1"/>
                    <c:layout>
                      <c:manualLayout>
                        <c:x val="7.9136690647482008E-2"/>
                        <c:y val="-8.000000000000005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25C0-4EBB-8373-D9A6FF294039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5-5F55-4DF6-84DB-C4FC95EFCE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strRef>
              <c:f>Hoja8!$I$2</c:f>
              <c:strCache>
                <c:ptCount val="1"/>
                <c:pt idx="0">
                  <c:v>JULIO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-4.7961630695443645E-2"/>
                  <c:y val="-0.14000000000000007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9140-433F-85FA-0584596CA0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Hoja8!$M$1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Hoja8!$J$2:$M$2</c15:sqref>
                  </c15:fullRef>
                </c:ext>
              </c:extLst>
              <c:f>Hoja8!$M$2</c:f>
              <c:numCache>
                <c:formatCode>_-"$"* #,##0.00_-;\-"$"* #,##0.00_-;_-"$"* "-"??_-;_-@_-</c:formatCode>
                <c:ptCount val="1"/>
                <c:pt idx="0">
                  <c:v>1732440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Hoja8!$J$2</c15:sqref>
                  <c15:dLbl>
                    <c:idx val="-1"/>
                    <c:layout>
                      <c:manualLayout>
                        <c:x val="-3.5971223021582732E-2"/>
                        <c:y val="-0.1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7892-436F-BF85-0C32C5D1112D}"/>
                      </c:ext>
                    </c:extLst>
                  </c15:dLbl>
                </c15:categoryFilterException>
                <c15:categoryFilterException>
                  <c15:sqref>Hoja8!$L$2</c15:sqref>
                  <c15:dLbl>
                    <c:idx val="-1"/>
                    <c:layout>
                      <c:manualLayout>
                        <c:x val="-1.4388489208633094E-2"/>
                        <c:y val="-3.6666666666666729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1-7892-436F-BF85-0C32C5D1112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1-9140-433F-85FA-0584596CA077}"/>
            </c:ext>
          </c:extLst>
        </c:ser>
        <c:ser>
          <c:idx val="1"/>
          <c:order val="1"/>
          <c:tx>
            <c:strRef>
              <c:f>Hoja8!$I$3</c:f>
              <c:strCache>
                <c:ptCount val="1"/>
                <c:pt idx="0">
                  <c:v>AGOSTO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7026378896882494"/>
                  <c:y val="-8.9999999999999983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9140-433F-85FA-0584596CA0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Hoja8!$M$1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Hoja8!$J$3:$M$3</c15:sqref>
                  </c15:fullRef>
                </c:ext>
              </c:extLst>
              <c:f>Hoja8!$M$3</c:f>
              <c:numCache>
                <c:formatCode>_-"$"* #,##0.00_-;\-"$"* #,##0.00_-;_-"$"* "-"??_-;_-@_-</c:formatCode>
                <c:ptCount val="1"/>
                <c:pt idx="0">
                  <c:v>3155800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Hoja8!$J$3</c15:sqref>
                  <c15:dLbl>
                    <c:idx val="-1"/>
                    <c:layout>
                      <c:manualLayout>
                        <c:x val="0.19424460431654678"/>
                        <c:y val="-6.0000000000000032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7892-436F-BF85-0C32C5D1112D}"/>
                      </c:ext>
                    </c:extLst>
                  </c15:dLbl>
                </c15:categoryFilterException>
                <c15:categoryFilterException>
                  <c15:sqref>Hoja8!$L$3</c15:sqref>
                  <c15:dLbl>
                    <c:idx val="-1"/>
                    <c:layout>
                      <c:manualLayout>
                        <c:x val="7.4340527577937646E-2"/>
                        <c:y val="-7.3333333333333348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7892-436F-BF85-0C32C5D1112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3-9140-433F-85FA-0584596CA077}"/>
            </c:ext>
          </c:extLst>
        </c:ser>
        <c:ser>
          <c:idx val="2"/>
          <c:order val="2"/>
          <c:tx>
            <c:strRef>
              <c:f>Hoja8!$I$4</c:f>
              <c:strCache>
                <c:ptCount val="1"/>
                <c:pt idx="0">
                  <c:v>SEPTIEMBRE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dLbls>
            <c:dLbl>
              <c:idx val="0"/>
              <c:layout>
                <c:manualLayout>
                  <c:x val="0.12949640287769784"/>
                  <c:y val="-0.1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9140-433F-85FA-0584596CA077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extLst>
                <c:ext xmlns:c15="http://schemas.microsoft.com/office/drawing/2012/chart" uri="{02D57815-91ED-43cb-92C2-25804820EDAC}">
                  <c15:fullRef>
                    <c15:sqref>Hoja8!$J$1:$M$1</c15:sqref>
                  </c15:fullRef>
                </c:ext>
              </c:extLst>
              <c:f>Hoja8!$M$1</c:f>
              <c:strCache>
                <c:ptCount val="1"/>
                <c:pt idx="0">
                  <c:v> GANANCIA 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Hoja8!$J$4:$M$4</c15:sqref>
                  </c15:fullRef>
                </c:ext>
              </c:extLst>
              <c:f>Hoja8!$M$4</c:f>
              <c:numCache>
                <c:formatCode>_-"$"* #,##0.00_-;\-"$"* #,##0.00_-;_-"$"* "-"??_-;_-@_-</c:formatCode>
                <c:ptCount val="1"/>
                <c:pt idx="0">
                  <c:v>1355200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Hoja8!$J$4</c15:sqref>
                  <c15:dLbl>
                    <c:idx val="-1"/>
                    <c:layout>
                      <c:manualLayout>
                        <c:x val="7.9136690647482008E-2"/>
                        <c:y val="-8.0000000000000057E-2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7892-436F-BF85-0C32C5D1112D}"/>
                      </c:ext>
                    </c:extLst>
                  </c15:dLbl>
                </c15:categoryFilterException>
                <c15:categoryFilterException>
                  <c15:sqref>Hoja8!$L$4</c15:sqref>
                  <c15:dLbl>
                    <c:idx val="-1"/>
                    <c:layout>
                      <c:manualLayout>
                        <c:x val="7.4340527577937646E-2"/>
                        <c:y val="-0.08"/>
                      </c:manualLayout>
                    </c:layout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7892-436F-BF85-0C32C5D1112D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5-9140-433F-85FA-0584596CA0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94832928"/>
        <c:axId val="294852064"/>
        <c:axId val="0"/>
      </c:bar3DChart>
      <c:catAx>
        <c:axId val="29483292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52064"/>
        <c:crosses val="autoZero"/>
        <c:auto val="1"/>
        <c:lblAlgn val="ctr"/>
        <c:lblOffset val="100"/>
        <c:noMultiLvlLbl val="0"/>
      </c:catAx>
      <c:valAx>
        <c:axId val="29485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&quot;$&quot;* #,##0.00_-;\-&quot;$&quot;* #,##0.00_-;_-&quot;$&quot;* &quot;-&quot;??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294832928"/>
        <c:crosses val="autoZero"/>
        <c:crossBetween val="between"/>
      </c:valAx>
      <c:spPr>
        <a:noFill/>
        <a:ln w="25400"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MES DE SEPTIEMBRE </a:t>
            </a:r>
          </a:p>
          <a:p>
            <a:pPr>
              <a:defRPr/>
            </a:pPr>
            <a:r>
              <a:rPr lang="es-CO"/>
              <a:t>LATONERIA Y PINTURA </a:t>
            </a:r>
          </a:p>
        </c:rich>
      </c:tx>
      <c:layout>
        <c:manualLayout>
          <c:xMode val="edge"/>
          <c:yMode val="edge"/>
          <c:x val="0.71441596116274952"/>
          <c:y val="2.767295597484276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>
        <c:manualLayout>
          <c:layoutTarget val="inner"/>
          <c:xMode val="edge"/>
          <c:yMode val="edge"/>
          <c:x val="0.29211670909557358"/>
          <c:y val="9.274218230239635E-2"/>
          <c:w val="0.79372367927693244"/>
          <c:h val="0.70790985278345597"/>
        </c:manualLayout>
      </c:layout>
      <c:pieChart>
        <c:varyColors val="1"/>
        <c:ser>
          <c:idx val="0"/>
          <c:order val="0"/>
          <c:dPt>
            <c:idx val="0"/>
            <c:bubble3D val="0"/>
            <c:explosion val="26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7254-4762-A430-EA997CB41D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254-4762-A430-EA997CB41D14}"/>
              </c:ext>
            </c:extLst>
          </c:dPt>
          <c:dLbls>
            <c:dLbl>
              <c:idx val="0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7254-4762-A430-EA997CB41D14}"/>
                </c:ext>
              </c:extLst>
            </c:dLbl>
            <c:dLbl>
              <c:idx val="1"/>
              <c:dLblPos val="outEnd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7254-4762-A430-EA997CB41D14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CO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Hoja1!$B$2:$B$3</c:f>
              <c:strCache>
                <c:ptCount val="2"/>
                <c:pt idx="0">
                  <c:v> FACTURADO </c:v>
                </c:pt>
                <c:pt idx="1">
                  <c:v> GANANCIA  </c:v>
                </c:pt>
              </c:strCache>
            </c:strRef>
          </c:cat>
          <c:val>
            <c:numRef>
              <c:f>Hoja1!$C$2:$C$3</c:f>
              <c:numCache>
                <c:formatCode>_-"$"* #,##0.00_-;\-"$"* #,##0.00_-;_-"$"* "-"??_-;_-@_-</c:formatCode>
                <c:ptCount val="2"/>
                <c:pt idx="0">
                  <c:v>4130000</c:v>
                </c:pt>
                <c:pt idx="1">
                  <c:v>1355200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254-4762-A430-EA997CB41D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</xdr:colOff>
      <xdr:row>8</xdr:row>
      <xdr:rowOff>104775</xdr:rowOff>
    </xdr:from>
    <xdr:to>
      <xdr:col>2</xdr:col>
      <xdr:colOff>1733550</xdr:colOff>
      <xdr:row>26</xdr:row>
      <xdr:rowOff>180974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CBAF4A1-CFFE-481D-979C-28B0F5D1A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1885948</xdr:colOff>
      <xdr:row>8</xdr:row>
      <xdr:rowOff>38100</xdr:rowOff>
    </xdr:from>
    <xdr:to>
      <xdr:col>6</xdr:col>
      <xdr:colOff>761999</xdr:colOff>
      <xdr:row>27</xdr:row>
      <xdr:rowOff>85726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F8B65B26-2C38-4077-BCCD-FE7EE7AC7EE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257175</xdr:colOff>
      <xdr:row>34</xdr:row>
      <xdr:rowOff>161925</xdr:rowOff>
    </xdr:from>
    <xdr:to>
      <xdr:col>4</xdr:col>
      <xdr:colOff>114300</xdr:colOff>
      <xdr:row>51</xdr:row>
      <xdr:rowOff>66675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B60E5C98-D942-4458-A8D1-551C61AD6F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28575</xdr:colOff>
      <xdr:row>6</xdr:row>
      <xdr:rowOff>85725</xdr:rowOff>
    </xdr:from>
    <xdr:to>
      <xdr:col>11</xdr:col>
      <xdr:colOff>1266825</xdr:colOff>
      <xdr:row>26</xdr:row>
      <xdr:rowOff>85725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18AF3F1-7BC7-4152-A2A4-FC0AD39D63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742950</xdr:colOff>
      <xdr:row>29</xdr:row>
      <xdr:rowOff>161925</xdr:rowOff>
    </xdr:from>
    <xdr:to>
      <xdr:col>11</xdr:col>
      <xdr:colOff>1219200</xdr:colOff>
      <xdr:row>49</xdr:row>
      <xdr:rowOff>171450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4D258993-0C4A-4799-AE39-A1E1CC9EF84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628650</xdr:colOff>
      <xdr:row>54</xdr:row>
      <xdr:rowOff>9525</xdr:rowOff>
    </xdr:from>
    <xdr:to>
      <xdr:col>11</xdr:col>
      <xdr:colOff>1104900</xdr:colOff>
      <xdr:row>74</xdr:row>
      <xdr:rowOff>9525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E95B90EE-D8E8-478D-A0EB-151E7E5CEC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695324</xdr:colOff>
      <xdr:row>7</xdr:row>
      <xdr:rowOff>28574</xdr:rowOff>
    </xdr:from>
    <xdr:to>
      <xdr:col>6</xdr:col>
      <xdr:colOff>752475</xdr:colOff>
      <xdr:row>30</xdr:row>
      <xdr:rowOff>76199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AA004D32-A087-40B6-9A25-1DEBE00345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Factura%20en%20Excel%20Parte%202%20&#8211;%20Guardar%20detalle%20de%20facturas%20-%20EXCELeINFO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esktop/FACTURAC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CELeINFO1"/>
      <sheetName val="Factura"/>
      <sheetName val="Detalle de facturas"/>
      <sheetName val="Clientes"/>
      <sheetName val="Producto"/>
      <sheetName val="Factura en Excel Parte 2 – Guar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actura"/>
      <sheetName val="Detalle de facturas"/>
      <sheetName val="Clientes"/>
      <sheetName val="AREA"/>
      <sheetName val="Factura (2)"/>
      <sheetName val="FACTURACION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ultiFrenos de la Sabana" refreshedDate="44848.550857986113" createdVersion="7" refreshedVersion="7" minRefreshableVersion="3" recordCount="40" xr:uid="{7D4ED161-0A88-4243-A7E9-BBE8BB7ACE99}">
  <cacheSource type="worksheet">
    <worksheetSource ref="A1:G41" sheet="CARRO"/>
  </cacheSource>
  <cacheFields count="8">
    <cacheField name="FECHA" numFmtId="0">
      <sharedItems containsNonDate="0" containsDate="1" containsString="0" containsBlank="1" minDate="2022-07-02T00:00:00" maxDate="2022-09-25T00:00:00" count="20">
        <d v="2022-07-02T00:00:00"/>
        <d v="2022-07-09T00:00:00"/>
        <d v="2022-07-11T00:00:00"/>
        <d v="2022-07-20T00:00:00"/>
        <d v="2022-07-26T00:00:00"/>
        <d v="2022-08-04T00:00:00"/>
        <d v="2022-08-08T00:00:00"/>
        <d v="2022-08-09T00:00:00"/>
        <d v="2022-08-13T00:00:00"/>
        <d v="2022-08-16T00:00:00"/>
        <d v="2022-08-15T00:00:00"/>
        <d v="2022-08-18T00:00:00"/>
        <d v="2022-08-26T00:00:00"/>
        <d v="2022-08-29T00:00:00"/>
        <d v="2022-09-05T00:00:00"/>
        <d v="2022-09-17T00:00:00"/>
        <d v="2022-09-19T00:00:00"/>
        <d v="2022-09-23T00:00:00"/>
        <d v="2022-09-24T00:00:00"/>
        <m/>
      </sharedItems>
      <fieldGroup par="7" base="0">
        <rangePr groupBy="days" startDate="2022-07-02T00:00:00" endDate="2022-09-25T00:00:00"/>
        <groupItems count="368">
          <s v="(en blanco)"/>
          <s v="1-ene"/>
          <s v="2-ene"/>
          <s v="3-ene"/>
          <s v="4-ene"/>
          <s v="5-ene"/>
          <s v="6-ene"/>
          <s v="7-ene"/>
          <s v="8-ene"/>
          <s v="9-ene"/>
          <s v="10-ene"/>
          <s v="11-ene"/>
          <s v="12-ene"/>
          <s v="13-ene"/>
          <s v="14-ene"/>
          <s v="15-ene"/>
          <s v="16-ene"/>
          <s v="17-ene"/>
          <s v="18-ene"/>
          <s v="19-ene"/>
          <s v="20-ene"/>
          <s v="21-ene"/>
          <s v="22-ene"/>
          <s v="23-ene"/>
          <s v="24-ene"/>
          <s v="25-ene"/>
          <s v="26-ene"/>
          <s v="27-ene"/>
          <s v="28-ene"/>
          <s v="29-ene"/>
          <s v="30-ene"/>
          <s v="31-ene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br"/>
          <s v="2-abr"/>
          <s v="3-abr"/>
          <s v="4-abr"/>
          <s v="5-abr"/>
          <s v="6-abr"/>
          <s v="7-abr"/>
          <s v="8-abr"/>
          <s v="9-abr"/>
          <s v="10-abr"/>
          <s v="11-abr"/>
          <s v="12-abr"/>
          <s v="13-abr"/>
          <s v="14-abr"/>
          <s v="15-abr"/>
          <s v="16-abr"/>
          <s v="17-abr"/>
          <s v="18-abr"/>
          <s v="19-abr"/>
          <s v="20-abr"/>
          <s v="21-abr"/>
          <s v="22-abr"/>
          <s v="23-abr"/>
          <s v="24-abr"/>
          <s v="25-abr"/>
          <s v="26-abr"/>
          <s v="27-abr"/>
          <s v="28-abr"/>
          <s v="29-abr"/>
          <s v="30-ab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go"/>
          <s v="2-ago"/>
          <s v="3-ago"/>
          <s v="4-ago"/>
          <s v="5-ago"/>
          <s v="6-ago"/>
          <s v="7-ago"/>
          <s v="8-ago"/>
          <s v="9-ago"/>
          <s v="10-ago"/>
          <s v="11-ago"/>
          <s v="12-ago"/>
          <s v="13-ago"/>
          <s v="14-ago"/>
          <s v="15-ago"/>
          <s v="16-ago"/>
          <s v="17-ago"/>
          <s v="18-ago"/>
          <s v="19-ago"/>
          <s v="20-ago"/>
          <s v="21-ago"/>
          <s v="22-ago"/>
          <s v="23-ago"/>
          <s v="24-ago"/>
          <s v="25-ago"/>
          <s v="26-ago"/>
          <s v="27-ago"/>
          <s v="28-ago"/>
          <s v="29-ago"/>
          <s v="30-ago"/>
          <s v="31-ago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ic"/>
          <s v="2-dic"/>
          <s v="3-dic"/>
          <s v="4-dic"/>
          <s v="5-dic"/>
          <s v="6-dic"/>
          <s v="7-dic"/>
          <s v="8-dic"/>
          <s v="9-dic"/>
          <s v="10-dic"/>
          <s v="11-dic"/>
          <s v="12-dic"/>
          <s v="13-dic"/>
          <s v="14-dic"/>
          <s v="15-dic"/>
          <s v="16-dic"/>
          <s v="17-dic"/>
          <s v="18-dic"/>
          <s v="19-dic"/>
          <s v="20-dic"/>
          <s v="21-dic"/>
          <s v="22-dic"/>
          <s v="23-dic"/>
          <s v="24-dic"/>
          <s v="25-dic"/>
          <s v="26-dic"/>
          <s v="27-dic"/>
          <s v="28-dic"/>
          <s v="29-dic"/>
          <s v="30-dic"/>
          <s v="31-dic"/>
          <s v="&gt;25/09/2022"/>
        </groupItems>
      </fieldGroup>
    </cacheField>
    <cacheField name="PLACA" numFmtId="0">
      <sharedItems containsBlank="1"/>
    </cacheField>
    <cacheField name="TOTAL FACTURA" numFmtId="164">
      <sharedItems containsSemiMixedTypes="0" containsString="0" containsNumber="1" containsInteger="1" minValue="20000" maxValue="19080000"/>
    </cacheField>
    <cacheField name="PORCENTAJE A CANCELAR" numFmtId="164">
      <sharedItems containsSemiMixedTypes="0" containsString="0" containsNumber="1" containsInteger="1" minValue="20000" maxValue="9650160"/>
    </cacheField>
    <cacheField name="REPUESTOS USADOS" numFmtId="164">
      <sharedItems containsBlank="1" containsMixedTypes="1" containsNumber="1" containsInteger="1" minValue="0" maxValue="0"/>
    </cacheField>
    <cacheField name="MONTO DE COMPRA" numFmtId="164">
      <sharedItems containsString="0" containsBlank="1" containsNumber="1" containsInteger="1" minValue="17000" maxValue="3273400"/>
    </cacheField>
    <cacheField name="GANANCIA" numFmtId="164">
      <sharedItems containsSemiMixedTypes="0" containsString="0" containsNumber="1" containsInteger="1" minValue="0" maxValue="6243440"/>
    </cacheField>
    <cacheField name="Meses" numFmtId="0" databaseField="0">
      <fieldGroup base="0">
        <rangePr groupBy="months" startDate="2022-07-02T00:00:00" endDate="2022-09-25T00:00:00"/>
        <groupItems count="14">
          <s v="&lt;2/07/2022"/>
          <s v="ene"/>
          <s v="feb"/>
          <s v="mar"/>
          <s v="abr"/>
          <s v="may"/>
          <s v="jun"/>
          <s v="jul"/>
          <s v="ago"/>
          <s v="sep"/>
          <s v="oct"/>
          <s v="nov"/>
          <s v="dic"/>
          <s v="&gt;25/09/2022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0">
  <r>
    <x v="0"/>
    <s v="WCZ-221"/>
    <n v="400000"/>
    <n v="240000"/>
    <m/>
    <m/>
    <n v="160000"/>
  </r>
  <r>
    <x v="0"/>
    <s v="MBS-736"/>
    <n v="400000"/>
    <n v="205200"/>
    <m/>
    <n v="58000"/>
    <n v="136800"/>
  </r>
  <r>
    <x v="0"/>
    <s v="CVZ-365"/>
    <n v="700000"/>
    <n v="369300"/>
    <m/>
    <n v="84500"/>
    <n v="246200"/>
  </r>
  <r>
    <x v="1"/>
    <s v="UFV-295"/>
    <n v="550000"/>
    <n v="202800"/>
    <m/>
    <n v="212000"/>
    <n v="135200"/>
  </r>
  <r>
    <x v="2"/>
    <s v="LOGAN"/>
    <n v="2000000"/>
    <n v="911160"/>
    <m/>
    <n v="481400"/>
    <n v="607440"/>
  </r>
  <r>
    <x v="2"/>
    <s v="CQV-295"/>
    <n v="450000"/>
    <n v="217800"/>
    <m/>
    <n v="87000"/>
    <n v="145200"/>
  </r>
  <r>
    <x v="3"/>
    <s v="BYU-890"/>
    <n v="500000"/>
    <n v="261900"/>
    <s v="FACT 2609"/>
    <n v="63500"/>
    <n v="174600"/>
  </r>
  <r>
    <x v="4"/>
    <s v="JMC-012"/>
    <n v="350000"/>
    <n v="190500"/>
    <m/>
    <n v="32500"/>
    <n v="127000"/>
  </r>
  <r>
    <x v="5"/>
    <s v="DQL-105"/>
    <n v="100000"/>
    <n v="60000"/>
    <m/>
    <m/>
    <n v="40000"/>
  </r>
  <r>
    <x v="6"/>
    <s v="JSX-737"/>
    <n v="350000"/>
    <n v="150000"/>
    <s v="VARIOS"/>
    <n v="100000"/>
    <n v="100000"/>
  </r>
  <r>
    <x v="6"/>
    <s v="RJQ-134"/>
    <n v="850000"/>
    <n v="403800"/>
    <s v="VARIOS"/>
    <n v="177000"/>
    <n v="269200"/>
  </r>
  <r>
    <x v="6"/>
    <s v="NER -493"/>
    <n v="650000"/>
    <n v="314400"/>
    <m/>
    <n v="126000"/>
    <n v="209600"/>
  </r>
  <r>
    <x v="7"/>
    <s v="EBR-836"/>
    <n v="200000"/>
    <n v="95100"/>
    <m/>
    <n v="41500"/>
    <n v="63400"/>
  </r>
  <r>
    <x v="8"/>
    <m/>
    <n v="60000"/>
    <n v="60000"/>
    <m/>
    <m/>
    <n v="0"/>
  </r>
  <r>
    <x v="9"/>
    <s v="HVP-928"/>
    <n v="250000"/>
    <n v="108000"/>
    <m/>
    <n v="70000"/>
    <n v="72000"/>
  </r>
  <r>
    <x v="9"/>
    <s v="GQQ-499"/>
    <n v="80000"/>
    <n v="48000"/>
    <m/>
    <m/>
    <n v="32000"/>
  </r>
  <r>
    <x v="10"/>
    <m/>
    <n v="90000"/>
    <n v="54000"/>
    <m/>
    <m/>
    <n v="36000"/>
  </r>
  <r>
    <x v="10"/>
    <m/>
    <n v="30000"/>
    <n v="30000"/>
    <m/>
    <m/>
    <n v="0"/>
  </r>
  <r>
    <x v="10"/>
    <m/>
    <n v="100000"/>
    <n v="100000"/>
    <m/>
    <m/>
    <n v="0"/>
  </r>
  <r>
    <x v="11"/>
    <s v="BIO-488"/>
    <n v="300000"/>
    <n v="180000"/>
    <m/>
    <n v="87000"/>
    <n v="120000"/>
  </r>
  <r>
    <x v="12"/>
    <s v="JCU-726"/>
    <n v="1100000"/>
    <n v="504600"/>
    <m/>
    <n v="259000"/>
    <n v="336400"/>
  </r>
  <r>
    <x v="12"/>
    <m/>
    <n v="100000"/>
    <n v="60000"/>
    <m/>
    <m/>
    <n v="40000"/>
  </r>
  <r>
    <x v="13"/>
    <s v="VARICHEN"/>
    <n v="2000000"/>
    <n v="1080000"/>
    <m/>
    <n v="200000"/>
    <n v="720000"/>
  </r>
  <r>
    <x v="13"/>
    <s v="LANDROVER"/>
    <n v="3300000"/>
    <n v="1675800"/>
    <m/>
    <n v="507000"/>
    <n v="1117200"/>
  </r>
  <r>
    <x v="13"/>
    <s v="CZF-259"/>
    <n v="40000"/>
    <n v="40000"/>
    <m/>
    <m/>
    <n v="0"/>
  </r>
  <r>
    <x v="14"/>
    <s v="BDN-052"/>
    <n v="30000"/>
    <n v="30000"/>
    <m/>
    <m/>
    <n v="0"/>
  </r>
  <r>
    <x v="14"/>
    <s v="RIT-880"/>
    <n v="550000"/>
    <n v="261000"/>
    <s v="NO2810"/>
    <n v="115000"/>
    <n v="174000"/>
  </r>
  <r>
    <x v="14"/>
    <m/>
    <n v="220000"/>
    <n v="121800"/>
    <m/>
    <n v="17000"/>
    <n v="81200"/>
  </r>
  <r>
    <x v="15"/>
    <s v="GZZ-228"/>
    <n v="250000"/>
    <n v="114000"/>
    <m/>
    <n v="60000"/>
    <n v="76000"/>
  </r>
  <r>
    <x v="15"/>
    <s v="OLB-058"/>
    <n v="200000"/>
    <n v="120000"/>
    <m/>
    <m/>
    <n v="80000"/>
  </r>
  <r>
    <x v="15"/>
    <m/>
    <n v="50000"/>
    <n v="30000"/>
    <m/>
    <m/>
    <n v="20000"/>
  </r>
  <r>
    <x v="15"/>
    <m/>
    <n v="50000"/>
    <n v="30000"/>
    <m/>
    <m/>
    <n v="20000"/>
  </r>
  <r>
    <x v="15"/>
    <m/>
    <n v="20000"/>
    <n v="20000"/>
    <m/>
    <m/>
    <n v="0"/>
  </r>
  <r>
    <x v="16"/>
    <s v="HKM-167"/>
    <n v="1500000"/>
    <n v="723300"/>
    <s v="NO 2842, MASILLA"/>
    <n v="294500"/>
    <n v="482200"/>
  </r>
  <r>
    <x v="16"/>
    <s v="EZO-248"/>
    <n v="350000"/>
    <n v="184800"/>
    <s v="NO. 2848, MASILLA"/>
    <n v="42000"/>
    <n v="123200"/>
  </r>
  <r>
    <x v="17"/>
    <s v="TFP-394"/>
    <n v="400000"/>
    <n v="204900"/>
    <s v="2850, MASILLA"/>
    <n v="58500"/>
    <n v="136600"/>
  </r>
  <r>
    <x v="18"/>
    <s v="TSM-325"/>
    <n v="80000"/>
    <n v="48000"/>
    <m/>
    <m/>
    <n v="32000"/>
  </r>
  <r>
    <x v="18"/>
    <s v="BDY-763"/>
    <n v="400000"/>
    <n v="180000"/>
    <m/>
    <n v="100000"/>
    <n v="120000"/>
  </r>
  <r>
    <x v="18"/>
    <s v="WTM-950"/>
    <n v="30000"/>
    <n v="20000"/>
    <m/>
    <m/>
    <n v="10000"/>
  </r>
  <r>
    <x v="19"/>
    <m/>
    <n v="19080000"/>
    <n v="9650160"/>
    <n v="0"/>
    <n v="3273400"/>
    <n v="62434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3233E-8690-4C0B-8682-9B83F4538648}" name="TablaDinámica18" cacheId="0" applyNumberFormats="0" applyBorderFormats="0" applyFontFormats="0" applyPatternFormats="0" applyAlignmentFormats="0" applyWidthHeightFormats="1" dataCaption="Valores" updatedVersion="7" minRefreshableVersion="3" useAutoFormatting="1" itemPrintTitles="1" createdVersion="7" indent="0" outline="1" outlineData="1" multipleFieldFilters="0">
  <location ref="A3:D7" firstHeaderRow="0" firstDataRow="1" firstDataCol="1"/>
  <pivotFields count="8">
    <pivotField axis="axisRow" showAll="0">
      <items count="36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t="default"/>
      </items>
    </pivotField>
    <pivotField showAll="0"/>
    <pivotField numFmtId="164" showAll="0"/>
    <pivotField dataField="1" numFmtId="164" showAll="0"/>
    <pivotField dataField="1" showAll="0"/>
    <pivotField dataField="1" showAll="0"/>
    <pivotField numFmtId="164"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</pivotFields>
  <rowFields count="2">
    <field x="7"/>
    <field x="0"/>
  </rowFields>
  <rowItems count="4">
    <i>
      <x v="7"/>
    </i>
    <i>
      <x v="8"/>
    </i>
    <i>
      <x v="9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a de PORCENTAJE A CANCELAR" fld="3" baseField="0" baseItem="0"/>
    <dataField name="Cuenta de REPUESTOS USADOS" fld="4" subtotal="count" baseField="0" baseItem="0"/>
    <dataField name="Suma de MONTO DE COMPRA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2" displayName="Tabla2" ref="A1:S102" totalsRowCount="1" headerRowDxfId="107" dataDxfId="106">
  <autoFilter ref="A1:S101" xr:uid="{00000000-0009-0000-0100-000001000000}">
    <filterColumn colId="0">
      <filters>
        <dateGroupItem year="2022" month="1" dateTimeGrouping="month"/>
        <dateGroupItem year="2022" month="2" dateTimeGrouping="month"/>
        <dateGroupItem year="2022" month="3" dateTimeGrouping="month"/>
        <dateGroupItem year="2022" month="4" dateTimeGrouping="month"/>
        <dateGroupItem year="2022" month="5" dateTimeGrouping="month"/>
        <dateGroupItem year="2022" month="6" dateTimeGrouping="month"/>
      </filters>
    </filterColumn>
    <filterColumn colId="8">
      <filters blank="1">
        <filter val="AMAROK"/>
        <filter val="AVEO"/>
        <filter val="BUSETA"/>
        <filter val="BUSETA ESCOLAR"/>
        <filter val="CAMION"/>
        <filter val="CARRO ROJO"/>
        <filter val="CARRO VERDE"/>
        <filter val="CH"/>
        <filter val="CHEVROLET"/>
        <filter val="CHEVROLET VITARA"/>
        <filter val="DAEWOO (TAXI)"/>
        <filter val="DFSK"/>
        <filter val="DODGE JOURNEY"/>
        <filter val="DODGE NARANJA"/>
        <filter val="ERTICA"/>
        <filter val="F-350"/>
        <filter val="FORD"/>
        <filter val="FORD FESTIVA"/>
        <filter val="FOTON"/>
        <filter val="FRESKIFRUTA"/>
        <filter val="FRONTIER"/>
        <filter val="FUSION"/>
        <filter val="HILUX"/>
        <filter val="HINO"/>
        <filter val="HONDA CIVIC"/>
        <filter val="JAC"/>
        <filter val="JEEP"/>
        <filter val="KIAT"/>
        <filter val="MAZDA"/>
        <filter val="MAZDA 3"/>
        <filter val="MAZDA2"/>
        <filter val="MAZDA3"/>
        <filter val="MB"/>
        <filter val="MC 2017"/>
        <filter val="MITSUBISHI"/>
        <filter val="NEVERA"/>
        <filter val="NISAN TIDA"/>
        <filter val="NISSAN"/>
        <filter val="NISSAN FROTIER"/>
        <filter val="NQR"/>
        <filter val="PEGEOUT"/>
        <filter val="RENAULT"/>
        <filter val="RENAULT 4"/>
        <filter val="RENAULT CLIO"/>
        <filter val="RENAULT DUSTER"/>
        <filter val="RENAULT LOGAN"/>
        <filter val="SAIL"/>
        <filter val="SPARK"/>
        <filter val="SPARK ROJO"/>
        <filter val="SPRINT"/>
        <filter val="STEEM"/>
        <filter val="SUBARU"/>
        <filter val="SUZUKI"/>
        <filter val="SYMBOL"/>
        <filter val="TOYOTA"/>
        <filter val="TRAVERSE"/>
        <filter val="TUCSO"/>
        <filter val="TWINGO"/>
        <filter val="VITARA"/>
        <filter val="VOLQUETA"/>
        <filter val="VOLSKWAGEN"/>
        <filter val="VOLSKWAGEN JETTA"/>
      </filters>
    </filterColumn>
  </autoFilter>
  <tableColumns count="19">
    <tableColumn id="1" xr3:uid="{00000000-0010-0000-0000-000001000000}" name="FECHA" dataDxfId="105" totalsRowDxfId="104"/>
    <tableColumn id="10" xr3:uid="{00000000-0010-0000-0000-00000A000000}" name="FECHA DE SALIDA" dataDxfId="103" totalsRowDxfId="102"/>
    <tableColumn id="20" xr3:uid="{6EC49895-67C8-440D-B6BF-97BD63741D6C}" name="FECHA DE PAGO" dataDxfId="101" totalsRowDxfId="100"/>
    <tableColumn id="2" xr3:uid="{00000000-0010-0000-0000-000002000000}" name="NUMERO DE FACTURA" dataDxfId="99" totalsRowDxfId="98"/>
    <tableColumn id="15" xr3:uid="{00000000-0010-0000-0000-00000F000000}" name="CLIENTE" dataDxfId="97" totalsRowDxfId="96"/>
    <tableColumn id="16" xr3:uid="{00000000-0010-0000-0000-000010000000}" name="CEDULA" dataDxfId="95" totalsRowDxfId="94"/>
    <tableColumn id="17" xr3:uid="{00000000-0010-0000-0000-000011000000}" name="TELEFONO" dataDxfId="93" totalsRowDxfId="92"/>
    <tableColumn id="18" xr3:uid="{00000000-0010-0000-0000-000012000000}" name="CORREO" dataDxfId="91" totalsRowDxfId="90"/>
    <tableColumn id="3" xr3:uid="{00000000-0010-0000-0000-000003000000}" name="MODELO" dataDxfId="89" totalsRowDxfId="88"/>
    <tableColumn id="4" xr3:uid="{00000000-0010-0000-0000-000004000000}" name="PLACA" dataDxfId="87" totalsRowDxfId="86"/>
    <tableColumn id="5" xr3:uid="{00000000-0010-0000-0000-000005000000}" name="DETALLES" dataDxfId="85" totalsRowDxfId="84"/>
    <tableColumn id="6" xr3:uid="{00000000-0010-0000-0000-000006000000}" name="TOTAL FACTURA" totalsRowFunction="sum" dataDxfId="83" totalsRowDxfId="82" dataCellStyle="Moneda"/>
    <tableColumn id="7" xr3:uid="{00000000-0010-0000-0000-000007000000}" name="PORCENTAJE A CANCELAR" totalsRowFunction="sum" dataDxfId="81" totalsRowDxfId="80" dataCellStyle="Moneda">
      <calculatedColumnFormula>(Tabla2[[#This Row],[TOTAL FACTURA]]-Tabla2[[#This Row],[MONTO DE COMPRA]])*0.6</calculatedColumnFormula>
    </tableColumn>
    <tableColumn id="8" xr3:uid="{00000000-0010-0000-0000-000008000000}" name="REPUESTOS USADOS" totalsRowFunction="sum" dataDxfId="79" totalsRowDxfId="78"/>
    <tableColumn id="9" xr3:uid="{00000000-0010-0000-0000-000009000000}" name="MONTO DE COMPRA" totalsRowFunction="sum" dataDxfId="77" totalsRowDxfId="76" dataCellStyle="Moneda"/>
    <tableColumn id="11" xr3:uid="{00000000-0010-0000-0000-00000B000000}" name="ABONOS CLIENTES" totalsRowFunction="sum" dataDxfId="75" totalsRowDxfId="74"/>
    <tableColumn id="12" xr3:uid="{00000000-0010-0000-0000-00000C000000}" name="ABONOS A TRABAJO" totalsRowFunction="sum" dataDxfId="73" totalsRowDxfId="72">
      <calculatedColumnFormula>(Tabla2[[#This Row],[TOTAL FACTURA]]-Tabla2[[#This Row],[MONTO DE COMPRA]])*0.6</calculatedColumnFormula>
    </tableColumn>
    <tableColumn id="13" xr3:uid="{00000000-0010-0000-0000-00000D000000}" name="ESTATUS" totalsRowFunction="sum" dataDxfId="71" totalsRowDxfId="70"/>
    <tableColumn id="14" xr3:uid="{00000000-0010-0000-0000-00000E000000}" name="GANANCIA" totalsRowFunction="sum" dataDxfId="69" totalsRowDxfId="68" dataCellStyle="Moneda">
      <calculatedColumnFormula>Tabla2[[#This Row],[TOTAL FACTURA]]-Tabla2[[#This Row],[PORCENTAJE A CANCELAR]]-Tabla2[[#This Row],[MONTO DE COMPRA]]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4A9336-28CE-4877-91A6-6447F028EF0A}" name="Tabla23" displayName="Tabla23" ref="A1:P101" totalsRowCount="1" headerRowDxfId="67" dataDxfId="66">
  <autoFilter ref="A1:P100" xr:uid="{00000000-0009-0000-0100-000001000000}">
    <filterColumn colId="5">
      <filters blank="1">
        <filter val="ACCENT"/>
        <filter val="BRONCO"/>
        <filter val="CAMION"/>
        <filter val="CAMRY"/>
        <filter val="CAPOT"/>
        <filter val="CH ONIX"/>
        <filter val="DUSTER"/>
        <filter val="F-350"/>
        <filter val="FORD"/>
        <filter val="FORD DIESTA"/>
        <filter val="FORD EXPLORER"/>
        <filter val="FOTON"/>
        <filter val="FURGON"/>
        <filter val="HONDA"/>
        <filter val="JAC"/>
        <filter val="LOGAN"/>
        <filter val="LUV"/>
        <filter val="MAZDA"/>
        <filter val="MAZDA 626"/>
        <filter val="MB"/>
        <filter val="NISSAN"/>
        <filter val="NKR"/>
        <filter val="NPR"/>
        <filter val="OJF-038"/>
        <filter val="PICANTO"/>
        <filter val="SAIL"/>
        <filter val="SANDERO"/>
        <filter val="SKODA"/>
        <filter val="SPARK"/>
        <filter val="SUBARU"/>
        <filter val="TERRACAN"/>
        <filter val="TOYOTA"/>
        <filter val="TUCSON"/>
        <filter val="VITARA"/>
      </filters>
    </filterColumn>
  </autoFilter>
  <tableColumns count="16">
    <tableColumn id="1" xr3:uid="{8CA1A6B3-225A-4384-B806-9401CAA4EC90}" name="FECHA" dataDxfId="65" totalsRowDxfId="64"/>
    <tableColumn id="10" xr3:uid="{2C375F0B-E807-406D-A86D-C31C775FC3AB}" name="FECHA DE SALIDA" dataDxfId="63" totalsRowDxfId="62"/>
    <tableColumn id="20" xr3:uid="{9D13FFC8-2D16-4B15-BDF7-33F2C7AA0FEE}" name="FECHA DE PAGO" dataDxfId="61" totalsRowDxfId="60"/>
    <tableColumn id="2" xr3:uid="{C2CA1B0A-2077-49D6-BFBB-182A11231FD3}" name="NUMERO DE FACTURA" dataDxfId="59" totalsRowDxfId="58"/>
    <tableColumn id="15" xr3:uid="{82CF17FD-1A0F-46B6-A313-C225DFF57E62}" name="CLIENTE" dataDxfId="57" totalsRowDxfId="56"/>
    <tableColumn id="3" xr3:uid="{A5A3B4EA-6AD2-43CB-AB57-582296AA7022}" name="MODELO" dataDxfId="55" totalsRowDxfId="54"/>
    <tableColumn id="4" xr3:uid="{9061E93A-C73A-4215-9A41-29F2B820D3EA}" name="PLACA" dataDxfId="53" totalsRowDxfId="52"/>
    <tableColumn id="5" xr3:uid="{9D24D0E3-02BC-452B-AD40-35EBC187843E}" name="DETALLES" dataDxfId="51" totalsRowDxfId="50"/>
    <tableColumn id="6" xr3:uid="{5A721271-968C-494B-9F02-177461DE703E}" name="TOTAL FACTURA" totalsRowFunction="sum" dataDxfId="49" totalsRowDxfId="48" dataCellStyle="Moneda"/>
    <tableColumn id="7" xr3:uid="{33687D79-2AE1-42CB-A9A2-7A9A37EA6554}" name="PORCENTAJE A CANCELAR" totalsRowFunction="sum" dataDxfId="47" totalsRowDxfId="46" dataCellStyle="Moneda">
      <calculatedColumnFormula>(Tabla23[[#This Row],[TOTAL FACTURA]]-Tabla23[[#This Row],[MONTO DE COMPRA]])*0.6</calculatedColumnFormula>
    </tableColumn>
    <tableColumn id="8" xr3:uid="{9D9440EB-CD33-4774-96B2-4D981476EC69}" name="REPUESTOS USADOS" totalsRowFunction="sum" dataDxfId="45" totalsRowDxfId="44"/>
    <tableColumn id="9" xr3:uid="{446A6B3E-D864-4971-B954-4008023096C1}" name="MONTO DE COMPRA" totalsRowFunction="sum" dataDxfId="43" totalsRowDxfId="42" dataCellStyle="Moneda">
      <calculatedColumnFormula>5200</calculatedColumnFormula>
    </tableColumn>
    <tableColumn id="12" xr3:uid="{28D733EE-21CE-4FC0-8A25-DFB9E5850CB7}" name="ABONOS A TRABAJO" totalsRowFunction="sum" dataDxfId="41" totalsRowDxfId="40">
      <calculatedColumnFormula>(Tabla23[[#This Row],[TOTAL FACTURA]]-Tabla23[[#This Row],[MONTO DE COMPRA]])*0.6</calculatedColumnFormula>
    </tableColumn>
    <tableColumn id="13" xr3:uid="{BE90F938-7E84-4A13-94CF-B7F4B9FED94B}" name="ESTATUS" totalsRowFunction="sum" dataDxfId="39" totalsRowDxfId="38"/>
    <tableColumn id="14" xr3:uid="{9E6B98CC-79F8-4E89-B06C-0CF09B410FF0}" name="GANANCIA" totalsRowFunction="sum" dataDxfId="37" totalsRowDxfId="36" dataCellStyle="Moneda">
      <calculatedColumnFormula>Tabla23[[#This Row],[TOTAL FACTURA]]-Tabla23[[#This Row],[PORCENTAJE A CANCELAR]]-Tabla23[[#This Row],[MONTO DE COMPRA]]</calculatedColumnFormula>
    </tableColumn>
    <tableColumn id="11" xr3:uid="{C2FCD1FA-AEB4-4F58-9A7F-4B7AC05B71EF}" name="Columna1" totalsRowFunction="sum" dataDxfId="35" totalsRowDxfId="3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8405F70-8035-4E20-93AA-490A88017DB2}" name="Tabla234" displayName="Tabla234" ref="A1:P56" totalsRowCount="1" headerRowDxfId="33" dataDxfId="32">
  <autoFilter ref="A1:P55" xr:uid="{00000000-0009-0000-0100-000001000000}">
    <filterColumn colId="5">
      <filters blank="1">
        <filter val="ACCENT"/>
        <filter val="BRONCO"/>
        <filter val="CAMION"/>
        <filter val="CAMRY"/>
        <filter val="CAPOT"/>
        <filter val="CH ONIX"/>
        <filter val="DUSTER"/>
        <filter val="F-350"/>
        <filter val="FORD"/>
        <filter val="FORD DIESTA"/>
        <filter val="FORD EXPLORER"/>
        <filter val="FOTON"/>
        <filter val="FURGON"/>
        <filter val="HONDA"/>
        <filter val="JAC"/>
        <filter val="LOGAN"/>
        <filter val="LUV"/>
        <filter val="MAZDA"/>
        <filter val="MAZDA 626"/>
        <filter val="MB"/>
        <filter val="NISSAN"/>
        <filter val="NKR"/>
        <filter val="NPR"/>
        <filter val="OJF-038"/>
        <filter val="PICANTO"/>
        <filter val="SAIL"/>
        <filter val="SANDERO"/>
        <filter val="SKODA"/>
        <filter val="SPARK"/>
        <filter val="SUBARU"/>
        <filter val="TERRACAN"/>
        <filter val="TOYOTA"/>
        <filter val="TUCSON"/>
        <filter val="VITARA"/>
      </filters>
    </filterColumn>
  </autoFilter>
  <tableColumns count="16">
    <tableColumn id="1" xr3:uid="{690C6062-59DB-4521-BC44-4F97333EDE73}" name="FECHA" dataDxfId="31" totalsRowDxfId="15"/>
    <tableColumn id="10" xr3:uid="{0A6133D0-E9A2-4652-B427-5E9BC597F0BF}" name="FECHA DE SALIDA" dataDxfId="30" totalsRowDxfId="14"/>
    <tableColumn id="20" xr3:uid="{4AA69425-668B-4201-82C4-93149EB9D878}" name="FECHA DE PAGO" dataDxfId="29" totalsRowDxfId="13"/>
    <tableColumn id="2" xr3:uid="{BA8DAF00-1212-456E-8C87-957DF74B60FB}" name="NUMERO DE FACTURA" dataDxfId="28" totalsRowDxfId="12"/>
    <tableColumn id="15" xr3:uid="{9B24DC72-3E3A-4CD2-8459-17E065355589}" name="CLIENTE" dataDxfId="27" totalsRowDxfId="11"/>
    <tableColumn id="3" xr3:uid="{5FA651C6-B3C4-4C10-A7E1-352C0D25017B}" name="MODELO" dataDxfId="26" totalsRowDxfId="10"/>
    <tableColumn id="4" xr3:uid="{87BD5FB1-76A2-48F4-A734-4AE9E55F4BE9}" name="PLACA" dataDxfId="25" totalsRowDxfId="9"/>
    <tableColumn id="5" xr3:uid="{79571490-9D5F-46C8-B916-EA8B6C60AE64}" name="DETALLES" dataDxfId="24" totalsRowDxfId="8"/>
    <tableColumn id="6" xr3:uid="{65FA56C0-2133-4001-86A8-5351F5D0B1B8}" name="TOTAL FACTURA" totalsRowFunction="sum" dataDxfId="23" totalsRowDxfId="7" dataCellStyle="Moneda"/>
    <tableColumn id="7" xr3:uid="{EE1DD5A9-2C47-46E6-B0AA-AFFE59780DB9}" name="PORCENTAJE A CANCELAR" totalsRowFunction="sum" dataDxfId="22" totalsRowDxfId="6" dataCellStyle="Moneda">
      <calculatedColumnFormula>(Tabla234[[#This Row],[TOTAL FACTURA]]-Tabla234[[#This Row],[MONTO DE COMPRA]])*0.6</calculatedColumnFormula>
    </tableColumn>
    <tableColumn id="8" xr3:uid="{64051C86-0C9E-4DA4-8B0C-66AF426ECCD6}" name="REPUESTOS USADOS" totalsRowFunction="sum" dataDxfId="21" totalsRowDxfId="5"/>
    <tableColumn id="9" xr3:uid="{A5EF8CA8-17BA-4C90-AF59-27350BD4DE31}" name="MONTO DE COMPRA" totalsRowFunction="sum" dataDxfId="20" totalsRowDxfId="4" dataCellStyle="Moneda">
      <calculatedColumnFormula>5200</calculatedColumnFormula>
    </tableColumn>
    <tableColumn id="12" xr3:uid="{1C06B2F7-F603-4585-86EB-75F4D22C6D11}" name="ABONOS A TRABAJO" totalsRowFunction="sum" dataDxfId="19" totalsRowDxfId="3">
      <calculatedColumnFormula>(Tabla234[[#This Row],[TOTAL FACTURA]]-Tabla234[[#This Row],[MONTO DE COMPRA]])*0.6</calculatedColumnFormula>
    </tableColumn>
    <tableColumn id="13" xr3:uid="{5D5C0428-3378-48F6-B923-57ABB5956902}" name="ESTATUS" totalsRowFunction="sum" dataDxfId="18" totalsRowDxfId="2"/>
    <tableColumn id="14" xr3:uid="{836224A3-E164-4BB7-B198-49E6279F57D4}" name="GANANCIA" totalsRowFunction="sum" dataDxfId="17" totalsRowDxfId="1" dataCellStyle="Moneda">
      <calculatedColumnFormula>Tabla234[[#This Row],[TOTAL FACTURA]]-Tabla234[[#This Row],[PORCENTAJE A CANCELAR]]-Tabla234[[#This Row],[MONTO DE COMPRA]]</calculatedColumnFormula>
    </tableColumn>
    <tableColumn id="11" xr3:uid="{B6B939CD-34EF-4280-9178-61AD528B9DC9}" name="ABONO CLIENTE" totalsRowFunction="sum" dataDxfId="16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ixon.perez04@gmail.com" TargetMode="External"/><Relationship Id="rId2" Type="http://schemas.openxmlformats.org/officeDocument/2006/relationships/hyperlink" Target="mailto:ramirooswaldosuarez@gmail.com" TargetMode="External"/><Relationship Id="rId1" Type="http://schemas.openxmlformats.org/officeDocument/2006/relationships/hyperlink" Target="mailto:arq.migue@hotmail.com" TargetMode="External"/><Relationship Id="rId5" Type="http://schemas.openxmlformats.org/officeDocument/2006/relationships/table" Target="../tables/table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6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mailto:germanm31@hotmail.com" TargetMode="Externa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BB025-A34D-4779-93E3-740069ACE17B}">
  <dimension ref="A1:C22"/>
  <sheetViews>
    <sheetView topLeftCell="A4" workbookViewId="0">
      <selection activeCell="B13" sqref="B13"/>
    </sheetView>
  </sheetViews>
  <sheetFormatPr baseColWidth="10" defaultRowHeight="15" x14ac:dyDescent="0.25"/>
  <cols>
    <col min="1" max="1" width="12.28515625" customWidth="1"/>
    <col min="2" max="2" width="12" customWidth="1"/>
  </cols>
  <sheetData>
    <row r="1" spans="1:3" x14ac:dyDescent="0.25">
      <c r="A1" s="9">
        <v>44890</v>
      </c>
      <c r="B1" s="61">
        <v>96000</v>
      </c>
    </row>
    <row r="3" spans="1:3" x14ac:dyDescent="0.25">
      <c r="A3" t="s">
        <v>542</v>
      </c>
      <c r="B3" s="61">
        <v>30000</v>
      </c>
      <c r="C3" s="9">
        <v>44890</v>
      </c>
    </row>
    <row r="4" spans="1:3" x14ac:dyDescent="0.25">
      <c r="A4" t="s">
        <v>457</v>
      </c>
      <c r="B4" s="61">
        <v>40000</v>
      </c>
      <c r="C4" s="9">
        <v>44898</v>
      </c>
    </row>
    <row r="5" spans="1:3" x14ac:dyDescent="0.25">
      <c r="A5" t="s">
        <v>420</v>
      </c>
      <c r="B5" s="61">
        <v>26000</v>
      </c>
      <c r="C5" s="9">
        <v>44901</v>
      </c>
    </row>
    <row r="8" spans="1:3" x14ac:dyDescent="0.25">
      <c r="A8" s="119">
        <v>44901</v>
      </c>
      <c r="B8" s="119"/>
      <c r="C8" s="119"/>
    </row>
    <row r="10" spans="1:3" x14ac:dyDescent="0.25">
      <c r="A10" t="s">
        <v>338</v>
      </c>
      <c r="B10" s="61">
        <v>30000</v>
      </c>
      <c r="C10" s="9">
        <v>41249</v>
      </c>
    </row>
    <row r="11" spans="1:3" x14ac:dyDescent="0.25">
      <c r="A11" t="s">
        <v>319</v>
      </c>
      <c r="B11" s="61">
        <v>30000</v>
      </c>
      <c r="C11" s="9">
        <v>41249</v>
      </c>
    </row>
    <row r="12" spans="1:3" x14ac:dyDescent="0.25">
      <c r="A12" t="s">
        <v>403</v>
      </c>
      <c r="B12">
        <v>36000</v>
      </c>
    </row>
    <row r="14" spans="1:3" x14ac:dyDescent="0.25">
      <c r="A14" s="119">
        <v>44923</v>
      </c>
      <c r="B14" s="120"/>
      <c r="C14" s="120"/>
    </row>
    <row r="15" spans="1:3" x14ac:dyDescent="0.25">
      <c r="A15" t="s">
        <v>575</v>
      </c>
      <c r="B15" s="61">
        <v>50000</v>
      </c>
      <c r="C15" s="9">
        <v>44923</v>
      </c>
    </row>
    <row r="16" spans="1:3" x14ac:dyDescent="0.25">
      <c r="B16" s="61"/>
    </row>
    <row r="17" spans="2:2" x14ac:dyDescent="0.25">
      <c r="B17" s="61"/>
    </row>
    <row r="18" spans="2:2" x14ac:dyDescent="0.25">
      <c r="B18" s="61"/>
    </row>
    <row r="19" spans="2:2" x14ac:dyDescent="0.25">
      <c r="B19" s="61"/>
    </row>
    <row r="20" spans="2:2" x14ac:dyDescent="0.25">
      <c r="B20" s="61"/>
    </row>
    <row r="21" spans="2:2" x14ac:dyDescent="0.25">
      <c r="B21" s="61"/>
    </row>
    <row r="22" spans="2:2" x14ac:dyDescent="0.25">
      <c r="B22" s="61"/>
    </row>
  </sheetData>
  <mergeCells count="2">
    <mergeCell ref="A8:C8"/>
    <mergeCell ref="A14:C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V103"/>
  <sheetViews>
    <sheetView topLeftCell="A13" workbookViewId="0">
      <selection activeCell="S102" sqref="S102"/>
    </sheetView>
  </sheetViews>
  <sheetFormatPr baseColWidth="10" defaultRowHeight="15" x14ac:dyDescent="0.25"/>
  <cols>
    <col min="1" max="1" width="16.42578125" style="1" customWidth="1"/>
    <col min="2" max="7" width="22.5703125" style="1" customWidth="1"/>
    <col min="8" max="8" width="17.28515625" style="1" customWidth="1"/>
    <col min="9" max="9" width="23.140625" style="1" customWidth="1"/>
    <col min="10" max="10" width="15.42578125" style="1" customWidth="1"/>
    <col min="11" max="11" width="59.140625" style="70" customWidth="1"/>
    <col min="12" max="12" width="25.85546875" style="2" customWidth="1"/>
    <col min="13" max="13" width="23.85546875" style="1" customWidth="1"/>
    <col min="14" max="14" width="39.85546875" style="2" customWidth="1"/>
    <col min="15" max="15" width="24.5703125" style="1" customWidth="1"/>
    <col min="16" max="16" width="23.85546875" style="1" customWidth="1"/>
    <col min="17" max="17" width="22.85546875" style="1" customWidth="1"/>
    <col min="18" max="18" width="17.140625" style="2" customWidth="1"/>
    <col min="19" max="19" width="21.5703125" style="1" customWidth="1"/>
    <col min="20" max="20" width="15.42578125" style="1" customWidth="1"/>
    <col min="21" max="21" width="13" style="1" bestFit="1" customWidth="1"/>
    <col min="22" max="16384" width="11.42578125" style="1"/>
  </cols>
  <sheetData>
    <row r="1" spans="1:19" ht="18" customHeight="1" x14ac:dyDescent="0.25">
      <c r="A1" s="1" t="s">
        <v>0</v>
      </c>
      <c r="B1" s="1" t="s">
        <v>1</v>
      </c>
      <c r="C1" s="1" t="s">
        <v>401</v>
      </c>
      <c r="D1" s="1" t="s">
        <v>2</v>
      </c>
      <c r="E1" s="1" t="s">
        <v>79</v>
      </c>
      <c r="F1" s="1" t="s">
        <v>68</v>
      </c>
      <c r="G1" s="1" t="s">
        <v>80</v>
      </c>
      <c r="H1" s="1" t="s">
        <v>81</v>
      </c>
      <c r="I1" s="1" t="s">
        <v>3</v>
      </c>
      <c r="J1" s="1" t="s">
        <v>4</v>
      </c>
      <c r="K1" s="68" t="s">
        <v>5</v>
      </c>
      <c r="L1" s="2" t="s">
        <v>6</v>
      </c>
      <c r="M1" s="2" t="s">
        <v>7</v>
      </c>
      <c r="N1" s="1" t="s">
        <v>8</v>
      </c>
      <c r="O1" s="2" t="s">
        <v>9</v>
      </c>
      <c r="P1" s="1" t="s">
        <v>10</v>
      </c>
      <c r="Q1" s="1" t="s">
        <v>11</v>
      </c>
      <c r="R1" s="1" t="s">
        <v>13</v>
      </c>
      <c r="S1" s="2" t="s">
        <v>14</v>
      </c>
    </row>
    <row r="2" spans="1:19" ht="16.5" hidden="1" customHeight="1" x14ac:dyDescent="0.25">
      <c r="A2" s="3">
        <v>44534</v>
      </c>
      <c r="I2" s="1" t="s">
        <v>17</v>
      </c>
      <c r="K2" s="1" t="s">
        <v>56</v>
      </c>
      <c r="L2" s="2">
        <v>7000000</v>
      </c>
      <c r="M2" s="2">
        <f>(Tabla2[[#This Row],[TOTAL FACTURA]]-Tabla2[[#This Row],[MONTO DE COMPRA]])*0.6</f>
        <v>3720060.6</v>
      </c>
      <c r="N2" s="1"/>
      <c r="O2" s="2">
        <f>'CARRO VERDE'!H28</f>
        <v>799899</v>
      </c>
      <c r="P2" s="5">
        <v>1000000</v>
      </c>
      <c r="Q2" s="5">
        <v>7149000</v>
      </c>
      <c r="R2" s="1"/>
      <c r="S2" s="2">
        <f>Tabla2[[#This Row],[TOTAL FACTURA]]-Tabla2[[#This Row],[PORCENTAJE A CANCELAR]]-Tabla2[[#This Row],[MONTO DE COMPRA]]</f>
        <v>2480040.4</v>
      </c>
    </row>
    <row r="3" spans="1:19" s="22" customFormat="1" ht="18" customHeight="1" x14ac:dyDescent="0.25">
      <c r="A3" s="21">
        <v>44566</v>
      </c>
      <c r="B3" s="21">
        <v>44583</v>
      </c>
      <c r="C3" s="21"/>
      <c r="H3" s="22" t="s">
        <v>99</v>
      </c>
      <c r="I3" s="22" t="s">
        <v>66</v>
      </c>
      <c r="J3" s="22" t="s">
        <v>62</v>
      </c>
      <c r="K3" s="22" t="s">
        <v>69</v>
      </c>
      <c r="L3" s="23">
        <v>1700000</v>
      </c>
      <c r="M3" s="23">
        <f>(Tabla2[[#This Row],[TOTAL FACTURA]]-Tabla2[[#This Row],[MONTO DE COMPRA]])*0.6</f>
        <v>784200</v>
      </c>
      <c r="O3" s="23">
        <v>393000</v>
      </c>
      <c r="P3" s="24">
        <v>300000</v>
      </c>
      <c r="Q3" s="24"/>
      <c r="R3" s="22" t="s">
        <v>15</v>
      </c>
      <c r="S3" s="23">
        <f>Tabla2[[#This Row],[TOTAL FACTURA]]-Tabla2[[#This Row],[PORCENTAJE A CANCELAR]]-Tabla2[[#This Row],[MONTO DE COMPRA]]</f>
        <v>522800</v>
      </c>
    </row>
    <row r="4" spans="1:19" s="22" customFormat="1" ht="18" customHeight="1" x14ac:dyDescent="0.25">
      <c r="A4" s="21">
        <v>44581</v>
      </c>
      <c r="B4" s="21">
        <v>44583</v>
      </c>
      <c r="C4" s="21"/>
      <c r="E4" s="22" t="s">
        <v>82</v>
      </c>
      <c r="F4" s="22">
        <v>1022354697</v>
      </c>
      <c r="G4" s="22">
        <v>3115696491</v>
      </c>
      <c r="H4" s="25" t="s">
        <v>83</v>
      </c>
      <c r="I4" s="22" t="s">
        <v>76</v>
      </c>
      <c r="J4" s="22" t="s">
        <v>77</v>
      </c>
      <c r="K4" s="22" t="s">
        <v>78</v>
      </c>
      <c r="L4" s="23">
        <v>390000</v>
      </c>
      <c r="M4" s="23">
        <f>(Tabla2[[#This Row],[TOTAL FACTURA]]-Tabla2[[#This Row],[MONTO DE COMPRA]])*0.6</f>
        <v>161280</v>
      </c>
      <c r="N4" s="22" t="s">
        <v>84</v>
      </c>
      <c r="O4" s="23">
        <f>101200+14000+6000</f>
        <v>121200</v>
      </c>
      <c r="P4" s="23">
        <v>200000</v>
      </c>
      <c r="Q4" s="24"/>
      <c r="R4" s="22" t="s">
        <v>15</v>
      </c>
      <c r="S4" s="23">
        <f>Tabla2[[#This Row],[TOTAL FACTURA]]-Tabla2[[#This Row],[PORCENTAJE A CANCELAR]]-Tabla2[[#This Row],[MONTO DE COMPRA]]</f>
        <v>107520</v>
      </c>
    </row>
    <row r="5" spans="1:19" s="22" customFormat="1" x14ac:dyDescent="0.25">
      <c r="A5" s="21">
        <v>44585</v>
      </c>
      <c r="B5" s="21">
        <v>44586</v>
      </c>
      <c r="C5" s="21"/>
      <c r="E5" s="22" t="s">
        <v>89</v>
      </c>
      <c r="F5" s="22">
        <v>2969941</v>
      </c>
      <c r="G5" s="22">
        <v>3124494483</v>
      </c>
      <c r="H5" s="25" t="s">
        <v>90</v>
      </c>
      <c r="I5" s="22" t="s">
        <v>91</v>
      </c>
      <c r="J5" s="22" t="s">
        <v>92</v>
      </c>
      <c r="K5" s="22" t="s">
        <v>93</v>
      </c>
      <c r="L5" s="23">
        <v>350000</v>
      </c>
      <c r="M5" s="23">
        <f>(Tabla2[[#This Row],[TOTAL FACTURA]]-Tabla2[[#This Row],[MONTO DE COMPRA]])*0.6</f>
        <v>180000</v>
      </c>
      <c r="N5" s="22" t="s">
        <v>94</v>
      </c>
      <c r="O5" s="23">
        <v>50000</v>
      </c>
      <c r="P5" s="24">
        <v>350000</v>
      </c>
      <c r="Q5" s="24"/>
      <c r="R5" s="22" t="s">
        <v>15</v>
      </c>
      <c r="S5" s="23">
        <f>Tabla2[[#This Row],[TOTAL FACTURA]]-Tabla2[[#This Row],[PORCENTAJE A CANCELAR]]-Tabla2[[#This Row],[MONTO DE COMPRA]]</f>
        <v>120000</v>
      </c>
    </row>
    <row r="6" spans="1:19" s="22" customFormat="1" x14ac:dyDescent="0.25">
      <c r="A6" s="21">
        <v>44585</v>
      </c>
      <c r="B6" s="21">
        <v>44586</v>
      </c>
      <c r="C6" s="21"/>
      <c r="I6" s="22" t="s">
        <v>96</v>
      </c>
      <c r="K6" s="22" t="s">
        <v>97</v>
      </c>
      <c r="L6" s="23">
        <v>350000</v>
      </c>
      <c r="M6" s="23">
        <f>(Tabla2[[#This Row],[TOTAL FACTURA]]-Tabla2[[#This Row],[MONTO DE COMPRA]])*0.6</f>
        <v>155040</v>
      </c>
      <c r="N6" s="22" t="s">
        <v>27</v>
      </c>
      <c r="O6" s="23">
        <v>91600</v>
      </c>
      <c r="P6" s="23">
        <v>350000</v>
      </c>
      <c r="Q6" s="24"/>
      <c r="R6" s="22" t="s">
        <v>15</v>
      </c>
      <c r="S6" s="23">
        <f>Tabla2[[#This Row],[TOTAL FACTURA]]-Tabla2[[#This Row],[PORCENTAJE A CANCELAR]]-Tabla2[[#This Row],[MONTO DE COMPRA]]</f>
        <v>103360</v>
      </c>
    </row>
    <row r="7" spans="1:19" s="22" customFormat="1" x14ac:dyDescent="0.25">
      <c r="A7" s="21">
        <v>44601</v>
      </c>
      <c r="B7" s="21">
        <v>44603</v>
      </c>
      <c r="C7" s="21"/>
      <c r="J7" s="22" t="s">
        <v>102</v>
      </c>
      <c r="K7" s="22" t="s">
        <v>103</v>
      </c>
      <c r="L7" s="23">
        <v>300000</v>
      </c>
      <c r="M7" s="23">
        <f>(Tabla2[[#This Row],[TOTAL FACTURA]]-Tabla2[[#This Row],[MONTO DE COMPRA]])*0.6</f>
        <v>123600</v>
      </c>
      <c r="N7" s="22" t="s">
        <v>104</v>
      </c>
      <c r="O7" s="23">
        <v>94000</v>
      </c>
      <c r="P7" s="23"/>
      <c r="Q7" s="24"/>
      <c r="R7" s="22" t="s">
        <v>15</v>
      </c>
      <c r="S7" s="23">
        <f>Tabla2[[#This Row],[TOTAL FACTURA]]-Tabla2[[#This Row],[PORCENTAJE A CANCELAR]]-Tabla2[[#This Row],[MONTO DE COMPRA]]</f>
        <v>82400</v>
      </c>
    </row>
    <row r="8" spans="1:19" s="22" customFormat="1" x14ac:dyDescent="0.25">
      <c r="A8" s="21">
        <v>44613</v>
      </c>
      <c r="B8" s="21"/>
      <c r="C8" s="21"/>
      <c r="E8" s="22" t="s">
        <v>70</v>
      </c>
      <c r="I8" s="22" t="s">
        <v>106</v>
      </c>
      <c r="J8" s="22" t="s">
        <v>105</v>
      </c>
      <c r="K8" s="22" t="s">
        <v>110</v>
      </c>
      <c r="L8" s="23">
        <v>200000</v>
      </c>
      <c r="M8" s="23">
        <f>(Tabla2[[#This Row],[TOTAL FACTURA]]-Tabla2[[#This Row],[MONTO DE COMPRA]])*0.6</f>
        <v>91200</v>
      </c>
      <c r="N8" s="22" t="s">
        <v>74</v>
      </c>
      <c r="O8" s="23">
        <v>48000</v>
      </c>
      <c r="P8" s="23"/>
      <c r="Q8" s="24"/>
      <c r="R8" s="22" t="s">
        <v>15</v>
      </c>
      <c r="S8" s="23">
        <f>Tabla2[[#This Row],[TOTAL FACTURA]]-Tabla2[[#This Row],[PORCENTAJE A CANCELAR]]-Tabla2[[#This Row],[MONTO DE COMPRA]]</f>
        <v>60800</v>
      </c>
    </row>
    <row r="9" spans="1:19" s="41" customFormat="1" x14ac:dyDescent="0.25">
      <c r="A9" s="40">
        <v>44621</v>
      </c>
      <c r="B9" s="40"/>
      <c r="C9" s="40"/>
      <c r="I9" s="41" t="s">
        <v>119</v>
      </c>
      <c r="J9" s="41" t="s">
        <v>120</v>
      </c>
      <c r="K9" s="41" t="s">
        <v>121</v>
      </c>
      <c r="L9" s="42">
        <v>600000</v>
      </c>
      <c r="M9" s="42">
        <f>(Tabla2[[#This Row],[TOTAL FACTURA]]-Tabla2[[#This Row],[MONTO DE COMPRA]])*0.6</f>
        <v>294600</v>
      </c>
      <c r="N9" s="41" t="s">
        <v>128</v>
      </c>
      <c r="O9" s="42">
        <f>103000+6000</f>
        <v>109000</v>
      </c>
      <c r="P9" s="42"/>
      <c r="Q9" s="42"/>
      <c r="R9" s="22" t="s">
        <v>15</v>
      </c>
      <c r="S9" s="42">
        <f>Tabla2[[#This Row],[TOTAL FACTURA]]-Tabla2[[#This Row],[PORCENTAJE A CANCELAR]]-Tabla2[[#This Row],[MONTO DE COMPRA]]</f>
        <v>196400</v>
      </c>
    </row>
    <row r="10" spans="1:19" s="41" customFormat="1" x14ac:dyDescent="0.25">
      <c r="A10" s="40">
        <v>44621</v>
      </c>
      <c r="I10" s="41" t="s">
        <v>122</v>
      </c>
      <c r="J10" s="41" t="s">
        <v>123</v>
      </c>
      <c r="K10" s="41" t="s">
        <v>127</v>
      </c>
      <c r="L10" s="42">
        <v>350000</v>
      </c>
      <c r="M10" s="42">
        <f>(Tabla2[[#This Row],[TOTAL FACTURA]]-Tabla2[[#This Row],[MONTO DE COMPRA]])*0.6</f>
        <v>143400</v>
      </c>
      <c r="N10" s="41" t="s">
        <v>74</v>
      </c>
      <c r="O10" s="42">
        <v>111000</v>
      </c>
      <c r="P10" s="42"/>
      <c r="Q10" s="42"/>
      <c r="R10" s="22" t="s">
        <v>15</v>
      </c>
      <c r="S10" s="42">
        <f>Tabla2[[#This Row],[TOTAL FACTURA]]-Tabla2[[#This Row],[PORCENTAJE A CANCELAR]]-Tabla2[[#This Row],[MONTO DE COMPRA]]</f>
        <v>95600</v>
      </c>
    </row>
    <row r="11" spans="1:19" s="41" customFormat="1" x14ac:dyDescent="0.25">
      <c r="A11" s="40">
        <v>44621</v>
      </c>
      <c r="I11" s="41" t="s">
        <v>124</v>
      </c>
      <c r="K11" s="41" t="s">
        <v>125</v>
      </c>
      <c r="L11" s="42">
        <v>280000</v>
      </c>
      <c r="M11" s="42">
        <f>(Tabla2[[#This Row],[TOTAL FACTURA]]-Tabla2[[#This Row],[MONTO DE COMPRA]])*0.6</f>
        <v>111600</v>
      </c>
      <c r="N11" s="41" t="s">
        <v>74</v>
      </c>
      <c r="O11" s="42">
        <v>94000</v>
      </c>
      <c r="P11" s="42">
        <v>280000</v>
      </c>
      <c r="Q11" s="42"/>
      <c r="R11" s="22" t="s">
        <v>15</v>
      </c>
      <c r="S11" s="42">
        <f>Tabla2[[#This Row],[TOTAL FACTURA]]-Tabla2[[#This Row],[PORCENTAJE A CANCELAR]]-Tabla2[[#This Row],[MONTO DE COMPRA]]</f>
        <v>74400</v>
      </c>
    </row>
    <row r="12" spans="1:19" s="41" customFormat="1" x14ac:dyDescent="0.25">
      <c r="A12" s="40">
        <v>44638</v>
      </c>
      <c r="E12" s="41" t="s">
        <v>133</v>
      </c>
      <c r="F12" s="41">
        <v>8681135</v>
      </c>
      <c r="G12" s="41">
        <v>3174029784</v>
      </c>
      <c r="H12" s="43" t="s">
        <v>134</v>
      </c>
      <c r="I12" s="41" t="s">
        <v>135</v>
      </c>
      <c r="J12" s="41" t="s">
        <v>136</v>
      </c>
      <c r="K12" s="41" t="s">
        <v>137</v>
      </c>
      <c r="L12" s="42">
        <v>150000</v>
      </c>
      <c r="M12" s="42">
        <f>(Tabla2[[#This Row],[TOTAL FACTURA]]-Tabla2[[#This Row],[MONTO DE COMPRA]])*0.6</f>
        <v>81000</v>
      </c>
      <c r="O12" s="42">
        <v>15000</v>
      </c>
      <c r="P12" s="42">
        <v>100000</v>
      </c>
      <c r="Q12" s="42"/>
      <c r="R12" s="41" t="s">
        <v>15</v>
      </c>
      <c r="S12" s="42">
        <f>Tabla2[[#This Row],[TOTAL FACTURA]]-Tabla2[[#This Row],[PORCENTAJE A CANCELAR]]-Tabla2[[#This Row],[MONTO DE COMPRA]]</f>
        <v>54000</v>
      </c>
    </row>
    <row r="13" spans="1:19" s="41" customFormat="1" x14ac:dyDescent="0.25">
      <c r="A13" s="40">
        <v>44638</v>
      </c>
      <c r="B13" s="40"/>
      <c r="C13" s="40"/>
      <c r="I13" s="41" t="s">
        <v>143</v>
      </c>
      <c r="K13" s="41" t="s">
        <v>144</v>
      </c>
      <c r="L13" s="42">
        <v>170000</v>
      </c>
      <c r="M13" s="42">
        <f>(Tabla2[[#This Row],[TOTAL FACTURA]]-Tabla2[[#This Row],[MONTO DE COMPRA]])*0.6</f>
        <v>102000</v>
      </c>
      <c r="O13" s="42"/>
      <c r="P13" s="42"/>
      <c r="Q13" s="42"/>
      <c r="R13" s="41" t="s">
        <v>15</v>
      </c>
      <c r="S13" s="42">
        <f>Tabla2[[#This Row],[TOTAL FACTURA]]-Tabla2[[#This Row],[PORCENTAJE A CANCELAR]]-Tabla2[[#This Row],[MONTO DE COMPRA]]</f>
        <v>68000</v>
      </c>
    </row>
    <row r="14" spans="1:19" s="41" customFormat="1" x14ac:dyDescent="0.25">
      <c r="A14" s="40">
        <v>44641</v>
      </c>
      <c r="I14" s="41" t="s">
        <v>147</v>
      </c>
      <c r="K14" s="41" t="s">
        <v>146</v>
      </c>
      <c r="L14" s="42">
        <v>200000</v>
      </c>
      <c r="M14" s="42">
        <f>(Tabla2[[#This Row],[TOTAL FACTURA]]-Tabla2[[#This Row],[MONTO DE COMPRA]])*0.6</f>
        <v>94800</v>
      </c>
      <c r="O14" s="42">
        <v>42000</v>
      </c>
      <c r="P14" s="42"/>
      <c r="Q14" s="42"/>
      <c r="R14" s="41" t="s">
        <v>15</v>
      </c>
      <c r="S14" s="42">
        <f>Tabla2[[#This Row],[TOTAL FACTURA]]-Tabla2[[#This Row],[PORCENTAJE A CANCELAR]]-Tabla2[[#This Row],[MONTO DE COMPRA]]</f>
        <v>63200</v>
      </c>
    </row>
    <row r="15" spans="1:19" s="41" customFormat="1" x14ac:dyDescent="0.25">
      <c r="A15" s="40">
        <v>44641</v>
      </c>
      <c r="I15" s="41" t="s">
        <v>148</v>
      </c>
      <c r="K15" s="41" t="s">
        <v>146</v>
      </c>
      <c r="L15" s="42">
        <v>300000</v>
      </c>
      <c r="M15" s="42">
        <f>(Tabla2[[#This Row],[TOTAL FACTURA]]-Tabla2[[#This Row],[MONTO DE COMPRA]])*0.6</f>
        <v>147600</v>
      </c>
      <c r="N15" s="41" t="s">
        <v>149</v>
      </c>
      <c r="O15" s="42">
        <v>54000</v>
      </c>
      <c r="Q15" s="46"/>
      <c r="R15" s="41" t="s">
        <v>15</v>
      </c>
      <c r="S15" s="42">
        <f>Tabla2[[#This Row],[TOTAL FACTURA]]-Tabla2[[#This Row],[PORCENTAJE A CANCELAR]]-Tabla2[[#This Row],[MONTO DE COMPRA]]</f>
        <v>98400</v>
      </c>
    </row>
    <row r="16" spans="1:19" s="41" customFormat="1" x14ac:dyDescent="0.25">
      <c r="A16" s="40">
        <v>44642</v>
      </c>
      <c r="I16" s="41" t="s">
        <v>150</v>
      </c>
      <c r="K16" s="41" t="s">
        <v>146</v>
      </c>
      <c r="L16" s="42">
        <v>150000</v>
      </c>
      <c r="M16" s="42">
        <f>(Tabla2[[#This Row],[TOTAL FACTURA]]-Tabla2[[#This Row],[MONTO DE COMPRA]])*0.6</f>
        <v>90000</v>
      </c>
      <c r="O16" s="42"/>
      <c r="Q16" s="46"/>
      <c r="R16" s="41" t="s">
        <v>15</v>
      </c>
      <c r="S16" s="42">
        <f>Tabla2[[#This Row],[TOTAL FACTURA]]-Tabla2[[#This Row],[PORCENTAJE A CANCELAR]]-Tabla2[[#This Row],[MONTO DE COMPRA]]</f>
        <v>60000</v>
      </c>
    </row>
    <row r="17" spans="1:19" s="41" customFormat="1" x14ac:dyDescent="0.25">
      <c r="A17" s="40">
        <v>44644</v>
      </c>
      <c r="I17" s="41" t="s">
        <v>152</v>
      </c>
      <c r="J17" s="41" t="s">
        <v>153</v>
      </c>
      <c r="K17" s="41" t="s">
        <v>144</v>
      </c>
      <c r="L17" s="42">
        <v>120000</v>
      </c>
      <c r="M17" s="42">
        <f>(Tabla2[[#This Row],[TOTAL FACTURA]]-Tabla2[[#This Row],[MONTO DE COMPRA]])*0.6</f>
        <v>36000</v>
      </c>
      <c r="O17" s="42">
        <v>60000</v>
      </c>
      <c r="Q17" s="46"/>
      <c r="R17" s="41" t="s">
        <v>15</v>
      </c>
      <c r="S17" s="42">
        <f>Tabla2[[#This Row],[TOTAL FACTURA]]-Tabla2[[#This Row],[PORCENTAJE A CANCELAR]]-Tabla2[[#This Row],[MONTO DE COMPRA]]</f>
        <v>24000</v>
      </c>
    </row>
    <row r="18" spans="1:19" s="41" customFormat="1" x14ac:dyDescent="0.25">
      <c r="A18" s="40">
        <v>44648</v>
      </c>
      <c r="I18" s="41" t="s">
        <v>158</v>
      </c>
      <c r="K18" s="41" t="s">
        <v>151</v>
      </c>
      <c r="L18" s="42">
        <v>1800000</v>
      </c>
      <c r="M18" s="42">
        <f>(Tabla2[[#This Row],[TOTAL FACTURA]]-Tabla2[[#This Row],[MONTO DE COMPRA]])*0.6</f>
        <v>702720</v>
      </c>
      <c r="N18" s="41" t="s">
        <v>159</v>
      </c>
      <c r="O18" s="42">
        <f>613800+15000</f>
        <v>628800</v>
      </c>
      <c r="P18" s="42">
        <v>900000</v>
      </c>
      <c r="Q18" s="46">
        <v>596000</v>
      </c>
      <c r="R18" s="41" t="s">
        <v>15</v>
      </c>
      <c r="S18" s="42">
        <f>Tabla2[[#This Row],[TOTAL FACTURA]]-Tabla2[[#This Row],[PORCENTAJE A CANCELAR]]-Tabla2[[#This Row],[MONTO DE COMPRA]]</f>
        <v>468480</v>
      </c>
    </row>
    <row r="19" spans="1:19" s="41" customFormat="1" x14ac:dyDescent="0.25">
      <c r="A19" s="40">
        <v>44648</v>
      </c>
      <c r="I19" s="41" t="s">
        <v>160</v>
      </c>
      <c r="J19" s="41" t="s">
        <v>163</v>
      </c>
      <c r="K19" s="41" t="s">
        <v>161</v>
      </c>
      <c r="L19" s="42">
        <v>900000</v>
      </c>
      <c r="M19" s="42">
        <f>(Tabla2[[#This Row],[TOTAL FACTURA]]-Tabla2[[#This Row],[MONTO DE COMPRA]])*0.6</f>
        <v>403800</v>
      </c>
      <c r="N19" s="41" t="s">
        <v>162</v>
      </c>
      <c r="O19" s="42">
        <f>212000+15000</f>
        <v>227000</v>
      </c>
      <c r="P19" s="42">
        <v>400000</v>
      </c>
      <c r="R19" s="41" t="s">
        <v>15</v>
      </c>
      <c r="S19" s="42">
        <f>Tabla2[[#This Row],[TOTAL FACTURA]]-Tabla2[[#This Row],[PORCENTAJE A CANCELAR]]-Tabla2[[#This Row],[MONTO DE COMPRA]]</f>
        <v>269200</v>
      </c>
    </row>
    <row r="20" spans="1:19" s="41" customFormat="1" x14ac:dyDescent="0.25">
      <c r="A20" s="40">
        <v>44648</v>
      </c>
      <c r="I20" s="41" t="s">
        <v>164</v>
      </c>
      <c r="J20" s="41" t="s">
        <v>165</v>
      </c>
      <c r="K20" s="41" t="s">
        <v>12</v>
      </c>
      <c r="L20" s="42">
        <v>650000</v>
      </c>
      <c r="M20" s="42">
        <f>(Tabla2[[#This Row],[TOTAL FACTURA]]-Tabla2[[#This Row],[MONTO DE COMPRA]])*0.6</f>
        <v>267600</v>
      </c>
      <c r="N20" s="41" t="s">
        <v>166</v>
      </c>
      <c r="O20" s="42">
        <v>204000</v>
      </c>
      <c r="P20" s="42">
        <v>200000</v>
      </c>
      <c r="Q20" s="46"/>
      <c r="R20" s="41" t="s">
        <v>15</v>
      </c>
      <c r="S20" s="42">
        <f>Tabla2[[#This Row],[TOTAL FACTURA]]-Tabla2[[#This Row],[PORCENTAJE A CANCELAR]]-Tabla2[[#This Row],[MONTO DE COMPRA]]</f>
        <v>178400</v>
      </c>
    </row>
    <row r="21" spans="1:19" s="41" customFormat="1" x14ac:dyDescent="0.25">
      <c r="A21" s="40">
        <v>44656</v>
      </c>
      <c r="I21" s="41" t="s">
        <v>167</v>
      </c>
      <c r="J21" s="41" t="s">
        <v>168</v>
      </c>
      <c r="K21" s="41" t="s">
        <v>169</v>
      </c>
      <c r="L21" s="42">
        <v>500000</v>
      </c>
      <c r="M21" s="42">
        <v>400000</v>
      </c>
      <c r="O21" s="42">
        <f>88000+17000</f>
        <v>105000</v>
      </c>
      <c r="Q21" s="46"/>
      <c r="R21" s="41" t="s">
        <v>15</v>
      </c>
      <c r="S21" s="42">
        <f>Tabla2[[#This Row],[TOTAL FACTURA]]-Tabla2[[#This Row],[PORCENTAJE A CANCELAR]]-Tabla2[[#This Row],[MONTO DE COMPRA]]</f>
        <v>-5000</v>
      </c>
    </row>
    <row r="22" spans="1:19" x14ac:dyDescent="0.25">
      <c r="A22" s="40">
        <v>44662</v>
      </c>
      <c r="B22" s="41"/>
      <c r="C22" s="41"/>
      <c r="D22" s="41"/>
      <c r="E22" s="41" t="s">
        <v>176</v>
      </c>
      <c r="F22" s="41"/>
      <c r="G22" s="41"/>
      <c r="H22" s="41"/>
      <c r="I22" s="41" t="s">
        <v>173</v>
      </c>
      <c r="J22" s="41" t="s">
        <v>174</v>
      </c>
      <c r="K22" s="41" t="s">
        <v>175</v>
      </c>
      <c r="L22" s="42">
        <v>300000</v>
      </c>
      <c r="M22" s="42">
        <f>(Tabla2[[#This Row],[TOTAL FACTURA]]-Tabla2[[#This Row],[MONTO DE COMPRA]])*0.6</f>
        <v>120000</v>
      </c>
      <c r="N22" s="41"/>
      <c r="O22" s="42">
        <v>100000</v>
      </c>
      <c r="P22" s="41"/>
      <c r="Q22" s="46"/>
      <c r="R22" s="41" t="s">
        <v>15</v>
      </c>
      <c r="S22" s="42">
        <f>Tabla2[[#This Row],[TOTAL FACTURA]]-Tabla2[[#This Row],[PORCENTAJE A CANCELAR]]-Tabla2[[#This Row],[MONTO DE COMPRA]]</f>
        <v>80000</v>
      </c>
    </row>
    <row r="23" spans="1:19" x14ac:dyDescent="0.25">
      <c r="A23" s="40">
        <v>44663</v>
      </c>
      <c r="B23" s="41"/>
      <c r="C23" s="41"/>
      <c r="D23" s="41"/>
      <c r="E23" s="41"/>
      <c r="F23" s="41"/>
      <c r="G23" s="41"/>
      <c r="H23" s="41"/>
      <c r="I23" s="41" t="s">
        <v>177</v>
      </c>
      <c r="J23" s="41" t="s">
        <v>178</v>
      </c>
      <c r="K23" s="41" t="s">
        <v>179</v>
      </c>
      <c r="L23" s="42">
        <v>100000</v>
      </c>
      <c r="M23" s="42">
        <f>(Tabla2[[#This Row],[TOTAL FACTURA]]-Tabla2[[#This Row],[MONTO DE COMPRA]])*0.6</f>
        <v>55800</v>
      </c>
      <c r="N23" s="47" t="s">
        <v>180</v>
      </c>
      <c r="O23" s="42">
        <v>7000</v>
      </c>
      <c r="P23" s="41"/>
      <c r="Q23" s="46"/>
      <c r="R23" s="41" t="s">
        <v>15</v>
      </c>
      <c r="S23" s="42">
        <f>Tabla2[[#This Row],[TOTAL FACTURA]]-Tabla2[[#This Row],[PORCENTAJE A CANCELAR]]-Tabla2[[#This Row],[MONTO DE COMPRA]]</f>
        <v>37200</v>
      </c>
    </row>
    <row r="24" spans="1:19" x14ac:dyDescent="0.25">
      <c r="A24" s="40">
        <v>44663</v>
      </c>
      <c r="B24" s="41"/>
      <c r="C24" s="41"/>
      <c r="D24" s="41"/>
      <c r="E24" s="41"/>
      <c r="F24" s="41"/>
      <c r="G24" s="41"/>
      <c r="H24" s="41"/>
      <c r="I24" s="41"/>
      <c r="J24" s="41"/>
      <c r="K24" s="41" t="s">
        <v>181</v>
      </c>
      <c r="L24" s="42">
        <v>100000</v>
      </c>
      <c r="M24" s="42">
        <f>(Tabla2[[#This Row],[TOTAL FACTURA]]-Tabla2[[#This Row],[MONTO DE COMPRA]])*0.6</f>
        <v>60000</v>
      </c>
      <c r="N24" s="47"/>
      <c r="O24" s="42"/>
      <c r="P24" s="41"/>
      <c r="Q24" s="46"/>
      <c r="R24" s="41" t="s">
        <v>15</v>
      </c>
      <c r="S24" s="42">
        <f>Tabla2[[#This Row],[TOTAL FACTURA]]-Tabla2[[#This Row],[PORCENTAJE A CANCELAR]]-Tabla2[[#This Row],[MONTO DE COMPRA]]</f>
        <v>40000</v>
      </c>
    </row>
    <row r="25" spans="1:19" x14ac:dyDescent="0.25">
      <c r="A25" s="40">
        <v>44666</v>
      </c>
      <c r="B25" s="41"/>
      <c r="C25" s="41"/>
      <c r="D25" s="41"/>
      <c r="E25" s="41"/>
      <c r="F25" s="41"/>
      <c r="G25" s="41"/>
      <c r="H25" s="41"/>
      <c r="I25" s="41" t="s">
        <v>182</v>
      </c>
      <c r="J25" s="41"/>
      <c r="K25" s="41" t="s">
        <v>183</v>
      </c>
      <c r="L25" s="42">
        <v>400000</v>
      </c>
      <c r="M25" s="42">
        <f>(Tabla2[[#This Row],[TOTAL FACTURA]]-Tabla2[[#This Row],[MONTO DE COMPRA]])*0.6</f>
        <v>206400</v>
      </c>
      <c r="N25" s="47"/>
      <c r="O25" s="42">
        <v>56000</v>
      </c>
      <c r="P25" s="41"/>
      <c r="Q25" s="46"/>
      <c r="R25" s="41" t="s">
        <v>15</v>
      </c>
      <c r="S25" s="42">
        <f>Tabla2[[#This Row],[TOTAL FACTURA]]-Tabla2[[#This Row],[PORCENTAJE A CANCELAR]]-Tabla2[[#This Row],[MONTO DE COMPRA]]</f>
        <v>137600</v>
      </c>
    </row>
    <row r="26" spans="1:19" s="41" customFormat="1" x14ac:dyDescent="0.25">
      <c r="A26" s="40">
        <v>44671</v>
      </c>
      <c r="I26" s="41" t="s">
        <v>185</v>
      </c>
      <c r="J26" s="41" t="s">
        <v>186</v>
      </c>
      <c r="K26" s="41" t="s">
        <v>187</v>
      </c>
      <c r="L26" s="42">
        <v>700000</v>
      </c>
      <c r="M26" s="42">
        <f>(Tabla2[[#This Row],[TOTAL FACTURA]]-Tabla2[[#This Row],[MONTO DE COMPRA]])*0.6</f>
        <v>390000</v>
      </c>
      <c r="N26" s="41" t="s">
        <v>188</v>
      </c>
      <c r="O26" s="42">
        <v>50000</v>
      </c>
      <c r="Q26" s="46"/>
      <c r="R26" s="41" t="s">
        <v>15</v>
      </c>
      <c r="S26" s="42">
        <f>Tabla2[[#This Row],[TOTAL FACTURA]]-Tabla2[[#This Row],[PORCENTAJE A CANCELAR]]-Tabla2[[#This Row],[MONTO DE COMPRA]]</f>
        <v>260000</v>
      </c>
    </row>
    <row r="27" spans="1:19" x14ac:dyDescent="0.25">
      <c r="A27" s="40">
        <v>44679</v>
      </c>
      <c r="B27" s="41"/>
      <c r="C27" s="41"/>
      <c r="D27" s="41"/>
      <c r="E27" s="41"/>
      <c r="F27" s="41"/>
      <c r="G27" s="41"/>
      <c r="H27" s="41"/>
      <c r="I27" s="41" t="s">
        <v>189</v>
      </c>
      <c r="J27" s="41" t="s">
        <v>190</v>
      </c>
      <c r="K27" s="41" t="s">
        <v>191</v>
      </c>
      <c r="L27" s="42">
        <v>210000</v>
      </c>
      <c r="M27" s="42">
        <f>(Tabla2[[#This Row],[TOTAL FACTURA]]-Tabla2[[#This Row],[MONTO DE COMPRA]])*0.6</f>
        <v>105000</v>
      </c>
      <c r="N27" s="41"/>
      <c r="O27" s="42">
        <v>35000</v>
      </c>
      <c r="P27" s="41"/>
      <c r="Q27" s="46"/>
      <c r="R27" s="41" t="s">
        <v>15</v>
      </c>
      <c r="S27" s="42">
        <f>Tabla2[[#This Row],[TOTAL FACTURA]]-Tabla2[[#This Row],[PORCENTAJE A CANCELAR]]-Tabla2[[#This Row],[MONTO DE COMPRA]]</f>
        <v>70000</v>
      </c>
    </row>
    <row r="28" spans="1:19" x14ac:dyDescent="0.25">
      <c r="A28" s="40">
        <v>44680</v>
      </c>
      <c r="B28" s="41"/>
      <c r="C28" s="41"/>
      <c r="D28" s="41"/>
      <c r="E28" s="41"/>
      <c r="F28" s="41"/>
      <c r="G28" s="41"/>
      <c r="H28" s="41"/>
      <c r="I28" s="41"/>
      <c r="J28" s="41"/>
      <c r="K28" s="41" t="s">
        <v>181</v>
      </c>
      <c r="L28" s="42">
        <v>300000</v>
      </c>
      <c r="M28" s="42">
        <f>(Tabla2[[#This Row],[TOTAL FACTURA]]-Tabla2[[#This Row],[MONTO DE COMPRA]])*0.6</f>
        <v>168000</v>
      </c>
      <c r="N28" s="41"/>
      <c r="O28" s="42">
        <v>20000</v>
      </c>
      <c r="P28" s="41"/>
      <c r="Q28" s="46"/>
      <c r="R28" s="41" t="s">
        <v>15</v>
      </c>
      <c r="S28" s="42">
        <f>Tabla2[[#This Row],[TOTAL FACTURA]]-Tabla2[[#This Row],[PORCENTAJE A CANCELAR]]-Tabla2[[#This Row],[MONTO DE COMPRA]]</f>
        <v>112000</v>
      </c>
    </row>
    <row r="29" spans="1:19" x14ac:dyDescent="0.25">
      <c r="A29" s="40">
        <v>44683</v>
      </c>
      <c r="B29" s="41"/>
      <c r="C29" s="41"/>
      <c r="D29" s="41"/>
      <c r="E29" s="41" t="s">
        <v>192</v>
      </c>
      <c r="F29" s="41"/>
      <c r="G29" s="41"/>
      <c r="H29" s="41"/>
      <c r="I29" s="41"/>
      <c r="J29" s="41" t="s">
        <v>193</v>
      </c>
      <c r="K29" s="41" t="s">
        <v>194</v>
      </c>
      <c r="L29" s="42">
        <v>500000</v>
      </c>
      <c r="M29" s="42">
        <f>(Tabla2[[#This Row],[TOTAL FACTURA]]-Tabla2[[#This Row],[MONTO DE COMPRA]])*0.6</f>
        <v>271200</v>
      </c>
      <c r="N29" s="41" t="s">
        <v>195</v>
      </c>
      <c r="O29" s="42">
        <v>48000</v>
      </c>
      <c r="P29" s="41"/>
      <c r="Q29" s="46"/>
      <c r="R29" s="41" t="s">
        <v>15</v>
      </c>
      <c r="S29" s="42">
        <f>Tabla2[[#This Row],[TOTAL FACTURA]]-Tabla2[[#This Row],[PORCENTAJE A CANCELAR]]-Tabla2[[#This Row],[MONTO DE COMPRA]]</f>
        <v>180800</v>
      </c>
    </row>
    <row r="30" spans="1:19" x14ac:dyDescent="0.25">
      <c r="A30" s="40">
        <v>44685</v>
      </c>
      <c r="B30" s="41"/>
      <c r="C30" s="41"/>
      <c r="D30" s="41"/>
      <c r="E30" s="41"/>
      <c r="F30" s="41"/>
      <c r="G30" s="41"/>
      <c r="H30" s="41"/>
      <c r="I30" s="41" t="s">
        <v>223</v>
      </c>
      <c r="J30" s="41" t="s">
        <v>196</v>
      </c>
      <c r="K30" s="41" t="s">
        <v>197</v>
      </c>
      <c r="L30" s="42">
        <v>200000</v>
      </c>
      <c r="M30" s="42">
        <f>(Tabla2[[#This Row],[TOTAL FACTURA]]-Tabla2[[#This Row],[MONTO DE COMPRA]])*0.6</f>
        <v>89400</v>
      </c>
      <c r="N30" s="41"/>
      <c r="O30" s="42">
        <f>39000+12000</f>
        <v>51000</v>
      </c>
      <c r="P30" s="41"/>
      <c r="Q30" s="46"/>
      <c r="R30" s="41" t="s">
        <v>15</v>
      </c>
      <c r="S30" s="42">
        <f>Tabla2[[#This Row],[TOTAL FACTURA]]-Tabla2[[#This Row],[PORCENTAJE A CANCELAR]]-Tabla2[[#This Row],[MONTO DE COMPRA]]</f>
        <v>59600</v>
      </c>
    </row>
    <row r="31" spans="1:19" x14ac:dyDescent="0.25">
      <c r="A31" s="40">
        <v>44685</v>
      </c>
      <c r="B31" s="41"/>
      <c r="C31" s="41"/>
      <c r="D31" s="41"/>
      <c r="E31" s="41"/>
      <c r="F31" s="41"/>
      <c r="G31" s="41"/>
      <c r="H31" s="41"/>
      <c r="I31" s="41" t="s">
        <v>198</v>
      </c>
      <c r="J31" s="41" t="s">
        <v>199</v>
      </c>
      <c r="K31" s="41" t="s">
        <v>200</v>
      </c>
      <c r="L31" s="42">
        <v>150000</v>
      </c>
      <c r="M31" s="42">
        <f>(Tabla2[[#This Row],[TOTAL FACTURA]]-Tabla2[[#This Row],[MONTO DE COMPRA]])*0.6</f>
        <v>60000</v>
      </c>
      <c r="N31" s="41"/>
      <c r="O31" s="42">
        <v>50000</v>
      </c>
      <c r="P31" s="41"/>
      <c r="Q31" s="46"/>
      <c r="R31" s="41" t="s">
        <v>15</v>
      </c>
      <c r="S31" s="42">
        <f>Tabla2[[#This Row],[TOTAL FACTURA]]-Tabla2[[#This Row],[PORCENTAJE A CANCELAR]]-Tabla2[[#This Row],[MONTO DE COMPRA]]</f>
        <v>40000</v>
      </c>
    </row>
    <row r="32" spans="1:19" x14ac:dyDescent="0.25">
      <c r="A32" s="40">
        <v>44686</v>
      </c>
      <c r="B32" s="41"/>
      <c r="C32" s="41"/>
      <c r="D32" s="41"/>
      <c r="E32" s="41"/>
      <c r="F32" s="41"/>
      <c r="G32" s="41"/>
      <c r="H32" s="41"/>
      <c r="I32" s="41"/>
      <c r="J32" s="41"/>
      <c r="K32" s="41" t="s">
        <v>221</v>
      </c>
      <c r="L32" s="42">
        <v>120000</v>
      </c>
      <c r="M32" s="42">
        <f>(Tabla2[[#This Row],[TOTAL FACTURA]]-Tabla2[[#This Row],[MONTO DE COMPRA]])*0.6</f>
        <v>45060</v>
      </c>
      <c r="N32" s="41" t="s">
        <v>222</v>
      </c>
      <c r="O32" s="42">
        <f>32400+12500</f>
        <v>44900</v>
      </c>
      <c r="P32" s="41"/>
      <c r="Q32" s="46"/>
      <c r="R32" s="41" t="s">
        <v>15</v>
      </c>
      <c r="S32" s="42">
        <f>Tabla2[[#This Row],[TOTAL FACTURA]]-Tabla2[[#This Row],[PORCENTAJE A CANCELAR]]-Tabla2[[#This Row],[MONTO DE COMPRA]]</f>
        <v>30040</v>
      </c>
    </row>
    <row r="33" spans="1:22" s="41" customFormat="1" x14ac:dyDescent="0.25">
      <c r="A33" s="40">
        <v>44691</v>
      </c>
      <c r="I33" s="41" t="s">
        <v>228</v>
      </c>
      <c r="J33" s="41" t="s">
        <v>229</v>
      </c>
      <c r="L33" s="42">
        <v>1600000</v>
      </c>
      <c r="M33" s="42">
        <f>(Tabla2[[#This Row],[TOTAL FACTURA]]-Tabla2[[#This Row],[MONTO DE COMPRA]])*0.6</f>
        <v>654000</v>
      </c>
      <c r="N33" s="41" t="s">
        <v>230</v>
      </c>
      <c r="O33" s="42">
        <f>260000+250000</f>
        <v>510000</v>
      </c>
      <c r="P33" s="42">
        <v>800000</v>
      </c>
      <c r="Q33" s="46"/>
      <c r="R33" s="41" t="s">
        <v>15</v>
      </c>
      <c r="S33" s="42">
        <f>Tabla2[[#This Row],[TOTAL FACTURA]]-Tabla2[[#This Row],[PORCENTAJE A CANCELAR]]-Tabla2[[#This Row],[MONTO DE COMPRA]]</f>
        <v>436000</v>
      </c>
    </row>
    <row r="34" spans="1:22" s="41" customFormat="1" x14ac:dyDescent="0.25">
      <c r="A34" s="40">
        <v>44694</v>
      </c>
      <c r="I34" s="41" t="s">
        <v>231</v>
      </c>
      <c r="J34" s="41" t="s">
        <v>232</v>
      </c>
      <c r="L34" s="42">
        <v>300000</v>
      </c>
      <c r="M34" s="42">
        <f>(Tabla2[[#This Row],[TOTAL FACTURA]]-Tabla2[[#This Row],[MONTO DE COMPRA]])*0.6</f>
        <v>142800</v>
      </c>
      <c r="O34" s="42">
        <v>62000</v>
      </c>
      <c r="P34" s="42">
        <v>200000</v>
      </c>
      <c r="Q34" s="46"/>
      <c r="R34" s="41" t="s">
        <v>15</v>
      </c>
      <c r="S34" s="42">
        <f>Tabla2[[#This Row],[TOTAL FACTURA]]-Tabla2[[#This Row],[PORCENTAJE A CANCELAR]]-Tabla2[[#This Row],[MONTO DE COMPRA]]</f>
        <v>95200</v>
      </c>
    </row>
    <row r="35" spans="1:22" s="41" customFormat="1" x14ac:dyDescent="0.25">
      <c r="A35" s="40">
        <v>44701</v>
      </c>
      <c r="I35" s="41" t="s">
        <v>233</v>
      </c>
      <c r="J35" s="41" t="s">
        <v>234</v>
      </c>
      <c r="K35" s="41" t="s">
        <v>12</v>
      </c>
      <c r="L35" s="42">
        <v>1700000</v>
      </c>
      <c r="M35" s="42">
        <f>(Tabla2[[#This Row],[TOTAL FACTURA]]-Tabla2[[#This Row],[MONTO DE COMPRA]])*0.6</f>
        <v>764580</v>
      </c>
      <c r="N35" s="41" t="s">
        <v>235</v>
      </c>
      <c r="O35" s="42">
        <f>225700+200000</f>
        <v>425700</v>
      </c>
      <c r="P35" s="42">
        <v>850000</v>
      </c>
      <c r="Q35" s="46"/>
      <c r="S35" s="42">
        <f>Tabla2[[#This Row],[TOTAL FACTURA]]-Tabla2[[#This Row],[PORCENTAJE A CANCELAR]]-Tabla2[[#This Row],[MONTO DE COMPRA]]</f>
        <v>509720</v>
      </c>
    </row>
    <row r="36" spans="1:22" s="41" customFormat="1" hidden="1" x14ac:dyDescent="0.25">
      <c r="I36" s="41" t="s">
        <v>244</v>
      </c>
      <c r="K36" s="41" t="s">
        <v>243</v>
      </c>
      <c r="L36" s="42">
        <v>200000</v>
      </c>
      <c r="M36" s="42">
        <f>(Tabla2[[#This Row],[TOTAL FACTURA]]-Tabla2[[#This Row],[MONTO DE COMPRA]])*0.6</f>
        <v>72000</v>
      </c>
      <c r="N36" s="46"/>
      <c r="O36" s="42">
        <v>80000</v>
      </c>
      <c r="Q36" s="46"/>
      <c r="S36" s="42">
        <f>Tabla2[[#This Row],[TOTAL FACTURA]]-Tabla2[[#This Row],[PORCENTAJE A CANCELAR]]-Tabla2[[#This Row],[MONTO DE COMPRA]]</f>
        <v>48000</v>
      </c>
    </row>
    <row r="37" spans="1:22" s="41" customFormat="1" hidden="1" x14ac:dyDescent="0.25">
      <c r="K37" s="41" t="s">
        <v>191</v>
      </c>
      <c r="L37" s="42">
        <v>160000</v>
      </c>
      <c r="M37" s="42">
        <f>(Tabla2[[#This Row],[TOTAL FACTURA]]-Tabla2[[#This Row],[MONTO DE COMPRA]])*0.6</f>
        <v>96000</v>
      </c>
      <c r="O37" s="42"/>
      <c r="Q37" s="46"/>
      <c r="S37" s="42">
        <f>Tabla2[[#This Row],[TOTAL FACTURA]]-Tabla2[[#This Row],[PORCENTAJE A CANCELAR]]-Tabla2[[#This Row],[MONTO DE COMPRA]]</f>
        <v>64000</v>
      </c>
    </row>
    <row r="38" spans="1:22" s="41" customFormat="1" x14ac:dyDescent="0.25">
      <c r="A38" s="40">
        <v>44712</v>
      </c>
      <c r="E38" s="41" t="s">
        <v>245</v>
      </c>
      <c r="I38" s="41" t="s">
        <v>246</v>
      </c>
      <c r="J38" s="41" t="s">
        <v>247</v>
      </c>
      <c r="K38" s="41" t="s">
        <v>248</v>
      </c>
      <c r="L38" s="42">
        <v>200000</v>
      </c>
      <c r="M38" s="42">
        <f>(Tabla2[[#This Row],[TOTAL FACTURA]]-Tabla2[[#This Row],[MONTO DE COMPRA]])*0.6</f>
        <v>108000</v>
      </c>
      <c r="O38" s="42">
        <v>20000</v>
      </c>
      <c r="Q38" s="46"/>
      <c r="S38" s="42">
        <f>Tabla2[[#This Row],[TOTAL FACTURA]]-Tabla2[[#This Row],[PORCENTAJE A CANCELAR]]-Tabla2[[#This Row],[MONTO DE COMPRA]]</f>
        <v>72000</v>
      </c>
    </row>
    <row r="39" spans="1:22" s="41" customFormat="1" x14ac:dyDescent="0.25">
      <c r="A39" s="40">
        <v>44714</v>
      </c>
      <c r="I39" s="41" t="s">
        <v>256</v>
      </c>
      <c r="K39" s="41" t="s">
        <v>249</v>
      </c>
      <c r="L39" s="42">
        <v>350000</v>
      </c>
      <c r="M39" s="42">
        <f>(Tabla2[[#This Row],[TOTAL FACTURA]]-Tabla2[[#This Row],[MONTO DE COMPRA]])*0.6</f>
        <v>180000</v>
      </c>
      <c r="O39" s="42">
        <v>50000</v>
      </c>
      <c r="Q39" s="46"/>
      <c r="S39" s="42">
        <f>Tabla2[[#This Row],[TOTAL FACTURA]]-Tabla2[[#This Row],[PORCENTAJE A CANCELAR]]-Tabla2[[#This Row],[MONTO DE COMPRA]]</f>
        <v>120000</v>
      </c>
    </row>
    <row r="40" spans="1:22" s="41" customFormat="1" x14ac:dyDescent="0.25">
      <c r="A40" s="40">
        <v>44715</v>
      </c>
      <c r="I40" s="41" t="s">
        <v>251</v>
      </c>
      <c r="J40" s="41" t="s">
        <v>250</v>
      </c>
      <c r="K40" s="41" t="s">
        <v>252</v>
      </c>
      <c r="L40" s="42">
        <v>200000</v>
      </c>
      <c r="M40" s="42">
        <f>(Tabla2[[#This Row],[TOTAL FACTURA]]-Tabla2[[#This Row],[MONTO DE COMPRA]])*0.6</f>
        <v>84600</v>
      </c>
      <c r="O40" s="42">
        <v>59000</v>
      </c>
      <c r="Q40" s="46"/>
      <c r="S40" s="42">
        <f>Tabla2[[#This Row],[TOTAL FACTURA]]-Tabla2[[#This Row],[PORCENTAJE A CANCELAR]]-Tabla2[[#This Row],[MONTO DE COMPRA]]</f>
        <v>56400</v>
      </c>
    </row>
    <row r="41" spans="1:22" hidden="1" x14ac:dyDescent="0.25">
      <c r="A41" s="3">
        <v>44715</v>
      </c>
      <c r="D41" s="1" t="s">
        <v>254</v>
      </c>
      <c r="E41" s="1" t="s">
        <v>255</v>
      </c>
      <c r="I41" s="1" t="s">
        <v>170</v>
      </c>
      <c r="J41" s="1" t="s">
        <v>253</v>
      </c>
      <c r="K41" s="1" t="s">
        <v>151</v>
      </c>
      <c r="L41" s="2">
        <v>3300000</v>
      </c>
      <c r="M41" s="2">
        <f>(Tabla2[[#This Row],[TOTAL FACTURA]]-Tabla2[[#This Row],[MONTO DE COMPRA]])*0.6</f>
        <v>1921800</v>
      </c>
      <c r="N41" s="2">
        <f>120200+518500+77000</f>
        <v>715700</v>
      </c>
      <c r="O41" s="2">
        <f>49000+48000</f>
        <v>97000</v>
      </c>
      <c r="P41" s="2">
        <v>1500000</v>
      </c>
      <c r="Q41" s="5">
        <f>627000+694000</f>
        <v>1321000</v>
      </c>
      <c r="R41" s="1"/>
      <c r="S41" s="2">
        <f>Tabla2[[#This Row],[TOTAL FACTURA]]-Tabla2[[#This Row],[PORCENTAJE A CANCELAR]]-Tabla2[[#This Row],[MONTO DE COMPRA]]</f>
        <v>1281200</v>
      </c>
      <c r="U41" s="5">
        <f>Tabla2[[#This Row],[PORCENTAJE A CANCELAR]]-Tabla2[[#This Row],[ABONOS A TRABAJO]]</f>
        <v>600800</v>
      </c>
      <c r="V41" s="60"/>
    </row>
    <row r="42" spans="1:22" s="41" customFormat="1" x14ac:dyDescent="0.25">
      <c r="A42" s="40">
        <v>44721</v>
      </c>
      <c r="I42" s="41" t="s">
        <v>258</v>
      </c>
      <c r="K42" s="41" t="s">
        <v>146</v>
      </c>
      <c r="L42" s="42">
        <v>100000</v>
      </c>
      <c r="M42" s="42">
        <f>(Tabla2[[#This Row],[TOTAL FACTURA]]-Tabla2[[#This Row],[MONTO DE COMPRA]])*0.6</f>
        <v>60000</v>
      </c>
      <c r="O42" s="42"/>
      <c r="Q42" s="46"/>
      <c r="S42" s="42">
        <f>Tabla2[[#This Row],[TOTAL FACTURA]]-Tabla2[[#This Row],[PORCENTAJE A CANCELAR]]-Tabla2[[#This Row],[MONTO DE COMPRA]]</f>
        <v>40000</v>
      </c>
    </row>
    <row r="43" spans="1:22" s="41" customFormat="1" hidden="1" x14ac:dyDescent="0.25">
      <c r="I43" s="41" t="s">
        <v>259</v>
      </c>
      <c r="K43" s="41" t="s">
        <v>146</v>
      </c>
      <c r="L43" s="42">
        <v>150000</v>
      </c>
      <c r="M43" s="42">
        <f>(Tabla2[[#This Row],[TOTAL FACTURA]]-Tabla2[[#This Row],[MONTO DE COMPRA]])*0.6</f>
        <v>90000</v>
      </c>
      <c r="O43" s="42"/>
      <c r="Q43" s="46"/>
      <c r="S43" s="42">
        <f>Tabla2[[#This Row],[TOTAL FACTURA]]-Tabla2[[#This Row],[PORCENTAJE A CANCELAR]]-Tabla2[[#This Row],[MONTO DE COMPRA]]</f>
        <v>60000</v>
      </c>
    </row>
    <row r="44" spans="1:22" s="41" customFormat="1" hidden="1" x14ac:dyDescent="0.25">
      <c r="I44" s="41" t="s">
        <v>228</v>
      </c>
      <c r="J44" s="41" t="s">
        <v>229</v>
      </c>
      <c r="K44" s="41" t="s">
        <v>260</v>
      </c>
      <c r="L44" s="42">
        <v>200000</v>
      </c>
      <c r="M44" s="42">
        <f>(Tabla2[[#This Row],[TOTAL FACTURA]]-Tabla2[[#This Row],[MONTO DE COMPRA]])*0.6</f>
        <v>91200</v>
      </c>
      <c r="O44" s="42">
        <v>48000</v>
      </c>
      <c r="Q44" s="46"/>
      <c r="S44" s="42">
        <f>Tabla2[[#This Row],[TOTAL FACTURA]]-Tabla2[[#This Row],[PORCENTAJE A CANCELAR]]-Tabla2[[#This Row],[MONTO DE COMPRA]]</f>
        <v>60800</v>
      </c>
    </row>
    <row r="45" spans="1:22" s="41" customFormat="1" x14ac:dyDescent="0.25">
      <c r="A45" s="40">
        <v>44727</v>
      </c>
      <c r="E45" s="41" t="s">
        <v>261</v>
      </c>
      <c r="I45" s="41" t="s">
        <v>262</v>
      </c>
      <c r="J45" s="41" t="s">
        <v>263</v>
      </c>
      <c r="K45" s="41" t="s">
        <v>264</v>
      </c>
      <c r="L45" s="42">
        <v>650000</v>
      </c>
      <c r="M45" s="42">
        <f>(Tabla2[[#This Row],[TOTAL FACTURA]]-Tabla2[[#This Row],[MONTO DE COMPRA]])*0.6</f>
        <v>270600</v>
      </c>
      <c r="O45" s="42">
        <v>199000</v>
      </c>
      <c r="P45" s="42">
        <v>200000</v>
      </c>
      <c r="Q45" s="46"/>
      <c r="S45" s="42">
        <f>Tabla2[[#This Row],[TOTAL FACTURA]]-Tabla2[[#This Row],[PORCENTAJE A CANCELAR]]-Tabla2[[#This Row],[MONTO DE COMPRA]]</f>
        <v>180400</v>
      </c>
    </row>
    <row r="46" spans="1:22" s="41" customFormat="1" x14ac:dyDescent="0.25">
      <c r="A46" s="40">
        <v>44726</v>
      </c>
      <c r="I46" s="41" t="s">
        <v>272</v>
      </c>
      <c r="L46" s="42">
        <v>250000</v>
      </c>
      <c r="M46" s="42">
        <f>(Tabla2[[#This Row],[TOTAL FACTURA]]-Tabla2[[#This Row],[MONTO DE COMPRA]])*0.6</f>
        <v>120000</v>
      </c>
      <c r="O46" s="42">
        <v>50000</v>
      </c>
      <c r="Q46" s="46"/>
      <c r="S46" s="42">
        <f>Tabla2[[#This Row],[TOTAL FACTURA]]-Tabla2[[#This Row],[PORCENTAJE A CANCELAR]]-Tabla2[[#This Row],[MONTO DE COMPRA]]</f>
        <v>80000</v>
      </c>
    </row>
    <row r="47" spans="1:22" s="41" customFormat="1" x14ac:dyDescent="0.25">
      <c r="A47" s="40">
        <v>44733</v>
      </c>
      <c r="I47" s="41" t="s">
        <v>278</v>
      </c>
      <c r="J47" s="41" t="s">
        <v>273</v>
      </c>
      <c r="K47" s="41" t="s">
        <v>274</v>
      </c>
      <c r="L47" s="42">
        <v>600000</v>
      </c>
      <c r="M47" s="42">
        <f>(Tabla2[[#This Row],[TOTAL FACTURA]]-Tabla2[[#This Row],[MONTO DE COMPRA]])*0.6</f>
        <v>289500</v>
      </c>
      <c r="O47" s="42">
        <f>49500+45000+12000+11000</f>
        <v>117500</v>
      </c>
      <c r="P47" s="42">
        <f>50000+150000</f>
        <v>200000</v>
      </c>
      <c r="Q47" s="46"/>
      <c r="S47" s="42">
        <f>Tabla2[[#This Row],[TOTAL FACTURA]]-Tabla2[[#This Row],[PORCENTAJE A CANCELAR]]-Tabla2[[#This Row],[MONTO DE COMPRA]]</f>
        <v>193000</v>
      </c>
    </row>
    <row r="48" spans="1:22" s="41" customFormat="1" x14ac:dyDescent="0.25">
      <c r="A48" s="40">
        <v>44734</v>
      </c>
      <c r="I48" s="41" t="s">
        <v>275</v>
      </c>
      <c r="J48" s="41" t="s">
        <v>276</v>
      </c>
      <c r="K48" s="41" t="s">
        <v>277</v>
      </c>
      <c r="L48" s="42">
        <v>500000</v>
      </c>
      <c r="M48" s="42">
        <f>(Tabla2[[#This Row],[TOTAL FACTURA]]-Tabla2[[#This Row],[MONTO DE COMPRA]])*0.6</f>
        <v>239400</v>
      </c>
      <c r="O48" s="42">
        <f>30000+11000+17000+28000+15000</f>
        <v>101000</v>
      </c>
      <c r="P48" s="42" t="s">
        <v>290</v>
      </c>
      <c r="Q48" s="46"/>
      <c r="S48" s="42">
        <f>Tabla2[[#This Row],[TOTAL FACTURA]]-Tabla2[[#This Row],[PORCENTAJE A CANCELAR]]-Tabla2[[#This Row],[MONTO DE COMPRA]]</f>
        <v>159600</v>
      </c>
    </row>
    <row r="49" spans="1:19" s="41" customFormat="1" x14ac:dyDescent="0.25">
      <c r="A49" s="40">
        <v>44734</v>
      </c>
      <c r="I49" s="41" t="s">
        <v>281</v>
      </c>
      <c r="K49" s="41" t="s">
        <v>282</v>
      </c>
      <c r="L49" s="42">
        <v>350000</v>
      </c>
      <c r="M49" s="42">
        <f>(Tabla2[[#This Row],[TOTAL FACTURA]]-Tabla2[[#This Row],[MONTO DE COMPRA]])*0.6</f>
        <v>163800</v>
      </c>
      <c r="N49" s="47"/>
      <c r="O49" s="42">
        <v>77000</v>
      </c>
      <c r="P49" s="42">
        <v>150000</v>
      </c>
      <c r="Q49" s="46"/>
      <c r="S49" s="42">
        <f>Tabla2[[#This Row],[TOTAL FACTURA]]-Tabla2[[#This Row],[PORCENTAJE A CANCELAR]]-Tabla2[[#This Row],[MONTO DE COMPRA]]</f>
        <v>109200</v>
      </c>
    </row>
    <row r="50" spans="1:19" s="41" customFormat="1" x14ac:dyDescent="0.25">
      <c r="A50" s="40">
        <v>44740</v>
      </c>
      <c r="I50" s="41" t="s">
        <v>294</v>
      </c>
      <c r="J50" s="41" t="s">
        <v>293</v>
      </c>
      <c r="K50" s="41" t="s">
        <v>12</v>
      </c>
      <c r="L50" s="42">
        <v>350000</v>
      </c>
      <c r="M50" s="42">
        <f>(Tabla2[[#This Row],[TOTAL FACTURA]]-Tabla2[[#This Row],[MONTO DE COMPRA]])*0.6</f>
        <v>170400</v>
      </c>
      <c r="O50" s="42">
        <v>66000</v>
      </c>
      <c r="Q50" s="46"/>
      <c r="S50" s="42">
        <f>Tabla2[[#This Row],[TOTAL FACTURA]]-Tabla2[[#This Row],[PORCENTAJE A CANCELAR]]-Tabla2[[#This Row],[MONTO DE COMPRA]]</f>
        <v>113600</v>
      </c>
    </row>
    <row r="51" spans="1:19" s="41" customFormat="1" x14ac:dyDescent="0.25">
      <c r="A51" s="40">
        <v>44742</v>
      </c>
      <c r="E51" s="41" t="s">
        <v>296</v>
      </c>
      <c r="I51" s="41" t="s">
        <v>272</v>
      </c>
      <c r="J51" s="41" t="s">
        <v>295</v>
      </c>
      <c r="K51" s="41" t="s">
        <v>12</v>
      </c>
      <c r="L51" s="42">
        <v>500000</v>
      </c>
      <c r="M51" s="42">
        <f>(Tabla2[[#This Row],[TOTAL FACTURA]]-Tabla2[[#This Row],[MONTO DE COMPRA]])*0.6</f>
        <v>260400</v>
      </c>
      <c r="O51" s="42">
        <v>66000</v>
      </c>
      <c r="P51" s="42">
        <v>250000</v>
      </c>
      <c r="Q51" s="46"/>
      <c r="S51" s="42">
        <f>Tabla2[[#This Row],[TOTAL FACTURA]]-Tabla2[[#This Row],[PORCENTAJE A CANCELAR]]-Tabla2[[#This Row],[MONTO DE COMPRA]]</f>
        <v>173600</v>
      </c>
    </row>
    <row r="52" spans="1:19" s="41" customFormat="1" x14ac:dyDescent="0.25">
      <c r="A52" s="40">
        <v>44742</v>
      </c>
      <c r="I52" s="41" t="s">
        <v>297</v>
      </c>
      <c r="J52" s="41" t="s">
        <v>298</v>
      </c>
      <c r="K52" s="41" t="s">
        <v>12</v>
      </c>
      <c r="L52" s="42">
        <v>150000</v>
      </c>
      <c r="M52" s="42">
        <f>(Tabla2[[#This Row],[TOTAL FACTURA]]-Tabla2[[#This Row],[MONTO DE COMPRA]])*0.6</f>
        <v>50400</v>
      </c>
      <c r="O52" s="42">
        <v>66000</v>
      </c>
      <c r="Q52" s="46"/>
      <c r="S52" s="42">
        <f>Tabla2[[#This Row],[TOTAL FACTURA]]-Tabla2[[#This Row],[PORCENTAJE A CANCELAR]]-Tabla2[[#This Row],[MONTO DE COMPRA]]</f>
        <v>33600</v>
      </c>
    </row>
    <row r="53" spans="1:19" s="41" customFormat="1" hidden="1" x14ac:dyDescent="0.25">
      <c r="A53" s="40">
        <v>44744</v>
      </c>
      <c r="I53" s="41" t="s">
        <v>182</v>
      </c>
      <c r="J53" s="41" t="s">
        <v>299</v>
      </c>
      <c r="K53" s="41" t="s">
        <v>12</v>
      </c>
      <c r="L53" s="42">
        <v>400000</v>
      </c>
      <c r="M53" s="42">
        <f>(Tabla2[[#This Row],[TOTAL FACTURA]]-Tabla2[[#This Row],[MONTO DE COMPRA]])*0.6</f>
        <v>240000</v>
      </c>
      <c r="O53" s="42"/>
      <c r="P53" s="42">
        <v>200000</v>
      </c>
      <c r="Q53" s="46"/>
      <c r="S53" s="42">
        <f>Tabla2[[#This Row],[TOTAL FACTURA]]-Tabla2[[#This Row],[PORCENTAJE A CANCELAR]]-Tabla2[[#This Row],[MONTO DE COMPRA]]</f>
        <v>160000</v>
      </c>
    </row>
    <row r="54" spans="1:19" s="41" customFormat="1" hidden="1" x14ac:dyDescent="0.25">
      <c r="A54" s="40">
        <v>44744</v>
      </c>
      <c r="E54" s="41" t="s">
        <v>305</v>
      </c>
      <c r="I54" s="41" t="s">
        <v>122</v>
      </c>
      <c r="J54" s="41" t="s">
        <v>306</v>
      </c>
      <c r="K54" s="41" t="s">
        <v>307</v>
      </c>
      <c r="L54" s="42">
        <v>400000</v>
      </c>
      <c r="M54" s="42">
        <f>(Tabla2[[#This Row],[TOTAL FACTURA]]-Tabla2[[#This Row],[MONTO DE COMPRA]])*0.6</f>
        <v>205200</v>
      </c>
      <c r="O54" s="42">
        <f>11000+27000+20000</f>
        <v>58000</v>
      </c>
      <c r="P54" s="42">
        <v>400000</v>
      </c>
      <c r="Q54" s="46"/>
      <c r="S54" s="42">
        <f>Tabla2[[#This Row],[TOTAL FACTURA]]-Tabla2[[#This Row],[PORCENTAJE A CANCELAR]]-Tabla2[[#This Row],[MONTO DE COMPRA]]</f>
        <v>136800</v>
      </c>
    </row>
    <row r="55" spans="1:19" s="41" customFormat="1" ht="30" hidden="1" x14ac:dyDescent="0.25">
      <c r="A55" s="40">
        <v>44744</v>
      </c>
      <c r="I55" s="41" t="s">
        <v>150</v>
      </c>
      <c r="J55" s="41" t="s">
        <v>303</v>
      </c>
      <c r="K55" s="63" t="s">
        <v>304</v>
      </c>
      <c r="L55" s="42">
        <v>700000</v>
      </c>
      <c r="M55" s="42">
        <f>(Tabla2[[#This Row],[TOTAL FACTURA]]-Tabla2[[#This Row],[MONTO DE COMPRA]])*0.6</f>
        <v>369300</v>
      </c>
      <c r="O55" s="42">
        <f>52500+32000</f>
        <v>84500</v>
      </c>
      <c r="P55" s="42">
        <v>150000</v>
      </c>
      <c r="Q55" s="46"/>
      <c r="S55" s="42">
        <f>Tabla2[[#This Row],[TOTAL FACTURA]]-Tabla2[[#This Row],[PORCENTAJE A CANCELAR]]-Tabla2[[#This Row],[MONTO DE COMPRA]]</f>
        <v>246200</v>
      </c>
    </row>
    <row r="56" spans="1:19" s="41" customFormat="1" hidden="1" x14ac:dyDescent="0.25">
      <c r="A56" s="40">
        <v>44751</v>
      </c>
      <c r="I56" s="41" t="s">
        <v>310</v>
      </c>
      <c r="J56" s="41" t="s">
        <v>311</v>
      </c>
      <c r="L56" s="42">
        <v>550000</v>
      </c>
      <c r="M56" s="42">
        <f>(Tabla2[[#This Row],[TOTAL FACTURA]]-Tabla2[[#This Row],[MONTO DE COMPRA]])*0.6</f>
        <v>202800</v>
      </c>
      <c r="O56" s="42">
        <f>5000+16000+22000+38000+77000+52500+1500</f>
        <v>212000</v>
      </c>
      <c r="P56" s="42">
        <v>550000</v>
      </c>
      <c r="Q56" s="46"/>
      <c r="S56" s="42">
        <f>Tabla2[[#This Row],[TOTAL FACTURA]]-Tabla2[[#This Row],[PORCENTAJE A CANCELAR]]-Tabla2[[#This Row],[MONTO DE COMPRA]]</f>
        <v>135200</v>
      </c>
    </row>
    <row r="57" spans="1:19" s="41" customFormat="1" hidden="1" x14ac:dyDescent="0.25">
      <c r="A57" s="40">
        <v>44753</v>
      </c>
      <c r="E57" s="41" t="s">
        <v>314</v>
      </c>
      <c r="F57" s="41">
        <v>79966169</v>
      </c>
      <c r="I57" s="41" t="s">
        <v>315</v>
      </c>
      <c r="J57" s="41" t="s">
        <v>316</v>
      </c>
      <c r="K57" s="41" t="s">
        <v>317</v>
      </c>
      <c r="L57" s="42">
        <v>450000</v>
      </c>
      <c r="M57" s="42">
        <f>(Tabla2[[#This Row],[TOTAL FACTURA]]-Tabla2[[#This Row],[MONTO DE COMPRA]])*0.6</f>
        <v>217800</v>
      </c>
      <c r="O57" s="42">
        <f>52500+17000+11000+5000+1500</f>
        <v>87000</v>
      </c>
      <c r="P57" s="42">
        <v>300000</v>
      </c>
      <c r="Q57" s="46"/>
      <c r="S57" s="42">
        <f>Tabla2[[#This Row],[TOTAL FACTURA]]-Tabla2[[#This Row],[PORCENTAJE A CANCELAR]]-Tabla2[[#This Row],[MONTO DE COMPRA]]</f>
        <v>145200</v>
      </c>
    </row>
    <row r="58" spans="1:19" s="41" customFormat="1" ht="16.5" hidden="1" customHeight="1" x14ac:dyDescent="0.25">
      <c r="A58" s="40"/>
      <c r="K58" s="41" t="s">
        <v>324</v>
      </c>
      <c r="L58" s="42">
        <v>100000</v>
      </c>
      <c r="M58" s="42">
        <v>100000</v>
      </c>
      <c r="O58" s="42"/>
      <c r="P58" s="42"/>
      <c r="Q58" s="46">
        <f>(Tabla2[[#This Row],[TOTAL FACTURA]]-Tabla2[[#This Row],[MONTO DE COMPRA]])*0.6</f>
        <v>60000</v>
      </c>
      <c r="S58" s="42">
        <f>Tabla2[[#This Row],[TOTAL FACTURA]]-Tabla2[[#This Row],[PORCENTAJE A CANCELAR]]-Tabla2[[#This Row],[MONTO DE COMPRA]]</f>
        <v>0</v>
      </c>
    </row>
    <row r="59" spans="1:19" s="41" customFormat="1" ht="18" hidden="1" customHeight="1" x14ac:dyDescent="0.25">
      <c r="A59" s="40">
        <v>44762</v>
      </c>
      <c r="E59" s="41" t="s">
        <v>261</v>
      </c>
      <c r="I59" s="41" t="s">
        <v>262</v>
      </c>
      <c r="J59" s="41" t="s">
        <v>263</v>
      </c>
      <c r="K59" s="41" t="s">
        <v>327</v>
      </c>
      <c r="L59" s="42">
        <v>500000</v>
      </c>
      <c r="M59" s="42">
        <f>(Tabla2[[#This Row],[TOTAL FACTURA]]-Tabla2[[#This Row],[MONTO DE COMPRA]])*0.6</f>
        <v>261900</v>
      </c>
      <c r="N59" s="41" t="s">
        <v>328</v>
      </c>
      <c r="O59" s="42">
        <v>63500</v>
      </c>
      <c r="P59" s="42">
        <v>300000</v>
      </c>
      <c r="Q59" s="46"/>
      <c r="S59" s="42">
        <f>Tabla2[[#This Row],[TOTAL FACTURA]]-Tabla2[[#This Row],[PORCENTAJE A CANCELAR]]-Tabla2[[#This Row],[MONTO DE COMPRA]]</f>
        <v>174600</v>
      </c>
    </row>
    <row r="60" spans="1:19" s="41" customFormat="1" hidden="1" x14ac:dyDescent="0.25">
      <c r="A60" s="40">
        <v>44768</v>
      </c>
      <c r="I60" s="41" t="s">
        <v>150</v>
      </c>
      <c r="J60" s="41" t="s">
        <v>330</v>
      </c>
      <c r="K60" s="41" t="s">
        <v>331</v>
      </c>
      <c r="L60" s="42">
        <v>350000</v>
      </c>
      <c r="M60" s="42">
        <f>(Tabla2[[#This Row],[TOTAL FACTURA]]-Tabla2[[#This Row],[MONTO DE COMPRA]])*0.6</f>
        <v>190500</v>
      </c>
      <c r="O60" s="42">
        <v>32500</v>
      </c>
      <c r="Q60" s="46"/>
      <c r="S60" s="42">
        <f>Tabla2[[#This Row],[TOTAL FACTURA]]-Tabla2[[#This Row],[PORCENTAJE A CANCELAR]]-Tabla2[[#This Row],[MONTO DE COMPRA]]</f>
        <v>127000</v>
      </c>
    </row>
    <row r="61" spans="1:19" s="41" customFormat="1" hidden="1" x14ac:dyDescent="0.25">
      <c r="I61" s="41" t="s">
        <v>170</v>
      </c>
      <c r="K61" s="41" t="s">
        <v>181</v>
      </c>
      <c r="L61" s="42">
        <v>150000</v>
      </c>
      <c r="M61" s="42">
        <f>(Tabla2[[#This Row],[TOTAL FACTURA]]-Tabla2[[#This Row],[MONTO DE COMPRA]])*0.6</f>
        <v>90000</v>
      </c>
      <c r="O61" s="42"/>
      <c r="Q61" s="46"/>
      <c r="S61" s="42">
        <f>Tabla2[[#This Row],[TOTAL FACTURA]]-Tabla2[[#This Row],[PORCENTAJE A CANCELAR]]-Tabla2[[#This Row],[MONTO DE COMPRA]]</f>
        <v>60000</v>
      </c>
    </row>
    <row r="62" spans="1:19" s="41" customFormat="1" hidden="1" x14ac:dyDescent="0.25">
      <c r="I62" s="41" t="s">
        <v>332</v>
      </c>
      <c r="J62" s="41" t="s">
        <v>333</v>
      </c>
      <c r="K62" s="41" t="s">
        <v>334</v>
      </c>
      <c r="L62" s="42">
        <v>180000</v>
      </c>
      <c r="M62" s="42">
        <f>(Tabla2[[#This Row],[TOTAL FACTURA]]-Tabla2[[#This Row],[MONTO DE COMPRA]])*0.6</f>
        <v>102000</v>
      </c>
      <c r="O62" s="42">
        <v>10000</v>
      </c>
      <c r="Q62" s="46"/>
      <c r="S62" s="42">
        <f>Tabla2[[#This Row],[TOTAL FACTURA]]-Tabla2[[#This Row],[PORCENTAJE A CANCELAR]]-Tabla2[[#This Row],[MONTO DE COMPRA]]</f>
        <v>68000</v>
      </c>
    </row>
    <row r="63" spans="1:19" s="41" customFormat="1" hidden="1" x14ac:dyDescent="0.25">
      <c r="A63" s="40">
        <v>44777</v>
      </c>
      <c r="I63" s="41" t="s">
        <v>336</v>
      </c>
      <c r="J63" s="41" t="s">
        <v>335</v>
      </c>
      <c r="K63" s="63" t="s">
        <v>146</v>
      </c>
      <c r="L63" s="42">
        <v>100000</v>
      </c>
      <c r="M63" s="42">
        <f>(Tabla2[[#This Row],[TOTAL FACTURA]]-Tabla2[[#This Row],[MONTO DE COMPRA]])*0.6</f>
        <v>60000</v>
      </c>
      <c r="O63" s="42"/>
      <c r="P63" s="42"/>
      <c r="Q63" s="46"/>
      <c r="S63" s="42">
        <f>Tabla2[[#This Row],[TOTAL FACTURA]]-Tabla2[[#This Row],[PORCENTAJE A CANCELAR]]-Tabla2[[#This Row],[MONTO DE COMPRA]]</f>
        <v>40000</v>
      </c>
    </row>
    <row r="64" spans="1:19" s="41" customFormat="1" hidden="1" x14ac:dyDescent="0.25">
      <c r="I64" s="41" t="s">
        <v>337</v>
      </c>
      <c r="K64" s="41" t="s">
        <v>220</v>
      </c>
      <c r="L64" s="42">
        <v>120000</v>
      </c>
      <c r="M64" s="42">
        <f>(Tabla2[[#This Row],[TOTAL FACTURA]]-Tabla2[[#This Row],[MONTO DE COMPRA]])*0.6</f>
        <v>72000</v>
      </c>
      <c r="O64" s="42"/>
      <c r="Q64" s="46"/>
      <c r="S64" s="42">
        <f>Tabla2[[#This Row],[TOTAL FACTURA]]-Tabla2[[#This Row],[PORCENTAJE A CANCELAR]]-Tabla2[[#This Row],[MONTO DE COMPRA]]</f>
        <v>48000</v>
      </c>
    </row>
    <row r="65" spans="1:19" s="41" customFormat="1" hidden="1" x14ac:dyDescent="0.25">
      <c r="I65" s="41" t="s">
        <v>340</v>
      </c>
      <c r="J65" s="41" t="s">
        <v>341</v>
      </c>
      <c r="K65" s="41" t="s">
        <v>342</v>
      </c>
      <c r="L65" s="42">
        <v>70000</v>
      </c>
      <c r="M65" s="42">
        <f>(Tabla2[[#This Row],[TOTAL FACTURA]]-Tabla2[[#This Row],[MONTO DE COMPRA]])*0.6</f>
        <v>42000</v>
      </c>
      <c r="O65" s="42"/>
      <c r="Q65" s="46"/>
      <c r="S65" s="42">
        <f>Tabla2[[#This Row],[TOTAL FACTURA]]-Tabla2[[#This Row],[PORCENTAJE A CANCELAR]]-Tabla2[[#This Row],[MONTO DE COMPRA]]</f>
        <v>28000</v>
      </c>
    </row>
    <row r="66" spans="1:19" s="22" customFormat="1" hidden="1" x14ac:dyDescent="0.25">
      <c r="I66" s="22" t="s">
        <v>338</v>
      </c>
      <c r="J66" s="22" t="s">
        <v>339</v>
      </c>
      <c r="L66" s="23">
        <v>550000</v>
      </c>
      <c r="M66" s="23">
        <f>(Tabla2[[#This Row],[TOTAL FACTURA]]-Tabla2[[#This Row],[MONTO DE COMPRA]])*0.6</f>
        <v>270000</v>
      </c>
      <c r="N66" s="22" t="s">
        <v>74</v>
      </c>
      <c r="O66" s="23">
        <v>100000</v>
      </c>
      <c r="Q66" s="24"/>
      <c r="S66" s="23">
        <f>Tabla2[[#This Row],[TOTAL FACTURA]]-Tabla2[[#This Row],[PORCENTAJE A CANCELAR]]-Tabla2[[#This Row],[MONTO DE COMPRA]]</f>
        <v>180000</v>
      </c>
    </row>
    <row r="67" spans="1:19" s="22" customFormat="1" hidden="1" x14ac:dyDescent="0.25">
      <c r="A67" s="21">
        <v>44781</v>
      </c>
      <c r="I67" s="22" t="s">
        <v>344</v>
      </c>
      <c r="J67" s="22" t="s">
        <v>343</v>
      </c>
      <c r="K67" s="69" t="s">
        <v>345</v>
      </c>
      <c r="L67" s="23">
        <v>350000</v>
      </c>
      <c r="M67" s="23">
        <f>(Tabla2[[#This Row],[TOTAL FACTURA]]-Tabla2[[#This Row],[MONTO DE COMPRA]])*0.6</f>
        <v>150000</v>
      </c>
      <c r="N67" s="22" t="s">
        <v>74</v>
      </c>
      <c r="O67" s="23">
        <v>100000</v>
      </c>
      <c r="P67" s="23">
        <v>350000</v>
      </c>
      <c r="Q67" s="24"/>
      <c r="S67" s="23">
        <f>Tabla2[[#This Row],[TOTAL FACTURA]]-Tabla2[[#This Row],[PORCENTAJE A CANCELAR]]-Tabla2[[#This Row],[MONTO DE COMPRA]]</f>
        <v>100000</v>
      </c>
    </row>
    <row r="68" spans="1:19" s="22" customFormat="1" hidden="1" x14ac:dyDescent="0.25">
      <c r="A68" s="21">
        <v>44781</v>
      </c>
      <c r="I68" s="22" t="s">
        <v>348</v>
      </c>
      <c r="J68" s="22" t="s">
        <v>346</v>
      </c>
      <c r="K68" s="69" t="s">
        <v>347</v>
      </c>
      <c r="L68" s="23">
        <v>850000</v>
      </c>
      <c r="M68" s="23">
        <f>(Tabla2[[#This Row],[TOTAL FACTURA]]-Tabla2[[#This Row],[MONTO DE COMPRA]])*0.6</f>
        <v>403800</v>
      </c>
      <c r="N68" s="22" t="s">
        <v>74</v>
      </c>
      <c r="O68" s="23">
        <f>150000+27000</f>
        <v>177000</v>
      </c>
      <c r="P68" s="23">
        <v>500000</v>
      </c>
      <c r="Q68" s="24"/>
      <c r="S68" s="23">
        <f>Tabla2[[#This Row],[TOTAL FACTURA]]-Tabla2[[#This Row],[PORCENTAJE A CANCELAR]]-Tabla2[[#This Row],[MONTO DE COMPRA]]</f>
        <v>269200</v>
      </c>
    </row>
    <row r="69" spans="1:19" s="22" customFormat="1" ht="30" hidden="1" x14ac:dyDescent="0.25">
      <c r="A69" s="21">
        <v>44781</v>
      </c>
      <c r="I69" s="22" t="s">
        <v>351</v>
      </c>
      <c r="J69" s="22" t="s">
        <v>352</v>
      </c>
      <c r="K69" s="69" t="s">
        <v>354</v>
      </c>
      <c r="L69" s="23">
        <v>650000</v>
      </c>
      <c r="M69" s="23">
        <f>(Tabla2[[#This Row],[TOTAL FACTURA]]-Tabla2[[#This Row],[MONTO DE COMPRA]])*0.6</f>
        <v>314400</v>
      </c>
      <c r="O69" s="23">
        <f>12000+40000+36000+10000+18000+10000</f>
        <v>126000</v>
      </c>
      <c r="P69" s="23">
        <v>200000</v>
      </c>
      <c r="Q69" s="24"/>
      <c r="S69" s="23">
        <f>Tabla2[[#This Row],[TOTAL FACTURA]]-Tabla2[[#This Row],[PORCENTAJE A CANCELAR]]-Tabla2[[#This Row],[MONTO DE COMPRA]]</f>
        <v>209600</v>
      </c>
    </row>
    <row r="70" spans="1:19" s="22" customFormat="1" hidden="1" x14ac:dyDescent="0.25">
      <c r="A70" s="21">
        <v>44782</v>
      </c>
      <c r="I70" s="22" t="s">
        <v>138</v>
      </c>
      <c r="J70" s="22" t="s">
        <v>136</v>
      </c>
      <c r="K70" s="69" t="s">
        <v>353</v>
      </c>
      <c r="L70" s="23">
        <v>200000</v>
      </c>
      <c r="M70" s="23">
        <f>(Tabla2[[#This Row],[TOTAL FACTURA]]-Tabla2[[#This Row],[MONTO DE COMPRA]])*0.6</f>
        <v>95100</v>
      </c>
      <c r="O70" s="23">
        <f>14000+22000+5500</f>
        <v>41500</v>
      </c>
      <c r="P70" s="23">
        <v>100000</v>
      </c>
      <c r="Q70" s="24"/>
      <c r="S70" s="23">
        <f>Tabla2[[#This Row],[TOTAL FACTURA]]-Tabla2[[#This Row],[PORCENTAJE A CANCELAR]]-Tabla2[[#This Row],[MONTO DE COMPRA]]</f>
        <v>63400</v>
      </c>
    </row>
    <row r="71" spans="1:19" s="41" customFormat="1" hidden="1" x14ac:dyDescent="0.25">
      <c r="A71" s="40">
        <v>44786</v>
      </c>
      <c r="I71" s="41" t="s">
        <v>356</v>
      </c>
      <c r="K71" s="63"/>
      <c r="L71" s="42">
        <v>60000</v>
      </c>
      <c r="M71" s="42">
        <v>60000</v>
      </c>
      <c r="O71" s="42"/>
      <c r="P71" s="42"/>
      <c r="Q71" s="46"/>
      <c r="S71" s="23">
        <f>Tabla2[[#This Row],[TOTAL FACTURA]]-Tabla2[[#This Row],[PORCENTAJE A CANCELAR]]-Tabla2[[#This Row],[MONTO DE COMPRA]]</f>
        <v>0</v>
      </c>
    </row>
    <row r="72" spans="1:19" s="41" customFormat="1" hidden="1" x14ac:dyDescent="0.25">
      <c r="A72" s="40">
        <v>44789</v>
      </c>
      <c r="I72" s="41" t="s">
        <v>358</v>
      </c>
      <c r="J72" s="41" t="s">
        <v>357</v>
      </c>
      <c r="K72" s="63" t="s">
        <v>365</v>
      </c>
      <c r="L72" s="42">
        <v>250000</v>
      </c>
      <c r="M72" s="42">
        <f>(Tabla2[[#This Row],[TOTAL FACTURA]]-Tabla2[[#This Row],[MONTO DE COMPRA]])*0.6</f>
        <v>108000</v>
      </c>
      <c r="O72" s="42">
        <v>70000</v>
      </c>
      <c r="P72" s="42"/>
      <c r="Q72" s="46"/>
      <c r="S72" s="23">
        <f>Tabla2[[#This Row],[TOTAL FACTURA]]-Tabla2[[#This Row],[PORCENTAJE A CANCELAR]]-Tabla2[[#This Row],[MONTO DE COMPRA]]</f>
        <v>72000</v>
      </c>
    </row>
    <row r="73" spans="1:19" s="41" customFormat="1" hidden="1" x14ac:dyDescent="0.25">
      <c r="A73" s="40">
        <v>44789</v>
      </c>
      <c r="I73" s="41" t="s">
        <v>363</v>
      </c>
      <c r="J73" s="41" t="s">
        <v>359</v>
      </c>
      <c r="K73" s="63" t="s">
        <v>360</v>
      </c>
      <c r="L73" s="42">
        <v>80000</v>
      </c>
      <c r="M73" s="42">
        <f>(Tabla2[[#This Row],[TOTAL FACTURA]]-Tabla2[[#This Row],[MONTO DE COMPRA]])*0.6</f>
        <v>48000</v>
      </c>
      <c r="O73" s="42"/>
      <c r="P73" s="42"/>
      <c r="Q73" s="46"/>
      <c r="S73" s="23">
        <f>Tabla2[[#This Row],[TOTAL FACTURA]]-Tabla2[[#This Row],[PORCENTAJE A CANCELAR]]-Tabla2[[#This Row],[MONTO DE COMPRA]]</f>
        <v>32000</v>
      </c>
    </row>
    <row r="74" spans="1:19" s="41" customFormat="1" hidden="1" x14ac:dyDescent="0.25">
      <c r="A74" s="40">
        <v>44788</v>
      </c>
      <c r="I74" s="41" t="s">
        <v>361</v>
      </c>
      <c r="K74" s="63" t="s">
        <v>362</v>
      </c>
      <c r="L74" s="42">
        <v>90000</v>
      </c>
      <c r="M74" s="42">
        <f>(Tabla2[[#This Row],[TOTAL FACTURA]]-Tabla2[[#This Row],[MONTO DE COMPRA]])*0.6</f>
        <v>54000</v>
      </c>
      <c r="N74" s="47"/>
      <c r="O74" s="42"/>
      <c r="P74" s="42"/>
      <c r="Q74" s="46"/>
      <c r="S74" s="23">
        <f>Tabla2[[#This Row],[TOTAL FACTURA]]-Tabla2[[#This Row],[PORCENTAJE A CANCELAR]]-Tabla2[[#This Row],[MONTO DE COMPRA]]</f>
        <v>36000</v>
      </c>
    </row>
    <row r="75" spans="1:19" s="41" customFormat="1" hidden="1" x14ac:dyDescent="0.25">
      <c r="A75" s="40">
        <v>44788</v>
      </c>
      <c r="I75" s="41" t="s">
        <v>368</v>
      </c>
      <c r="K75" s="63" t="s">
        <v>366</v>
      </c>
      <c r="L75" s="42">
        <v>30000</v>
      </c>
      <c r="M75" s="42">
        <v>30000</v>
      </c>
      <c r="O75" s="42"/>
      <c r="P75" s="42"/>
      <c r="Q75" s="46"/>
      <c r="S75" s="23">
        <f>Tabla2[[#This Row],[TOTAL FACTURA]]-Tabla2[[#This Row],[PORCENTAJE A CANCELAR]]-Tabla2[[#This Row],[MONTO DE COMPRA]]</f>
        <v>0</v>
      </c>
    </row>
    <row r="76" spans="1:19" s="41" customFormat="1" hidden="1" x14ac:dyDescent="0.25">
      <c r="A76" s="40">
        <v>44788</v>
      </c>
      <c r="K76" s="63" t="s">
        <v>367</v>
      </c>
      <c r="L76" s="42">
        <v>100000</v>
      </c>
      <c r="M76" s="42">
        <v>100000</v>
      </c>
      <c r="O76" s="42"/>
      <c r="P76" s="42"/>
      <c r="Q76" s="46"/>
      <c r="S76" s="23">
        <f>Tabla2[[#This Row],[TOTAL FACTURA]]-Tabla2[[#This Row],[PORCENTAJE A CANCELAR]]-Tabla2[[#This Row],[MONTO DE COMPRA]]</f>
        <v>0</v>
      </c>
    </row>
    <row r="77" spans="1:19" s="41" customFormat="1" hidden="1" x14ac:dyDescent="0.25">
      <c r="A77" s="40">
        <v>44791</v>
      </c>
      <c r="I77" s="41" t="s">
        <v>361</v>
      </c>
      <c r="J77" s="41" t="s">
        <v>369</v>
      </c>
      <c r="K77" s="63" t="s">
        <v>373</v>
      </c>
      <c r="L77" s="42">
        <v>300000</v>
      </c>
      <c r="M77" s="42">
        <f>(Tabla2[[#This Row],[TOTAL FACTURA]]-Tabla2[[#This Row],[MONTO DE COMPRA]])*0.6</f>
        <v>180000</v>
      </c>
      <c r="N77" s="42">
        <f>5000+74000+8000</f>
        <v>87000</v>
      </c>
      <c r="O77" s="42"/>
      <c r="P77" s="42">
        <v>100000</v>
      </c>
      <c r="Q77" s="46"/>
      <c r="S77" s="23">
        <f>Tabla2[[#This Row],[TOTAL FACTURA]]-Tabla2[[#This Row],[PORCENTAJE A CANCELAR]]-Tabla2[[#This Row],[MONTO DE COMPRA]]</f>
        <v>120000</v>
      </c>
    </row>
    <row r="78" spans="1:19" s="41" customFormat="1" hidden="1" x14ac:dyDescent="0.25">
      <c r="I78" s="41" t="s">
        <v>371</v>
      </c>
      <c r="J78" s="41" t="s">
        <v>370</v>
      </c>
      <c r="K78" s="63" t="s">
        <v>372</v>
      </c>
      <c r="L78" s="42">
        <v>20000</v>
      </c>
      <c r="M78" s="42">
        <v>20000</v>
      </c>
      <c r="O78" s="42"/>
      <c r="P78" s="42"/>
      <c r="Q78" s="46"/>
      <c r="S78" s="42">
        <f>Tabla2[[#This Row],[TOTAL FACTURA]]-Tabla2[[#This Row],[PORCENTAJE A CANCELAR]]-Tabla2[[#This Row],[MONTO DE COMPRA]]</f>
        <v>0</v>
      </c>
    </row>
    <row r="79" spans="1:19" s="41" customFormat="1" ht="30" hidden="1" x14ac:dyDescent="0.25">
      <c r="A79" s="40">
        <v>44799</v>
      </c>
      <c r="E79" s="41" t="s">
        <v>374</v>
      </c>
      <c r="I79" s="41" t="s">
        <v>66</v>
      </c>
      <c r="J79" s="41" t="s">
        <v>375</v>
      </c>
      <c r="K79" s="63" t="s">
        <v>376</v>
      </c>
      <c r="L79" s="42">
        <v>1100000</v>
      </c>
      <c r="M79" s="42">
        <f>(Tabla2[[#This Row],[TOTAL FACTURA]]-Tabla2[[#This Row],[MONTO DE COMPRA]])*0.6</f>
        <v>504600</v>
      </c>
      <c r="O79" s="42">
        <f>79000+30000+150000</f>
        <v>259000</v>
      </c>
      <c r="P79" s="42">
        <v>500000</v>
      </c>
      <c r="Q79" s="46"/>
      <c r="S79" s="23">
        <f>Tabla2[[#This Row],[TOTAL FACTURA]]-Tabla2[[#This Row],[PORCENTAJE A CANCELAR]]-Tabla2[[#This Row],[MONTO DE COMPRA]]</f>
        <v>336400</v>
      </c>
    </row>
    <row r="80" spans="1:19" s="41" customFormat="1" hidden="1" x14ac:dyDescent="0.25">
      <c r="A80" s="40">
        <v>44799</v>
      </c>
      <c r="I80" s="41" t="s">
        <v>358</v>
      </c>
      <c r="K80" s="63" t="s">
        <v>377</v>
      </c>
      <c r="L80" s="42">
        <v>100000</v>
      </c>
      <c r="M80" s="42">
        <f>(Tabla2[[#This Row],[TOTAL FACTURA]]-Tabla2[[#This Row],[MONTO DE COMPRA]])*0.6</f>
        <v>60000</v>
      </c>
      <c r="O80" s="42"/>
      <c r="P80" s="42"/>
      <c r="Q80" s="46"/>
      <c r="S80" s="23">
        <f>Tabla2[[#This Row],[TOTAL FACTURA]]-Tabla2[[#This Row],[PORCENTAJE A CANCELAR]]-Tabla2[[#This Row],[MONTO DE COMPRA]]</f>
        <v>40000</v>
      </c>
    </row>
    <row r="81" spans="1:19" s="41" customFormat="1" hidden="1" x14ac:dyDescent="0.25">
      <c r="A81" s="40">
        <v>44802</v>
      </c>
      <c r="I81" s="41" t="s">
        <v>246</v>
      </c>
      <c r="J81" s="41" t="s">
        <v>379</v>
      </c>
      <c r="K81" s="63" t="s">
        <v>378</v>
      </c>
      <c r="L81" s="42">
        <v>40000</v>
      </c>
      <c r="M81" s="42">
        <v>40000</v>
      </c>
      <c r="O81" s="42"/>
      <c r="P81" s="42"/>
      <c r="Q81" s="46"/>
      <c r="S81" s="42">
        <f>Tabla2[[#This Row],[TOTAL FACTURA]]-Tabla2[[#This Row],[PORCENTAJE A CANCELAR]]-Tabla2[[#This Row],[MONTO DE COMPRA]]</f>
        <v>0</v>
      </c>
    </row>
    <row r="82" spans="1:19" s="41" customFormat="1" hidden="1" x14ac:dyDescent="0.25">
      <c r="A82" s="40">
        <v>44809</v>
      </c>
      <c r="I82" s="41" t="s">
        <v>361</v>
      </c>
      <c r="J82" s="41" t="s">
        <v>387</v>
      </c>
      <c r="K82" s="63" t="s">
        <v>206</v>
      </c>
      <c r="L82" s="42">
        <v>30000</v>
      </c>
      <c r="M82" s="42">
        <v>30000</v>
      </c>
      <c r="O82" s="42"/>
      <c r="P82" s="42"/>
      <c r="Q82" s="46"/>
      <c r="S82" s="42">
        <f>Tabla2[[#This Row],[TOTAL FACTURA]]-Tabla2[[#This Row],[PORCENTAJE A CANCELAR]]-Tabla2[[#This Row],[MONTO DE COMPRA]]</f>
        <v>0</v>
      </c>
    </row>
    <row r="83" spans="1:19" s="41" customFormat="1" hidden="1" x14ac:dyDescent="0.25">
      <c r="A83" s="40">
        <v>44809</v>
      </c>
      <c r="I83" s="41" t="s">
        <v>160</v>
      </c>
      <c r="J83" s="41" t="s">
        <v>388</v>
      </c>
      <c r="K83" s="63" t="s">
        <v>12</v>
      </c>
      <c r="L83" s="42">
        <v>550000</v>
      </c>
      <c r="M83" s="42">
        <f>(Tabla2[[#This Row],[TOTAL FACTURA]]-Tabla2[[#This Row],[MONTO DE COMPRA]])*0.6</f>
        <v>261000</v>
      </c>
      <c r="N83" s="41" t="s">
        <v>389</v>
      </c>
      <c r="O83" s="42">
        <v>115000</v>
      </c>
      <c r="P83" s="42"/>
      <c r="Q83" s="46"/>
      <c r="S83" s="42">
        <f>Tabla2[[#This Row],[TOTAL FACTURA]]-Tabla2[[#This Row],[PORCENTAJE A CANCELAR]]-Tabla2[[#This Row],[MONTO DE COMPRA]]</f>
        <v>174000</v>
      </c>
    </row>
    <row r="84" spans="1:19" s="41" customFormat="1" hidden="1" x14ac:dyDescent="0.25">
      <c r="A84" s="40">
        <v>44809</v>
      </c>
      <c r="K84" s="63" t="s">
        <v>243</v>
      </c>
      <c r="L84" s="67">
        <v>220000</v>
      </c>
      <c r="M84" s="67">
        <f>(Tabla2[[#This Row],[TOTAL FACTURA]]-Tabla2[[#This Row],[MONTO DE COMPRA]])*0.6</f>
        <v>121800</v>
      </c>
      <c r="O84" s="67">
        <v>17000</v>
      </c>
      <c r="P84" s="71">
        <v>100000</v>
      </c>
      <c r="Q84" s="46"/>
      <c r="S84" s="42">
        <f>Tabla2[[#This Row],[TOTAL FACTURA]]-Tabla2[[#This Row],[PORCENTAJE A CANCELAR]]-Tabla2[[#This Row],[MONTO DE COMPRA]]</f>
        <v>81200</v>
      </c>
    </row>
    <row r="85" spans="1:19" s="41" customFormat="1" hidden="1" x14ac:dyDescent="0.25">
      <c r="A85" s="40">
        <v>44821</v>
      </c>
      <c r="I85" s="41" t="s">
        <v>392</v>
      </c>
      <c r="J85" s="41" t="s">
        <v>393</v>
      </c>
      <c r="K85" s="63" t="s">
        <v>394</v>
      </c>
      <c r="L85" s="42">
        <v>250000</v>
      </c>
      <c r="M85" s="42">
        <f>(Tabla2[[#This Row],[TOTAL FACTURA]]-Tabla2[[#This Row],[MONTO DE COMPRA]])*0.6</f>
        <v>114000</v>
      </c>
      <c r="O85" s="42">
        <v>60000</v>
      </c>
      <c r="P85" s="42"/>
      <c r="Q85" s="46"/>
      <c r="S85" s="42">
        <f>Tabla2[[#This Row],[TOTAL FACTURA]]-Tabla2[[#This Row],[PORCENTAJE A CANCELAR]]-Tabla2[[#This Row],[MONTO DE COMPRA]]</f>
        <v>76000</v>
      </c>
    </row>
    <row r="86" spans="1:19" s="41" customFormat="1" hidden="1" x14ac:dyDescent="0.25">
      <c r="A86" s="40">
        <v>44821</v>
      </c>
      <c r="I86" s="41" t="s">
        <v>396</v>
      </c>
      <c r="J86" s="41" t="s">
        <v>395</v>
      </c>
      <c r="K86" s="63" t="s">
        <v>397</v>
      </c>
      <c r="L86" s="42">
        <v>200000</v>
      </c>
      <c r="M86" s="42">
        <f>(Tabla2[[#This Row],[TOTAL FACTURA]]-Tabla2[[#This Row],[MONTO DE COMPRA]])*0.6</f>
        <v>120000</v>
      </c>
      <c r="O86" s="42"/>
      <c r="P86" s="42"/>
      <c r="Q86" s="46"/>
      <c r="S86" s="42">
        <f>Tabla2[[#This Row],[TOTAL FACTURA]]-Tabla2[[#This Row],[PORCENTAJE A CANCELAR]]-Tabla2[[#This Row],[MONTO DE COMPRA]]</f>
        <v>80000</v>
      </c>
    </row>
    <row r="87" spans="1:19" s="41" customFormat="1" hidden="1" x14ac:dyDescent="0.25">
      <c r="A87" s="40">
        <v>44821</v>
      </c>
      <c r="I87" s="41" t="s">
        <v>368</v>
      </c>
      <c r="K87" s="63" t="s">
        <v>398</v>
      </c>
      <c r="L87" s="42">
        <v>50000</v>
      </c>
      <c r="M87" s="42">
        <f>(Tabla2[[#This Row],[TOTAL FACTURA]]-Tabla2[[#This Row],[MONTO DE COMPRA]])*0.6</f>
        <v>30000</v>
      </c>
      <c r="O87" s="42"/>
      <c r="P87" s="42"/>
      <c r="Q87" s="46"/>
      <c r="S87" s="42">
        <f>Tabla2[[#This Row],[TOTAL FACTURA]]-Tabla2[[#This Row],[PORCENTAJE A CANCELAR]]-Tabla2[[#This Row],[MONTO DE COMPRA]]</f>
        <v>20000</v>
      </c>
    </row>
    <row r="88" spans="1:19" s="41" customFormat="1" hidden="1" x14ac:dyDescent="0.25">
      <c r="A88" s="40">
        <v>44821</v>
      </c>
      <c r="I88" s="41" t="s">
        <v>170</v>
      </c>
      <c r="K88" s="63" t="s">
        <v>399</v>
      </c>
      <c r="L88" s="42">
        <v>50000</v>
      </c>
      <c r="M88" s="42">
        <f>(Tabla2[[#This Row],[TOTAL FACTURA]]-Tabla2[[#This Row],[MONTO DE COMPRA]])*0.6</f>
        <v>30000</v>
      </c>
      <c r="O88" s="42"/>
      <c r="P88" s="42"/>
      <c r="Q88" s="46"/>
      <c r="S88" s="42">
        <f>Tabla2[[#This Row],[TOTAL FACTURA]]-Tabla2[[#This Row],[PORCENTAJE A CANCELAR]]-Tabla2[[#This Row],[MONTO DE COMPRA]]</f>
        <v>20000</v>
      </c>
    </row>
    <row r="89" spans="1:19" s="41" customFormat="1" hidden="1" x14ac:dyDescent="0.25">
      <c r="A89" s="40">
        <v>44821</v>
      </c>
      <c r="I89" s="41" t="s">
        <v>160</v>
      </c>
      <c r="K89" s="63" t="s">
        <v>400</v>
      </c>
      <c r="L89" s="42">
        <v>20000</v>
      </c>
      <c r="M89" s="42">
        <v>20000</v>
      </c>
      <c r="O89" s="42"/>
      <c r="P89" s="42"/>
      <c r="Q89" s="46"/>
      <c r="S89" s="42">
        <f>Tabla2[[#This Row],[TOTAL FACTURA]]-Tabla2[[#This Row],[PORCENTAJE A CANCELAR]]-Tabla2[[#This Row],[MONTO DE COMPRA]]</f>
        <v>0</v>
      </c>
    </row>
    <row r="90" spans="1:19" s="41" customFormat="1" ht="30" hidden="1" x14ac:dyDescent="0.25">
      <c r="A90" s="40">
        <v>44823</v>
      </c>
      <c r="B90" s="40">
        <v>44827</v>
      </c>
      <c r="E90" s="41" t="s">
        <v>402</v>
      </c>
      <c r="I90" s="41" t="s">
        <v>403</v>
      </c>
      <c r="J90" s="41" t="s">
        <v>404</v>
      </c>
      <c r="K90" s="63" t="s">
        <v>405</v>
      </c>
      <c r="L90" s="42">
        <v>1500000</v>
      </c>
      <c r="M90" s="42">
        <f>(Tabla2[[#This Row],[TOTAL FACTURA]]-Tabla2[[#This Row],[MONTO DE COMPRA]])*0.6</f>
        <v>723300</v>
      </c>
      <c r="N90" s="41" t="s">
        <v>406</v>
      </c>
      <c r="O90" s="42">
        <f>274500+20000</f>
        <v>294500</v>
      </c>
      <c r="P90" s="42"/>
      <c r="Q90" s="46"/>
      <c r="S90" s="42">
        <f>Tabla2[[#This Row],[TOTAL FACTURA]]-Tabla2[[#This Row],[PORCENTAJE A CANCELAR]]-Tabla2[[#This Row],[MONTO DE COMPRA]]</f>
        <v>482200</v>
      </c>
    </row>
    <row r="91" spans="1:19" s="41" customFormat="1" hidden="1" x14ac:dyDescent="0.25">
      <c r="A91" s="40">
        <v>44823</v>
      </c>
      <c r="B91" s="40">
        <v>44827</v>
      </c>
      <c r="I91" s="41" t="s">
        <v>407</v>
      </c>
      <c r="J91" s="41" t="s">
        <v>411</v>
      </c>
      <c r="K91" s="63"/>
      <c r="L91" s="42">
        <v>350000</v>
      </c>
      <c r="M91" s="42">
        <f>(Tabla2[[#This Row],[TOTAL FACTURA]]-Tabla2[[#This Row],[MONTO DE COMPRA]])*0.6</f>
        <v>184800</v>
      </c>
      <c r="N91" s="41" t="s">
        <v>415</v>
      </c>
      <c r="O91" s="42">
        <f>22000+20000</f>
        <v>42000</v>
      </c>
      <c r="P91" s="42"/>
      <c r="Q91" s="46">
        <f>(Tabla2[[#This Row],[TOTAL FACTURA]]-Tabla2[[#This Row],[MONTO DE COMPRA]])*0.6</f>
        <v>184800</v>
      </c>
      <c r="S91" s="42">
        <f>Tabla2[[#This Row],[TOTAL FACTURA]]-Tabla2[[#This Row],[PORCENTAJE A CANCELAR]]-Tabla2[[#This Row],[MONTO DE COMPRA]]</f>
        <v>123200</v>
      </c>
    </row>
    <row r="92" spans="1:19" s="41" customFormat="1" hidden="1" x14ac:dyDescent="0.25">
      <c r="A92" s="40">
        <v>44827</v>
      </c>
      <c r="B92" s="40">
        <v>44827</v>
      </c>
      <c r="E92" s="41" t="s">
        <v>412</v>
      </c>
      <c r="I92" s="41" t="s">
        <v>358</v>
      </c>
      <c r="J92" s="41" t="s">
        <v>413</v>
      </c>
      <c r="K92" s="63" t="s">
        <v>414</v>
      </c>
      <c r="L92" s="42">
        <v>400000</v>
      </c>
      <c r="M92" s="42">
        <f>(Tabla2[[#This Row],[TOTAL FACTURA]]-Tabla2[[#This Row],[MONTO DE COMPRA]])*0.6</f>
        <v>204900</v>
      </c>
      <c r="N92" s="41" t="s">
        <v>416</v>
      </c>
      <c r="O92" s="42">
        <f>48500+10000</f>
        <v>58500</v>
      </c>
      <c r="P92" s="42">
        <v>150000</v>
      </c>
      <c r="Q92" s="46">
        <f>(Tabla2[[#This Row],[TOTAL FACTURA]]-Tabla2[[#This Row],[MONTO DE COMPRA]])*0.6</f>
        <v>204900</v>
      </c>
      <c r="S92" s="42">
        <f>Tabla2[[#This Row],[TOTAL FACTURA]]-Tabla2[[#This Row],[PORCENTAJE A CANCELAR]]-Tabla2[[#This Row],[MONTO DE COMPRA]]</f>
        <v>136600</v>
      </c>
    </row>
    <row r="93" spans="1:19" hidden="1" x14ac:dyDescent="0.25">
      <c r="A93" s="3">
        <v>44828</v>
      </c>
      <c r="K93" s="68"/>
      <c r="M93" s="2">
        <v>26000</v>
      </c>
      <c r="N93" s="1" t="s">
        <v>417</v>
      </c>
      <c r="O93" s="2"/>
      <c r="P93" s="2"/>
      <c r="Q93" s="5">
        <f>(Tabla2[[#This Row],[TOTAL FACTURA]]-Tabla2[[#This Row],[MONTO DE COMPRA]])*0.6</f>
        <v>0</v>
      </c>
      <c r="R93" s="1"/>
      <c r="S93" s="2"/>
    </row>
    <row r="94" spans="1:19" hidden="1" x14ac:dyDescent="0.25">
      <c r="A94" s="3">
        <v>44828</v>
      </c>
      <c r="I94" s="1" t="s">
        <v>371</v>
      </c>
      <c r="J94" s="1" t="s">
        <v>418</v>
      </c>
      <c r="K94" s="68" t="s">
        <v>419</v>
      </c>
      <c r="L94" s="2">
        <v>80000</v>
      </c>
      <c r="M94" s="2">
        <f>(Tabla2[[#This Row],[TOTAL FACTURA]]-Tabla2[[#This Row],[MONTO DE COMPRA]])*0.6</f>
        <v>48000</v>
      </c>
      <c r="N94" s="1"/>
      <c r="O94" s="2"/>
      <c r="P94" s="2"/>
      <c r="Q94" s="5"/>
      <c r="R94" s="1"/>
      <c r="S94" s="2">
        <f>Tabla2[[#This Row],[TOTAL FACTURA]]-Tabla2[[#This Row],[PORCENTAJE A CANCELAR]]-Tabla2[[#This Row],[MONTO DE COMPRA]]</f>
        <v>32000</v>
      </c>
    </row>
    <row r="95" spans="1:19" hidden="1" x14ac:dyDescent="0.25">
      <c r="A95" s="3">
        <v>44828</v>
      </c>
      <c r="I95" s="1" t="s">
        <v>423</v>
      </c>
      <c r="J95" s="1" t="s">
        <v>422</v>
      </c>
      <c r="K95" s="68" t="s">
        <v>191</v>
      </c>
      <c r="L95" s="2">
        <v>400000</v>
      </c>
      <c r="M95" s="2">
        <f>(Tabla2[[#This Row],[TOTAL FACTURA]]-Tabla2[[#This Row],[MONTO DE COMPRA]])*0.6</f>
        <v>180000</v>
      </c>
      <c r="N95" s="1"/>
      <c r="O95" s="2">
        <v>100000</v>
      </c>
      <c r="P95" s="2"/>
      <c r="Q95" s="5"/>
      <c r="R95" s="1"/>
      <c r="S95" s="2">
        <f>Tabla2[[#This Row],[TOTAL FACTURA]]-Tabla2[[#This Row],[PORCENTAJE A CANCELAR]]-Tabla2[[#This Row],[MONTO DE COMPRA]]</f>
        <v>120000</v>
      </c>
    </row>
    <row r="96" spans="1:19" hidden="1" x14ac:dyDescent="0.25">
      <c r="A96" s="3">
        <v>44828</v>
      </c>
      <c r="I96" s="1" t="s">
        <v>160</v>
      </c>
      <c r="J96" s="1" t="s">
        <v>424</v>
      </c>
      <c r="K96" s="68" t="s">
        <v>425</v>
      </c>
      <c r="L96" s="2">
        <v>30000</v>
      </c>
      <c r="M96" s="2">
        <v>20000</v>
      </c>
      <c r="N96" s="1"/>
      <c r="O96" s="2"/>
      <c r="P96" s="2"/>
      <c r="Q96" s="5">
        <f>(Tabla2[[#This Row],[TOTAL FACTURA]]-Tabla2[[#This Row],[MONTO DE COMPRA]])*0.6</f>
        <v>18000</v>
      </c>
      <c r="R96" s="1"/>
      <c r="S96" s="2">
        <f>Tabla2[[#This Row],[TOTAL FACTURA]]-Tabla2[[#This Row],[PORCENTAJE A CANCELAR]]-Tabla2[[#This Row],[MONTO DE COMPRA]]</f>
        <v>10000</v>
      </c>
    </row>
    <row r="97" spans="11:19" hidden="1" x14ac:dyDescent="0.25">
      <c r="K97" s="68"/>
      <c r="M97" s="2">
        <f>(Tabla2[[#This Row],[TOTAL FACTURA]]-Tabla2[[#This Row],[MONTO DE COMPRA]])*0.6</f>
        <v>0</v>
      </c>
      <c r="N97" s="1"/>
      <c r="O97" s="2"/>
      <c r="P97" s="2"/>
      <c r="Q97" s="5">
        <f>(Tabla2[[#This Row],[TOTAL FACTURA]]-Tabla2[[#This Row],[MONTO DE COMPRA]])*0.6</f>
        <v>0</v>
      </c>
      <c r="R97" s="1"/>
      <c r="S97" s="2">
        <f>Tabla2[[#This Row],[TOTAL FACTURA]]-Tabla2[[#This Row],[PORCENTAJE A CANCELAR]]-Tabla2[[#This Row],[MONTO DE COMPRA]]</f>
        <v>0</v>
      </c>
    </row>
    <row r="98" spans="11:19" hidden="1" x14ac:dyDescent="0.25">
      <c r="K98" s="68"/>
      <c r="M98" s="2">
        <f>(Tabla2[[#This Row],[TOTAL FACTURA]]-Tabla2[[#This Row],[MONTO DE COMPRA]])*0.6</f>
        <v>0</v>
      </c>
      <c r="N98" s="1"/>
      <c r="O98" s="2"/>
      <c r="P98" s="2"/>
      <c r="Q98" s="5">
        <f>(Tabla2[[#This Row],[TOTAL FACTURA]]-Tabla2[[#This Row],[MONTO DE COMPRA]])*0.6</f>
        <v>0</v>
      </c>
      <c r="R98" s="1"/>
      <c r="S98" s="2">
        <f>Tabla2[[#This Row],[TOTAL FACTURA]]-Tabla2[[#This Row],[PORCENTAJE A CANCELAR]]-Tabla2[[#This Row],[MONTO DE COMPRA]]</f>
        <v>0</v>
      </c>
    </row>
    <row r="99" spans="11:19" hidden="1" x14ac:dyDescent="0.25">
      <c r="K99" s="68"/>
      <c r="M99" s="2">
        <f>(Tabla2[[#This Row],[TOTAL FACTURA]]-Tabla2[[#This Row],[MONTO DE COMPRA]])*0.6</f>
        <v>0</v>
      </c>
      <c r="N99" s="1"/>
      <c r="O99" s="2"/>
      <c r="P99" s="2"/>
      <c r="Q99" s="5">
        <f>(Tabla2[[#This Row],[TOTAL FACTURA]]-Tabla2[[#This Row],[MONTO DE COMPRA]])*0.6</f>
        <v>0</v>
      </c>
      <c r="R99" s="1"/>
      <c r="S99" s="2">
        <f>Tabla2[[#This Row],[TOTAL FACTURA]]-Tabla2[[#This Row],[PORCENTAJE A CANCELAR]]-Tabla2[[#This Row],[MONTO DE COMPRA]]</f>
        <v>0</v>
      </c>
    </row>
    <row r="100" spans="11:19" hidden="1" x14ac:dyDescent="0.25">
      <c r="K100" s="68"/>
      <c r="M100" s="2">
        <f>(Tabla2[[#This Row],[TOTAL FACTURA]]-Tabla2[[#This Row],[MONTO DE COMPRA]])*0.6</f>
        <v>0</v>
      </c>
      <c r="N100" s="1"/>
      <c r="O100" s="2"/>
      <c r="P100" s="2"/>
      <c r="Q100" s="5">
        <f>(Tabla2[[#This Row],[TOTAL FACTURA]]-Tabla2[[#This Row],[MONTO DE COMPRA]])*0.6</f>
        <v>0</v>
      </c>
      <c r="R100" s="1"/>
      <c r="S100" s="2">
        <f>Tabla2[[#This Row],[TOTAL FACTURA]]-Tabla2[[#This Row],[PORCENTAJE A CANCELAR]]-Tabla2[[#This Row],[MONTO DE COMPRA]]</f>
        <v>0</v>
      </c>
    </row>
    <row r="101" spans="11:19" hidden="1" x14ac:dyDescent="0.25">
      <c r="K101" s="68"/>
      <c r="M101" s="2">
        <f>(Tabla2[[#This Row],[TOTAL FACTURA]]-Tabla2[[#This Row],[MONTO DE COMPRA]])*0.6</f>
        <v>0</v>
      </c>
      <c r="N101" s="1"/>
      <c r="O101" s="2"/>
      <c r="P101" s="2"/>
      <c r="Q101" s="5">
        <f>(Tabla2[[#This Row],[TOTAL FACTURA]]-Tabla2[[#This Row],[MONTO DE COMPRA]])*0.6</f>
        <v>0</v>
      </c>
      <c r="R101" s="1"/>
      <c r="S101" s="2">
        <f>Tabla2[[#This Row],[TOTAL FACTURA]]-Tabla2[[#This Row],[PORCENTAJE A CANCELAR]]-Tabla2[[#This Row],[MONTO DE COMPRA]]</f>
        <v>0</v>
      </c>
    </row>
    <row r="102" spans="11:19" ht="14.25" customHeight="1" x14ac:dyDescent="0.25">
      <c r="K102" s="99"/>
      <c r="L102" s="100">
        <f>SUBTOTAL(109,Tabla2[TOTAL FACTURA])</f>
        <v>20340000</v>
      </c>
      <c r="M102" s="100">
        <f>SUBTOTAL(109,Tabla2[PORCENTAJE A CANCELAR])</f>
        <v>9499780</v>
      </c>
      <c r="N102" s="100">
        <f>SUBTOTAL(109,Tabla2[REPUESTOS USADOS])</f>
        <v>0</v>
      </c>
      <c r="O102" s="100">
        <f>SUBTOTAL(109,Tabla2[MONTO DE COMPRA])</f>
        <v>4778700</v>
      </c>
      <c r="P102" s="100">
        <f>SUBTOTAL(109,Tabla2[ABONOS CLIENTES])</f>
        <v>5730000</v>
      </c>
      <c r="Q102" s="100">
        <f>SUBTOTAL(109,Tabla2[ABONOS A TRABAJO])</f>
        <v>596000</v>
      </c>
      <c r="R102" s="100">
        <f>SUBTOTAL(109,Tabla2[ESTATUS])</f>
        <v>0</v>
      </c>
      <c r="S102" s="100">
        <f>SUBTOTAL(109,Tabla2[GANANCIA])</f>
        <v>6061520</v>
      </c>
    </row>
    <row r="103" spans="11:19" ht="12.75" customHeight="1" x14ac:dyDescent="0.25"/>
  </sheetData>
  <hyperlinks>
    <hyperlink ref="H4" r:id="rId1" xr:uid="{00000000-0004-0000-0000-000000000000}"/>
    <hyperlink ref="H5" r:id="rId2" xr:uid="{00000000-0004-0000-0000-000001000000}"/>
    <hyperlink ref="H12" r:id="rId3" xr:uid="{06FB7519-BA00-4B7A-8EE1-0F9D3B2AB7C2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DETALLES!$A$1:$A$2</xm:f>
          </x14:formula1>
          <xm:sqref>R1:R101 Q103:Q1048576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8D41C-BBB8-4D9F-9ED0-82507403BB52}">
  <dimension ref="A1:R104"/>
  <sheetViews>
    <sheetView topLeftCell="A28" workbookViewId="0">
      <selection activeCell="A31" sqref="A31"/>
    </sheetView>
  </sheetViews>
  <sheetFormatPr baseColWidth="10" defaultRowHeight="15" x14ac:dyDescent="0.25"/>
  <cols>
    <col min="1" max="1" width="16.42578125" style="1" customWidth="1"/>
    <col min="2" max="2" width="22.5703125" style="1" customWidth="1"/>
    <col min="3" max="3" width="18.42578125" style="1" customWidth="1"/>
    <col min="4" max="4" width="22.5703125" style="1" customWidth="1"/>
    <col min="5" max="5" width="37" style="103" customWidth="1"/>
    <col min="6" max="7" width="10.42578125" style="103" customWidth="1"/>
    <col min="8" max="8" width="57.42578125" style="74" customWidth="1"/>
    <col min="9" max="9" width="15.85546875" style="105" customWidth="1"/>
    <col min="10" max="10" width="23.140625" style="103" customWidth="1"/>
    <col min="11" max="11" width="46.85546875" style="72" customWidth="1"/>
    <col min="12" max="12" width="24.5703125" style="1" customWidth="1"/>
    <col min="13" max="13" width="22.85546875" style="1" customWidth="1"/>
    <col min="14" max="14" width="17.140625" style="72" customWidth="1"/>
    <col min="15" max="15" width="16.42578125" style="103" customWidth="1"/>
    <col min="16" max="16" width="15.42578125" style="1" customWidth="1"/>
    <col min="17" max="17" width="13" style="1" bestFit="1" customWidth="1"/>
    <col min="18" max="16384" width="11.42578125" style="1"/>
  </cols>
  <sheetData>
    <row r="1" spans="1:16" ht="18" customHeight="1" x14ac:dyDescent="0.25">
      <c r="A1" s="1" t="s">
        <v>0</v>
      </c>
      <c r="B1" s="1" t="s">
        <v>1</v>
      </c>
      <c r="C1" s="1" t="s">
        <v>401</v>
      </c>
      <c r="D1" s="1" t="s">
        <v>2</v>
      </c>
      <c r="E1" s="103" t="s">
        <v>79</v>
      </c>
      <c r="F1" s="103" t="s">
        <v>3</v>
      </c>
      <c r="G1" s="103" t="s">
        <v>4</v>
      </c>
      <c r="H1" s="68" t="s">
        <v>5</v>
      </c>
      <c r="I1" s="105" t="s">
        <v>6</v>
      </c>
      <c r="J1" s="105" t="s">
        <v>7</v>
      </c>
      <c r="K1" s="1" t="s">
        <v>8</v>
      </c>
      <c r="L1" s="72" t="s">
        <v>9</v>
      </c>
      <c r="M1" s="1" t="s">
        <v>11</v>
      </c>
      <c r="N1" s="1" t="s">
        <v>13</v>
      </c>
      <c r="O1" s="105" t="s">
        <v>14</v>
      </c>
      <c r="P1" s="1" t="s">
        <v>497</v>
      </c>
    </row>
    <row r="2" spans="1:16" s="77" customFormat="1" ht="18" customHeight="1" x14ac:dyDescent="0.25">
      <c r="A2" s="76">
        <v>44837</v>
      </c>
      <c r="B2" s="76">
        <v>44841</v>
      </c>
      <c r="C2" s="76">
        <v>44842</v>
      </c>
      <c r="E2" s="104" t="s">
        <v>441</v>
      </c>
      <c r="F2" s="104" t="s">
        <v>438</v>
      </c>
      <c r="G2" s="104" t="s">
        <v>439</v>
      </c>
      <c r="H2" s="77" t="s">
        <v>440</v>
      </c>
      <c r="I2" s="106">
        <v>400000</v>
      </c>
      <c r="J2" s="106">
        <f>(Tabla23[[#This Row],[TOTAL FACTURA]]-Tabla23[[#This Row],[MONTO DE COMPRA]])*0.6</f>
        <v>191100</v>
      </c>
      <c r="K2" s="77">
        <v>2883</v>
      </c>
      <c r="L2" s="78">
        <f>2000+79500</f>
        <v>81500</v>
      </c>
      <c r="M2" s="79">
        <v>200000</v>
      </c>
      <c r="O2" s="106">
        <f>Tabla23[[#This Row],[TOTAL FACTURA]]-Tabla23[[#This Row],[PORCENTAJE A CANCELAR]]-Tabla23[[#This Row],[MONTO DE COMPRA]]</f>
        <v>127400</v>
      </c>
      <c r="P2" s="1"/>
    </row>
    <row r="3" spans="1:16" s="77" customFormat="1" ht="16.5" customHeight="1" x14ac:dyDescent="0.25">
      <c r="A3" s="76">
        <v>44837</v>
      </c>
      <c r="B3" s="76">
        <v>44837</v>
      </c>
      <c r="C3" s="76">
        <v>44842</v>
      </c>
      <c r="D3" s="77" t="s">
        <v>426</v>
      </c>
      <c r="E3" s="104" t="s">
        <v>427</v>
      </c>
      <c r="F3" s="104" t="s">
        <v>429</v>
      </c>
      <c r="G3" s="104" t="s">
        <v>428</v>
      </c>
      <c r="H3" s="77" t="s">
        <v>430</v>
      </c>
      <c r="I3" s="106">
        <v>110000</v>
      </c>
      <c r="J3" s="106">
        <f>(Tabla23[[#This Row],[TOTAL FACTURA]]-Tabla23[[#This Row],[MONTO DE COMPRA]])*0.6</f>
        <v>62880</v>
      </c>
      <c r="K3" s="77" t="s">
        <v>431</v>
      </c>
      <c r="L3" s="78">
        <v>5200</v>
      </c>
      <c r="M3" s="79"/>
      <c r="O3" s="106">
        <f>Tabla23[[#This Row],[TOTAL FACTURA]]-Tabla23[[#This Row],[PORCENTAJE A CANCELAR]]-Tabla23[[#This Row],[MONTO DE COMPRA]]</f>
        <v>41920</v>
      </c>
      <c r="P3" s="1"/>
    </row>
    <row r="4" spans="1:16" s="77" customFormat="1" x14ac:dyDescent="0.25">
      <c r="A4" s="76">
        <v>44837</v>
      </c>
      <c r="B4" s="76">
        <v>44842</v>
      </c>
      <c r="C4" s="76">
        <v>44842</v>
      </c>
      <c r="E4" s="104" t="s">
        <v>436</v>
      </c>
      <c r="F4" s="104" t="s">
        <v>138</v>
      </c>
      <c r="G4" s="104" t="s">
        <v>139</v>
      </c>
      <c r="H4" s="77" t="s">
        <v>437</v>
      </c>
      <c r="I4" s="106">
        <v>1200000</v>
      </c>
      <c r="J4" s="106">
        <f>(Tabla23[[#This Row],[TOTAL FACTURA]]-Tabla23[[#This Row],[MONTO DE COMPRA]])*0.6</f>
        <v>588600</v>
      </c>
      <c r="K4" s="77">
        <v>2877</v>
      </c>
      <c r="L4" s="78">
        <f>209000+10000</f>
        <v>219000</v>
      </c>
      <c r="M4" s="79"/>
      <c r="O4" s="106">
        <f>Tabla23[[#This Row],[TOTAL FACTURA]]-Tabla23[[#This Row],[PORCENTAJE A CANCELAR]]-Tabla23[[#This Row],[MONTO DE COMPRA]]</f>
        <v>392400</v>
      </c>
      <c r="P4" s="1"/>
    </row>
    <row r="5" spans="1:16" s="77" customFormat="1" ht="18" customHeight="1" x14ac:dyDescent="0.25">
      <c r="A5" s="76">
        <v>44838</v>
      </c>
      <c r="B5" s="76">
        <v>44838</v>
      </c>
      <c r="C5" s="76">
        <v>44842</v>
      </c>
      <c r="E5" s="104"/>
      <c r="F5" s="104"/>
      <c r="G5" s="104" t="s">
        <v>434</v>
      </c>
      <c r="H5" s="77" t="s">
        <v>435</v>
      </c>
      <c r="I5" s="106">
        <v>30000</v>
      </c>
      <c r="J5" s="106">
        <v>30000</v>
      </c>
      <c r="L5" s="78"/>
      <c r="M5" s="79"/>
      <c r="O5" s="106">
        <f>Tabla23[[#This Row],[TOTAL FACTURA]]-Tabla23[[#This Row],[PORCENTAJE A CANCELAR]]-Tabla23[[#This Row],[MONTO DE COMPRA]]</f>
        <v>0</v>
      </c>
      <c r="P5" s="1"/>
    </row>
    <row r="6" spans="1:16" s="77" customFormat="1" ht="18" customHeight="1" x14ac:dyDescent="0.25">
      <c r="A6" s="76">
        <v>44840</v>
      </c>
      <c r="B6" s="76">
        <v>44840</v>
      </c>
      <c r="C6" s="76">
        <v>44842</v>
      </c>
      <c r="D6" s="77" t="s">
        <v>442</v>
      </c>
      <c r="E6" s="104" t="s">
        <v>443</v>
      </c>
      <c r="F6" s="104" t="s">
        <v>319</v>
      </c>
      <c r="G6" s="104" t="s">
        <v>444</v>
      </c>
      <c r="H6" s="77" t="s">
        <v>360</v>
      </c>
      <c r="I6" s="106">
        <v>60000</v>
      </c>
      <c r="J6" s="106">
        <f>(Tabla23[[#This Row],[TOTAL FACTURA]]-Tabla23[[#This Row],[MONTO DE COMPRA]])*0.6</f>
        <v>36000</v>
      </c>
      <c r="L6" s="78"/>
      <c r="M6" s="79"/>
      <c r="O6" s="106">
        <f>Tabla23[[#This Row],[TOTAL FACTURA]]-Tabla23[[#This Row],[PORCENTAJE A CANCELAR]]-Tabla23[[#This Row],[MONTO DE COMPRA]]</f>
        <v>24000</v>
      </c>
      <c r="P6" s="1"/>
    </row>
    <row r="7" spans="1:16" s="77" customFormat="1" ht="18" customHeight="1" x14ac:dyDescent="0.25">
      <c r="A7" s="76">
        <v>44842</v>
      </c>
      <c r="B7" s="76">
        <v>44844</v>
      </c>
      <c r="C7" s="76">
        <v>44842</v>
      </c>
      <c r="E7" s="104" t="s">
        <v>447</v>
      </c>
      <c r="F7" s="104" t="s">
        <v>448</v>
      </c>
      <c r="G7" s="104" t="s">
        <v>449</v>
      </c>
      <c r="H7" s="77" t="s">
        <v>450</v>
      </c>
      <c r="I7" s="106">
        <v>350000</v>
      </c>
      <c r="J7" s="106">
        <f>(Tabla23[[#This Row],[TOTAL FACTURA]]-Tabla23[[#This Row],[MONTO DE COMPRA]])*0.6</f>
        <v>189600</v>
      </c>
      <c r="K7" s="77">
        <v>2893</v>
      </c>
      <c r="L7" s="78">
        <v>34000</v>
      </c>
      <c r="M7" s="79"/>
      <c r="O7" s="106">
        <f>Tabla23[[#This Row],[TOTAL FACTURA]]-Tabla23[[#This Row],[PORCENTAJE A CANCELAR]]-Tabla23[[#This Row],[MONTO DE COMPRA]]</f>
        <v>126400</v>
      </c>
      <c r="P7" s="1"/>
    </row>
    <row r="8" spans="1:16" s="77" customFormat="1" x14ac:dyDescent="0.25">
      <c r="A8" s="76">
        <v>44841</v>
      </c>
      <c r="B8" s="76">
        <v>44846</v>
      </c>
      <c r="C8" s="76">
        <v>44849</v>
      </c>
      <c r="E8" s="104" t="s">
        <v>445</v>
      </c>
      <c r="F8" s="104" t="s">
        <v>403</v>
      </c>
      <c r="G8" s="104" t="s">
        <v>446</v>
      </c>
      <c r="I8" s="106">
        <v>700000</v>
      </c>
      <c r="J8" s="106">
        <f>(Tabla23[[#This Row],[TOTAL FACTURA]]-Tabla23[[#This Row],[MONTO DE COMPRA]])*0.6</f>
        <v>303000</v>
      </c>
      <c r="K8" s="77">
        <v>2891</v>
      </c>
      <c r="L8" s="78">
        <v>195000</v>
      </c>
      <c r="M8" s="79"/>
      <c r="O8" s="106">
        <f>Tabla23[[#This Row],[TOTAL FACTURA]]-Tabla23[[#This Row],[PORCENTAJE A CANCELAR]]-Tabla23[[#This Row],[MONTO DE COMPRA]]</f>
        <v>202000</v>
      </c>
      <c r="P8" s="1"/>
    </row>
    <row r="9" spans="1:16" s="77" customFormat="1" x14ac:dyDescent="0.25">
      <c r="A9" s="76">
        <v>44842</v>
      </c>
      <c r="B9" s="76">
        <v>44849</v>
      </c>
      <c r="C9" s="76">
        <v>44850</v>
      </c>
      <c r="E9" s="104"/>
      <c r="F9" s="104" t="s">
        <v>451</v>
      </c>
      <c r="G9" s="104" t="s">
        <v>462</v>
      </c>
      <c r="H9" s="77" t="s">
        <v>452</v>
      </c>
      <c r="I9" s="106">
        <v>350000</v>
      </c>
      <c r="J9" s="106">
        <f>(Tabla23[[#This Row],[TOTAL FACTURA]]-Tabla23[[#This Row],[MONTO DE COMPRA]])*0.6</f>
        <v>168000</v>
      </c>
      <c r="K9" s="77" t="s">
        <v>460</v>
      </c>
      <c r="L9" s="78">
        <f>20000+50000</f>
        <v>70000</v>
      </c>
      <c r="M9" s="79">
        <v>200000</v>
      </c>
      <c r="O9" s="106">
        <f>Tabla23[[#This Row],[TOTAL FACTURA]]-Tabla23[[#This Row],[PORCENTAJE A CANCELAR]]-Tabla23[[#This Row],[MONTO DE COMPRA]]</f>
        <v>112000</v>
      </c>
      <c r="P9" s="1"/>
    </row>
    <row r="10" spans="1:16" s="77" customFormat="1" x14ac:dyDescent="0.25">
      <c r="A10" s="76">
        <v>44844</v>
      </c>
      <c r="B10" s="76">
        <v>44846</v>
      </c>
      <c r="C10" s="76">
        <v>44851</v>
      </c>
      <c r="E10" s="104" t="s">
        <v>453</v>
      </c>
      <c r="F10" s="104" t="s">
        <v>454</v>
      </c>
      <c r="G10" s="104" t="s">
        <v>455</v>
      </c>
      <c r="H10" s="77" t="s">
        <v>456</v>
      </c>
      <c r="I10" s="106">
        <v>700000</v>
      </c>
      <c r="J10" s="106">
        <f>(Tabla23[[#This Row],[TOTAL FACTURA]]-Tabla23[[#This Row],[MONTO DE COMPRA]])*0.6</f>
        <v>312000</v>
      </c>
      <c r="K10" s="77" t="s">
        <v>461</v>
      </c>
      <c r="L10" s="78">
        <f>30000+150000</f>
        <v>180000</v>
      </c>
      <c r="M10" s="78">
        <v>350000</v>
      </c>
      <c r="O10" s="106">
        <f>Tabla23[[#This Row],[TOTAL FACTURA]]-Tabla23[[#This Row],[PORCENTAJE A CANCELAR]]-Tabla23[[#This Row],[MONTO DE COMPRA]]</f>
        <v>208000</v>
      </c>
      <c r="P10" s="1"/>
    </row>
    <row r="11" spans="1:16" s="77" customFormat="1" ht="27" customHeight="1" x14ac:dyDescent="0.25">
      <c r="A11" s="76">
        <v>44844</v>
      </c>
      <c r="B11" s="76">
        <v>44846</v>
      </c>
      <c r="C11" s="76">
        <v>44852</v>
      </c>
      <c r="E11" s="104" t="s">
        <v>436</v>
      </c>
      <c r="F11" s="104" t="s">
        <v>457</v>
      </c>
      <c r="G11" s="104" t="s">
        <v>459</v>
      </c>
      <c r="H11" s="77" t="s">
        <v>458</v>
      </c>
      <c r="I11" s="106">
        <v>500000</v>
      </c>
      <c r="J11" s="106">
        <f>(Tabla23[[#This Row],[TOTAL FACTURA]]-Tabla23[[#This Row],[MONTO DE COMPRA]])*0.6</f>
        <v>228000</v>
      </c>
      <c r="K11" s="77" t="s">
        <v>461</v>
      </c>
      <c r="L11" s="78">
        <v>120000</v>
      </c>
      <c r="M11" s="78"/>
      <c r="O11" s="106">
        <f>Tabla23[[#This Row],[TOTAL FACTURA]]-Tabla23[[#This Row],[PORCENTAJE A CANCELAR]]-Tabla23[[#This Row],[MONTO DE COMPRA]]</f>
        <v>152000</v>
      </c>
      <c r="P11" s="1"/>
    </row>
    <row r="12" spans="1:16" s="77" customFormat="1" x14ac:dyDescent="0.25">
      <c r="A12" s="76">
        <v>44852</v>
      </c>
      <c r="C12" s="77" t="s">
        <v>483</v>
      </c>
      <c r="E12" s="104"/>
      <c r="F12" s="104" t="s">
        <v>475</v>
      </c>
      <c r="G12" s="104"/>
      <c r="H12" s="77" t="s">
        <v>200</v>
      </c>
      <c r="I12" s="106">
        <v>50000</v>
      </c>
      <c r="J12" s="106">
        <f>(Tabla23[[#This Row],[TOTAL FACTURA]]-Tabla23[[#This Row],[MONTO DE COMPRA]])*0.6</f>
        <v>30000</v>
      </c>
      <c r="L12" s="78"/>
      <c r="M12" s="78"/>
      <c r="O12" s="106">
        <f>Tabla23[[#This Row],[TOTAL FACTURA]]-Tabla23[[#This Row],[PORCENTAJE A CANCELAR]]-Tabla23[[#This Row],[MONTO DE COMPRA]]</f>
        <v>20000</v>
      </c>
      <c r="P12" s="1"/>
    </row>
    <row r="13" spans="1:16" s="77" customFormat="1" x14ac:dyDescent="0.25">
      <c r="A13" s="76">
        <v>44852</v>
      </c>
      <c r="B13" s="76"/>
      <c r="C13" s="77" t="s">
        <v>483</v>
      </c>
      <c r="E13" s="104"/>
      <c r="F13" s="104" t="s">
        <v>173</v>
      </c>
      <c r="G13" s="104"/>
      <c r="H13" s="77" t="s">
        <v>240</v>
      </c>
      <c r="I13" s="106">
        <v>20000</v>
      </c>
      <c r="J13" s="106">
        <v>20000</v>
      </c>
      <c r="L13" s="78"/>
      <c r="M13" s="78"/>
      <c r="O13" s="106">
        <f>Tabla23[[#This Row],[TOTAL FACTURA]]-Tabla23[[#This Row],[PORCENTAJE A CANCELAR]]-Tabla23[[#This Row],[MONTO DE COMPRA]]</f>
        <v>0</v>
      </c>
      <c r="P13" s="1"/>
    </row>
    <row r="14" spans="1:16" s="77" customFormat="1" x14ac:dyDescent="0.25">
      <c r="A14" s="76">
        <v>44852</v>
      </c>
      <c r="C14" s="77" t="s">
        <v>483</v>
      </c>
      <c r="E14" s="104"/>
      <c r="F14" s="104" t="s">
        <v>371</v>
      </c>
      <c r="G14" s="104"/>
      <c r="H14" s="77" t="s">
        <v>476</v>
      </c>
      <c r="I14" s="106">
        <v>10000</v>
      </c>
      <c r="J14" s="106">
        <v>10000</v>
      </c>
      <c r="L14" s="78"/>
      <c r="M14" s="78"/>
      <c r="O14" s="106">
        <f>Tabla23[[#This Row],[TOTAL FACTURA]]-Tabla23[[#This Row],[PORCENTAJE A CANCELAR]]-Tabla23[[#This Row],[MONTO DE COMPRA]]</f>
        <v>0</v>
      </c>
      <c r="P14" s="1"/>
    </row>
    <row r="15" spans="1:16" s="77" customFormat="1" x14ac:dyDescent="0.25">
      <c r="A15" s="76">
        <v>44853</v>
      </c>
      <c r="C15" s="77" t="s">
        <v>483</v>
      </c>
      <c r="E15" s="104"/>
      <c r="F15" s="104" t="s">
        <v>478</v>
      </c>
      <c r="G15" s="104" t="s">
        <v>479</v>
      </c>
      <c r="H15" s="77" t="s">
        <v>481</v>
      </c>
      <c r="I15" s="106">
        <v>80000</v>
      </c>
      <c r="J15" s="106">
        <f>(Tabla23[[#This Row],[TOTAL FACTURA]]-Tabla23[[#This Row],[MONTO DE COMPRA]])*0.6</f>
        <v>41880</v>
      </c>
      <c r="K15" s="77" t="s">
        <v>480</v>
      </c>
      <c r="L15" s="78">
        <v>10200</v>
      </c>
      <c r="M15" s="79"/>
      <c r="O15" s="106">
        <f>Tabla23[[#This Row],[TOTAL FACTURA]]-Tabla23[[#This Row],[PORCENTAJE A CANCELAR]]-Tabla23[[#This Row],[MONTO DE COMPRA]]</f>
        <v>27920</v>
      </c>
      <c r="P15" s="1"/>
    </row>
    <row r="16" spans="1:16" s="77" customFormat="1" x14ac:dyDescent="0.25">
      <c r="A16" s="76">
        <v>44856</v>
      </c>
      <c r="C16" s="76">
        <v>44865</v>
      </c>
      <c r="E16" s="104" t="s">
        <v>484</v>
      </c>
      <c r="F16" s="104" t="s">
        <v>371</v>
      </c>
      <c r="G16" s="108" t="s">
        <v>485</v>
      </c>
      <c r="H16" s="77" t="s">
        <v>486</v>
      </c>
      <c r="I16" s="106">
        <v>80000</v>
      </c>
      <c r="J16" s="106">
        <f>(Tabla23[[#This Row],[TOTAL FACTURA]]-Tabla23[[#This Row],[MONTO DE COMPRA]])*0.6</f>
        <v>48000</v>
      </c>
      <c r="L16" s="78"/>
      <c r="M16" s="79"/>
      <c r="O16" s="106">
        <f>Tabla23[[#This Row],[TOTAL FACTURA]]-Tabla23[[#This Row],[PORCENTAJE A CANCELAR]]-Tabla23[[#This Row],[MONTO DE COMPRA]]</f>
        <v>32000</v>
      </c>
      <c r="P16" s="1"/>
    </row>
    <row r="17" spans="1:16" s="77" customFormat="1" ht="16.5" customHeight="1" x14ac:dyDescent="0.25">
      <c r="A17" s="76"/>
      <c r="C17" s="76">
        <v>44863</v>
      </c>
      <c r="E17" s="104"/>
      <c r="F17" s="104" t="s">
        <v>490</v>
      </c>
      <c r="G17" s="104" t="s">
        <v>491</v>
      </c>
      <c r="H17" s="77" t="s">
        <v>492</v>
      </c>
      <c r="I17" s="106">
        <v>200000</v>
      </c>
      <c r="J17" s="106">
        <f>(Tabla23[[#This Row],[TOTAL FACTURA]]-Tabla23[[#This Row],[MONTO DE COMPRA]])*0.6</f>
        <v>120000</v>
      </c>
      <c r="L17" s="78"/>
      <c r="M17" s="79"/>
      <c r="O17" s="106">
        <f>Tabla23[[#This Row],[TOTAL FACTURA]]-Tabla23[[#This Row],[PORCENTAJE A CANCELAR]]-Tabla23[[#This Row],[MONTO DE COMPRA]]</f>
        <v>80000</v>
      </c>
    </row>
    <row r="18" spans="1:16" s="77" customFormat="1" x14ac:dyDescent="0.25">
      <c r="A18" s="76">
        <v>44863</v>
      </c>
      <c r="B18" s="76">
        <v>44870</v>
      </c>
      <c r="C18" s="76">
        <v>44870</v>
      </c>
      <c r="E18" s="104"/>
      <c r="F18" s="104" t="s">
        <v>96</v>
      </c>
      <c r="G18" s="104" t="s">
        <v>493</v>
      </c>
      <c r="H18" s="77" t="s">
        <v>494</v>
      </c>
      <c r="I18" s="106">
        <v>200000</v>
      </c>
      <c r="J18" s="106">
        <f>(Tabla23[[#This Row],[TOTAL FACTURA]]-Tabla23[[#This Row],[MONTO DE COMPRA]])*0.6</f>
        <v>120000</v>
      </c>
      <c r="L18" s="78"/>
      <c r="O18" s="106">
        <f>Tabla23[[#This Row],[TOTAL FACTURA]]-Tabla23[[#This Row],[PORCENTAJE A CANCELAR]]-Tabla23[[#This Row],[MONTO DE COMPRA]]</f>
        <v>80000</v>
      </c>
    </row>
    <row r="19" spans="1:16" s="77" customFormat="1" x14ac:dyDescent="0.25">
      <c r="A19" s="76">
        <v>44865</v>
      </c>
      <c r="B19" s="76">
        <v>44870</v>
      </c>
      <c r="C19" s="76">
        <v>44870</v>
      </c>
      <c r="E19" s="104"/>
      <c r="F19" s="104" t="s">
        <v>490</v>
      </c>
      <c r="G19" s="104" t="s">
        <v>495</v>
      </c>
      <c r="H19" s="77" t="s">
        <v>496</v>
      </c>
      <c r="I19" s="106">
        <v>1400000</v>
      </c>
      <c r="J19" s="106">
        <f>(Tabla23[[#This Row],[TOTAL FACTURA]]-Tabla23[[#This Row],[MONTO DE COMPRA]])*0.6</f>
        <v>687600</v>
      </c>
      <c r="K19" s="77" t="s">
        <v>498</v>
      </c>
      <c r="L19" s="78">
        <f>224000+30000</f>
        <v>254000</v>
      </c>
      <c r="M19" s="79"/>
      <c r="O19" s="106">
        <f>Tabla23[[#This Row],[TOTAL FACTURA]]-Tabla23[[#This Row],[PORCENTAJE A CANCELAR]]-Tabla23[[#This Row],[MONTO DE COMPRA]]</f>
        <v>458400</v>
      </c>
      <c r="P19" s="106">
        <v>250000</v>
      </c>
    </row>
    <row r="20" spans="1:16" s="77" customFormat="1" x14ac:dyDescent="0.25">
      <c r="A20" s="76">
        <v>44866</v>
      </c>
      <c r="B20" s="76">
        <v>44870</v>
      </c>
      <c r="C20" s="76">
        <v>44870</v>
      </c>
      <c r="E20" s="104" t="s">
        <v>499</v>
      </c>
      <c r="F20" s="104" t="s">
        <v>500</v>
      </c>
      <c r="G20" s="104" t="s">
        <v>501</v>
      </c>
      <c r="H20" s="77" t="s">
        <v>502</v>
      </c>
      <c r="I20" s="106">
        <v>1500000</v>
      </c>
      <c r="J20" s="106">
        <f>(Tabla23[[#This Row],[TOTAL FACTURA]]-Tabla23[[#This Row],[MONTO DE COMPRA]])*0.6</f>
        <v>731400</v>
      </c>
      <c r="K20" s="77" t="s">
        <v>505</v>
      </c>
      <c r="L20" s="78">
        <f>185000+26000+10000+20000+10000+30000</f>
        <v>281000</v>
      </c>
      <c r="M20" s="79"/>
      <c r="O20" s="106">
        <f>Tabla23[[#This Row],[TOTAL FACTURA]]-Tabla23[[#This Row],[PORCENTAJE A CANCELAR]]-Tabla23[[#This Row],[MONTO DE COMPRA]]</f>
        <v>487600</v>
      </c>
      <c r="P20" s="106">
        <v>500000</v>
      </c>
    </row>
    <row r="21" spans="1:16" s="77" customFormat="1" x14ac:dyDescent="0.25">
      <c r="A21" s="76">
        <v>44856</v>
      </c>
      <c r="C21" s="76">
        <v>44877</v>
      </c>
      <c r="E21" s="104" t="s">
        <v>489</v>
      </c>
      <c r="F21" s="104" t="s">
        <v>368</v>
      </c>
      <c r="G21" s="104" t="s">
        <v>487</v>
      </c>
      <c r="H21" s="77" t="s">
        <v>488</v>
      </c>
      <c r="I21" s="106">
        <v>3800000</v>
      </c>
      <c r="J21" s="106">
        <f>(Tabla23[[#This Row],[TOTAL FACTURA]]-Tabla23[[#This Row],[MONTO DE COMPRA]])*0.6</f>
        <v>1861980</v>
      </c>
      <c r="L21" s="78">
        <f>693700+3000</f>
        <v>696700</v>
      </c>
      <c r="M21" s="79">
        <v>1032000</v>
      </c>
      <c r="O21" s="106">
        <f>Tabla23[[#This Row],[TOTAL FACTURA]]-Tabla23[[#This Row],[PORCENTAJE A CANCELAR]]-Tabla23[[#This Row],[MONTO DE COMPRA]]</f>
        <v>1241320</v>
      </c>
    </row>
    <row r="22" spans="1:16" s="77" customFormat="1" x14ac:dyDescent="0.25">
      <c r="A22" s="76">
        <v>44867</v>
      </c>
      <c r="C22" s="76">
        <v>44891</v>
      </c>
      <c r="E22" s="104" t="s">
        <v>503</v>
      </c>
      <c r="F22" s="104" t="s">
        <v>358</v>
      </c>
      <c r="G22" s="104" t="s">
        <v>504</v>
      </c>
      <c r="H22" s="77" t="s">
        <v>532</v>
      </c>
      <c r="I22" s="106">
        <v>3000000</v>
      </c>
      <c r="J22" s="106">
        <f>(Tabla23[[#This Row],[TOTAL FACTURA]]-Tabla23[[#This Row],[MONTO DE COMPRA]])*0.6</f>
        <v>1410360</v>
      </c>
      <c r="K22" s="77" t="s">
        <v>533</v>
      </c>
      <c r="L22" s="78">
        <f>20000+36000+293400+300000</f>
        <v>649400</v>
      </c>
      <c r="M22" s="79"/>
      <c r="O22" s="106">
        <f>Tabla23[[#This Row],[TOTAL FACTURA]]-Tabla23[[#This Row],[PORCENTAJE A CANCELAR]]-Tabla23[[#This Row],[MONTO DE COMPRA]]</f>
        <v>940240</v>
      </c>
      <c r="P22" s="106">
        <v>300000</v>
      </c>
    </row>
    <row r="23" spans="1:16" s="77" customFormat="1" x14ac:dyDescent="0.25">
      <c r="A23" s="76" t="s">
        <v>506</v>
      </c>
      <c r="C23" s="76">
        <v>44877</v>
      </c>
      <c r="E23" s="104" t="s">
        <v>507</v>
      </c>
      <c r="F23" s="104" t="s">
        <v>508</v>
      </c>
      <c r="G23" s="104" t="s">
        <v>509</v>
      </c>
      <c r="H23" s="77" t="s">
        <v>510</v>
      </c>
      <c r="I23" s="106">
        <v>400000</v>
      </c>
      <c r="J23" s="106">
        <f>(Tabla23[[#This Row],[TOTAL FACTURA]]-Tabla23[[#This Row],[MONTO DE COMPRA]])*0.6</f>
        <v>150000</v>
      </c>
      <c r="K23" s="109" t="s">
        <v>511</v>
      </c>
      <c r="L23" s="78">
        <f>22500+127500</f>
        <v>150000</v>
      </c>
      <c r="M23" s="79"/>
      <c r="O23" s="106">
        <f>Tabla23[[#This Row],[TOTAL FACTURA]]-Tabla23[[#This Row],[PORCENTAJE A CANCELAR]]-Tabla23[[#This Row],[MONTO DE COMPRA]]</f>
        <v>100000</v>
      </c>
    </row>
    <row r="24" spans="1:16" s="77" customFormat="1" x14ac:dyDescent="0.25">
      <c r="A24" s="76">
        <v>44874</v>
      </c>
      <c r="C24" s="76">
        <v>44877</v>
      </c>
      <c r="E24" s="104" t="s">
        <v>512</v>
      </c>
      <c r="F24" s="104" t="s">
        <v>160</v>
      </c>
      <c r="G24" s="104" t="s">
        <v>513</v>
      </c>
      <c r="H24" s="77" t="s">
        <v>514</v>
      </c>
      <c r="I24" s="106">
        <v>80000</v>
      </c>
      <c r="J24" s="106">
        <f>(Tabla23[[#This Row],[TOTAL FACTURA]]-Tabla23[[#This Row],[MONTO DE COMPRA]])*0.6</f>
        <v>48000</v>
      </c>
      <c r="K24" s="109"/>
      <c r="L24" s="78"/>
      <c r="M24" s="79"/>
      <c r="O24" s="106">
        <f>Tabla23[[#This Row],[TOTAL FACTURA]]-Tabla23[[#This Row],[PORCENTAJE A CANCELAR]]-Tabla23[[#This Row],[MONTO DE COMPRA]]</f>
        <v>32000</v>
      </c>
    </row>
    <row r="25" spans="1:16" s="77" customFormat="1" x14ac:dyDescent="0.25">
      <c r="A25" s="76">
        <v>44874</v>
      </c>
      <c r="C25" s="76">
        <v>44877</v>
      </c>
      <c r="E25" s="104" t="s">
        <v>516</v>
      </c>
      <c r="F25" s="104" t="s">
        <v>515</v>
      </c>
      <c r="G25" s="104" t="s">
        <v>517</v>
      </c>
      <c r="H25" s="77" t="s">
        <v>518</v>
      </c>
      <c r="I25" s="106">
        <v>600000</v>
      </c>
      <c r="J25" s="106">
        <f>(Tabla23[[#This Row],[TOTAL FACTURA]]-Tabla23[[#This Row],[MONTO DE COMPRA]])*0.6</f>
        <v>270000</v>
      </c>
      <c r="K25" s="109" t="s">
        <v>519</v>
      </c>
      <c r="L25" s="78">
        <f>30000+120000</f>
        <v>150000</v>
      </c>
      <c r="M25" s="79"/>
      <c r="O25" s="106">
        <f>Tabla23[[#This Row],[TOTAL FACTURA]]-Tabla23[[#This Row],[PORCENTAJE A CANCELAR]]-Tabla23[[#This Row],[MONTO DE COMPRA]]</f>
        <v>180000</v>
      </c>
      <c r="P25" s="79">
        <v>200000</v>
      </c>
    </row>
    <row r="26" spans="1:16" s="77" customFormat="1" x14ac:dyDescent="0.25">
      <c r="A26" s="76">
        <v>44880</v>
      </c>
      <c r="C26" s="76">
        <v>44884</v>
      </c>
      <c r="E26" s="104" t="s">
        <v>520</v>
      </c>
      <c r="F26" s="104" t="s">
        <v>106</v>
      </c>
      <c r="G26" s="104" t="s">
        <v>521</v>
      </c>
      <c r="H26" s="77" t="s">
        <v>522</v>
      </c>
      <c r="I26" s="106">
        <v>300000</v>
      </c>
      <c r="J26" s="106">
        <f>(Tabla23[[#This Row],[TOTAL FACTURA]]-Tabla23[[#This Row],[MONTO DE COMPRA]])*0.6</f>
        <v>156900</v>
      </c>
      <c r="K26" s="77">
        <v>2975</v>
      </c>
      <c r="L26" s="78">
        <v>38500</v>
      </c>
      <c r="M26" s="79"/>
      <c r="O26" s="106">
        <f>Tabla23[[#This Row],[TOTAL FACTURA]]-Tabla23[[#This Row],[PORCENTAJE A CANCELAR]]-Tabla23[[#This Row],[MONTO DE COMPRA]]</f>
        <v>104600</v>
      </c>
      <c r="P26" s="79">
        <v>150000</v>
      </c>
    </row>
    <row r="27" spans="1:16" s="77" customFormat="1" x14ac:dyDescent="0.25">
      <c r="A27" s="76">
        <v>44882</v>
      </c>
      <c r="C27" s="76">
        <v>44884</v>
      </c>
      <c r="E27" s="104" t="s">
        <v>524</v>
      </c>
      <c r="F27" s="104" t="s">
        <v>523</v>
      </c>
      <c r="G27" s="104" t="s">
        <v>525</v>
      </c>
      <c r="H27" s="77" t="s">
        <v>526</v>
      </c>
      <c r="I27" s="106">
        <v>1000000</v>
      </c>
      <c r="J27" s="106">
        <f>(Tabla23[[#This Row],[TOTAL FACTURA]]-Tabla23[[#This Row],[MONTO DE COMPRA]])*0.6</f>
        <v>480000</v>
      </c>
      <c r="K27" s="77">
        <v>2978</v>
      </c>
      <c r="L27" s="78">
        <v>200000</v>
      </c>
      <c r="M27" s="79"/>
      <c r="O27" s="106">
        <f>Tabla23[[#This Row],[TOTAL FACTURA]]-Tabla23[[#This Row],[PORCENTAJE A CANCELAR]]-Tabla23[[#This Row],[MONTO DE COMPRA]]</f>
        <v>320000</v>
      </c>
      <c r="P27" s="79">
        <v>500000</v>
      </c>
    </row>
    <row r="28" spans="1:16" s="77" customFormat="1" x14ac:dyDescent="0.25">
      <c r="A28" s="76">
        <v>44881</v>
      </c>
      <c r="C28" s="76">
        <v>44884</v>
      </c>
      <c r="E28" s="104" t="s">
        <v>527</v>
      </c>
      <c r="F28" s="104" t="s">
        <v>294</v>
      </c>
      <c r="G28" s="104" t="s">
        <v>528</v>
      </c>
      <c r="H28" s="77" t="s">
        <v>529</v>
      </c>
      <c r="I28" s="106">
        <v>80000</v>
      </c>
      <c r="J28" s="106">
        <f>(Tabla23[[#This Row],[TOTAL FACTURA]]-Tabla23[[#This Row],[MONTO DE COMPRA]])*0.6</f>
        <v>48000</v>
      </c>
      <c r="L28" s="78"/>
      <c r="M28" s="79"/>
      <c r="O28" s="106">
        <f>Tabla23[[#This Row],[TOTAL FACTURA]]-Tabla23[[#This Row],[PORCENTAJE A CANCELAR]]-Tabla23[[#This Row],[MONTO DE COMPRA]]</f>
        <v>32000</v>
      </c>
    </row>
    <row r="29" spans="1:16" s="77" customFormat="1" x14ac:dyDescent="0.25">
      <c r="A29" s="76"/>
      <c r="C29" s="76">
        <v>44884</v>
      </c>
      <c r="E29" s="104" t="s">
        <v>530</v>
      </c>
      <c r="F29" s="110" t="s">
        <v>531</v>
      </c>
      <c r="G29" s="104" t="s">
        <v>294</v>
      </c>
      <c r="H29" s="77" t="s">
        <v>286</v>
      </c>
      <c r="I29" s="106">
        <v>15000</v>
      </c>
      <c r="J29" s="106">
        <v>15000</v>
      </c>
      <c r="L29" s="78"/>
      <c r="M29" s="79"/>
      <c r="O29" s="106">
        <f>Tabla23[[#This Row],[TOTAL FACTURA]]-Tabla23[[#This Row],[PORCENTAJE A CANCELAR]]-Tabla23[[#This Row],[MONTO DE COMPRA]]</f>
        <v>0</v>
      </c>
    </row>
    <row r="30" spans="1:16" s="77" customFormat="1" x14ac:dyDescent="0.25">
      <c r="A30" s="76">
        <v>44887</v>
      </c>
      <c r="C30" s="76">
        <v>44891</v>
      </c>
      <c r="E30" s="104"/>
      <c r="F30" s="104" t="s">
        <v>534</v>
      </c>
      <c r="G30" s="104"/>
      <c r="H30" s="77" t="s">
        <v>252</v>
      </c>
      <c r="I30" s="106">
        <v>250000</v>
      </c>
      <c r="J30" s="106">
        <f>(Tabla23[[#This Row],[TOTAL FACTURA]]-Tabla23[[#This Row],[MONTO DE COMPRA]])*0.6</f>
        <v>96600</v>
      </c>
      <c r="K30" s="77" t="s">
        <v>540</v>
      </c>
      <c r="L30" s="78">
        <v>89000</v>
      </c>
      <c r="M30" s="79"/>
      <c r="O30" s="106">
        <f>Tabla23[[#This Row],[TOTAL FACTURA]]-Tabla23[[#This Row],[PORCENTAJE A CANCELAR]]-Tabla23[[#This Row],[MONTO DE COMPRA]]</f>
        <v>64400</v>
      </c>
    </row>
    <row r="31" spans="1:16" s="77" customFormat="1" x14ac:dyDescent="0.25">
      <c r="A31" s="76">
        <v>44887</v>
      </c>
      <c r="C31" s="76">
        <v>44891</v>
      </c>
      <c r="E31" s="104" t="s">
        <v>535</v>
      </c>
      <c r="F31" s="104" t="s">
        <v>536</v>
      </c>
      <c r="G31" s="104" t="s">
        <v>537</v>
      </c>
      <c r="H31" s="77" t="s">
        <v>538</v>
      </c>
      <c r="I31" s="106">
        <v>600000</v>
      </c>
      <c r="J31" s="106">
        <f>(Tabla23[[#This Row],[TOTAL FACTURA]]-Tabla23[[#This Row],[MONTO DE COMPRA]])*0.6</f>
        <v>294600</v>
      </c>
      <c r="K31" s="77" t="s">
        <v>539</v>
      </c>
      <c r="L31" s="78">
        <f>99000+10000</f>
        <v>109000</v>
      </c>
      <c r="M31" s="79"/>
      <c r="O31" s="106">
        <f>Tabla23[[#This Row],[TOTAL FACTURA]]-Tabla23[[#This Row],[PORCENTAJE A CANCELAR]]-Tabla23[[#This Row],[MONTO DE COMPRA]]</f>
        <v>196400</v>
      </c>
    </row>
    <row r="32" spans="1:16" s="77" customFormat="1" ht="30" x14ac:dyDescent="0.25">
      <c r="A32" s="76">
        <v>44888</v>
      </c>
      <c r="C32" s="76">
        <v>44898</v>
      </c>
      <c r="E32" s="104" t="s">
        <v>543</v>
      </c>
      <c r="F32" s="104" t="s">
        <v>542</v>
      </c>
      <c r="G32" s="104" t="s">
        <v>541</v>
      </c>
      <c r="H32" s="111" t="s">
        <v>544</v>
      </c>
      <c r="I32" s="106">
        <v>1400000</v>
      </c>
      <c r="J32" s="106">
        <f>(Tabla23[[#This Row],[TOTAL FACTURA]]-Tabla23[[#This Row],[MONTO DE COMPRA]])*0.6</f>
        <v>644400</v>
      </c>
      <c r="K32" s="77" t="s">
        <v>545</v>
      </c>
      <c r="L32" s="78">
        <f>3000+30000+293000</f>
        <v>326000</v>
      </c>
      <c r="M32" s="79"/>
      <c r="O32" s="106">
        <f>Tabla23[[#This Row],[TOTAL FACTURA]]-Tabla23[[#This Row],[PORCENTAJE A CANCELAR]]-Tabla23[[#This Row],[MONTO DE COMPRA]]</f>
        <v>429600</v>
      </c>
    </row>
    <row r="33" spans="1:18" s="77" customFormat="1" x14ac:dyDescent="0.25">
      <c r="A33" s="76">
        <v>44897</v>
      </c>
      <c r="C33" s="76">
        <v>44898</v>
      </c>
      <c r="E33" s="104"/>
      <c r="F33" s="104" t="s">
        <v>547</v>
      </c>
      <c r="G33" s="104" t="s">
        <v>546</v>
      </c>
      <c r="H33" s="77" t="s">
        <v>548</v>
      </c>
      <c r="I33" s="106">
        <v>250000</v>
      </c>
      <c r="J33" s="106">
        <f>(Tabla23[[#This Row],[TOTAL FACTURA]]-Tabla23[[#This Row],[MONTO DE COMPRA]])*0.6</f>
        <v>148800</v>
      </c>
      <c r="K33" s="77" t="s">
        <v>549</v>
      </c>
      <c r="L33" s="78">
        <v>2000</v>
      </c>
      <c r="M33" s="79"/>
      <c r="O33" s="106">
        <f>Tabla23[[#This Row],[TOTAL FACTURA]]-Tabla23[[#This Row],[PORCENTAJE A CANCELAR]]-Tabla23[[#This Row],[MONTO DE COMPRA]]</f>
        <v>99200</v>
      </c>
    </row>
    <row r="34" spans="1:18" s="77" customFormat="1" x14ac:dyDescent="0.25">
      <c r="A34" s="76">
        <v>44897</v>
      </c>
      <c r="C34" s="76">
        <v>44898</v>
      </c>
      <c r="E34" s="104" t="s">
        <v>436</v>
      </c>
      <c r="F34" s="104" t="s">
        <v>457</v>
      </c>
      <c r="G34" s="104" t="s">
        <v>550</v>
      </c>
      <c r="H34" s="77" t="s">
        <v>551</v>
      </c>
      <c r="I34" s="106">
        <v>1000000</v>
      </c>
      <c r="J34" s="106">
        <f>(Tabla23[[#This Row],[TOTAL FACTURA]]-Tabla23[[#This Row],[MONTO DE COMPRA]])*0.6</f>
        <v>450000</v>
      </c>
      <c r="K34" s="77" t="s">
        <v>552</v>
      </c>
      <c r="L34" s="78">
        <f>210000+40000</f>
        <v>250000</v>
      </c>
      <c r="M34" s="79"/>
      <c r="O34" s="106">
        <f>Tabla23[[#This Row],[TOTAL FACTURA]]-Tabla23[[#This Row],[PORCENTAJE A CANCELAR]]-Tabla23[[#This Row],[MONTO DE COMPRA]]</f>
        <v>300000</v>
      </c>
    </row>
    <row r="35" spans="1:18" s="77" customFormat="1" x14ac:dyDescent="0.25">
      <c r="A35" s="76">
        <v>44901</v>
      </c>
      <c r="C35" s="76">
        <v>44905</v>
      </c>
      <c r="E35" s="104" t="s">
        <v>553</v>
      </c>
      <c r="F35" s="104" t="s">
        <v>319</v>
      </c>
      <c r="G35" s="104" t="s">
        <v>554</v>
      </c>
      <c r="H35" s="77" t="s">
        <v>555</v>
      </c>
      <c r="I35" s="106">
        <v>250000</v>
      </c>
      <c r="J35" s="106">
        <f>(Tabla23[[#This Row],[TOTAL FACTURA]]-Tabla23[[#This Row],[MONTO DE COMPRA]])*0.6</f>
        <v>72000</v>
      </c>
      <c r="K35" s="109" t="s">
        <v>568</v>
      </c>
      <c r="L35" s="78">
        <f>30000+100000</f>
        <v>130000</v>
      </c>
      <c r="M35" s="79"/>
      <c r="O35" s="106">
        <f>Tabla23[[#This Row],[TOTAL FACTURA]]-Tabla23[[#This Row],[PORCENTAJE A CANCELAR]]-Tabla23[[#This Row],[MONTO DE COMPRA]]</f>
        <v>48000</v>
      </c>
    </row>
    <row r="36" spans="1:18" s="77" customFormat="1" x14ac:dyDescent="0.25">
      <c r="A36" s="76">
        <v>44901</v>
      </c>
      <c r="C36" s="76">
        <v>44905</v>
      </c>
      <c r="E36" s="104" t="s">
        <v>556</v>
      </c>
      <c r="F36" s="104" t="s">
        <v>338</v>
      </c>
      <c r="G36" s="104" t="s">
        <v>557</v>
      </c>
      <c r="H36" s="77" t="s">
        <v>558</v>
      </c>
      <c r="I36" s="106">
        <v>280000</v>
      </c>
      <c r="J36" s="106">
        <f>(Tabla23[[#This Row],[TOTAL FACTURA]]-Tabla23[[#This Row],[MONTO DE COMPRA]])*0.6</f>
        <v>90000</v>
      </c>
      <c r="K36" s="78" t="s">
        <v>568</v>
      </c>
      <c r="L36" s="78">
        <f>30000+100000</f>
        <v>130000</v>
      </c>
      <c r="M36" s="79"/>
      <c r="O36" s="106">
        <f>Tabla23[[#This Row],[TOTAL FACTURA]]-Tabla23[[#This Row],[PORCENTAJE A CANCELAR]]-Tabla23[[#This Row],[MONTO DE COMPRA]]</f>
        <v>60000</v>
      </c>
    </row>
    <row r="37" spans="1:18" s="77" customFormat="1" x14ac:dyDescent="0.25">
      <c r="A37" s="76">
        <v>44901</v>
      </c>
      <c r="C37" s="76">
        <v>44905</v>
      </c>
      <c r="E37" s="104"/>
      <c r="F37" s="104" t="s">
        <v>490</v>
      </c>
      <c r="G37" s="104" t="s">
        <v>559</v>
      </c>
      <c r="H37" s="77" t="s">
        <v>560</v>
      </c>
      <c r="I37" s="106">
        <v>130000</v>
      </c>
      <c r="J37" s="106">
        <f>(Tabla23[[#This Row],[TOTAL FACTURA]]-Tabla23[[#This Row],[MONTO DE COMPRA]])*0.6</f>
        <v>78000</v>
      </c>
      <c r="K37" s="109"/>
      <c r="L37" s="78"/>
      <c r="M37" s="79"/>
      <c r="O37" s="106">
        <f>Tabla23[[#This Row],[TOTAL FACTURA]]-Tabla23[[#This Row],[PORCENTAJE A CANCELAR]]-Tabla23[[#This Row],[MONTO DE COMPRA]]</f>
        <v>52000</v>
      </c>
    </row>
    <row r="38" spans="1:18" s="77" customFormat="1" x14ac:dyDescent="0.25">
      <c r="A38" s="76">
        <v>44901</v>
      </c>
      <c r="C38" s="76">
        <v>44905</v>
      </c>
      <c r="E38" s="104"/>
      <c r="F38" s="104" t="s">
        <v>256</v>
      </c>
      <c r="G38" s="104" t="s">
        <v>546</v>
      </c>
      <c r="H38" s="77" t="s">
        <v>561</v>
      </c>
      <c r="I38" s="106">
        <v>320000</v>
      </c>
      <c r="J38" s="106">
        <f>(Tabla23[[#This Row],[TOTAL FACTURA]]-Tabla23[[#This Row],[MONTO DE COMPRA]])*0.6</f>
        <v>190800</v>
      </c>
      <c r="L38" s="78">
        <v>2000</v>
      </c>
      <c r="M38" s="79"/>
      <c r="O38" s="106">
        <f>Tabla23[[#This Row],[TOTAL FACTURA]]-Tabla23[[#This Row],[PORCENTAJE A CANCELAR]]-Tabla23[[#This Row],[MONTO DE COMPRA]]</f>
        <v>127200</v>
      </c>
    </row>
    <row r="39" spans="1:18" s="77" customFormat="1" x14ac:dyDescent="0.25">
      <c r="A39" s="76">
        <v>44901</v>
      </c>
      <c r="C39" s="76">
        <v>44905</v>
      </c>
      <c r="E39" s="104" t="s">
        <v>562</v>
      </c>
      <c r="F39" s="77" t="s">
        <v>371</v>
      </c>
      <c r="G39" s="104" t="s">
        <v>563</v>
      </c>
      <c r="H39" s="112" t="s">
        <v>564</v>
      </c>
      <c r="I39" s="106">
        <v>50000</v>
      </c>
      <c r="J39" s="106">
        <v>50000</v>
      </c>
      <c r="L39" s="78"/>
      <c r="M39" s="79"/>
      <c r="O39" s="106">
        <f>Tabla23[[#This Row],[TOTAL FACTURA]]-Tabla23[[#This Row],[PORCENTAJE A CANCELAR]]-Tabla23[[#This Row],[MONTO DE COMPRA]]</f>
        <v>0</v>
      </c>
    </row>
    <row r="40" spans="1:18" s="77" customFormat="1" x14ac:dyDescent="0.25">
      <c r="A40" s="76">
        <v>44901</v>
      </c>
      <c r="C40" s="76">
        <v>44905</v>
      </c>
      <c r="E40" s="104" t="s">
        <v>565</v>
      </c>
      <c r="F40" s="104" t="s">
        <v>403</v>
      </c>
      <c r="G40" s="104" t="s">
        <v>566</v>
      </c>
      <c r="H40" s="77" t="s">
        <v>567</v>
      </c>
      <c r="I40" s="106">
        <v>500000</v>
      </c>
      <c r="J40" s="106">
        <f>(Tabla23[[#This Row],[TOTAL FACTURA]]-Tabla23[[#This Row],[MONTO DE COMPRA]])*0.6</f>
        <v>291840</v>
      </c>
      <c r="K40" s="77" t="s">
        <v>569</v>
      </c>
      <c r="L40" s="78">
        <v>13600</v>
      </c>
      <c r="M40" s="79"/>
      <c r="O40" s="106">
        <f>Tabla23[[#This Row],[TOTAL FACTURA]]-Tabla23[[#This Row],[PORCENTAJE A CANCELAR]]-Tabla23[[#This Row],[MONTO DE COMPRA]]</f>
        <v>194560</v>
      </c>
    </row>
    <row r="41" spans="1:18" s="77" customFormat="1" ht="45" x14ac:dyDescent="0.25">
      <c r="A41" s="76">
        <v>44901</v>
      </c>
      <c r="C41" s="76">
        <v>44912</v>
      </c>
      <c r="E41" s="104" t="s">
        <v>570</v>
      </c>
      <c r="F41" s="104" t="s">
        <v>571</v>
      </c>
      <c r="G41" s="104" t="s">
        <v>572</v>
      </c>
      <c r="H41" s="77" t="s">
        <v>573</v>
      </c>
      <c r="I41" s="106">
        <v>5000000</v>
      </c>
      <c r="J41" s="106">
        <f>(Tabla23[[#This Row],[TOTAL FACTURA]]-Tabla23[[#This Row],[MONTO DE COMPRA]])*0.6</f>
        <v>2872980</v>
      </c>
      <c r="K41" s="113" t="s">
        <v>574</v>
      </c>
      <c r="L41" s="78">
        <f>15000+20000+8700+58000+18000+90000+2000</f>
        <v>211700</v>
      </c>
      <c r="M41" s="79">
        <v>727360</v>
      </c>
      <c r="O41" s="106">
        <f>Tabla23[[#This Row],[TOTAL FACTURA]]-Tabla23[[#This Row],[PORCENTAJE A CANCELAR]]-Tabla23[[#This Row],[MONTO DE COMPRA]]</f>
        <v>1915320</v>
      </c>
    </row>
    <row r="42" spans="1:18" s="77" customFormat="1" x14ac:dyDescent="0.25">
      <c r="A42" s="76">
        <v>44915</v>
      </c>
      <c r="C42" s="76">
        <v>44575</v>
      </c>
      <c r="E42" s="104"/>
      <c r="F42" s="104" t="s">
        <v>575</v>
      </c>
      <c r="G42" s="104" t="s">
        <v>153</v>
      </c>
      <c r="I42" s="106">
        <v>1400000</v>
      </c>
      <c r="J42" s="106">
        <f>(Tabla23[[#This Row],[TOTAL FACTURA]]-Tabla23[[#This Row],[MONTO DE COMPRA]])*0.6</f>
        <v>690000</v>
      </c>
      <c r="K42" s="77" t="s">
        <v>580</v>
      </c>
      <c r="L42" s="78">
        <f>200000+50000</f>
        <v>250000</v>
      </c>
      <c r="M42" s="79">
        <v>332000</v>
      </c>
      <c r="N42" s="76">
        <v>44926</v>
      </c>
      <c r="O42" s="106">
        <f>Tabla23[[#This Row],[TOTAL FACTURA]]-Tabla23[[#This Row],[PORCENTAJE A CANCELAR]]-Tabla23[[#This Row],[MONTO DE COMPRA]]</f>
        <v>460000</v>
      </c>
      <c r="Q42" s="79"/>
      <c r="R42" s="109"/>
    </row>
    <row r="43" spans="1:18" hidden="1" x14ac:dyDescent="0.25">
      <c r="A43" s="3">
        <v>44915</v>
      </c>
      <c r="F43" s="103" t="s">
        <v>576</v>
      </c>
      <c r="H43" s="1"/>
      <c r="J43" s="105">
        <f>(Tabla23[[#This Row],[TOTAL FACTURA]]-Tabla23[[#This Row],[MONTO DE COMPRA]])*0.6</f>
        <v>-283800</v>
      </c>
      <c r="K43" s="1">
        <v>2543</v>
      </c>
      <c r="L43" s="72">
        <v>473000</v>
      </c>
      <c r="M43" s="5"/>
      <c r="N43" s="1"/>
      <c r="O43" s="105">
        <f>Tabla23[[#This Row],[TOTAL FACTURA]]-Tabla23[[#This Row],[PORCENTAJE A CANCELAR]]-Tabla23[[#This Row],[MONTO DE COMPRA]]</f>
        <v>-189200</v>
      </c>
    </row>
    <row r="44" spans="1:18" s="77" customFormat="1" ht="18" customHeight="1" x14ac:dyDescent="0.25">
      <c r="A44" s="76">
        <v>44917</v>
      </c>
      <c r="C44" s="76">
        <v>44919</v>
      </c>
      <c r="E44" s="104"/>
      <c r="F44" s="104" t="s">
        <v>319</v>
      </c>
      <c r="G44" s="104" t="s">
        <v>577</v>
      </c>
      <c r="H44" s="77" t="s">
        <v>578</v>
      </c>
      <c r="I44" s="106">
        <v>80000</v>
      </c>
      <c r="J44" s="106">
        <v>80000</v>
      </c>
      <c r="L44" s="78"/>
      <c r="M44" s="79"/>
      <c r="O44" s="106">
        <f>Tabla23[[#This Row],[TOTAL FACTURA]]-Tabla23[[#This Row],[PORCENTAJE A CANCELAR]]-Tabla23[[#This Row],[MONTO DE COMPRA]]</f>
        <v>0</v>
      </c>
    </row>
    <row r="45" spans="1:18" s="77" customFormat="1" x14ac:dyDescent="0.25">
      <c r="A45" s="76">
        <v>44919</v>
      </c>
      <c r="C45" s="76">
        <v>44926</v>
      </c>
      <c r="E45" s="104"/>
      <c r="F45" s="104" t="s">
        <v>579</v>
      </c>
      <c r="G45" s="104" t="s">
        <v>341</v>
      </c>
      <c r="H45" s="77" t="s">
        <v>181</v>
      </c>
      <c r="I45" s="106">
        <v>300000</v>
      </c>
      <c r="J45" s="106">
        <f>(Tabla23[[#This Row],[TOTAL FACTURA]]-Tabla23[[#This Row],[MONTO DE COMPRA]])*0.6</f>
        <v>138000</v>
      </c>
      <c r="K45" s="114"/>
      <c r="L45" s="78">
        <v>70000</v>
      </c>
      <c r="M45" s="79"/>
      <c r="O45" s="106">
        <f>Tabla23[[#This Row],[TOTAL FACTURA]]-Tabla23[[#This Row],[PORCENTAJE A CANCELAR]]-Tabla23[[#This Row],[MONTO DE COMPRA]]</f>
        <v>92000</v>
      </c>
    </row>
    <row r="46" spans="1:18" s="77" customFormat="1" x14ac:dyDescent="0.25">
      <c r="A46" s="76">
        <v>44920</v>
      </c>
      <c r="C46" s="76">
        <v>44926</v>
      </c>
      <c r="E46" s="104"/>
      <c r="F46" s="104"/>
      <c r="G46" s="104" t="s">
        <v>581</v>
      </c>
      <c r="H46" s="77" t="s">
        <v>240</v>
      </c>
      <c r="I46" s="106">
        <v>30000</v>
      </c>
      <c r="J46" s="106">
        <v>30000</v>
      </c>
      <c r="L46" s="78"/>
      <c r="M46" s="79"/>
      <c r="O46" s="106">
        <f>Tabla23[[#This Row],[TOTAL FACTURA]]-Tabla23[[#This Row],[PORCENTAJE A CANCELAR]]-Tabla23[[#This Row],[MONTO DE COMPRA]]</f>
        <v>0</v>
      </c>
    </row>
    <row r="47" spans="1:18" s="77" customFormat="1" x14ac:dyDescent="0.25">
      <c r="A47" s="76">
        <v>44939</v>
      </c>
      <c r="B47" s="76">
        <v>44939</v>
      </c>
      <c r="C47" s="76">
        <v>44575</v>
      </c>
      <c r="D47" s="77" t="s">
        <v>586</v>
      </c>
      <c r="E47" s="104" t="s">
        <v>587</v>
      </c>
      <c r="F47" s="104" t="s">
        <v>368</v>
      </c>
      <c r="G47" s="104" t="s">
        <v>588</v>
      </c>
      <c r="H47" s="77" t="s">
        <v>589</v>
      </c>
      <c r="I47" s="106">
        <v>100000</v>
      </c>
      <c r="J47" s="106">
        <f>(Tabla23[[#This Row],[TOTAL FACTURA]]-Tabla23[[#This Row],[MONTO DE COMPRA]])*0.6</f>
        <v>59100</v>
      </c>
      <c r="K47" s="77" t="s">
        <v>549</v>
      </c>
      <c r="L47" s="78">
        <v>1500</v>
      </c>
      <c r="M47" s="79"/>
      <c r="O47" s="106">
        <f>Tabla23[[#This Row],[TOTAL FACTURA]]-Tabla23[[#This Row],[PORCENTAJE A CANCELAR]]-Tabla23[[#This Row],[MONTO DE COMPRA]]</f>
        <v>39400</v>
      </c>
    </row>
    <row r="48" spans="1:18" x14ac:dyDescent="0.25">
      <c r="A48" s="76">
        <v>44943</v>
      </c>
      <c r="B48" s="77"/>
      <c r="C48" s="77"/>
      <c r="D48" s="77"/>
      <c r="E48" s="104"/>
      <c r="F48" s="104"/>
      <c r="G48" s="104"/>
      <c r="H48" s="77" t="s">
        <v>592</v>
      </c>
      <c r="I48" s="106">
        <v>30000</v>
      </c>
      <c r="J48" s="106">
        <f>(Tabla23[[#This Row],[TOTAL FACTURA]]-Tabla23[[#This Row],[MONTO DE COMPRA]])*0.6</f>
        <v>18000</v>
      </c>
      <c r="K48" s="109"/>
      <c r="L48" s="72"/>
      <c r="M48" s="5"/>
      <c r="N48" s="1"/>
      <c r="O48" s="105">
        <f>Tabla23[[#This Row],[TOTAL FACTURA]]-Tabla23[[#This Row],[PORCENTAJE A CANCELAR]]-Tabla23[[#This Row],[MONTO DE COMPRA]]</f>
        <v>12000</v>
      </c>
    </row>
    <row r="49" spans="1:15" hidden="1" x14ac:dyDescent="0.25">
      <c r="A49" s="3">
        <v>44979</v>
      </c>
      <c r="B49" s="3">
        <v>44980</v>
      </c>
      <c r="C49" s="3">
        <v>44980</v>
      </c>
      <c r="F49" s="103" t="s">
        <v>648</v>
      </c>
      <c r="G49" s="103" t="s">
        <v>647</v>
      </c>
      <c r="H49" s="1"/>
      <c r="I49" s="105">
        <f>SUBTOTAL(109,I2:I48)</f>
        <v>29185000</v>
      </c>
      <c r="J49" s="105">
        <f>(Tabla23[[#This Row],[TOTAL FACTURA]]-Tabla23[[#This Row],[MONTO DE COMPRA]])*0.6</f>
        <v>17511000</v>
      </c>
      <c r="K49" s="1"/>
      <c r="L49" s="72"/>
      <c r="M49" s="5"/>
      <c r="N49" s="1"/>
      <c r="O49" s="105">
        <f>Tabla23[[#This Row],[TOTAL FACTURA]]-Tabla23[[#This Row],[PORCENTAJE A CANCELAR]]-Tabla23[[#This Row],[MONTO DE COMPRA]]</f>
        <v>11674000</v>
      </c>
    </row>
    <row r="50" spans="1:15" x14ac:dyDescent="0.25">
      <c r="A50" s="3">
        <v>44979</v>
      </c>
      <c r="C50" s="3">
        <v>44980</v>
      </c>
      <c r="F50" s="103" t="s">
        <v>648</v>
      </c>
      <c r="G50" s="103" t="s">
        <v>647</v>
      </c>
      <c r="H50" s="1" t="s">
        <v>243</v>
      </c>
      <c r="I50" s="105">
        <v>397300</v>
      </c>
      <c r="J50" s="105">
        <f>(Tabla23[[#This Row],[TOTAL FACTURA]]-Tabla23[[#This Row],[MONTO DE COMPRA]])*0.6</f>
        <v>238380</v>
      </c>
      <c r="K50" s="1"/>
      <c r="L50" s="72"/>
      <c r="M50" s="5"/>
      <c r="N50" s="1"/>
      <c r="O50" s="105">
        <f>Tabla23[[#This Row],[TOTAL FACTURA]]-Tabla23[[#This Row],[PORCENTAJE A CANCELAR]]-Tabla23[[#This Row],[MONTO DE COMPRA]]</f>
        <v>158920</v>
      </c>
    </row>
    <row r="51" spans="1:15" x14ac:dyDescent="0.25">
      <c r="A51" s="3">
        <v>44980</v>
      </c>
      <c r="C51" s="3">
        <v>44981</v>
      </c>
      <c r="H51" s="1" t="s">
        <v>650</v>
      </c>
      <c r="I51" s="105">
        <v>105000</v>
      </c>
      <c r="J51" s="105">
        <f>(Tabla23[[#This Row],[TOTAL FACTURA]]-Tabla23[[#This Row],[MONTO DE COMPRA]])*0.6</f>
        <v>63000</v>
      </c>
      <c r="K51" s="1"/>
      <c r="L51" s="72"/>
      <c r="M51" s="5"/>
      <c r="N51" s="1"/>
      <c r="O51" s="105">
        <f>Tabla23[[#This Row],[TOTAL FACTURA]]-Tabla23[[#This Row],[PORCENTAJE A CANCELAR]]-Tabla23[[#This Row],[MONTO DE COMPRA]]</f>
        <v>42000</v>
      </c>
    </row>
    <row r="52" spans="1:15" x14ac:dyDescent="0.25">
      <c r="A52" s="3"/>
      <c r="H52" s="1"/>
      <c r="J52" s="105">
        <f>(Tabla23[[#This Row],[TOTAL FACTURA]]-Tabla23[[#This Row],[MONTO DE COMPRA]])*0.6</f>
        <v>0</v>
      </c>
      <c r="K52" s="1"/>
      <c r="L52" s="72"/>
      <c r="M52" s="5"/>
      <c r="N52" s="1"/>
      <c r="O52" s="105">
        <f>Tabla23[[#This Row],[TOTAL FACTURA]]-Tabla23[[#This Row],[PORCENTAJE A CANCELAR]]-Tabla23[[#This Row],[MONTO DE COMPRA]]</f>
        <v>0</v>
      </c>
    </row>
    <row r="53" spans="1:15" x14ac:dyDescent="0.25">
      <c r="A53" s="3"/>
      <c r="H53" s="1"/>
      <c r="J53" s="105">
        <f>(Tabla23[[#This Row],[TOTAL FACTURA]]-Tabla23[[#This Row],[MONTO DE COMPRA]])*0.6</f>
        <v>0</v>
      </c>
      <c r="K53" s="1"/>
      <c r="L53" s="72"/>
      <c r="M53" s="5"/>
      <c r="N53" s="1"/>
      <c r="O53" s="105">
        <f>Tabla23[[#This Row],[TOTAL FACTURA]]-Tabla23[[#This Row],[PORCENTAJE A CANCELAR]]-Tabla23[[#This Row],[MONTO DE COMPRA]]</f>
        <v>0</v>
      </c>
    </row>
    <row r="54" spans="1:15" x14ac:dyDescent="0.25">
      <c r="A54" s="3"/>
      <c r="H54" s="68"/>
      <c r="J54" s="105">
        <f>(Tabla23[[#This Row],[TOTAL FACTURA]]-Tabla23[[#This Row],[MONTO DE COMPRA]])*0.6</f>
        <v>0</v>
      </c>
      <c r="K54" s="1"/>
      <c r="L54" s="72"/>
      <c r="M54" s="5"/>
      <c r="N54" s="1"/>
      <c r="O54" s="105">
        <f>Tabla23[[#This Row],[TOTAL FACTURA]]-Tabla23[[#This Row],[PORCENTAJE A CANCELAR]]-Tabla23[[#This Row],[MONTO DE COMPRA]]</f>
        <v>0</v>
      </c>
    </row>
    <row r="55" spans="1:15" x14ac:dyDescent="0.25">
      <c r="A55" s="3"/>
      <c r="H55" s="1"/>
      <c r="J55" s="105">
        <f>(Tabla23[[#This Row],[TOTAL FACTURA]]-Tabla23[[#This Row],[MONTO DE COMPRA]])*0.6</f>
        <v>0</v>
      </c>
      <c r="K55" s="1"/>
      <c r="L55" s="72"/>
      <c r="M55" s="5"/>
      <c r="N55" s="1"/>
      <c r="O55" s="105">
        <f>Tabla23[[#This Row],[TOTAL FACTURA]]-Tabla23[[#This Row],[PORCENTAJE A CANCELAR]]-Tabla23[[#This Row],[MONTO DE COMPRA]]</f>
        <v>0</v>
      </c>
    </row>
    <row r="56" spans="1:15" x14ac:dyDescent="0.25">
      <c r="A56" s="3"/>
      <c r="H56" s="1"/>
      <c r="J56" s="105">
        <f>(Tabla23[[#This Row],[TOTAL FACTURA]]-Tabla23[[#This Row],[MONTO DE COMPRA]])*0.6</f>
        <v>0</v>
      </c>
      <c r="K56" s="1"/>
      <c r="L56" s="72"/>
      <c r="M56" s="5"/>
      <c r="N56" s="1"/>
      <c r="O56" s="105">
        <f>Tabla23[[#This Row],[TOTAL FACTURA]]-Tabla23[[#This Row],[PORCENTAJE A CANCELAR]]-Tabla23[[#This Row],[MONTO DE COMPRA]]</f>
        <v>0</v>
      </c>
    </row>
    <row r="57" spans="1:15" x14ac:dyDescent="0.25">
      <c r="A57" s="3"/>
      <c r="H57" s="1"/>
      <c r="J57" s="105">
        <f>(Tabla23[[#This Row],[TOTAL FACTURA]]-Tabla23[[#This Row],[MONTO DE COMPRA]])*0.6</f>
        <v>0</v>
      </c>
      <c r="K57" s="1"/>
      <c r="L57" s="72"/>
      <c r="M57" s="5"/>
      <c r="N57" s="1"/>
      <c r="O57" s="105">
        <f>Tabla23[[#This Row],[TOTAL FACTURA]]-Tabla23[[#This Row],[PORCENTAJE A CANCELAR]]-Tabla23[[#This Row],[MONTO DE COMPRA]]</f>
        <v>0</v>
      </c>
    </row>
    <row r="58" spans="1:15" x14ac:dyDescent="0.25">
      <c r="A58" s="3"/>
      <c r="H58" s="1"/>
      <c r="J58" s="105">
        <f>(Tabla23[[#This Row],[TOTAL FACTURA]]-Tabla23[[#This Row],[MONTO DE COMPRA]])*0.6</f>
        <v>0</v>
      </c>
      <c r="K58" s="1"/>
      <c r="L58" s="72"/>
      <c r="M58" s="5"/>
      <c r="N58" s="1"/>
      <c r="O58" s="105">
        <f>Tabla23[[#This Row],[TOTAL FACTURA]]-Tabla23[[#This Row],[PORCENTAJE A CANCELAR]]-Tabla23[[#This Row],[MONTO DE COMPRA]]</f>
        <v>0</v>
      </c>
    </row>
    <row r="59" spans="1:15" ht="16.5" customHeight="1" x14ac:dyDescent="0.25">
      <c r="A59" s="3"/>
      <c r="H59" s="1"/>
      <c r="J59" s="105">
        <f>(Tabla23[[#This Row],[TOTAL FACTURA]]-Tabla23[[#This Row],[MONTO DE COMPRA]])*0.6</f>
        <v>0</v>
      </c>
      <c r="K59" s="1"/>
      <c r="L59" s="72"/>
      <c r="M59" s="5"/>
      <c r="N59" s="1"/>
      <c r="O59" s="105">
        <f>Tabla23[[#This Row],[TOTAL FACTURA]]-Tabla23[[#This Row],[PORCENTAJE A CANCELAR]]-Tabla23[[#This Row],[MONTO DE COMPRA]]</f>
        <v>0</v>
      </c>
    </row>
    <row r="60" spans="1:15" ht="18" customHeight="1" x14ac:dyDescent="0.25">
      <c r="H60" s="1"/>
      <c r="J60" s="105">
        <f>(Tabla23[[#This Row],[TOTAL FACTURA]]-Tabla23[[#This Row],[MONTO DE COMPRA]])*0.6</f>
        <v>0</v>
      </c>
      <c r="K60" s="1"/>
      <c r="L60" s="72"/>
      <c r="M60" s="5"/>
      <c r="N60" s="1"/>
      <c r="O60" s="105">
        <f>Tabla23[[#This Row],[TOTAL FACTURA]]-Tabla23[[#This Row],[PORCENTAJE A CANCELAR]]-Tabla23[[#This Row],[MONTO DE COMPRA]]</f>
        <v>0</v>
      </c>
    </row>
    <row r="61" spans="1:15" x14ac:dyDescent="0.25">
      <c r="H61" s="1"/>
      <c r="J61" s="105">
        <f>(Tabla23[[#This Row],[TOTAL FACTURA]]-Tabla23[[#This Row],[MONTO DE COMPRA]])*0.6</f>
        <v>0</v>
      </c>
      <c r="K61" s="1"/>
      <c r="L61" s="72"/>
      <c r="M61" s="5"/>
      <c r="N61" s="1"/>
      <c r="O61" s="105">
        <f>Tabla23[[#This Row],[TOTAL FACTURA]]-Tabla23[[#This Row],[PORCENTAJE A CANCELAR]]-Tabla23[[#This Row],[MONTO DE COMPRA]]</f>
        <v>0</v>
      </c>
    </row>
    <row r="62" spans="1:15" x14ac:dyDescent="0.25">
      <c r="A62" s="3"/>
      <c r="H62" s="68"/>
      <c r="J62" s="105">
        <f>(Tabla23[[#This Row],[TOTAL FACTURA]]-Tabla23[[#This Row],[MONTO DE COMPRA]])*0.6</f>
        <v>0</v>
      </c>
      <c r="K62" s="1"/>
      <c r="L62" s="72"/>
      <c r="M62" s="5"/>
      <c r="N62" s="1"/>
      <c r="O62" s="105">
        <f>Tabla23[[#This Row],[TOTAL FACTURA]]-Tabla23[[#This Row],[PORCENTAJE A CANCELAR]]-Tabla23[[#This Row],[MONTO DE COMPRA]]</f>
        <v>0</v>
      </c>
    </row>
    <row r="63" spans="1:15" x14ac:dyDescent="0.25">
      <c r="H63" s="1"/>
      <c r="J63" s="105">
        <f>(Tabla23[[#This Row],[TOTAL FACTURA]]-Tabla23[[#This Row],[MONTO DE COMPRA]])*0.6</f>
        <v>0</v>
      </c>
      <c r="K63" s="1"/>
      <c r="L63" s="72"/>
      <c r="M63" s="5"/>
      <c r="N63" s="1"/>
      <c r="O63" s="105">
        <f>Tabla23[[#This Row],[TOTAL FACTURA]]-Tabla23[[#This Row],[PORCENTAJE A CANCELAR]]-Tabla23[[#This Row],[MONTO DE COMPRA]]</f>
        <v>0</v>
      </c>
    </row>
    <row r="64" spans="1:15" x14ac:dyDescent="0.25">
      <c r="H64" s="1"/>
      <c r="J64" s="105">
        <f>(Tabla23[[#This Row],[TOTAL FACTURA]]-Tabla23[[#This Row],[MONTO DE COMPRA]])*0.6</f>
        <v>0</v>
      </c>
      <c r="K64" s="1"/>
      <c r="L64" s="72"/>
      <c r="M64" s="5"/>
      <c r="N64" s="1"/>
      <c r="O64" s="105">
        <f>Tabla23[[#This Row],[TOTAL FACTURA]]-Tabla23[[#This Row],[PORCENTAJE A CANCELAR]]-Tabla23[[#This Row],[MONTO DE COMPRA]]</f>
        <v>0</v>
      </c>
    </row>
    <row r="65" spans="1:15" x14ac:dyDescent="0.25">
      <c r="H65" s="1"/>
      <c r="J65" s="105">
        <f>(Tabla23[[#This Row],[TOTAL FACTURA]]-Tabla23[[#This Row],[MONTO DE COMPRA]])*0.6</f>
        <v>0</v>
      </c>
      <c r="K65" s="1"/>
      <c r="L65" s="72"/>
      <c r="M65" s="5"/>
      <c r="N65" s="1"/>
      <c r="O65" s="105">
        <f>Tabla23[[#This Row],[TOTAL FACTURA]]-Tabla23[[#This Row],[PORCENTAJE A CANCELAR]]-Tabla23[[#This Row],[MONTO DE COMPRA]]</f>
        <v>0</v>
      </c>
    </row>
    <row r="66" spans="1:15" x14ac:dyDescent="0.25">
      <c r="A66" s="3"/>
      <c r="H66" s="68"/>
      <c r="J66" s="105">
        <f>(Tabla23[[#This Row],[TOTAL FACTURA]]-Tabla23[[#This Row],[MONTO DE COMPRA]])*0.6</f>
        <v>0</v>
      </c>
      <c r="K66" s="1"/>
      <c r="L66" s="72"/>
      <c r="M66" s="5"/>
      <c r="N66" s="1"/>
      <c r="O66" s="105">
        <f>Tabla23[[#This Row],[TOTAL FACTURA]]-Tabla23[[#This Row],[PORCENTAJE A CANCELAR]]-Tabla23[[#This Row],[MONTO DE COMPRA]]</f>
        <v>0</v>
      </c>
    </row>
    <row r="67" spans="1:15" x14ac:dyDescent="0.25">
      <c r="A67" s="3"/>
      <c r="H67" s="68"/>
      <c r="J67" s="105">
        <f>(Tabla23[[#This Row],[TOTAL FACTURA]]-Tabla23[[#This Row],[MONTO DE COMPRA]])*0.6</f>
        <v>0</v>
      </c>
      <c r="K67" s="1"/>
      <c r="L67" s="72"/>
      <c r="M67" s="5"/>
      <c r="N67" s="1"/>
      <c r="O67" s="105">
        <f>Tabla23[[#This Row],[TOTAL FACTURA]]-Tabla23[[#This Row],[PORCENTAJE A CANCELAR]]-Tabla23[[#This Row],[MONTO DE COMPRA]]</f>
        <v>0</v>
      </c>
    </row>
    <row r="68" spans="1:15" x14ac:dyDescent="0.25">
      <c r="A68" s="3"/>
      <c r="H68" s="68"/>
      <c r="J68" s="105">
        <f>(Tabla23[[#This Row],[TOTAL FACTURA]]-Tabla23[[#This Row],[MONTO DE COMPRA]])*0.6</f>
        <v>0</v>
      </c>
      <c r="K68" s="1"/>
      <c r="L68" s="72"/>
      <c r="M68" s="5"/>
      <c r="N68" s="1"/>
      <c r="O68" s="105">
        <f>Tabla23[[#This Row],[TOTAL FACTURA]]-Tabla23[[#This Row],[PORCENTAJE A CANCELAR]]-Tabla23[[#This Row],[MONTO DE COMPRA]]</f>
        <v>0</v>
      </c>
    </row>
    <row r="69" spans="1:15" x14ac:dyDescent="0.25">
      <c r="A69" s="3"/>
      <c r="H69" s="68"/>
      <c r="J69" s="105">
        <f>(Tabla23[[#This Row],[TOTAL FACTURA]]-Tabla23[[#This Row],[MONTO DE COMPRA]])*0.6</f>
        <v>0</v>
      </c>
      <c r="K69" s="1"/>
      <c r="L69" s="72"/>
      <c r="M69" s="5"/>
      <c r="N69" s="1"/>
      <c r="O69" s="105">
        <f>Tabla23[[#This Row],[TOTAL FACTURA]]-Tabla23[[#This Row],[PORCENTAJE A CANCELAR]]-Tabla23[[#This Row],[MONTO DE COMPRA]]</f>
        <v>0</v>
      </c>
    </row>
    <row r="70" spans="1:15" x14ac:dyDescent="0.25">
      <c r="A70" s="3"/>
      <c r="H70" s="68"/>
      <c r="J70" s="105">
        <f>(Tabla23[[#This Row],[TOTAL FACTURA]]-Tabla23[[#This Row],[MONTO DE COMPRA]])*0.6</f>
        <v>0</v>
      </c>
      <c r="K70" s="1"/>
      <c r="L70" s="72"/>
      <c r="M70" s="5"/>
      <c r="N70" s="1"/>
      <c r="O70" s="105">
        <f>Tabla23[[#This Row],[TOTAL FACTURA]]-Tabla23[[#This Row],[PORCENTAJE A CANCELAR]]-Tabla23[[#This Row],[MONTO DE COMPRA]]</f>
        <v>0</v>
      </c>
    </row>
    <row r="71" spans="1:15" x14ac:dyDescent="0.25">
      <c r="A71" s="3"/>
      <c r="H71" s="68"/>
      <c r="J71" s="105">
        <f>(Tabla23[[#This Row],[TOTAL FACTURA]]-Tabla23[[#This Row],[MONTO DE COMPRA]])*0.6</f>
        <v>0</v>
      </c>
      <c r="K71" s="1"/>
      <c r="L71" s="72"/>
      <c r="M71" s="5"/>
      <c r="N71" s="1"/>
      <c r="O71" s="105">
        <f>Tabla23[[#This Row],[TOTAL FACTURA]]-Tabla23[[#This Row],[PORCENTAJE A CANCELAR]]-Tabla23[[#This Row],[MONTO DE COMPRA]]</f>
        <v>0</v>
      </c>
    </row>
    <row r="72" spans="1:15" x14ac:dyDescent="0.25">
      <c r="A72" s="3"/>
      <c r="H72" s="68"/>
      <c r="J72" s="105">
        <f>(Tabla23[[#This Row],[TOTAL FACTURA]]-Tabla23[[#This Row],[MONTO DE COMPRA]])*0.6</f>
        <v>0</v>
      </c>
      <c r="K72" s="1"/>
      <c r="L72" s="72"/>
      <c r="M72" s="5"/>
      <c r="N72" s="1"/>
      <c r="O72" s="105">
        <f>Tabla23[[#This Row],[TOTAL FACTURA]]-Tabla23[[#This Row],[PORCENTAJE A CANCELAR]]-Tabla23[[#This Row],[MONTO DE COMPRA]]</f>
        <v>0</v>
      </c>
    </row>
    <row r="73" spans="1:15" x14ac:dyDescent="0.25">
      <c r="A73" s="3"/>
      <c r="H73" s="68"/>
      <c r="J73" s="105">
        <f>(Tabla23[[#This Row],[TOTAL FACTURA]]-Tabla23[[#This Row],[MONTO DE COMPRA]])*0.6</f>
        <v>0</v>
      </c>
      <c r="K73" s="60"/>
      <c r="L73" s="72"/>
      <c r="M73" s="5"/>
      <c r="N73" s="1"/>
      <c r="O73" s="105">
        <f>Tabla23[[#This Row],[TOTAL FACTURA]]-Tabla23[[#This Row],[PORCENTAJE A CANCELAR]]-Tabla23[[#This Row],[MONTO DE COMPRA]]</f>
        <v>0</v>
      </c>
    </row>
    <row r="74" spans="1:15" x14ac:dyDescent="0.25">
      <c r="A74" s="3"/>
      <c r="H74" s="68"/>
      <c r="J74" s="105">
        <f>(Tabla23[[#This Row],[TOTAL FACTURA]]-Tabla23[[#This Row],[MONTO DE COMPRA]])*0.6</f>
        <v>0</v>
      </c>
      <c r="K74" s="1"/>
      <c r="L74" s="72"/>
      <c r="M74" s="5"/>
      <c r="N74" s="1"/>
      <c r="O74" s="105">
        <f>Tabla23[[#This Row],[TOTAL FACTURA]]-Tabla23[[#This Row],[PORCENTAJE A CANCELAR]]-Tabla23[[#This Row],[MONTO DE COMPRA]]</f>
        <v>0</v>
      </c>
    </row>
    <row r="75" spans="1:15" x14ac:dyDescent="0.25">
      <c r="A75" s="3"/>
      <c r="H75" s="68"/>
      <c r="J75" s="105">
        <f>(Tabla23[[#This Row],[TOTAL FACTURA]]-Tabla23[[#This Row],[MONTO DE COMPRA]])*0.6</f>
        <v>0</v>
      </c>
      <c r="K75" s="1"/>
      <c r="L75" s="72"/>
      <c r="M75" s="5"/>
      <c r="N75" s="1"/>
      <c r="O75" s="105">
        <f>Tabla23[[#This Row],[TOTAL FACTURA]]-Tabla23[[#This Row],[PORCENTAJE A CANCELAR]]-Tabla23[[#This Row],[MONTO DE COMPRA]]</f>
        <v>0</v>
      </c>
    </row>
    <row r="76" spans="1:15" x14ac:dyDescent="0.25">
      <c r="A76" s="3"/>
      <c r="H76" s="68"/>
      <c r="J76" s="105">
        <f>(Tabla23[[#This Row],[TOTAL FACTURA]]-Tabla23[[#This Row],[MONTO DE COMPRA]])*0.6</f>
        <v>0</v>
      </c>
      <c r="L76" s="72"/>
      <c r="M76" s="5"/>
      <c r="N76" s="1"/>
      <c r="O76" s="105">
        <f>Tabla23[[#This Row],[TOTAL FACTURA]]-Tabla23[[#This Row],[PORCENTAJE A CANCELAR]]-Tabla23[[#This Row],[MONTO DE COMPRA]]</f>
        <v>0</v>
      </c>
    </row>
    <row r="77" spans="1:15" x14ac:dyDescent="0.25">
      <c r="H77" s="68"/>
      <c r="J77" s="105">
        <f>(Tabla23[[#This Row],[TOTAL FACTURA]]-Tabla23[[#This Row],[MONTO DE COMPRA]])*0.6</f>
        <v>0</v>
      </c>
      <c r="K77" s="1"/>
      <c r="L77" s="72"/>
      <c r="M77" s="5"/>
      <c r="N77" s="1"/>
      <c r="O77" s="105">
        <f>Tabla23[[#This Row],[TOTAL FACTURA]]-Tabla23[[#This Row],[PORCENTAJE A CANCELAR]]-Tabla23[[#This Row],[MONTO DE COMPRA]]</f>
        <v>0</v>
      </c>
    </row>
    <row r="78" spans="1:15" x14ac:dyDescent="0.25">
      <c r="A78" s="3"/>
      <c r="H78" s="68"/>
      <c r="J78" s="105">
        <f>(Tabla23[[#This Row],[TOTAL FACTURA]]-Tabla23[[#This Row],[MONTO DE COMPRA]])*0.6</f>
        <v>0</v>
      </c>
      <c r="K78" s="1"/>
      <c r="L78" s="72"/>
      <c r="M78" s="5"/>
      <c r="N78" s="1"/>
      <c r="O78" s="105">
        <f>Tabla23[[#This Row],[TOTAL FACTURA]]-Tabla23[[#This Row],[PORCENTAJE A CANCELAR]]-Tabla23[[#This Row],[MONTO DE COMPRA]]</f>
        <v>0</v>
      </c>
    </row>
    <row r="79" spans="1:15" x14ac:dyDescent="0.25">
      <c r="A79" s="3"/>
      <c r="H79" s="68"/>
      <c r="J79" s="105">
        <f>(Tabla23[[#This Row],[TOTAL FACTURA]]-Tabla23[[#This Row],[MONTO DE COMPRA]])*0.6</f>
        <v>0</v>
      </c>
      <c r="K79" s="1"/>
      <c r="L79" s="72"/>
      <c r="M79" s="5"/>
      <c r="N79" s="1"/>
      <c r="O79" s="105">
        <f>Tabla23[[#This Row],[TOTAL FACTURA]]-Tabla23[[#This Row],[PORCENTAJE A CANCELAR]]-Tabla23[[#This Row],[MONTO DE COMPRA]]</f>
        <v>0</v>
      </c>
    </row>
    <row r="80" spans="1:15" x14ac:dyDescent="0.25">
      <c r="A80" s="3"/>
      <c r="H80" s="68"/>
      <c r="J80" s="105">
        <f>(Tabla23[[#This Row],[TOTAL FACTURA]]-Tabla23[[#This Row],[MONTO DE COMPRA]])*0.6</f>
        <v>0</v>
      </c>
      <c r="K80" s="1"/>
      <c r="L80" s="72"/>
      <c r="M80" s="5"/>
      <c r="N80" s="1"/>
      <c r="O80" s="105">
        <f>Tabla23[[#This Row],[TOTAL FACTURA]]-Tabla23[[#This Row],[PORCENTAJE A CANCELAR]]-Tabla23[[#This Row],[MONTO DE COMPRA]]</f>
        <v>0</v>
      </c>
    </row>
    <row r="81" spans="1:15" x14ac:dyDescent="0.25">
      <c r="A81" s="3"/>
      <c r="H81" s="68"/>
      <c r="J81" s="105">
        <f>(Tabla23[[#This Row],[TOTAL FACTURA]]-Tabla23[[#This Row],[MONTO DE COMPRA]])*0.6</f>
        <v>0</v>
      </c>
      <c r="K81" s="1"/>
      <c r="L81" s="72"/>
      <c r="M81" s="5"/>
      <c r="N81" s="1"/>
      <c r="O81" s="105">
        <f>Tabla23[[#This Row],[TOTAL FACTURA]]-Tabla23[[#This Row],[PORCENTAJE A CANCELAR]]-Tabla23[[#This Row],[MONTO DE COMPRA]]</f>
        <v>0</v>
      </c>
    </row>
    <row r="82" spans="1:15" x14ac:dyDescent="0.25">
      <c r="A82" s="3"/>
      <c r="H82" s="68"/>
      <c r="J82" s="105">
        <f>(Tabla23[[#This Row],[TOTAL FACTURA]]-Tabla23[[#This Row],[MONTO DE COMPRA]])*0.6</f>
        <v>0</v>
      </c>
      <c r="K82" s="1"/>
      <c r="L82" s="72"/>
      <c r="M82" s="5"/>
      <c r="N82" s="1"/>
      <c r="O82" s="105">
        <f>Tabla23[[#This Row],[TOTAL FACTURA]]-Tabla23[[#This Row],[PORCENTAJE A CANCELAR]]-Tabla23[[#This Row],[MONTO DE COMPRA]]</f>
        <v>0</v>
      </c>
    </row>
    <row r="83" spans="1:15" x14ac:dyDescent="0.25">
      <c r="A83" s="3"/>
      <c r="H83" s="68"/>
      <c r="I83" s="107"/>
      <c r="J83" s="105">
        <f>(Tabla23[[#This Row],[TOTAL FACTURA]]-Tabla23[[#This Row],[MONTO DE COMPRA]])*0.6</f>
        <v>0</v>
      </c>
      <c r="K83" s="1"/>
      <c r="L83" s="73"/>
      <c r="M83" s="5"/>
      <c r="N83" s="1"/>
      <c r="O83" s="105">
        <f>Tabla23[[#This Row],[TOTAL FACTURA]]-Tabla23[[#This Row],[PORCENTAJE A CANCELAR]]-Tabla23[[#This Row],[MONTO DE COMPRA]]</f>
        <v>0</v>
      </c>
    </row>
    <row r="84" spans="1:15" x14ac:dyDescent="0.25">
      <c r="A84" s="3"/>
      <c r="H84" s="68"/>
      <c r="J84" s="105">
        <f>(Tabla23[[#This Row],[TOTAL FACTURA]]-Tabla23[[#This Row],[MONTO DE COMPRA]])*0.6</f>
        <v>0</v>
      </c>
      <c r="K84" s="1"/>
      <c r="L84" s="72"/>
      <c r="M84" s="5"/>
      <c r="N84" s="1"/>
      <c r="O84" s="105">
        <f>Tabla23[[#This Row],[TOTAL FACTURA]]-Tabla23[[#This Row],[PORCENTAJE A CANCELAR]]-Tabla23[[#This Row],[MONTO DE COMPRA]]</f>
        <v>0</v>
      </c>
    </row>
    <row r="85" spans="1:15" x14ac:dyDescent="0.25">
      <c r="A85" s="3"/>
      <c r="H85" s="68"/>
      <c r="J85" s="105">
        <f>(Tabla23[[#This Row],[TOTAL FACTURA]]-Tabla23[[#This Row],[MONTO DE COMPRA]])*0.6</f>
        <v>0</v>
      </c>
      <c r="K85" s="1"/>
      <c r="L85" s="72"/>
      <c r="M85" s="5"/>
      <c r="N85" s="1"/>
      <c r="O85" s="105">
        <f>Tabla23[[#This Row],[TOTAL FACTURA]]-Tabla23[[#This Row],[PORCENTAJE A CANCELAR]]-Tabla23[[#This Row],[MONTO DE COMPRA]]</f>
        <v>0</v>
      </c>
    </row>
    <row r="86" spans="1:15" x14ac:dyDescent="0.25">
      <c r="A86" s="3"/>
      <c r="H86" s="68"/>
      <c r="J86" s="105">
        <f>(Tabla23[[#This Row],[TOTAL FACTURA]]-Tabla23[[#This Row],[MONTO DE COMPRA]])*0.6</f>
        <v>0</v>
      </c>
      <c r="K86" s="1"/>
      <c r="L86" s="72"/>
      <c r="M86" s="5"/>
      <c r="N86" s="1"/>
      <c r="O86" s="105">
        <f>Tabla23[[#This Row],[TOTAL FACTURA]]-Tabla23[[#This Row],[PORCENTAJE A CANCELAR]]-Tabla23[[#This Row],[MONTO DE COMPRA]]</f>
        <v>0</v>
      </c>
    </row>
    <row r="87" spans="1:15" x14ac:dyDescent="0.25">
      <c r="A87" s="3"/>
      <c r="H87" s="68"/>
      <c r="J87" s="105">
        <f>(Tabla23[[#This Row],[TOTAL FACTURA]]-Tabla23[[#This Row],[MONTO DE COMPRA]])*0.6</f>
        <v>0</v>
      </c>
      <c r="K87" s="1"/>
      <c r="L87" s="72"/>
      <c r="M87" s="5"/>
      <c r="N87" s="1"/>
      <c r="O87" s="105">
        <f>Tabla23[[#This Row],[TOTAL FACTURA]]-Tabla23[[#This Row],[PORCENTAJE A CANCELAR]]-Tabla23[[#This Row],[MONTO DE COMPRA]]</f>
        <v>0</v>
      </c>
    </row>
    <row r="88" spans="1:15" x14ac:dyDescent="0.25">
      <c r="A88" s="3"/>
      <c r="H88" s="68"/>
      <c r="J88" s="105">
        <f>(Tabla23[[#This Row],[TOTAL FACTURA]]-Tabla23[[#This Row],[MONTO DE COMPRA]])*0.6</f>
        <v>0</v>
      </c>
      <c r="K88" s="1"/>
      <c r="L88" s="72"/>
      <c r="M88" s="5"/>
      <c r="N88" s="1"/>
      <c r="O88" s="105">
        <f>Tabla23[[#This Row],[TOTAL FACTURA]]-Tabla23[[#This Row],[PORCENTAJE A CANCELAR]]-Tabla23[[#This Row],[MONTO DE COMPRA]]</f>
        <v>0</v>
      </c>
    </row>
    <row r="89" spans="1:15" x14ac:dyDescent="0.25">
      <c r="A89" s="3"/>
      <c r="B89" s="3"/>
      <c r="H89" s="68"/>
      <c r="J89" s="105">
        <f>(Tabla23[[#This Row],[TOTAL FACTURA]]-Tabla23[[#This Row],[MONTO DE COMPRA]])*0.6</f>
        <v>0</v>
      </c>
      <c r="K89" s="1"/>
      <c r="L89" s="72"/>
      <c r="M89" s="5"/>
      <c r="N89" s="1"/>
      <c r="O89" s="105">
        <f>Tabla23[[#This Row],[TOTAL FACTURA]]-Tabla23[[#This Row],[PORCENTAJE A CANCELAR]]-Tabla23[[#This Row],[MONTO DE COMPRA]]</f>
        <v>0</v>
      </c>
    </row>
    <row r="90" spans="1:15" x14ac:dyDescent="0.25">
      <c r="A90" s="3"/>
      <c r="B90" s="3"/>
      <c r="H90" s="68"/>
      <c r="J90" s="105">
        <f>(Tabla23[[#This Row],[TOTAL FACTURA]]-Tabla23[[#This Row],[MONTO DE COMPRA]])*0.6</f>
        <v>0</v>
      </c>
      <c r="K90" s="1"/>
      <c r="L90" s="72"/>
      <c r="M90" s="5">
        <f>(Tabla23[[#This Row],[TOTAL FACTURA]]-Tabla23[[#This Row],[MONTO DE COMPRA]])*0.6</f>
        <v>0</v>
      </c>
      <c r="N90" s="1"/>
      <c r="O90" s="105">
        <f>Tabla23[[#This Row],[TOTAL FACTURA]]-Tabla23[[#This Row],[PORCENTAJE A CANCELAR]]-Tabla23[[#This Row],[MONTO DE COMPRA]]</f>
        <v>0</v>
      </c>
    </row>
    <row r="91" spans="1:15" x14ac:dyDescent="0.25">
      <c r="A91" s="3"/>
      <c r="B91" s="3"/>
      <c r="H91" s="68"/>
      <c r="J91" s="105">
        <f>(Tabla23[[#This Row],[TOTAL FACTURA]]-Tabla23[[#This Row],[MONTO DE COMPRA]])*0.6</f>
        <v>0</v>
      </c>
      <c r="K91" s="1"/>
      <c r="L91" s="72"/>
      <c r="M91" s="5">
        <f>(Tabla23[[#This Row],[TOTAL FACTURA]]-Tabla23[[#This Row],[MONTO DE COMPRA]])*0.6</f>
        <v>0</v>
      </c>
      <c r="N91" s="1"/>
      <c r="O91" s="105">
        <f>Tabla23[[#This Row],[TOTAL FACTURA]]-Tabla23[[#This Row],[PORCENTAJE A CANCELAR]]-Tabla23[[#This Row],[MONTO DE COMPRA]]</f>
        <v>0</v>
      </c>
    </row>
    <row r="92" spans="1:15" x14ac:dyDescent="0.25">
      <c r="A92" s="3"/>
      <c r="H92" s="68"/>
      <c r="J92" s="105">
        <f>(Tabla23[[#This Row],[TOTAL FACTURA]]-Tabla23[[#This Row],[MONTO DE COMPRA]])*0.6</f>
        <v>0</v>
      </c>
      <c r="K92" s="1"/>
      <c r="L92" s="72"/>
      <c r="M92" s="5">
        <f>(Tabla23[[#This Row],[TOTAL FACTURA]]-Tabla23[[#This Row],[MONTO DE COMPRA]])*0.6</f>
        <v>0</v>
      </c>
      <c r="N92" s="1"/>
      <c r="O92" s="105"/>
    </row>
    <row r="93" spans="1:15" x14ac:dyDescent="0.25">
      <c r="A93" s="3"/>
      <c r="H93" s="68"/>
      <c r="J93" s="105">
        <f>(Tabla23[[#This Row],[TOTAL FACTURA]]-Tabla23[[#This Row],[MONTO DE COMPRA]])*0.6</f>
        <v>0</v>
      </c>
      <c r="K93" s="1"/>
      <c r="L93" s="72"/>
      <c r="M93" s="5"/>
      <c r="N93" s="1"/>
      <c r="O93" s="105">
        <f>Tabla23[[#This Row],[TOTAL FACTURA]]-Tabla23[[#This Row],[PORCENTAJE A CANCELAR]]-Tabla23[[#This Row],[MONTO DE COMPRA]]</f>
        <v>0</v>
      </c>
    </row>
    <row r="94" spans="1:15" x14ac:dyDescent="0.25">
      <c r="A94" s="3"/>
      <c r="H94" s="68"/>
      <c r="J94" s="105">
        <f>(Tabla23[[#This Row],[TOTAL FACTURA]]-Tabla23[[#This Row],[MONTO DE COMPRA]])*0.6</f>
        <v>0</v>
      </c>
      <c r="K94" s="1"/>
      <c r="L94" s="72"/>
      <c r="M94" s="5"/>
      <c r="N94" s="1"/>
      <c r="O94" s="105">
        <f>Tabla23[[#This Row],[TOTAL FACTURA]]-Tabla23[[#This Row],[PORCENTAJE A CANCELAR]]-Tabla23[[#This Row],[MONTO DE COMPRA]]</f>
        <v>0</v>
      </c>
    </row>
    <row r="95" spans="1:15" x14ac:dyDescent="0.25">
      <c r="A95" s="3"/>
      <c r="H95" s="68"/>
      <c r="J95" s="105">
        <f>(Tabla23[[#This Row],[TOTAL FACTURA]]-Tabla23[[#This Row],[MONTO DE COMPRA]])*0.6</f>
        <v>0</v>
      </c>
      <c r="K95" s="1"/>
      <c r="L95" s="72"/>
      <c r="M95" s="5">
        <f>(Tabla23[[#This Row],[TOTAL FACTURA]]-Tabla23[[#This Row],[MONTO DE COMPRA]])*0.6</f>
        <v>0</v>
      </c>
      <c r="N95" s="1"/>
      <c r="O95" s="105">
        <f>Tabla23[[#This Row],[TOTAL FACTURA]]-Tabla23[[#This Row],[PORCENTAJE A CANCELAR]]-Tabla23[[#This Row],[MONTO DE COMPRA]]</f>
        <v>0</v>
      </c>
    </row>
    <row r="96" spans="1:15" x14ac:dyDescent="0.25">
      <c r="H96" s="68"/>
      <c r="J96" s="105">
        <f>(Tabla23[[#This Row],[TOTAL FACTURA]]-Tabla23[[#This Row],[MONTO DE COMPRA]])*0.6</f>
        <v>0</v>
      </c>
      <c r="K96" s="1"/>
      <c r="L96" s="72"/>
      <c r="M96" s="5">
        <f>(Tabla23[[#This Row],[TOTAL FACTURA]]-Tabla23[[#This Row],[MONTO DE COMPRA]])*0.6</f>
        <v>0</v>
      </c>
      <c r="N96" s="1"/>
      <c r="O96" s="105">
        <f>Tabla23[[#This Row],[TOTAL FACTURA]]-Tabla23[[#This Row],[PORCENTAJE A CANCELAR]]-Tabla23[[#This Row],[MONTO DE COMPRA]]</f>
        <v>0</v>
      </c>
    </row>
    <row r="97" spans="8:16" x14ac:dyDescent="0.25">
      <c r="H97" s="68"/>
      <c r="J97" s="105">
        <f>(Tabla23[[#This Row],[TOTAL FACTURA]]-Tabla23[[#This Row],[MONTO DE COMPRA]])*0.6</f>
        <v>0</v>
      </c>
      <c r="K97" s="1"/>
      <c r="L97" s="72"/>
      <c r="M97" s="5">
        <f>(Tabla23[[#This Row],[TOTAL FACTURA]]-Tabla23[[#This Row],[MONTO DE COMPRA]])*0.6</f>
        <v>0</v>
      </c>
      <c r="N97" s="1"/>
      <c r="O97" s="105">
        <f>Tabla23[[#This Row],[TOTAL FACTURA]]-Tabla23[[#This Row],[PORCENTAJE A CANCELAR]]-Tabla23[[#This Row],[MONTO DE COMPRA]]</f>
        <v>0</v>
      </c>
    </row>
    <row r="98" spans="8:16" x14ac:dyDescent="0.25">
      <c r="H98" s="68"/>
      <c r="J98" s="105">
        <f>(Tabla23[[#This Row],[TOTAL FACTURA]]-Tabla23[[#This Row],[MONTO DE COMPRA]])*0.6</f>
        <v>0</v>
      </c>
      <c r="K98" s="1"/>
      <c r="L98" s="72"/>
      <c r="M98" s="5">
        <f>(Tabla23[[#This Row],[TOTAL FACTURA]]-Tabla23[[#This Row],[MONTO DE COMPRA]])*0.6</f>
        <v>0</v>
      </c>
      <c r="N98" s="1"/>
      <c r="O98" s="105">
        <f>Tabla23[[#This Row],[TOTAL FACTURA]]-Tabla23[[#This Row],[PORCENTAJE A CANCELAR]]-Tabla23[[#This Row],[MONTO DE COMPRA]]</f>
        <v>0</v>
      </c>
    </row>
    <row r="99" spans="8:16" x14ac:dyDescent="0.25">
      <c r="H99" s="68"/>
      <c r="J99" s="105">
        <f>(Tabla23[[#This Row],[TOTAL FACTURA]]-Tabla23[[#This Row],[MONTO DE COMPRA]])*0.6</f>
        <v>0</v>
      </c>
      <c r="K99" s="1"/>
      <c r="L99" s="72"/>
      <c r="M99" s="5">
        <f>(Tabla23[[#This Row],[TOTAL FACTURA]]-Tabla23[[#This Row],[MONTO DE COMPRA]])*0.6</f>
        <v>0</v>
      </c>
      <c r="N99" s="1"/>
      <c r="O99" s="105">
        <f>Tabla23[[#This Row],[TOTAL FACTURA]]-Tabla23[[#This Row],[PORCENTAJE A CANCELAR]]-Tabla23[[#This Row],[MONTO DE COMPRA]]</f>
        <v>0</v>
      </c>
    </row>
    <row r="100" spans="8:16" x14ac:dyDescent="0.25">
      <c r="H100" s="68"/>
      <c r="J100" s="105">
        <f>(Tabla23[[#This Row],[TOTAL FACTURA]]-Tabla23[[#This Row],[MONTO DE COMPRA]])*0.6</f>
        <v>0</v>
      </c>
      <c r="K100" s="1"/>
      <c r="L100" s="72"/>
      <c r="M100" s="5">
        <f>(Tabla23[[#This Row],[TOTAL FACTURA]]-Tabla23[[#This Row],[MONTO DE COMPRA]])*0.6</f>
        <v>0</v>
      </c>
      <c r="N100" s="1"/>
      <c r="O100" s="105">
        <f>Tabla23[[#This Row],[TOTAL FACTURA]]-Tabla23[[#This Row],[PORCENTAJE A CANCELAR]]-Tabla23[[#This Row],[MONTO DE COMPRA]]</f>
        <v>0</v>
      </c>
    </row>
    <row r="101" spans="8:16" x14ac:dyDescent="0.25">
      <c r="H101" s="99"/>
      <c r="I101" s="115">
        <f>SUBTOTAL(109,Tabla23[TOTAL FACTURA])</f>
        <v>29687300</v>
      </c>
      <c r="J101" s="115">
        <f>SUBTOTAL(109,Tabla23[PORCENTAJE A CANCELAR])</f>
        <v>14954800</v>
      </c>
      <c r="K101" s="115">
        <f>SUBTOTAL(109,Tabla23[REPUESTOS USADOS])</f>
        <v>17497</v>
      </c>
      <c r="L101" s="115">
        <f>SUBTOTAL(109,Tabla23[MONTO DE COMPRA])</f>
        <v>4919300</v>
      </c>
      <c r="M101" s="115">
        <f>SUBTOTAL(109,Tabla23[ABONOS A TRABAJO])</f>
        <v>2841360</v>
      </c>
      <c r="N101" s="115">
        <f>SUBTOTAL(109,Tabla23[ESTATUS])</f>
        <v>44926</v>
      </c>
      <c r="O101" s="115">
        <f>SUBTOTAL(109,Tabla23[GANANCIA])</f>
        <v>9813200</v>
      </c>
      <c r="P101" s="115">
        <f>SUBTOTAL(109,Tabla23[Columna1])</f>
        <v>1900000</v>
      </c>
    </row>
    <row r="103" spans="8:16" ht="14.25" customHeight="1" x14ac:dyDescent="0.25"/>
    <row r="104" spans="8:16" ht="12.75" customHeight="1" x14ac:dyDescent="0.25"/>
  </sheetData>
  <phoneticPr fontId="9" type="noConversion"/>
  <pageMargins left="0.70866141732283472" right="0.70866141732283472" top="0.74803149606299213" bottom="0.74803149606299213" header="0.31496062992125984" footer="0.31496062992125984"/>
  <pageSetup paperSize="9" scale="70" orientation="landscape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3DBAD7-7A5A-4E0E-8C7E-BDB1D9197E8C}">
          <x14:formula1>
            <xm:f>DETALLES!$A$1:$A$2</xm:f>
          </x14:formula1>
          <xm:sqref>N1 M102:M1048576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20105-8B08-4847-8FD7-BA2EFA1FFE39}">
  <sheetPr>
    <tabColor rgb="FFFF0000"/>
  </sheetPr>
  <dimension ref="A1:P59"/>
  <sheetViews>
    <sheetView workbookViewId="0">
      <selection activeCell="I12" sqref="I12"/>
    </sheetView>
  </sheetViews>
  <sheetFormatPr baseColWidth="10" defaultRowHeight="15" x14ac:dyDescent="0.25"/>
  <cols>
    <col min="1" max="1" width="16.42578125" style="1" customWidth="1"/>
    <col min="2" max="2" width="22.5703125" style="1" customWidth="1"/>
    <col min="3" max="3" width="18.42578125" style="1" customWidth="1"/>
    <col min="4" max="4" width="22.5703125" style="1" customWidth="1"/>
    <col min="5" max="5" width="37" style="103" customWidth="1"/>
    <col min="6" max="7" width="10.42578125" style="103" customWidth="1"/>
    <col min="8" max="8" width="57.42578125" style="74" customWidth="1"/>
    <col min="9" max="9" width="15.85546875" style="105" customWidth="1"/>
    <col min="10" max="10" width="23.140625" style="103" customWidth="1"/>
    <col min="11" max="11" width="46.85546875" style="72" customWidth="1"/>
    <col min="12" max="12" width="24.5703125" style="1" customWidth="1"/>
    <col min="13" max="13" width="22.85546875" style="1" customWidth="1"/>
    <col min="14" max="14" width="17.140625" style="72" customWidth="1"/>
    <col min="15" max="15" width="16.42578125" style="103" customWidth="1"/>
    <col min="16" max="16" width="22.28515625" style="1" customWidth="1"/>
    <col min="17" max="17" width="13" style="1" bestFit="1" customWidth="1"/>
    <col min="18" max="16384" width="11.42578125" style="1"/>
  </cols>
  <sheetData>
    <row r="1" spans="1:16" ht="18" customHeight="1" x14ac:dyDescent="0.25">
      <c r="A1" s="1" t="s">
        <v>0</v>
      </c>
      <c r="B1" s="1" t="s">
        <v>1</v>
      </c>
      <c r="C1" s="1" t="s">
        <v>401</v>
      </c>
      <c r="D1" s="1" t="s">
        <v>2</v>
      </c>
      <c r="E1" s="103" t="s">
        <v>79</v>
      </c>
      <c r="F1" s="103" t="s">
        <v>3</v>
      </c>
      <c r="G1" s="103" t="s">
        <v>4</v>
      </c>
      <c r="H1" s="68" t="s">
        <v>5</v>
      </c>
      <c r="I1" s="105" t="s">
        <v>6</v>
      </c>
      <c r="J1" s="105" t="s">
        <v>7</v>
      </c>
      <c r="K1" s="1" t="s">
        <v>8</v>
      </c>
      <c r="L1" s="72" t="s">
        <v>9</v>
      </c>
      <c r="M1" s="1" t="s">
        <v>11</v>
      </c>
      <c r="N1" s="1" t="s">
        <v>13</v>
      </c>
      <c r="O1" s="105" t="s">
        <v>14</v>
      </c>
      <c r="P1" s="1" t="s">
        <v>605</v>
      </c>
    </row>
    <row r="2" spans="1:16" hidden="1" x14ac:dyDescent="0.25">
      <c r="A2" s="3">
        <v>44915</v>
      </c>
      <c r="F2" s="103" t="s">
        <v>576</v>
      </c>
      <c r="H2" s="1"/>
      <c r="J2" s="105">
        <f>(Tabla234[[#This Row],[TOTAL FACTURA]]-Tabla234[[#This Row],[MONTO DE COMPRA]])*0.6</f>
        <v>-283800</v>
      </c>
      <c r="K2" s="1">
        <v>2543</v>
      </c>
      <c r="L2" s="72">
        <v>473000</v>
      </c>
      <c r="M2" s="5"/>
      <c r="N2" s="1"/>
      <c r="O2" s="105">
        <f>Tabla234[[#This Row],[TOTAL FACTURA]]-Tabla234[[#This Row],[PORCENTAJE A CANCELAR]]-Tabla234[[#This Row],[MONTO DE COMPRA]]</f>
        <v>-189200</v>
      </c>
    </row>
    <row r="3" spans="1:16" s="77" customFormat="1" x14ac:dyDescent="0.25">
      <c r="A3" s="76">
        <v>44939</v>
      </c>
      <c r="B3" s="76">
        <v>44939</v>
      </c>
      <c r="C3" s="76">
        <v>44575</v>
      </c>
      <c r="D3" s="77" t="s">
        <v>586</v>
      </c>
      <c r="E3" s="104" t="s">
        <v>587</v>
      </c>
      <c r="F3" s="104" t="s">
        <v>368</v>
      </c>
      <c r="G3" s="104" t="s">
        <v>588</v>
      </c>
      <c r="H3" s="77" t="s">
        <v>589</v>
      </c>
      <c r="I3" s="106">
        <v>100000</v>
      </c>
      <c r="J3" s="106">
        <f>(Tabla234[[#This Row],[TOTAL FACTURA]]-Tabla234[[#This Row],[MONTO DE COMPRA]])*0.6</f>
        <v>59100</v>
      </c>
      <c r="K3" s="77" t="s">
        <v>549</v>
      </c>
      <c r="L3" s="78">
        <v>1500</v>
      </c>
      <c r="M3" s="79"/>
      <c r="O3" s="106">
        <f>Tabla234[[#This Row],[TOTAL FACTURA]]-Tabla234[[#This Row],[PORCENTAJE A CANCELAR]]-Tabla234[[#This Row],[MONTO DE COMPRA]]</f>
        <v>39400</v>
      </c>
      <c r="P3" s="78"/>
    </row>
    <row r="4" spans="1:16" s="77" customFormat="1" x14ac:dyDescent="0.25">
      <c r="A4" s="76">
        <v>44943</v>
      </c>
      <c r="B4" s="76">
        <v>44947</v>
      </c>
      <c r="C4" s="76">
        <v>44949</v>
      </c>
      <c r="E4" s="104"/>
      <c r="F4" s="104"/>
      <c r="G4" s="104"/>
      <c r="H4" s="77" t="s">
        <v>596</v>
      </c>
      <c r="I4" s="106">
        <v>30000</v>
      </c>
      <c r="J4" s="106">
        <v>20000</v>
      </c>
      <c r="K4" s="109"/>
      <c r="L4" s="78"/>
      <c r="M4" s="79"/>
      <c r="O4" s="106">
        <f>Tabla234[[#This Row],[TOTAL FACTURA]]-Tabla234[[#This Row],[PORCENTAJE A CANCELAR]]-Tabla234[[#This Row],[MONTO DE COMPRA]]</f>
        <v>10000</v>
      </c>
      <c r="P4" s="78"/>
    </row>
    <row r="5" spans="1:16" s="77" customFormat="1" x14ac:dyDescent="0.25">
      <c r="A5" s="76">
        <v>44945</v>
      </c>
      <c r="B5" s="76">
        <v>44947</v>
      </c>
      <c r="C5" s="76">
        <v>44949</v>
      </c>
      <c r="E5" s="104" t="s">
        <v>593</v>
      </c>
      <c r="F5" s="104" t="s">
        <v>594</v>
      </c>
      <c r="G5" s="104" t="s">
        <v>595</v>
      </c>
      <c r="H5" s="77" t="s">
        <v>597</v>
      </c>
      <c r="I5" s="106">
        <v>20000</v>
      </c>
      <c r="J5" s="106">
        <v>20000</v>
      </c>
      <c r="L5" s="78"/>
      <c r="M5" s="79"/>
      <c r="O5" s="106">
        <f>Tabla234[[#This Row],[TOTAL FACTURA]]-Tabla234[[#This Row],[PORCENTAJE A CANCELAR]]-Tabla234[[#This Row],[MONTO DE COMPRA]]</f>
        <v>0</v>
      </c>
      <c r="P5" s="78"/>
    </row>
    <row r="6" spans="1:16" s="77" customFormat="1" x14ac:dyDescent="0.25">
      <c r="A6" s="76">
        <v>44947</v>
      </c>
      <c r="B6" s="76">
        <v>44947</v>
      </c>
      <c r="C6" s="76">
        <v>44954</v>
      </c>
      <c r="E6" s="104"/>
      <c r="F6" s="104" t="s">
        <v>599</v>
      </c>
      <c r="G6" s="104"/>
      <c r="H6" s="77" t="s">
        <v>600</v>
      </c>
      <c r="I6" s="106">
        <v>150000</v>
      </c>
      <c r="J6" s="106">
        <f>(Tabla234[[#This Row],[TOTAL FACTURA]]-Tabla234[[#This Row],[MONTO DE COMPRA]])*0.6</f>
        <v>90000</v>
      </c>
      <c r="L6" s="78"/>
      <c r="M6" s="79"/>
      <c r="O6" s="106">
        <f>Tabla234[[#This Row],[TOTAL FACTURA]]-Tabla234[[#This Row],[PORCENTAJE A CANCELAR]]-Tabla234[[#This Row],[MONTO DE COMPRA]]</f>
        <v>60000</v>
      </c>
      <c r="P6" s="78"/>
    </row>
    <row r="7" spans="1:16" s="77" customFormat="1" x14ac:dyDescent="0.25">
      <c r="A7" s="76">
        <v>44953</v>
      </c>
      <c r="B7" s="76">
        <v>44953</v>
      </c>
      <c r="C7" s="76">
        <v>44954</v>
      </c>
      <c r="E7" s="104" t="s">
        <v>598</v>
      </c>
      <c r="F7" s="104" t="s">
        <v>594</v>
      </c>
      <c r="G7" s="104" t="s">
        <v>602</v>
      </c>
      <c r="H7" s="77" t="s">
        <v>601</v>
      </c>
      <c r="I7" s="106">
        <v>270000</v>
      </c>
      <c r="J7" s="106">
        <f>(Tabla234[[#This Row],[TOTAL FACTURA]]-Tabla234[[#This Row],[MONTO DE COMPRA]])*0.6</f>
        <v>151200</v>
      </c>
      <c r="K7" s="77" t="s">
        <v>603</v>
      </c>
      <c r="L7" s="78">
        <v>18000</v>
      </c>
      <c r="M7" s="79"/>
      <c r="O7" s="106">
        <f>Tabla234[[#This Row],[TOTAL FACTURA]]-Tabla234[[#This Row],[PORCENTAJE A CANCELAR]]-Tabla234[[#This Row],[MONTO DE COMPRA]]</f>
        <v>100800</v>
      </c>
      <c r="P7" s="78"/>
    </row>
    <row r="8" spans="1:16" x14ac:dyDescent="0.25">
      <c r="A8" s="76">
        <v>44960</v>
      </c>
      <c r="B8" s="76">
        <v>44961</v>
      </c>
      <c r="C8" s="76">
        <v>44961</v>
      </c>
      <c r="D8" s="77" t="s">
        <v>635</v>
      </c>
      <c r="E8" s="104" t="s">
        <v>598</v>
      </c>
      <c r="F8" s="104" t="s">
        <v>636</v>
      </c>
      <c r="G8" s="104"/>
      <c r="H8" s="77" t="s">
        <v>637</v>
      </c>
      <c r="I8" s="106">
        <v>500000</v>
      </c>
      <c r="J8" s="106">
        <f>(Tabla234[[#This Row],[TOTAL FACTURA]]-Tabla234[[#This Row],[MONTO DE COMPRA]])*0.6</f>
        <v>300000</v>
      </c>
      <c r="K8" s="77"/>
      <c r="L8" s="78"/>
      <c r="M8" s="79"/>
      <c r="N8" s="77"/>
      <c r="O8" s="106">
        <f>Tabla234[[#This Row],[TOTAL FACTURA]]-Tabla234[[#This Row],[PORCENTAJE A CANCELAR]]-Tabla234[[#This Row],[MONTO DE COMPRA]]</f>
        <v>200000</v>
      </c>
      <c r="P8" s="78">
        <v>500000</v>
      </c>
    </row>
    <row r="9" spans="1:16" x14ac:dyDescent="0.25">
      <c r="A9" s="76">
        <v>44960</v>
      </c>
      <c r="B9" s="76">
        <v>44961</v>
      </c>
      <c r="C9" s="76">
        <v>44961</v>
      </c>
      <c r="D9" s="77" t="s">
        <v>635</v>
      </c>
      <c r="E9" s="104" t="s">
        <v>598</v>
      </c>
      <c r="F9" s="104" t="s">
        <v>594</v>
      </c>
      <c r="G9" s="104" t="s">
        <v>602</v>
      </c>
      <c r="H9" s="111" t="s">
        <v>638</v>
      </c>
      <c r="I9" s="106">
        <v>150000</v>
      </c>
      <c r="J9" s="106">
        <f>(Tabla234[[#This Row],[TOTAL FACTURA]]-Tabla234[[#This Row],[MONTO DE COMPRA]])*0.6</f>
        <v>90000</v>
      </c>
      <c r="K9" s="77"/>
      <c r="L9" s="78"/>
      <c r="M9" s="79"/>
      <c r="N9" s="77"/>
      <c r="O9" s="106">
        <f>Tabla234[[#This Row],[TOTAL FACTURA]]-Tabla234[[#This Row],[PORCENTAJE A CANCELAR]]-Tabla234[[#This Row],[MONTO DE COMPRA]]</f>
        <v>60000</v>
      </c>
      <c r="P9" s="78"/>
    </row>
    <row r="10" spans="1:16" x14ac:dyDescent="0.25">
      <c r="A10" s="76">
        <v>44960</v>
      </c>
      <c r="B10" s="76">
        <v>44961</v>
      </c>
      <c r="C10" s="76">
        <v>44961</v>
      </c>
      <c r="D10" s="77" t="s">
        <v>635</v>
      </c>
      <c r="E10" s="104" t="s">
        <v>598</v>
      </c>
      <c r="F10" s="104"/>
      <c r="G10" s="104"/>
      <c r="H10" s="77" t="s">
        <v>639</v>
      </c>
      <c r="I10" s="106">
        <v>50000</v>
      </c>
      <c r="J10" s="106">
        <f>(Tabla234[[#This Row],[TOTAL FACTURA]]-Tabla234[[#This Row],[MONTO DE COMPRA]])*0.6</f>
        <v>30000</v>
      </c>
      <c r="K10" s="77"/>
      <c r="L10" s="78"/>
      <c r="M10" s="79"/>
      <c r="N10" s="77"/>
      <c r="O10" s="106">
        <f>Tabla234[[#This Row],[TOTAL FACTURA]]-Tabla234[[#This Row],[PORCENTAJE A CANCELAR]]-Tabla234[[#This Row],[MONTO DE COMPRA]]</f>
        <v>20000</v>
      </c>
      <c r="P10" s="78"/>
    </row>
    <row r="11" spans="1:16" x14ac:dyDescent="0.25">
      <c r="A11" s="76">
        <v>44991</v>
      </c>
      <c r="B11" s="77"/>
      <c r="C11" s="77"/>
      <c r="D11" s="77"/>
      <c r="E11" s="104"/>
      <c r="F11" s="104" t="s">
        <v>490</v>
      </c>
      <c r="G11" s="104" t="s">
        <v>669</v>
      </c>
      <c r="H11" s="77" t="s">
        <v>668</v>
      </c>
      <c r="I11" s="106">
        <v>250000</v>
      </c>
      <c r="J11" s="106">
        <f>(Tabla234[[#This Row],[TOTAL FACTURA]]-Tabla234[[#This Row],[MONTO DE COMPRA]])*0.6</f>
        <v>138000</v>
      </c>
      <c r="K11" s="1" t="s">
        <v>603</v>
      </c>
      <c r="L11" s="72">
        <v>20000</v>
      </c>
      <c r="M11" s="5"/>
      <c r="N11" s="1"/>
      <c r="O11" s="105">
        <f>Tabla234[[#This Row],[TOTAL FACTURA]]-Tabla234[[#This Row],[PORCENTAJE A CANCELAR]]-Tabla234[[#This Row],[MONTO DE COMPRA]]</f>
        <v>92000</v>
      </c>
      <c r="P11" s="72"/>
    </row>
    <row r="12" spans="1:16" x14ac:dyDescent="0.25">
      <c r="A12" s="3">
        <v>45006</v>
      </c>
      <c r="B12" s="3">
        <v>45006</v>
      </c>
      <c r="C12" s="3">
        <v>45006</v>
      </c>
      <c r="D12" s="1" t="s">
        <v>686</v>
      </c>
      <c r="E12" s="103" t="s">
        <v>684</v>
      </c>
      <c r="F12" s="103" t="s">
        <v>256</v>
      </c>
      <c r="G12" s="103" t="s">
        <v>685</v>
      </c>
      <c r="H12" s="1" t="s">
        <v>240</v>
      </c>
      <c r="I12" s="105">
        <v>40000</v>
      </c>
      <c r="J12" s="105">
        <f>(Tabla234[[#This Row],[TOTAL FACTURA]]-Tabla234[[#This Row],[MONTO DE COMPRA]])*0.6</f>
        <v>24000</v>
      </c>
      <c r="K12" s="1"/>
      <c r="L12" s="72"/>
      <c r="M12" s="5"/>
      <c r="N12" s="1"/>
      <c r="O12" s="105">
        <f>Tabla234[[#This Row],[TOTAL FACTURA]]-Tabla234[[#This Row],[PORCENTAJE A CANCELAR]]-Tabla234[[#This Row],[MONTO DE COMPRA]]</f>
        <v>16000</v>
      </c>
      <c r="P12" s="72"/>
    </row>
    <row r="13" spans="1:16" x14ac:dyDescent="0.25">
      <c r="A13" s="3"/>
      <c r="B13" s="117"/>
      <c r="C13" s="3"/>
      <c r="H13" s="1"/>
      <c r="J13" s="105">
        <f>(Tabla234[[#This Row],[TOTAL FACTURA]]-Tabla234[[#This Row],[MONTO DE COMPRA]])*0.6</f>
        <v>0</v>
      </c>
      <c r="K13" s="1"/>
      <c r="L13" s="72"/>
      <c r="M13" s="5"/>
      <c r="N13" s="1"/>
      <c r="O13" s="105">
        <f>Tabla234[[#This Row],[TOTAL FACTURA]]-Tabla234[[#This Row],[PORCENTAJE A CANCELAR]]-Tabla234[[#This Row],[MONTO DE COMPRA]]</f>
        <v>0</v>
      </c>
      <c r="P13" s="72"/>
    </row>
    <row r="14" spans="1:16" ht="16.5" customHeight="1" x14ac:dyDescent="0.25">
      <c r="A14" s="3"/>
      <c r="H14" s="1"/>
      <c r="J14" s="105">
        <f>(Tabla234[[#This Row],[TOTAL FACTURA]]-Tabla234[[#This Row],[MONTO DE COMPRA]])*0.6</f>
        <v>0</v>
      </c>
      <c r="K14" s="1"/>
      <c r="L14" s="72"/>
      <c r="M14" s="5"/>
      <c r="N14" s="1"/>
      <c r="O14" s="105">
        <f>Tabla234[[#This Row],[TOTAL FACTURA]]-Tabla234[[#This Row],[PORCENTAJE A CANCELAR]]-Tabla234[[#This Row],[MONTO DE COMPRA]]</f>
        <v>0</v>
      </c>
      <c r="P14" s="72"/>
    </row>
    <row r="15" spans="1:16" ht="18" customHeight="1" x14ac:dyDescent="0.25">
      <c r="H15" s="1"/>
      <c r="J15" s="105">
        <f>(Tabla234[[#This Row],[TOTAL FACTURA]]-Tabla234[[#This Row],[MONTO DE COMPRA]])*0.6</f>
        <v>0</v>
      </c>
      <c r="K15" s="1"/>
      <c r="L15" s="72"/>
      <c r="M15" s="5"/>
      <c r="N15" s="1"/>
      <c r="O15" s="105">
        <f>Tabla234[[#This Row],[TOTAL FACTURA]]-Tabla234[[#This Row],[PORCENTAJE A CANCELAR]]-Tabla234[[#This Row],[MONTO DE COMPRA]]</f>
        <v>0</v>
      </c>
      <c r="P15" s="72"/>
    </row>
    <row r="16" spans="1:16" x14ac:dyDescent="0.25">
      <c r="H16" s="1"/>
      <c r="J16" s="105">
        <f>(Tabla234[[#This Row],[TOTAL FACTURA]]-Tabla234[[#This Row],[MONTO DE COMPRA]])*0.6</f>
        <v>0</v>
      </c>
      <c r="K16" s="1"/>
      <c r="L16" s="72"/>
      <c r="M16" s="5"/>
      <c r="N16" s="1"/>
      <c r="O16" s="105">
        <f>Tabla234[[#This Row],[TOTAL FACTURA]]-Tabla234[[#This Row],[PORCENTAJE A CANCELAR]]-Tabla234[[#This Row],[MONTO DE COMPRA]]</f>
        <v>0</v>
      </c>
      <c r="P16" s="72"/>
    </row>
    <row r="17" spans="1:16" x14ac:dyDescent="0.25">
      <c r="A17" s="3"/>
      <c r="H17" s="68"/>
      <c r="J17" s="105">
        <f>(Tabla234[[#This Row],[TOTAL FACTURA]]-Tabla234[[#This Row],[MONTO DE COMPRA]])*0.6</f>
        <v>0</v>
      </c>
      <c r="K17" s="1"/>
      <c r="L17" s="72"/>
      <c r="M17" s="5"/>
      <c r="N17" s="1"/>
      <c r="O17" s="105">
        <f>Tabla234[[#This Row],[TOTAL FACTURA]]-Tabla234[[#This Row],[PORCENTAJE A CANCELAR]]-Tabla234[[#This Row],[MONTO DE COMPRA]]</f>
        <v>0</v>
      </c>
      <c r="P17" s="72"/>
    </row>
    <row r="18" spans="1:16" x14ac:dyDescent="0.25">
      <c r="H18" s="1"/>
      <c r="J18" s="105">
        <f>(Tabla234[[#This Row],[TOTAL FACTURA]]-Tabla234[[#This Row],[MONTO DE COMPRA]])*0.6</f>
        <v>0</v>
      </c>
      <c r="K18" s="1"/>
      <c r="L18" s="72"/>
      <c r="M18" s="5"/>
      <c r="N18" s="1"/>
      <c r="O18" s="105">
        <f>Tabla234[[#This Row],[TOTAL FACTURA]]-Tabla234[[#This Row],[PORCENTAJE A CANCELAR]]-Tabla234[[#This Row],[MONTO DE COMPRA]]</f>
        <v>0</v>
      </c>
      <c r="P18" s="72"/>
    </row>
    <row r="19" spans="1:16" x14ac:dyDescent="0.25">
      <c r="H19" s="1"/>
      <c r="J19" s="105">
        <f>(Tabla234[[#This Row],[TOTAL FACTURA]]-Tabla234[[#This Row],[MONTO DE COMPRA]])*0.6</f>
        <v>0</v>
      </c>
      <c r="K19" s="1"/>
      <c r="L19" s="72"/>
      <c r="M19" s="5"/>
      <c r="N19" s="1"/>
      <c r="O19" s="105">
        <f>Tabla234[[#This Row],[TOTAL FACTURA]]-Tabla234[[#This Row],[PORCENTAJE A CANCELAR]]-Tabla234[[#This Row],[MONTO DE COMPRA]]</f>
        <v>0</v>
      </c>
      <c r="P19" s="72"/>
    </row>
    <row r="20" spans="1:16" x14ac:dyDescent="0.25">
      <c r="H20" s="1"/>
      <c r="J20" s="105">
        <f>(Tabla234[[#This Row],[TOTAL FACTURA]]-Tabla234[[#This Row],[MONTO DE COMPRA]])*0.6</f>
        <v>0</v>
      </c>
      <c r="K20" s="1"/>
      <c r="L20" s="72"/>
      <c r="M20" s="5"/>
      <c r="N20" s="1"/>
      <c r="O20" s="105">
        <f>Tabla234[[#This Row],[TOTAL FACTURA]]-Tabla234[[#This Row],[PORCENTAJE A CANCELAR]]-Tabla234[[#This Row],[MONTO DE COMPRA]]</f>
        <v>0</v>
      </c>
      <c r="P20" s="72"/>
    </row>
    <row r="21" spans="1:16" x14ac:dyDescent="0.25">
      <c r="A21" s="3"/>
      <c r="H21" s="68"/>
      <c r="J21" s="105">
        <f>(Tabla234[[#This Row],[TOTAL FACTURA]]-Tabla234[[#This Row],[MONTO DE COMPRA]])*0.6</f>
        <v>0</v>
      </c>
      <c r="K21" s="1"/>
      <c r="L21" s="72"/>
      <c r="M21" s="5"/>
      <c r="N21" s="1"/>
      <c r="O21" s="105">
        <f>Tabla234[[#This Row],[TOTAL FACTURA]]-Tabla234[[#This Row],[PORCENTAJE A CANCELAR]]-Tabla234[[#This Row],[MONTO DE COMPRA]]</f>
        <v>0</v>
      </c>
      <c r="P21" s="72"/>
    </row>
    <row r="22" spans="1:16" x14ac:dyDescent="0.25">
      <c r="A22" s="3"/>
      <c r="H22" s="68"/>
      <c r="J22" s="105">
        <f>(Tabla234[[#This Row],[TOTAL FACTURA]]-Tabla234[[#This Row],[MONTO DE COMPRA]])*0.6</f>
        <v>0</v>
      </c>
      <c r="K22" s="1"/>
      <c r="L22" s="72"/>
      <c r="M22" s="5"/>
      <c r="N22" s="1"/>
      <c r="O22" s="105">
        <f>Tabla234[[#This Row],[TOTAL FACTURA]]-Tabla234[[#This Row],[PORCENTAJE A CANCELAR]]-Tabla234[[#This Row],[MONTO DE COMPRA]]</f>
        <v>0</v>
      </c>
      <c r="P22" s="72"/>
    </row>
    <row r="23" spans="1:16" x14ac:dyDescent="0.25">
      <c r="A23" s="3"/>
      <c r="H23" s="68"/>
      <c r="J23" s="105">
        <f>(Tabla234[[#This Row],[TOTAL FACTURA]]-Tabla234[[#This Row],[MONTO DE COMPRA]])*0.6</f>
        <v>0</v>
      </c>
      <c r="K23" s="1"/>
      <c r="L23" s="72"/>
      <c r="M23" s="5"/>
      <c r="N23" s="1"/>
      <c r="O23" s="105">
        <f>Tabla234[[#This Row],[TOTAL FACTURA]]-Tabla234[[#This Row],[PORCENTAJE A CANCELAR]]-Tabla234[[#This Row],[MONTO DE COMPRA]]</f>
        <v>0</v>
      </c>
      <c r="P23" s="72"/>
    </row>
    <row r="24" spans="1:16" x14ac:dyDescent="0.25">
      <c r="A24" s="3"/>
      <c r="H24" s="68"/>
      <c r="J24" s="105">
        <f>(Tabla234[[#This Row],[TOTAL FACTURA]]-Tabla234[[#This Row],[MONTO DE COMPRA]])*0.6</f>
        <v>0</v>
      </c>
      <c r="K24" s="1"/>
      <c r="L24" s="72"/>
      <c r="M24" s="5"/>
      <c r="N24" s="1"/>
      <c r="O24" s="105">
        <f>Tabla234[[#This Row],[TOTAL FACTURA]]-Tabla234[[#This Row],[PORCENTAJE A CANCELAR]]-Tabla234[[#This Row],[MONTO DE COMPRA]]</f>
        <v>0</v>
      </c>
      <c r="P24" s="72"/>
    </row>
    <row r="25" spans="1:16" x14ac:dyDescent="0.25">
      <c r="A25" s="3"/>
      <c r="H25" s="68"/>
      <c r="J25" s="105">
        <f>(Tabla234[[#This Row],[TOTAL FACTURA]]-Tabla234[[#This Row],[MONTO DE COMPRA]])*0.6</f>
        <v>0</v>
      </c>
      <c r="K25" s="1"/>
      <c r="L25" s="72"/>
      <c r="M25" s="5"/>
      <c r="N25" s="1"/>
      <c r="O25" s="105">
        <f>Tabla234[[#This Row],[TOTAL FACTURA]]-Tabla234[[#This Row],[PORCENTAJE A CANCELAR]]-Tabla234[[#This Row],[MONTO DE COMPRA]]</f>
        <v>0</v>
      </c>
      <c r="P25" s="72"/>
    </row>
    <row r="26" spans="1:16" x14ac:dyDescent="0.25">
      <c r="A26" s="3"/>
      <c r="H26" s="68"/>
      <c r="J26" s="105">
        <f>(Tabla234[[#This Row],[TOTAL FACTURA]]-Tabla234[[#This Row],[MONTO DE COMPRA]])*0.6</f>
        <v>0</v>
      </c>
      <c r="K26" s="1"/>
      <c r="L26" s="72"/>
      <c r="M26" s="5"/>
      <c r="N26" s="1"/>
      <c r="O26" s="105">
        <f>Tabla234[[#This Row],[TOTAL FACTURA]]-Tabla234[[#This Row],[PORCENTAJE A CANCELAR]]-Tabla234[[#This Row],[MONTO DE COMPRA]]</f>
        <v>0</v>
      </c>
      <c r="P26" s="72"/>
    </row>
    <row r="27" spans="1:16" x14ac:dyDescent="0.25">
      <c r="A27" s="3"/>
      <c r="H27" s="68"/>
      <c r="J27" s="105">
        <f>(Tabla234[[#This Row],[TOTAL FACTURA]]-Tabla234[[#This Row],[MONTO DE COMPRA]])*0.6</f>
        <v>0</v>
      </c>
      <c r="K27" s="1"/>
      <c r="L27" s="72"/>
      <c r="M27" s="5"/>
      <c r="N27" s="1"/>
      <c r="O27" s="105">
        <f>Tabla234[[#This Row],[TOTAL FACTURA]]-Tabla234[[#This Row],[PORCENTAJE A CANCELAR]]-Tabla234[[#This Row],[MONTO DE COMPRA]]</f>
        <v>0</v>
      </c>
      <c r="P27" s="72"/>
    </row>
    <row r="28" spans="1:16" x14ac:dyDescent="0.25">
      <c r="A28" s="3"/>
      <c r="H28" s="68"/>
      <c r="J28" s="105">
        <f>(Tabla234[[#This Row],[TOTAL FACTURA]]-Tabla234[[#This Row],[MONTO DE COMPRA]])*0.6</f>
        <v>0</v>
      </c>
      <c r="K28" s="60"/>
      <c r="L28" s="72"/>
      <c r="M28" s="5"/>
      <c r="N28" s="1"/>
      <c r="O28" s="105">
        <f>Tabla234[[#This Row],[TOTAL FACTURA]]-Tabla234[[#This Row],[PORCENTAJE A CANCELAR]]-Tabla234[[#This Row],[MONTO DE COMPRA]]</f>
        <v>0</v>
      </c>
      <c r="P28" s="72"/>
    </row>
    <row r="29" spans="1:16" x14ac:dyDescent="0.25">
      <c r="A29" s="3"/>
      <c r="H29" s="68"/>
      <c r="J29" s="105">
        <f>(Tabla234[[#This Row],[TOTAL FACTURA]]-Tabla234[[#This Row],[MONTO DE COMPRA]])*0.6</f>
        <v>0</v>
      </c>
      <c r="K29" s="1"/>
      <c r="L29" s="72"/>
      <c r="M29" s="5"/>
      <c r="N29" s="1"/>
      <c r="O29" s="105">
        <f>Tabla234[[#This Row],[TOTAL FACTURA]]-Tabla234[[#This Row],[PORCENTAJE A CANCELAR]]-Tabla234[[#This Row],[MONTO DE COMPRA]]</f>
        <v>0</v>
      </c>
      <c r="P29" s="72"/>
    </row>
    <row r="30" spans="1:16" x14ac:dyDescent="0.25">
      <c r="A30" s="3"/>
      <c r="H30" s="68"/>
      <c r="J30" s="105">
        <f>(Tabla234[[#This Row],[TOTAL FACTURA]]-Tabla234[[#This Row],[MONTO DE COMPRA]])*0.6</f>
        <v>0</v>
      </c>
      <c r="K30" s="1"/>
      <c r="L30" s="72"/>
      <c r="M30" s="5"/>
      <c r="N30" s="1"/>
      <c r="O30" s="105">
        <f>Tabla234[[#This Row],[TOTAL FACTURA]]-Tabla234[[#This Row],[PORCENTAJE A CANCELAR]]-Tabla234[[#This Row],[MONTO DE COMPRA]]</f>
        <v>0</v>
      </c>
      <c r="P30" s="72"/>
    </row>
    <row r="31" spans="1:16" x14ac:dyDescent="0.25">
      <c r="A31" s="3"/>
      <c r="H31" s="68"/>
      <c r="J31" s="105">
        <f>(Tabla234[[#This Row],[TOTAL FACTURA]]-Tabla234[[#This Row],[MONTO DE COMPRA]])*0.6</f>
        <v>0</v>
      </c>
      <c r="L31" s="72"/>
      <c r="M31" s="5"/>
      <c r="N31" s="1"/>
      <c r="O31" s="105">
        <f>Tabla234[[#This Row],[TOTAL FACTURA]]-Tabla234[[#This Row],[PORCENTAJE A CANCELAR]]-Tabla234[[#This Row],[MONTO DE COMPRA]]</f>
        <v>0</v>
      </c>
      <c r="P31" s="72"/>
    </row>
    <row r="32" spans="1:16" x14ac:dyDescent="0.25">
      <c r="H32" s="68"/>
      <c r="J32" s="105">
        <f>(Tabla234[[#This Row],[TOTAL FACTURA]]-Tabla234[[#This Row],[MONTO DE COMPRA]])*0.6</f>
        <v>0</v>
      </c>
      <c r="K32" s="1"/>
      <c r="L32" s="72"/>
      <c r="M32" s="5"/>
      <c r="N32" s="1"/>
      <c r="O32" s="105">
        <f>Tabla234[[#This Row],[TOTAL FACTURA]]-Tabla234[[#This Row],[PORCENTAJE A CANCELAR]]-Tabla234[[#This Row],[MONTO DE COMPRA]]</f>
        <v>0</v>
      </c>
      <c r="P32" s="72"/>
    </row>
    <row r="33" spans="1:16" x14ac:dyDescent="0.25">
      <c r="A33" s="3"/>
      <c r="H33" s="68"/>
      <c r="J33" s="105">
        <f>(Tabla234[[#This Row],[TOTAL FACTURA]]-Tabla234[[#This Row],[MONTO DE COMPRA]])*0.6</f>
        <v>0</v>
      </c>
      <c r="K33" s="1"/>
      <c r="L33" s="72"/>
      <c r="M33" s="5"/>
      <c r="N33" s="1"/>
      <c r="O33" s="105">
        <f>Tabla234[[#This Row],[TOTAL FACTURA]]-Tabla234[[#This Row],[PORCENTAJE A CANCELAR]]-Tabla234[[#This Row],[MONTO DE COMPRA]]</f>
        <v>0</v>
      </c>
      <c r="P33" s="72"/>
    </row>
    <row r="34" spans="1:16" x14ac:dyDescent="0.25">
      <c r="A34" s="3"/>
      <c r="H34" s="68"/>
      <c r="J34" s="105">
        <f>(Tabla234[[#This Row],[TOTAL FACTURA]]-Tabla234[[#This Row],[MONTO DE COMPRA]])*0.6</f>
        <v>0</v>
      </c>
      <c r="K34" s="1"/>
      <c r="L34" s="72"/>
      <c r="M34" s="5"/>
      <c r="N34" s="1"/>
      <c r="O34" s="105">
        <f>Tabla234[[#This Row],[TOTAL FACTURA]]-Tabla234[[#This Row],[PORCENTAJE A CANCELAR]]-Tabla234[[#This Row],[MONTO DE COMPRA]]</f>
        <v>0</v>
      </c>
      <c r="P34" s="72"/>
    </row>
    <row r="35" spans="1:16" x14ac:dyDescent="0.25">
      <c r="A35" s="3"/>
      <c r="H35" s="68"/>
      <c r="J35" s="105">
        <f>(Tabla234[[#This Row],[TOTAL FACTURA]]-Tabla234[[#This Row],[MONTO DE COMPRA]])*0.6</f>
        <v>0</v>
      </c>
      <c r="K35" s="1"/>
      <c r="L35" s="72"/>
      <c r="M35" s="5"/>
      <c r="N35" s="1"/>
      <c r="O35" s="105">
        <f>Tabla234[[#This Row],[TOTAL FACTURA]]-Tabla234[[#This Row],[PORCENTAJE A CANCELAR]]-Tabla234[[#This Row],[MONTO DE COMPRA]]</f>
        <v>0</v>
      </c>
      <c r="P35" s="72"/>
    </row>
    <row r="36" spans="1:16" x14ac:dyDescent="0.25">
      <c r="A36" s="3"/>
      <c r="H36" s="68"/>
      <c r="J36" s="105">
        <f>(Tabla234[[#This Row],[TOTAL FACTURA]]-Tabla234[[#This Row],[MONTO DE COMPRA]])*0.6</f>
        <v>0</v>
      </c>
      <c r="K36" s="1"/>
      <c r="L36" s="72"/>
      <c r="M36" s="5"/>
      <c r="N36" s="1"/>
      <c r="O36" s="105">
        <f>Tabla234[[#This Row],[TOTAL FACTURA]]-Tabla234[[#This Row],[PORCENTAJE A CANCELAR]]-Tabla234[[#This Row],[MONTO DE COMPRA]]</f>
        <v>0</v>
      </c>
      <c r="P36" s="72"/>
    </row>
    <row r="37" spans="1:16" x14ac:dyDescent="0.25">
      <c r="A37" s="3"/>
      <c r="H37" s="68"/>
      <c r="J37" s="105">
        <f>(Tabla234[[#This Row],[TOTAL FACTURA]]-Tabla234[[#This Row],[MONTO DE COMPRA]])*0.6</f>
        <v>0</v>
      </c>
      <c r="K37" s="1"/>
      <c r="L37" s="72"/>
      <c r="M37" s="5"/>
      <c r="N37" s="1"/>
      <c r="O37" s="105">
        <f>Tabla234[[#This Row],[TOTAL FACTURA]]-Tabla234[[#This Row],[PORCENTAJE A CANCELAR]]-Tabla234[[#This Row],[MONTO DE COMPRA]]</f>
        <v>0</v>
      </c>
      <c r="P37" s="72"/>
    </row>
    <row r="38" spans="1:16" x14ac:dyDescent="0.25">
      <c r="A38" s="3"/>
      <c r="H38" s="68"/>
      <c r="I38" s="107"/>
      <c r="J38" s="105">
        <f>(Tabla234[[#This Row],[TOTAL FACTURA]]-Tabla234[[#This Row],[MONTO DE COMPRA]])*0.6</f>
        <v>0</v>
      </c>
      <c r="K38" s="1"/>
      <c r="L38" s="73"/>
      <c r="M38" s="5"/>
      <c r="N38" s="1"/>
      <c r="O38" s="105">
        <f>Tabla234[[#This Row],[TOTAL FACTURA]]-Tabla234[[#This Row],[PORCENTAJE A CANCELAR]]-Tabla234[[#This Row],[MONTO DE COMPRA]]</f>
        <v>0</v>
      </c>
      <c r="P38" s="72"/>
    </row>
    <row r="39" spans="1:16" x14ac:dyDescent="0.25">
      <c r="A39" s="3"/>
      <c r="H39" s="68"/>
      <c r="J39" s="105">
        <f>(Tabla234[[#This Row],[TOTAL FACTURA]]-Tabla234[[#This Row],[MONTO DE COMPRA]])*0.6</f>
        <v>0</v>
      </c>
      <c r="K39" s="1"/>
      <c r="L39" s="72"/>
      <c r="M39" s="5"/>
      <c r="N39" s="1"/>
      <c r="O39" s="105">
        <f>Tabla234[[#This Row],[TOTAL FACTURA]]-Tabla234[[#This Row],[PORCENTAJE A CANCELAR]]-Tabla234[[#This Row],[MONTO DE COMPRA]]</f>
        <v>0</v>
      </c>
      <c r="P39" s="72"/>
    </row>
    <row r="40" spans="1:16" x14ac:dyDescent="0.25">
      <c r="A40" s="3"/>
      <c r="H40" s="68"/>
      <c r="J40" s="105">
        <f>(Tabla234[[#This Row],[TOTAL FACTURA]]-Tabla234[[#This Row],[MONTO DE COMPRA]])*0.6</f>
        <v>0</v>
      </c>
      <c r="K40" s="1"/>
      <c r="L40" s="72"/>
      <c r="M40" s="5"/>
      <c r="N40" s="1"/>
      <c r="O40" s="105">
        <f>Tabla234[[#This Row],[TOTAL FACTURA]]-Tabla234[[#This Row],[PORCENTAJE A CANCELAR]]-Tabla234[[#This Row],[MONTO DE COMPRA]]</f>
        <v>0</v>
      </c>
      <c r="P40" s="72"/>
    </row>
    <row r="41" spans="1:16" x14ac:dyDescent="0.25">
      <c r="A41" s="3"/>
      <c r="H41" s="68"/>
      <c r="J41" s="105">
        <f>(Tabla234[[#This Row],[TOTAL FACTURA]]-Tabla234[[#This Row],[MONTO DE COMPRA]])*0.6</f>
        <v>0</v>
      </c>
      <c r="K41" s="1"/>
      <c r="L41" s="72"/>
      <c r="M41" s="5"/>
      <c r="N41" s="1"/>
      <c r="O41" s="105">
        <f>Tabla234[[#This Row],[TOTAL FACTURA]]-Tabla234[[#This Row],[PORCENTAJE A CANCELAR]]-Tabla234[[#This Row],[MONTO DE COMPRA]]</f>
        <v>0</v>
      </c>
      <c r="P41" s="72"/>
    </row>
    <row r="42" spans="1:16" x14ac:dyDescent="0.25">
      <c r="A42" s="3"/>
      <c r="H42" s="68"/>
      <c r="J42" s="105">
        <f>(Tabla234[[#This Row],[TOTAL FACTURA]]-Tabla234[[#This Row],[MONTO DE COMPRA]])*0.6</f>
        <v>0</v>
      </c>
      <c r="K42" s="1"/>
      <c r="L42" s="72"/>
      <c r="M42" s="5"/>
      <c r="N42" s="1"/>
      <c r="O42" s="105">
        <f>Tabla234[[#This Row],[TOTAL FACTURA]]-Tabla234[[#This Row],[PORCENTAJE A CANCELAR]]-Tabla234[[#This Row],[MONTO DE COMPRA]]</f>
        <v>0</v>
      </c>
      <c r="P42" s="72"/>
    </row>
    <row r="43" spans="1:16" x14ac:dyDescent="0.25">
      <c r="A43" s="3"/>
      <c r="H43" s="68"/>
      <c r="J43" s="105">
        <f>(Tabla234[[#This Row],[TOTAL FACTURA]]-Tabla234[[#This Row],[MONTO DE COMPRA]])*0.6</f>
        <v>0</v>
      </c>
      <c r="K43" s="1"/>
      <c r="L43" s="72"/>
      <c r="M43" s="5"/>
      <c r="N43" s="1"/>
      <c r="O43" s="105">
        <f>Tabla234[[#This Row],[TOTAL FACTURA]]-Tabla234[[#This Row],[PORCENTAJE A CANCELAR]]-Tabla234[[#This Row],[MONTO DE COMPRA]]</f>
        <v>0</v>
      </c>
      <c r="P43" s="72"/>
    </row>
    <row r="44" spans="1:16" x14ac:dyDescent="0.25">
      <c r="A44" s="3"/>
      <c r="B44" s="3"/>
      <c r="H44" s="68"/>
      <c r="J44" s="105">
        <f>(Tabla234[[#This Row],[TOTAL FACTURA]]-Tabla234[[#This Row],[MONTO DE COMPRA]])*0.6</f>
        <v>0</v>
      </c>
      <c r="K44" s="1"/>
      <c r="L44" s="72"/>
      <c r="M44" s="5"/>
      <c r="N44" s="1"/>
      <c r="O44" s="105">
        <f>Tabla234[[#This Row],[TOTAL FACTURA]]-Tabla234[[#This Row],[PORCENTAJE A CANCELAR]]-Tabla234[[#This Row],[MONTO DE COMPRA]]</f>
        <v>0</v>
      </c>
      <c r="P44" s="72"/>
    </row>
    <row r="45" spans="1:16" x14ac:dyDescent="0.25">
      <c r="A45" s="3"/>
      <c r="B45" s="3"/>
      <c r="H45" s="68"/>
      <c r="J45" s="105">
        <f>(Tabla234[[#This Row],[TOTAL FACTURA]]-Tabla234[[#This Row],[MONTO DE COMPRA]])*0.6</f>
        <v>0</v>
      </c>
      <c r="K45" s="1"/>
      <c r="L45" s="72"/>
      <c r="M45" s="5">
        <f>(Tabla234[[#This Row],[TOTAL FACTURA]]-Tabla234[[#This Row],[MONTO DE COMPRA]])*0.6</f>
        <v>0</v>
      </c>
      <c r="N45" s="1"/>
      <c r="O45" s="105">
        <f>Tabla234[[#This Row],[TOTAL FACTURA]]-Tabla234[[#This Row],[PORCENTAJE A CANCELAR]]-Tabla234[[#This Row],[MONTO DE COMPRA]]</f>
        <v>0</v>
      </c>
      <c r="P45" s="72"/>
    </row>
    <row r="46" spans="1:16" x14ac:dyDescent="0.25">
      <c r="A46" s="3"/>
      <c r="B46" s="3"/>
      <c r="H46" s="68"/>
      <c r="J46" s="105">
        <f>(Tabla234[[#This Row],[TOTAL FACTURA]]-Tabla234[[#This Row],[MONTO DE COMPRA]])*0.6</f>
        <v>0</v>
      </c>
      <c r="K46" s="1"/>
      <c r="L46" s="72"/>
      <c r="M46" s="5">
        <f>(Tabla234[[#This Row],[TOTAL FACTURA]]-Tabla234[[#This Row],[MONTO DE COMPRA]])*0.6</f>
        <v>0</v>
      </c>
      <c r="N46" s="1"/>
      <c r="O46" s="105">
        <f>Tabla234[[#This Row],[TOTAL FACTURA]]-Tabla234[[#This Row],[PORCENTAJE A CANCELAR]]-Tabla234[[#This Row],[MONTO DE COMPRA]]</f>
        <v>0</v>
      </c>
      <c r="P46" s="72"/>
    </row>
    <row r="47" spans="1:16" x14ac:dyDescent="0.25">
      <c r="A47" s="3"/>
      <c r="H47" s="68"/>
      <c r="J47" s="105">
        <f>(Tabla234[[#This Row],[TOTAL FACTURA]]-Tabla234[[#This Row],[MONTO DE COMPRA]])*0.6</f>
        <v>0</v>
      </c>
      <c r="K47" s="1"/>
      <c r="L47" s="72"/>
      <c r="M47" s="5">
        <f>(Tabla234[[#This Row],[TOTAL FACTURA]]-Tabla234[[#This Row],[MONTO DE COMPRA]])*0.6</f>
        <v>0</v>
      </c>
      <c r="N47" s="1"/>
      <c r="O47" s="105"/>
      <c r="P47" s="72"/>
    </row>
    <row r="48" spans="1:16" x14ac:dyDescent="0.25">
      <c r="A48" s="3"/>
      <c r="H48" s="68"/>
      <c r="J48" s="105">
        <f>(Tabla234[[#This Row],[TOTAL FACTURA]]-Tabla234[[#This Row],[MONTO DE COMPRA]])*0.6</f>
        <v>0</v>
      </c>
      <c r="K48" s="1"/>
      <c r="L48" s="72"/>
      <c r="M48" s="5"/>
      <c r="N48" s="1"/>
      <c r="O48" s="105">
        <f>Tabla234[[#This Row],[TOTAL FACTURA]]-Tabla234[[#This Row],[PORCENTAJE A CANCELAR]]-Tabla234[[#This Row],[MONTO DE COMPRA]]</f>
        <v>0</v>
      </c>
      <c r="P48" s="72"/>
    </row>
    <row r="49" spans="1:16" x14ac:dyDescent="0.25">
      <c r="A49" s="3"/>
      <c r="H49" s="68"/>
      <c r="J49" s="105">
        <f>(Tabla234[[#This Row],[TOTAL FACTURA]]-Tabla234[[#This Row],[MONTO DE COMPRA]])*0.6</f>
        <v>0</v>
      </c>
      <c r="K49" s="1"/>
      <c r="L49" s="72"/>
      <c r="M49" s="5"/>
      <c r="N49" s="1"/>
      <c r="O49" s="105">
        <f>Tabla234[[#This Row],[TOTAL FACTURA]]-Tabla234[[#This Row],[PORCENTAJE A CANCELAR]]-Tabla234[[#This Row],[MONTO DE COMPRA]]</f>
        <v>0</v>
      </c>
      <c r="P49" s="72"/>
    </row>
    <row r="50" spans="1:16" x14ac:dyDescent="0.25">
      <c r="A50" s="3"/>
      <c r="H50" s="68"/>
      <c r="J50" s="105">
        <f>(Tabla234[[#This Row],[TOTAL FACTURA]]-Tabla234[[#This Row],[MONTO DE COMPRA]])*0.6</f>
        <v>0</v>
      </c>
      <c r="K50" s="1"/>
      <c r="L50" s="72"/>
      <c r="M50" s="5">
        <f>(Tabla234[[#This Row],[TOTAL FACTURA]]-Tabla234[[#This Row],[MONTO DE COMPRA]])*0.6</f>
        <v>0</v>
      </c>
      <c r="N50" s="1"/>
      <c r="O50" s="105">
        <f>Tabla234[[#This Row],[TOTAL FACTURA]]-Tabla234[[#This Row],[PORCENTAJE A CANCELAR]]-Tabla234[[#This Row],[MONTO DE COMPRA]]</f>
        <v>0</v>
      </c>
      <c r="P50" s="72"/>
    </row>
    <row r="51" spans="1:16" x14ac:dyDescent="0.25">
      <c r="H51" s="68"/>
      <c r="J51" s="105">
        <f>(Tabla234[[#This Row],[TOTAL FACTURA]]-Tabla234[[#This Row],[MONTO DE COMPRA]])*0.6</f>
        <v>0</v>
      </c>
      <c r="K51" s="1"/>
      <c r="L51" s="72"/>
      <c r="M51" s="5">
        <f>(Tabla234[[#This Row],[TOTAL FACTURA]]-Tabla234[[#This Row],[MONTO DE COMPRA]])*0.6</f>
        <v>0</v>
      </c>
      <c r="N51" s="1"/>
      <c r="O51" s="105">
        <f>Tabla234[[#This Row],[TOTAL FACTURA]]-Tabla234[[#This Row],[PORCENTAJE A CANCELAR]]-Tabla234[[#This Row],[MONTO DE COMPRA]]</f>
        <v>0</v>
      </c>
      <c r="P51" s="72"/>
    </row>
    <row r="52" spans="1:16" x14ac:dyDescent="0.25">
      <c r="H52" s="68"/>
      <c r="J52" s="105">
        <f>(Tabla234[[#This Row],[TOTAL FACTURA]]-Tabla234[[#This Row],[MONTO DE COMPRA]])*0.6</f>
        <v>0</v>
      </c>
      <c r="K52" s="1"/>
      <c r="L52" s="72"/>
      <c r="M52" s="5">
        <f>(Tabla234[[#This Row],[TOTAL FACTURA]]-Tabla234[[#This Row],[MONTO DE COMPRA]])*0.6</f>
        <v>0</v>
      </c>
      <c r="N52" s="1"/>
      <c r="O52" s="105">
        <f>Tabla234[[#This Row],[TOTAL FACTURA]]-Tabla234[[#This Row],[PORCENTAJE A CANCELAR]]-Tabla234[[#This Row],[MONTO DE COMPRA]]</f>
        <v>0</v>
      </c>
      <c r="P52" s="72"/>
    </row>
    <row r="53" spans="1:16" x14ac:dyDescent="0.25">
      <c r="H53" s="68"/>
      <c r="J53" s="105">
        <f>(Tabla234[[#This Row],[TOTAL FACTURA]]-Tabla234[[#This Row],[MONTO DE COMPRA]])*0.6</f>
        <v>0</v>
      </c>
      <c r="K53" s="1"/>
      <c r="L53" s="72"/>
      <c r="M53" s="5">
        <f>(Tabla234[[#This Row],[TOTAL FACTURA]]-Tabla234[[#This Row],[MONTO DE COMPRA]])*0.6</f>
        <v>0</v>
      </c>
      <c r="N53" s="1"/>
      <c r="O53" s="105">
        <f>Tabla234[[#This Row],[TOTAL FACTURA]]-Tabla234[[#This Row],[PORCENTAJE A CANCELAR]]-Tabla234[[#This Row],[MONTO DE COMPRA]]</f>
        <v>0</v>
      </c>
      <c r="P53" s="72"/>
    </row>
    <row r="54" spans="1:16" x14ac:dyDescent="0.25">
      <c r="H54" s="68"/>
      <c r="J54" s="105">
        <f>(Tabla234[[#This Row],[TOTAL FACTURA]]-Tabla234[[#This Row],[MONTO DE COMPRA]])*0.6</f>
        <v>0</v>
      </c>
      <c r="K54" s="1"/>
      <c r="L54" s="72"/>
      <c r="M54" s="5">
        <f>(Tabla234[[#This Row],[TOTAL FACTURA]]-Tabla234[[#This Row],[MONTO DE COMPRA]])*0.6</f>
        <v>0</v>
      </c>
      <c r="N54" s="1"/>
      <c r="O54" s="105">
        <f>Tabla234[[#This Row],[TOTAL FACTURA]]-Tabla234[[#This Row],[PORCENTAJE A CANCELAR]]-Tabla234[[#This Row],[MONTO DE COMPRA]]</f>
        <v>0</v>
      </c>
      <c r="P54" s="72"/>
    </row>
    <row r="55" spans="1:16" x14ac:dyDescent="0.25">
      <c r="H55" s="68"/>
      <c r="J55" s="105">
        <f>(Tabla234[[#This Row],[TOTAL FACTURA]]-Tabla234[[#This Row],[MONTO DE COMPRA]])*0.6</f>
        <v>0</v>
      </c>
      <c r="K55" s="1"/>
      <c r="L55" s="72"/>
      <c r="M55" s="5">
        <f>(Tabla234[[#This Row],[TOTAL FACTURA]]-Tabla234[[#This Row],[MONTO DE COMPRA]])*0.6</f>
        <v>0</v>
      </c>
      <c r="N55" s="1"/>
      <c r="O55" s="105">
        <f>Tabla234[[#This Row],[TOTAL FACTURA]]-Tabla234[[#This Row],[PORCENTAJE A CANCELAR]]-Tabla234[[#This Row],[MONTO DE COMPRA]]</f>
        <v>0</v>
      </c>
      <c r="P55" s="72"/>
    </row>
    <row r="56" spans="1:16" x14ac:dyDescent="0.25">
      <c r="H56" s="1"/>
      <c r="I56" s="115">
        <f>SUBTOTAL(109,Tabla234[TOTAL FACTURA])</f>
        <v>1560000</v>
      </c>
      <c r="J56" s="115">
        <f>SUBTOTAL(109,Tabla234[PORCENTAJE A CANCELAR])</f>
        <v>922300</v>
      </c>
      <c r="K56" s="115">
        <f>SUBTOTAL(109,Tabla234[REPUESTOS USADOS])</f>
        <v>0</v>
      </c>
      <c r="L56" s="115">
        <f>SUBTOTAL(109,Tabla234[MONTO DE COMPRA])</f>
        <v>39500</v>
      </c>
      <c r="M56" s="115">
        <f>SUBTOTAL(109,Tabla234[ABONOS A TRABAJO])</f>
        <v>0</v>
      </c>
      <c r="N56" s="115">
        <f>SUBTOTAL(109,Tabla234[ESTATUS])</f>
        <v>0</v>
      </c>
      <c r="O56" s="115">
        <f>SUBTOTAL(109,Tabla234[GANANCIA])</f>
        <v>598200</v>
      </c>
      <c r="P56" s="115">
        <f>SUBTOTAL(109,Tabla234[ABONO CLIENTE])</f>
        <v>500000</v>
      </c>
    </row>
    <row r="58" spans="1:16" ht="14.25" customHeight="1" x14ac:dyDescent="0.25"/>
    <row r="59" spans="1:16" ht="12.75" customHeight="1" x14ac:dyDescent="0.25"/>
  </sheetData>
  <pageMargins left="0.70866141732283472" right="0.70866141732283472" top="0.74803149606299213" bottom="0.74803149606299213" header="0.31496062992125984" footer="0.31496062992125984"/>
  <pageSetup paperSize="9" scale="70" orientation="landscape" horizontalDpi="360" verticalDpi="36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443E09-1D87-4518-A22B-B56FA8B381AB}">
          <x14:formula1>
            <xm:f>DETALLES!$A$1:$A$2</xm:f>
          </x14:formula1>
          <xm:sqref>N1 M57:M1048576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F13A3-6B6E-49DE-A678-037DF305B89B}">
  <sheetPr>
    <tabColor theme="4" tint="-0.249977111117893"/>
  </sheetPr>
  <dimension ref="A1:M59"/>
  <sheetViews>
    <sheetView zoomScaleNormal="100" workbookViewId="0">
      <selection activeCell="H2" sqref="H2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3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380</v>
      </c>
      <c r="C2" s="122"/>
      <c r="D2" s="122"/>
      <c r="F2" s="7" t="s">
        <v>19</v>
      </c>
      <c r="H2" s="9">
        <v>44802</v>
      </c>
    </row>
    <row r="3" spans="1:13" x14ac:dyDescent="0.25">
      <c r="A3" s="7" t="s">
        <v>20</v>
      </c>
      <c r="B3" s="122" t="s">
        <v>381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382</v>
      </c>
      <c r="C4" s="122"/>
      <c r="D4" s="122"/>
      <c r="J4" s="39">
        <f>B9-H25-H9</f>
        <v>720000</v>
      </c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9" spans="1:13" x14ac:dyDescent="0.25">
      <c r="A9" s="7" t="s">
        <v>25</v>
      </c>
      <c r="B9" s="126">
        <v>2000000</v>
      </c>
      <c r="C9" s="126"/>
      <c r="D9" s="126"/>
      <c r="E9" s="7" t="s">
        <v>26</v>
      </c>
      <c r="F9" s="7"/>
      <c r="H9" s="10">
        <f>(B9-H25)*0.6</f>
        <v>1080000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44805</v>
      </c>
      <c r="B14" s="124">
        <v>2785</v>
      </c>
      <c r="C14" s="124"/>
      <c r="D14" s="124"/>
      <c r="E14" s="124"/>
      <c r="F14" s="124"/>
      <c r="G14" s="125">
        <v>150900</v>
      </c>
      <c r="H14" s="125"/>
      <c r="L14" s="39"/>
    </row>
    <row r="15" spans="1:13" x14ac:dyDescent="0.25">
      <c r="A15" s="17"/>
      <c r="B15" s="124"/>
      <c r="C15" s="124"/>
      <c r="D15" s="124"/>
      <c r="E15" s="124"/>
      <c r="F15" s="124"/>
      <c r="G15" s="125">
        <v>49100</v>
      </c>
      <c r="H15" s="125"/>
      <c r="L15" s="39"/>
      <c r="M15" s="39"/>
    </row>
    <row r="16" spans="1:13" x14ac:dyDescent="0.25">
      <c r="A16" s="17"/>
      <c r="B16" s="124"/>
      <c r="C16" s="124"/>
      <c r="D16" s="124"/>
      <c r="E16" s="124"/>
      <c r="F16" s="124"/>
      <c r="G16" s="125"/>
      <c r="H16" s="125"/>
      <c r="L16" s="4"/>
      <c r="M16" s="4"/>
    </row>
    <row r="17" spans="1:9" x14ac:dyDescent="0.25">
      <c r="A17" s="17"/>
      <c r="B17" s="124"/>
      <c r="C17" s="124"/>
      <c r="D17" s="124"/>
      <c r="E17" s="124"/>
      <c r="F17" s="124"/>
      <c r="G17" s="125"/>
      <c r="H17" s="125"/>
    </row>
    <row r="18" spans="1:9" x14ac:dyDescent="0.25">
      <c r="A18" s="17"/>
      <c r="B18" s="124"/>
      <c r="C18" s="124"/>
      <c r="D18" s="124"/>
      <c r="E18" s="124"/>
      <c r="F18" s="124"/>
      <c r="G18" s="125"/>
      <c r="H18" s="125"/>
    </row>
    <row r="19" spans="1:9" x14ac:dyDescent="0.25">
      <c r="A19" s="17"/>
      <c r="B19" s="124"/>
      <c r="C19" s="124"/>
      <c r="D19" s="124"/>
      <c r="E19" s="124"/>
      <c r="F19" s="124"/>
      <c r="G19" s="125"/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200000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/>
      <c r="B30" s="137"/>
      <c r="C30" s="137"/>
      <c r="D30" s="137"/>
      <c r="E30" s="132"/>
      <c r="F30" s="132"/>
      <c r="G30" s="132"/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/>
      <c r="B39" s="124"/>
      <c r="C39" s="124"/>
      <c r="D39" s="124"/>
      <c r="E39" s="131"/>
      <c r="F39" s="131"/>
      <c r="G39" s="138"/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0</v>
      </c>
      <c r="F59" s="142"/>
      <c r="G59" s="138">
        <f>H13-E59</f>
        <v>0</v>
      </c>
      <c r="H59" s="138"/>
    </row>
  </sheetData>
  <mergeCells count="131"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</mergeCells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A9DED-8BE8-4958-840F-5710D71B0837}">
  <sheetPr>
    <tabColor rgb="FF92D050"/>
  </sheetPr>
  <dimension ref="A1:M59"/>
  <sheetViews>
    <sheetView workbookViewId="0">
      <selection activeCell="E22" sqref="E22:F22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4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170</v>
      </c>
      <c r="C2" s="122"/>
      <c r="D2" s="122"/>
      <c r="F2" s="7" t="s">
        <v>19</v>
      </c>
      <c r="H2" s="9">
        <v>44715</v>
      </c>
    </row>
    <row r="3" spans="1:13" x14ac:dyDescent="0.25">
      <c r="A3" s="7" t="s">
        <v>20</v>
      </c>
      <c r="B3" s="122" t="s">
        <v>253</v>
      </c>
      <c r="C3" s="122"/>
      <c r="D3" s="122"/>
      <c r="F3" s="7" t="s">
        <v>21</v>
      </c>
      <c r="H3" s="9">
        <v>44821</v>
      </c>
    </row>
    <row r="4" spans="1:13" x14ac:dyDescent="0.25">
      <c r="A4" s="7" t="s">
        <v>22</v>
      </c>
      <c r="B4" s="122" t="s">
        <v>255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7" spans="1:13" x14ac:dyDescent="0.25">
      <c r="J7" s="39">
        <f>B9-H9-H25</f>
        <v>1117200</v>
      </c>
    </row>
    <row r="9" spans="1:13" x14ac:dyDescent="0.25">
      <c r="A9" s="7" t="s">
        <v>25</v>
      </c>
      <c r="B9" s="126">
        <v>3300000</v>
      </c>
      <c r="C9" s="126"/>
      <c r="D9" s="126"/>
      <c r="E9" s="7" t="s">
        <v>26</v>
      </c>
      <c r="F9" s="7"/>
      <c r="H9" s="10">
        <f>(B9-H25)*0.6</f>
        <v>1675800</v>
      </c>
      <c r="L9" s="39"/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44729</v>
      </c>
      <c r="B14" s="124"/>
      <c r="C14" s="124"/>
      <c r="D14" s="124"/>
      <c r="E14" s="124"/>
      <c r="F14" s="124"/>
      <c r="G14" s="125">
        <v>20000</v>
      </c>
      <c r="H14" s="125"/>
      <c r="L14" s="39"/>
    </row>
    <row r="15" spans="1:13" x14ac:dyDescent="0.25">
      <c r="A15" s="17">
        <v>44729</v>
      </c>
      <c r="B15" s="124">
        <v>2548</v>
      </c>
      <c r="C15" s="124"/>
      <c r="D15" s="124"/>
      <c r="E15" s="124"/>
      <c r="F15" s="124"/>
      <c r="G15" s="125">
        <v>29000</v>
      </c>
      <c r="H15" s="125"/>
      <c r="L15" s="39"/>
    </row>
    <row r="16" spans="1:13" x14ac:dyDescent="0.25">
      <c r="A16" s="17">
        <v>44733</v>
      </c>
      <c r="B16" s="124"/>
      <c r="C16" s="124"/>
      <c r="D16" s="124"/>
      <c r="E16" s="124"/>
      <c r="F16" s="124"/>
      <c r="G16" s="125">
        <v>48000</v>
      </c>
      <c r="H16" s="125"/>
      <c r="L16" s="4"/>
      <c r="M16" s="4"/>
    </row>
    <row r="17" spans="1:9" x14ac:dyDescent="0.25">
      <c r="A17" s="17">
        <v>44727</v>
      </c>
      <c r="B17" s="124" t="s">
        <v>302</v>
      </c>
      <c r="C17" s="124"/>
      <c r="D17" s="124"/>
      <c r="E17" s="124"/>
      <c r="F17" s="124"/>
      <c r="G17" s="125">
        <f>46000*2</f>
        <v>92000</v>
      </c>
      <c r="H17" s="125"/>
    </row>
    <row r="18" spans="1:9" x14ac:dyDescent="0.25">
      <c r="A18" s="17">
        <v>44764</v>
      </c>
      <c r="B18" s="124">
        <v>2613</v>
      </c>
      <c r="C18" s="124"/>
      <c r="D18" s="124"/>
      <c r="E18" s="124" t="s">
        <v>301</v>
      </c>
      <c r="F18" s="124"/>
      <c r="G18" s="125">
        <v>18000</v>
      </c>
      <c r="H18" s="125"/>
    </row>
    <row r="19" spans="1:9" x14ac:dyDescent="0.25">
      <c r="A19" s="17">
        <v>44782</v>
      </c>
      <c r="B19" s="124">
        <v>2680</v>
      </c>
      <c r="C19" s="124"/>
      <c r="D19" s="124"/>
      <c r="E19" s="124"/>
      <c r="F19" s="124"/>
      <c r="G19" s="125">
        <v>300000</v>
      </c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507000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/>
      <c r="B30" s="137"/>
      <c r="C30" s="137"/>
      <c r="D30" s="137"/>
      <c r="E30" s="132"/>
      <c r="F30" s="132"/>
      <c r="G30" s="132"/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44715</v>
      </c>
      <c r="B39" s="124"/>
      <c r="C39" s="124"/>
      <c r="D39" s="124"/>
      <c r="E39" s="131">
        <v>627400</v>
      </c>
      <c r="F39" s="131"/>
      <c r="G39" s="138">
        <f>H9-E59</f>
        <v>124900</v>
      </c>
      <c r="H39" s="138"/>
    </row>
    <row r="40" spans="1:8" x14ac:dyDescent="0.25">
      <c r="A40" s="16">
        <v>44722</v>
      </c>
      <c r="B40" s="124"/>
      <c r="C40" s="124"/>
      <c r="D40" s="124"/>
      <c r="E40" s="131">
        <v>694000</v>
      </c>
      <c r="F40" s="131"/>
      <c r="G40" s="138">
        <f t="shared" ref="G40:G41" si="0">H10-E60</f>
        <v>0</v>
      </c>
      <c r="H40" s="138"/>
    </row>
    <row r="41" spans="1:8" x14ac:dyDescent="0.25">
      <c r="A41" s="16">
        <v>44729</v>
      </c>
      <c r="B41" s="124"/>
      <c r="C41" s="124"/>
      <c r="D41" s="124"/>
      <c r="E41" s="131">
        <v>229500</v>
      </c>
      <c r="F41" s="131"/>
      <c r="G41" s="138">
        <f t="shared" si="0"/>
        <v>0</v>
      </c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1550900</v>
      </c>
      <c r="F59" s="142"/>
      <c r="G59" s="138">
        <f>H13-E59</f>
        <v>-1550900</v>
      </c>
      <c r="H59" s="138"/>
    </row>
  </sheetData>
  <mergeCells count="131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</mergeCells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EFBE89-766C-404F-B7AE-22D5B4C28825}">
  <sheetPr>
    <tabColor theme="4" tint="-0.249977111117893"/>
  </sheetPr>
  <dimension ref="A1:M59"/>
  <sheetViews>
    <sheetView workbookViewId="0">
      <selection activeCell="A43" sqref="A43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/>
      <c r="C2" s="122"/>
      <c r="D2" s="122"/>
      <c r="F2" s="7" t="s">
        <v>19</v>
      </c>
      <c r="H2" s="9"/>
    </row>
    <row r="3" spans="1:13" x14ac:dyDescent="0.25">
      <c r="A3" s="7" t="s">
        <v>20</v>
      </c>
      <c r="B3" s="122"/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/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9" spans="1:13" x14ac:dyDescent="0.25">
      <c r="A9" s="7" t="s">
        <v>25</v>
      </c>
      <c r="B9" s="126"/>
      <c r="C9" s="126"/>
      <c r="D9" s="126"/>
      <c r="E9" s="7" t="s">
        <v>26</v>
      </c>
      <c r="F9" s="7"/>
      <c r="H9" s="10">
        <f>(B9-H25)*0.6</f>
        <v>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/>
      <c r="B14" s="124"/>
      <c r="C14" s="124"/>
      <c r="D14" s="124"/>
      <c r="E14" s="124"/>
      <c r="F14" s="124"/>
      <c r="G14" s="125"/>
      <c r="H14" s="125"/>
      <c r="L14" s="39"/>
    </row>
    <row r="15" spans="1:13" x14ac:dyDescent="0.25">
      <c r="A15" s="17"/>
      <c r="B15" s="124"/>
      <c r="C15" s="124"/>
      <c r="D15" s="124"/>
      <c r="E15" s="124"/>
      <c r="F15" s="124"/>
      <c r="G15" s="125"/>
      <c r="H15" s="125"/>
      <c r="L15" s="39"/>
    </row>
    <row r="16" spans="1:13" x14ac:dyDescent="0.25">
      <c r="A16" s="17"/>
      <c r="B16" s="124"/>
      <c r="C16" s="124"/>
      <c r="D16" s="124"/>
      <c r="E16" s="124"/>
      <c r="F16" s="124"/>
      <c r="G16" s="125"/>
      <c r="H16" s="125"/>
      <c r="L16" s="4"/>
      <c r="M16" s="4"/>
    </row>
    <row r="17" spans="1:9" x14ac:dyDescent="0.25">
      <c r="A17" s="17"/>
      <c r="B17" s="124"/>
      <c r="C17" s="124"/>
      <c r="D17" s="124"/>
      <c r="E17" s="124"/>
      <c r="F17" s="124"/>
      <c r="G17" s="125"/>
      <c r="H17" s="125"/>
    </row>
    <row r="18" spans="1:9" x14ac:dyDescent="0.25">
      <c r="A18" s="17"/>
      <c r="B18" s="124"/>
      <c r="C18" s="124"/>
      <c r="D18" s="124"/>
      <c r="E18" s="124"/>
      <c r="F18" s="124"/>
      <c r="G18" s="125"/>
      <c r="H18" s="125"/>
    </row>
    <row r="19" spans="1:9" x14ac:dyDescent="0.25">
      <c r="A19" s="17"/>
      <c r="B19" s="124"/>
      <c r="C19" s="124"/>
      <c r="D19" s="124"/>
      <c r="E19" s="124"/>
      <c r="F19" s="124"/>
      <c r="G19" s="125"/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/>
      <c r="B30" s="137"/>
      <c r="C30" s="137"/>
      <c r="D30" s="137"/>
      <c r="E30" s="132"/>
      <c r="F30" s="132"/>
      <c r="G30" s="132">
        <f>B9-E34</f>
        <v>0</v>
      </c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/>
      <c r="B39" s="124"/>
      <c r="C39" s="124"/>
      <c r="D39" s="124"/>
      <c r="E39" s="131"/>
      <c r="F39" s="131"/>
      <c r="G39" s="138">
        <f>H9-E59</f>
        <v>0</v>
      </c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0</v>
      </c>
      <c r="F59" s="142"/>
      <c r="G59" s="138">
        <f>H13-E59</f>
        <v>0</v>
      </c>
      <c r="H59" s="138"/>
    </row>
  </sheetData>
  <mergeCells count="131"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</mergeCells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7D984-7C87-482F-B9BC-5A618B864E30}">
  <dimension ref="A1:E30"/>
  <sheetViews>
    <sheetView workbookViewId="0">
      <selection activeCell="E7" sqref="E7"/>
    </sheetView>
  </sheetViews>
  <sheetFormatPr baseColWidth="10" defaultRowHeight="15" x14ac:dyDescent="0.25"/>
  <cols>
    <col min="1" max="1" width="14.42578125" customWidth="1"/>
    <col min="2" max="2" width="18.140625" customWidth="1"/>
    <col min="3" max="3" width="28.28515625" customWidth="1"/>
    <col min="4" max="4" width="22.140625" customWidth="1"/>
    <col min="5" max="5" width="17.28515625" customWidth="1"/>
  </cols>
  <sheetData>
    <row r="1" spans="1:5" x14ac:dyDescent="0.25">
      <c r="A1" s="101" t="s">
        <v>0</v>
      </c>
      <c r="B1" s="102" t="s">
        <v>6</v>
      </c>
      <c r="C1" s="102" t="s">
        <v>7</v>
      </c>
      <c r="D1" s="102" t="s">
        <v>27</v>
      </c>
      <c r="E1" s="102" t="s">
        <v>14</v>
      </c>
    </row>
    <row r="2" spans="1:5" x14ac:dyDescent="0.25">
      <c r="A2" s="17" t="s">
        <v>471</v>
      </c>
      <c r="B2" s="50">
        <v>5350000</v>
      </c>
      <c r="C2" s="50">
        <v>2598660</v>
      </c>
      <c r="D2" s="50">
        <v>1018900</v>
      </c>
      <c r="E2" s="50">
        <v>1732440</v>
      </c>
    </row>
    <row r="3" spans="1:5" x14ac:dyDescent="0.25">
      <c r="A3" s="48" t="s">
        <v>472</v>
      </c>
      <c r="B3" s="50">
        <v>9600000</v>
      </c>
      <c r="C3" s="50">
        <v>4963700</v>
      </c>
      <c r="D3" s="50">
        <v>1567500</v>
      </c>
      <c r="E3" s="50">
        <v>3155800</v>
      </c>
    </row>
    <row r="4" spans="1:5" x14ac:dyDescent="0.25">
      <c r="A4" s="48" t="s">
        <v>473</v>
      </c>
      <c r="B4" s="50">
        <v>4130000</v>
      </c>
      <c r="C4" s="50">
        <v>2087800</v>
      </c>
      <c r="D4" s="50">
        <v>687000</v>
      </c>
      <c r="E4" s="50">
        <v>1355200</v>
      </c>
    </row>
    <row r="5" spans="1:5" x14ac:dyDescent="0.25">
      <c r="A5" s="48" t="s">
        <v>474</v>
      </c>
      <c r="B5" s="30">
        <v>4400000</v>
      </c>
      <c r="C5" s="30">
        <v>2097180</v>
      </c>
      <c r="D5" s="30">
        <v>904700</v>
      </c>
      <c r="E5" s="30">
        <v>1326120</v>
      </c>
    </row>
    <row r="6" spans="1:5" x14ac:dyDescent="0.25">
      <c r="B6" s="116">
        <v>18400000</v>
      </c>
      <c r="E6" s="116">
        <v>6135000</v>
      </c>
    </row>
    <row r="7" spans="1:5" x14ac:dyDescent="0.25">
      <c r="B7" s="4">
        <f>SUM(B2:B6)</f>
        <v>41880000</v>
      </c>
      <c r="C7" s="4"/>
      <c r="E7" s="4">
        <f>SUM(E2:E6)</f>
        <v>13704560</v>
      </c>
    </row>
    <row r="28" ht="14.25" customHeight="1" x14ac:dyDescent="0.25"/>
    <row r="29" ht="14.25" customHeight="1" x14ac:dyDescent="0.25"/>
    <row r="30" ht="14.25" customHeight="1" x14ac:dyDescent="0.25"/>
  </sheetData>
  <phoneticPr fontId="9" type="noConversion"/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DB81-9017-456C-ABD8-77D381E6CD8A}">
  <dimension ref="A1:M45"/>
  <sheetViews>
    <sheetView workbookViewId="0">
      <selection activeCell="H11" sqref="H11"/>
    </sheetView>
  </sheetViews>
  <sheetFormatPr baseColWidth="10" defaultRowHeight="15" x14ac:dyDescent="0.25"/>
  <cols>
    <col min="2" max="2" width="19.42578125" customWidth="1"/>
    <col min="3" max="3" width="16" customWidth="1"/>
    <col min="4" max="4" width="24.140625" customWidth="1"/>
    <col min="5" max="5" width="15.140625" customWidth="1"/>
    <col min="6" max="6" width="15.7109375" customWidth="1"/>
    <col min="9" max="9" width="14.42578125" customWidth="1"/>
    <col min="10" max="10" width="18.140625" customWidth="1"/>
    <col min="11" max="11" width="28.28515625" customWidth="1"/>
    <col min="12" max="12" width="22.140625" customWidth="1"/>
    <col min="13" max="13" width="17.28515625" customWidth="1"/>
  </cols>
  <sheetData>
    <row r="1" spans="1:13" x14ac:dyDescent="0.25">
      <c r="A1" s="95" t="s">
        <v>0</v>
      </c>
      <c r="B1" s="97" t="s">
        <v>6</v>
      </c>
      <c r="C1" s="97" t="s">
        <v>7</v>
      </c>
      <c r="D1" s="96" t="s">
        <v>8</v>
      </c>
      <c r="E1" s="97" t="s">
        <v>9</v>
      </c>
      <c r="F1" s="98" t="s">
        <v>14</v>
      </c>
      <c r="I1" s="101" t="s">
        <v>0</v>
      </c>
      <c r="J1" s="102" t="s">
        <v>6</v>
      </c>
      <c r="K1" s="102" t="s">
        <v>7</v>
      </c>
      <c r="L1" s="102" t="s">
        <v>9</v>
      </c>
      <c r="M1" s="102" t="s">
        <v>14</v>
      </c>
    </row>
    <row r="2" spans="1:13" x14ac:dyDescent="0.25">
      <c r="A2" s="82">
        <v>44744</v>
      </c>
      <c r="B2" s="84">
        <v>400000</v>
      </c>
      <c r="C2" s="84">
        <v>240000</v>
      </c>
      <c r="D2" s="83"/>
      <c r="E2" s="84"/>
      <c r="F2" s="85">
        <v>160000</v>
      </c>
      <c r="I2" s="17" t="s">
        <v>471</v>
      </c>
      <c r="J2" s="50">
        <v>5350000</v>
      </c>
      <c r="K2" s="50">
        <v>2598660</v>
      </c>
      <c r="L2" s="50">
        <v>1018900</v>
      </c>
      <c r="M2" s="50">
        <v>1732440</v>
      </c>
    </row>
    <row r="3" spans="1:13" x14ac:dyDescent="0.25">
      <c r="A3" s="82">
        <v>44744</v>
      </c>
      <c r="B3" s="84">
        <v>400000</v>
      </c>
      <c r="C3" s="84">
        <v>205200</v>
      </c>
      <c r="D3" s="83"/>
      <c r="E3" s="84">
        <v>58000</v>
      </c>
      <c r="F3" s="85">
        <v>136800</v>
      </c>
      <c r="I3" s="48" t="s">
        <v>472</v>
      </c>
      <c r="J3" s="50">
        <v>9600000</v>
      </c>
      <c r="K3" s="50">
        <v>4963700</v>
      </c>
      <c r="L3" s="50">
        <v>1567500</v>
      </c>
      <c r="M3" s="50">
        <v>3155800</v>
      </c>
    </row>
    <row r="4" spans="1:13" x14ac:dyDescent="0.25">
      <c r="A4" s="82">
        <v>44744</v>
      </c>
      <c r="B4" s="84">
        <v>700000</v>
      </c>
      <c r="C4" s="84">
        <v>369300</v>
      </c>
      <c r="D4" s="83"/>
      <c r="E4" s="84">
        <v>84500</v>
      </c>
      <c r="F4" s="85">
        <v>246200</v>
      </c>
      <c r="I4" s="48" t="s">
        <v>473</v>
      </c>
      <c r="J4" s="50">
        <v>4130000</v>
      </c>
      <c r="K4" s="50">
        <v>2087800</v>
      </c>
      <c r="L4" s="50">
        <v>687000</v>
      </c>
      <c r="M4" s="50">
        <v>1355200</v>
      </c>
    </row>
    <row r="5" spans="1:13" x14ac:dyDescent="0.25">
      <c r="A5" s="82">
        <v>44751</v>
      </c>
      <c r="B5" s="84">
        <v>550000</v>
      </c>
      <c r="C5" s="84">
        <v>202800</v>
      </c>
      <c r="D5" s="83"/>
      <c r="E5" s="84">
        <v>212000</v>
      </c>
      <c r="F5" s="85">
        <v>135200</v>
      </c>
      <c r="J5" s="4">
        <f>SUM(J2:J4)</f>
        <v>19080000</v>
      </c>
      <c r="K5" s="4">
        <f t="shared" ref="K5:M5" si="0">SUM(K2:K4)</f>
        <v>9650160</v>
      </c>
      <c r="L5" s="4">
        <f t="shared" si="0"/>
        <v>3273400</v>
      </c>
      <c r="M5" s="4">
        <f t="shared" si="0"/>
        <v>6243440</v>
      </c>
    </row>
    <row r="6" spans="1:13" x14ac:dyDescent="0.25">
      <c r="A6" s="82">
        <v>44753</v>
      </c>
      <c r="B6" s="84">
        <v>2000000</v>
      </c>
      <c r="C6" s="84">
        <f>(B6-E6)*60%</f>
        <v>911160</v>
      </c>
      <c r="D6" s="83"/>
      <c r="E6" s="84">
        <v>481400</v>
      </c>
      <c r="F6" s="85">
        <f>B6-C6-E6</f>
        <v>607440</v>
      </c>
    </row>
    <row r="7" spans="1:13" x14ac:dyDescent="0.25">
      <c r="A7" s="82">
        <v>44753</v>
      </c>
      <c r="B7" s="84">
        <v>450000</v>
      </c>
      <c r="C7" s="84">
        <v>217800</v>
      </c>
      <c r="D7" s="83"/>
      <c r="E7" s="84">
        <v>87000</v>
      </c>
      <c r="F7" s="85">
        <v>145200</v>
      </c>
    </row>
    <row r="8" spans="1:13" x14ac:dyDescent="0.25">
      <c r="A8" s="82">
        <v>44762</v>
      </c>
      <c r="B8" s="84">
        <v>500000</v>
      </c>
      <c r="C8" s="84">
        <v>261900</v>
      </c>
      <c r="D8" s="83" t="s">
        <v>328</v>
      </c>
      <c r="E8" s="84">
        <v>63500</v>
      </c>
      <c r="F8" s="85">
        <v>174600</v>
      </c>
    </row>
    <row r="9" spans="1:13" x14ac:dyDescent="0.25">
      <c r="A9" s="82">
        <v>44768</v>
      </c>
      <c r="B9" s="84">
        <v>350000</v>
      </c>
      <c r="C9" s="84">
        <v>190500</v>
      </c>
      <c r="D9" s="83"/>
      <c r="E9" s="84">
        <v>32500</v>
      </c>
      <c r="F9" s="85">
        <v>127000</v>
      </c>
    </row>
    <row r="10" spans="1:13" x14ac:dyDescent="0.25">
      <c r="A10" s="82" t="s">
        <v>471</v>
      </c>
      <c r="B10" s="84">
        <f>SUM(B2:B9)</f>
        <v>5350000</v>
      </c>
      <c r="C10" s="84">
        <f t="shared" ref="C10:F10" si="1">SUM(C2:C9)</f>
        <v>2598660</v>
      </c>
      <c r="D10" s="84">
        <f t="shared" si="1"/>
        <v>0</v>
      </c>
      <c r="E10" s="84">
        <f t="shared" si="1"/>
        <v>1018900</v>
      </c>
      <c r="F10" s="84">
        <f t="shared" si="1"/>
        <v>1732440</v>
      </c>
    </row>
    <row r="11" spans="1:13" x14ac:dyDescent="0.25">
      <c r="A11" s="82"/>
      <c r="B11" s="84"/>
      <c r="C11" s="84"/>
      <c r="D11" s="83"/>
      <c r="E11" s="84"/>
      <c r="F11" s="85"/>
    </row>
    <row r="12" spans="1:13" x14ac:dyDescent="0.25">
      <c r="A12" s="82">
        <v>44777</v>
      </c>
      <c r="B12" s="84">
        <v>100000</v>
      </c>
      <c r="C12" s="84">
        <v>60000</v>
      </c>
      <c r="D12" s="83"/>
      <c r="E12" s="84"/>
      <c r="F12" s="85">
        <v>40000</v>
      </c>
    </row>
    <row r="13" spans="1:13" x14ac:dyDescent="0.25">
      <c r="A13" s="86">
        <v>44781</v>
      </c>
      <c r="B13" s="88">
        <v>350000</v>
      </c>
      <c r="C13" s="88">
        <v>150000</v>
      </c>
      <c r="D13" s="87" t="s">
        <v>74</v>
      </c>
      <c r="E13" s="88">
        <v>100000</v>
      </c>
      <c r="F13" s="90">
        <v>100000</v>
      </c>
    </row>
    <row r="14" spans="1:13" x14ac:dyDescent="0.25">
      <c r="A14" s="86">
        <v>44781</v>
      </c>
      <c r="B14" s="88">
        <v>850000</v>
      </c>
      <c r="C14" s="88">
        <v>403800</v>
      </c>
      <c r="D14" s="87" t="s">
        <v>74</v>
      </c>
      <c r="E14" s="88">
        <v>177000</v>
      </c>
      <c r="F14" s="90">
        <v>269200</v>
      </c>
    </row>
    <row r="15" spans="1:13" x14ac:dyDescent="0.25">
      <c r="A15" s="86">
        <v>44781</v>
      </c>
      <c r="B15" s="88">
        <v>650000</v>
      </c>
      <c r="C15" s="88">
        <v>314400</v>
      </c>
      <c r="D15" s="87"/>
      <c r="E15" s="88">
        <v>126000</v>
      </c>
      <c r="F15" s="90">
        <v>209600</v>
      </c>
    </row>
    <row r="16" spans="1:13" x14ac:dyDescent="0.25">
      <c r="A16" s="86">
        <v>44782</v>
      </c>
      <c r="B16" s="88">
        <v>200000</v>
      </c>
      <c r="C16" s="88">
        <v>95100</v>
      </c>
      <c r="D16" s="87"/>
      <c r="E16" s="88">
        <v>41500</v>
      </c>
      <c r="F16" s="90">
        <v>63400</v>
      </c>
    </row>
    <row r="17" spans="1:6" x14ac:dyDescent="0.25">
      <c r="A17" s="82">
        <v>44786</v>
      </c>
      <c r="B17" s="84">
        <v>60000</v>
      </c>
      <c r="C17" s="84">
        <v>60000</v>
      </c>
      <c r="D17" s="83"/>
      <c r="E17" s="84"/>
      <c r="F17" s="90">
        <v>0</v>
      </c>
    </row>
    <row r="18" spans="1:6" x14ac:dyDescent="0.25">
      <c r="A18" s="82">
        <v>44789</v>
      </c>
      <c r="B18" s="84">
        <v>250000</v>
      </c>
      <c r="C18" s="84">
        <v>108000</v>
      </c>
      <c r="D18" s="83"/>
      <c r="E18" s="84">
        <v>70000</v>
      </c>
      <c r="F18" s="90">
        <v>72000</v>
      </c>
    </row>
    <row r="19" spans="1:6" x14ac:dyDescent="0.25">
      <c r="A19" s="82">
        <v>44789</v>
      </c>
      <c r="B19" s="84">
        <v>80000</v>
      </c>
      <c r="C19" s="84">
        <v>48000</v>
      </c>
      <c r="D19" s="83"/>
      <c r="E19" s="84"/>
      <c r="F19" s="90">
        <v>32000</v>
      </c>
    </row>
    <row r="20" spans="1:6" x14ac:dyDescent="0.25">
      <c r="A20" s="82">
        <v>44788</v>
      </c>
      <c r="B20" s="84">
        <v>90000</v>
      </c>
      <c r="C20" s="84">
        <v>54000</v>
      </c>
      <c r="D20" s="89"/>
      <c r="E20" s="84"/>
      <c r="F20" s="90">
        <v>36000</v>
      </c>
    </row>
    <row r="21" spans="1:6" x14ac:dyDescent="0.25">
      <c r="A21" s="82">
        <v>44788</v>
      </c>
      <c r="B21" s="84">
        <v>30000</v>
      </c>
      <c r="C21" s="84">
        <v>30000</v>
      </c>
      <c r="D21" s="83"/>
      <c r="E21" s="84"/>
      <c r="F21" s="90">
        <v>0</v>
      </c>
    </row>
    <row r="22" spans="1:6" x14ac:dyDescent="0.25">
      <c r="A22" s="82">
        <v>44788</v>
      </c>
      <c r="B22" s="84">
        <v>100000</v>
      </c>
      <c r="C22" s="84">
        <v>100000</v>
      </c>
      <c r="D22" s="83"/>
      <c r="E22" s="84"/>
      <c r="F22" s="90">
        <v>0</v>
      </c>
    </row>
    <row r="23" spans="1:6" x14ac:dyDescent="0.25">
      <c r="A23" s="82">
        <v>44791</v>
      </c>
      <c r="B23" s="84">
        <v>300000</v>
      </c>
      <c r="C23" s="84">
        <v>180000</v>
      </c>
      <c r="D23" s="84"/>
      <c r="E23" s="84">
        <v>87000</v>
      </c>
      <c r="F23" s="90">
        <v>120000</v>
      </c>
    </row>
    <row r="24" spans="1:6" x14ac:dyDescent="0.25">
      <c r="A24" s="82">
        <v>44799</v>
      </c>
      <c r="B24" s="84">
        <v>1100000</v>
      </c>
      <c r="C24" s="84">
        <v>504600</v>
      </c>
      <c r="D24" s="83"/>
      <c r="E24" s="84">
        <v>259000</v>
      </c>
      <c r="F24" s="90">
        <v>336400</v>
      </c>
    </row>
    <row r="25" spans="1:6" x14ac:dyDescent="0.25">
      <c r="A25" s="82">
        <v>44799</v>
      </c>
      <c r="B25" s="84">
        <v>100000</v>
      </c>
      <c r="C25" s="84">
        <v>60000</v>
      </c>
      <c r="D25" s="83"/>
      <c r="E25" s="84"/>
      <c r="F25" s="90">
        <v>40000</v>
      </c>
    </row>
    <row r="26" spans="1:6" x14ac:dyDescent="0.25">
      <c r="A26" s="82">
        <v>44802</v>
      </c>
      <c r="B26" s="84">
        <v>2000000</v>
      </c>
      <c r="C26" s="84">
        <v>1080000</v>
      </c>
      <c r="D26" s="83"/>
      <c r="E26" s="84">
        <v>200000</v>
      </c>
      <c r="F26" s="90">
        <v>720000</v>
      </c>
    </row>
    <row r="27" spans="1:6" x14ac:dyDescent="0.25">
      <c r="A27" s="82"/>
      <c r="B27" s="84">
        <v>3300000</v>
      </c>
      <c r="C27" s="84">
        <v>1675800</v>
      </c>
      <c r="D27" s="83"/>
      <c r="E27" s="84">
        <v>507000</v>
      </c>
      <c r="F27" s="90">
        <f>B27-C27-E27</f>
        <v>1117200</v>
      </c>
    </row>
    <row r="28" spans="1:6" ht="14.25" customHeight="1" x14ac:dyDescent="0.25">
      <c r="A28" s="82">
        <v>44802</v>
      </c>
      <c r="B28" s="84">
        <v>40000</v>
      </c>
      <c r="C28" s="84">
        <v>40000</v>
      </c>
      <c r="D28" s="83"/>
      <c r="E28" s="84"/>
      <c r="F28" s="85">
        <v>0</v>
      </c>
    </row>
    <row r="29" spans="1:6" ht="14.25" customHeight="1" x14ac:dyDescent="0.25">
      <c r="A29" s="82" t="s">
        <v>472</v>
      </c>
      <c r="B29" s="84">
        <f>SUM(B12:B28)</f>
        <v>9600000</v>
      </c>
      <c r="C29" s="84">
        <f t="shared" ref="C29:F29" si="2">SUM(C12:C28)</f>
        <v>4963700</v>
      </c>
      <c r="D29" s="84">
        <f t="shared" si="2"/>
        <v>0</v>
      </c>
      <c r="E29" s="84">
        <f t="shared" si="2"/>
        <v>1567500</v>
      </c>
      <c r="F29" s="84">
        <f t="shared" si="2"/>
        <v>3155800</v>
      </c>
    </row>
    <row r="30" spans="1:6" ht="14.25" customHeight="1" x14ac:dyDescent="0.25">
      <c r="A30" s="82"/>
      <c r="B30" s="84"/>
      <c r="C30" s="84"/>
      <c r="D30" s="84"/>
      <c r="E30" s="84"/>
      <c r="F30" s="84"/>
    </row>
    <row r="31" spans="1:6" x14ac:dyDescent="0.25">
      <c r="A31" s="82">
        <v>44809</v>
      </c>
      <c r="B31" s="84">
        <v>30000</v>
      </c>
      <c r="C31" s="84">
        <v>30000</v>
      </c>
      <c r="D31" s="83"/>
      <c r="E31" s="84"/>
      <c r="F31" s="85">
        <v>0</v>
      </c>
    </row>
    <row r="32" spans="1:6" x14ac:dyDescent="0.25">
      <c r="A32" s="82">
        <v>44809</v>
      </c>
      <c r="B32" s="84">
        <v>550000</v>
      </c>
      <c r="C32" s="84">
        <v>261000</v>
      </c>
      <c r="D32" s="83" t="s">
        <v>389</v>
      </c>
      <c r="E32" s="84">
        <v>115000</v>
      </c>
      <c r="F32" s="85">
        <v>174000</v>
      </c>
    </row>
    <row r="33" spans="1:6" x14ac:dyDescent="0.25">
      <c r="A33" s="82">
        <v>44809</v>
      </c>
      <c r="B33" s="84">
        <v>220000</v>
      </c>
      <c r="C33" s="84">
        <v>121800</v>
      </c>
      <c r="D33" s="83"/>
      <c r="E33" s="84">
        <v>17000</v>
      </c>
      <c r="F33" s="85">
        <v>81200</v>
      </c>
    </row>
    <row r="34" spans="1:6" x14ac:dyDescent="0.25">
      <c r="A34" s="82">
        <v>44821</v>
      </c>
      <c r="B34" s="84">
        <v>250000</v>
      </c>
      <c r="C34" s="84">
        <v>114000</v>
      </c>
      <c r="D34" s="83"/>
      <c r="E34" s="84">
        <v>60000</v>
      </c>
      <c r="F34" s="85">
        <v>76000</v>
      </c>
    </row>
    <row r="35" spans="1:6" x14ac:dyDescent="0.25">
      <c r="A35" s="82">
        <v>44821</v>
      </c>
      <c r="B35" s="84">
        <v>200000</v>
      </c>
      <c r="C35" s="84">
        <v>120000</v>
      </c>
      <c r="D35" s="83"/>
      <c r="E35" s="84"/>
      <c r="F35" s="85">
        <v>80000</v>
      </c>
    </row>
    <row r="36" spans="1:6" x14ac:dyDescent="0.25">
      <c r="A36" s="82">
        <v>44821</v>
      </c>
      <c r="B36" s="84">
        <v>50000</v>
      </c>
      <c r="C36" s="84">
        <v>30000</v>
      </c>
      <c r="D36" s="83"/>
      <c r="E36" s="84"/>
      <c r="F36" s="85">
        <v>20000</v>
      </c>
    </row>
    <row r="37" spans="1:6" x14ac:dyDescent="0.25">
      <c r="A37" s="82">
        <v>44821</v>
      </c>
      <c r="B37" s="84">
        <v>50000</v>
      </c>
      <c r="C37" s="84">
        <v>30000</v>
      </c>
      <c r="D37" s="83"/>
      <c r="E37" s="84"/>
      <c r="F37" s="85">
        <v>20000</v>
      </c>
    </row>
    <row r="38" spans="1:6" x14ac:dyDescent="0.25">
      <c r="A38" s="82">
        <v>44821</v>
      </c>
      <c r="B38" s="84">
        <v>20000</v>
      </c>
      <c r="C38" s="84">
        <v>20000</v>
      </c>
      <c r="D38" s="83"/>
      <c r="E38" s="84"/>
      <c r="F38" s="85">
        <v>0</v>
      </c>
    </row>
    <row r="39" spans="1:6" x14ac:dyDescent="0.25">
      <c r="A39" s="82">
        <v>44823</v>
      </c>
      <c r="B39" s="84">
        <v>1500000</v>
      </c>
      <c r="C39" s="84">
        <v>723300</v>
      </c>
      <c r="D39" s="83" t="s">
        <v>406</v>
      </c>
      <c r="E39" s="84">
        <v>294500</v>
      </c>
      <c r="F39" s="85">
        <v>482200</v>
      </c>
    </row>
    <row r="40" spans="1:6" x14ac:dyDescent="0.25">
      <c r="A40" s="82">
        <v>44823</v>
      </c>
      <c r="B40" s="84">
        <v>350000</v>
      </c>
      <c r="C40" s="84">
        <v>184800</v>
      </c>
      <c r="D40" s="83" t="s">
        <v>415</v>
      </c>
      <c r="E40" s="84">
        <v>42000</v>
      </c>
      <c r="F40" s="85">
        <v>123200</v>
      </c>
    </row>
    <row r="41" spans="1:6" x14ac:dyDescent="0.25">
      <c r="A41" s="82">
        <v>44827</v>
      </c>
      <c r="B41" s="84">
        <v>400000</v>
      </c>
      <c r="C41" s="84">
        <v>204900</v>
      </c>
      <c r="D41" s="83" t="s">
        <v>416</v>
      </c>
      <c r="E41" s="84">
        <v>58500</v>
      </c>
      <c r="F41" s="85">
        <v>136600</v>
      </c>
    </row>
    <row r="42" spans="1:6" x14ac:dyDescent="0.25">
      <c r="A42" s="92">
        <v>44828</v>
      </c>
      <c r="B42" s="65">
        <v>80000</v>
      </c>
      <c r="C42" s="65">
        <v>48000</v>
      </c>
      <c r="D42" s="64"/>
      <c r="E42" s="65"/>
      <c r="F42" s="94">
        <v>32000</v>
      </c>
    </row>
    <row r="43" spans="1:6" x14ac:dyDescent="0.25">
      <c r="A43" s="91">
        <v>44828</v>
      </c>
      <c r="B43" s="66">
        <v>400000</v>
      </c>
      <c r="C43" s="66">
        <v>180000</v>
      </c>
      <c r="D43" s="57"/>
      <c r="E43" s="66">
        <v>100000</v>
      </c>
      <c r="F43" s="93">
        <v>120000</v>
      </c>
    </row>
    <row r="44" spans="1:6" x14ac:dyDescent="0.25">
      <c r="A44" s="92">
        <v>44828</v>
      </c>
      <c r="B44" s="65">
        <v>30000</v>
      </c>
      <c r="C44" s="65">
        <v>20000</v>
      </c>
      <c r="D44" s="64"/>
      <c r="E44" s="65"/>
      <c r="F44" s="94">
        <v>10000</v>
      </c>
    </row>
    <row r="45" spans="1:6" x14ac:dyDescent="0.25">
      <c r="A45" t="s">
        <v>473</v>
      </c>
      <c r="B45" s="4">
        <f>SUM(B31:B44)</f>
        <v>4130000</v>
      </c>
      <c r="C45" s="4">
        <f t="shared" ref="C45:F45" si="3">SUM(C31:C44)</f>
        <v>2087800</v>
      </c>
      <c r="D45" s="4">
        <f t="shared" si="3"/>
        <v>0</v>
      </c>
      <c r="E45" s="4">
        <f t="shared" si="3"/>
        <v>687000</v>
      </c>
      <c r="F45" s="4">
        <f t="shared" si="3"/>
        <v>1355200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42B9B-AC6F-47EB-B3BA-9E942290F896}">
  <sheetPr>
    <tabColor theme="4" tint="-0.249977111117893"/>
  </sheetPr>
  <dimension ref="A1:P59"/>
  <sheetViews>
    <sheetView workbookViewId="0">
      <selection activeCell="M11" sqref="M11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1" max="12" width="14.5703125" bestFit="1" customWidth="1"/>
    <col min="13" max="13" width="15.140625" bestFit="1" customWidth="1"/>
    <col min="16" max="16" width="12.5703125" bestFit="1" customWidth="1"/>
  </cols>
  <sheetData>
    <row r="1" spans="1:16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6" x14ac:dyDescent="0.25">
      <c r="A2" s="7" t="s">
        <v>18</v>
      </c>
      <c r="B2" s="122" t="s">
        <v>269</v>
      </c>
      <c r="C2" s="122"/>
      <c r="D2" s="122"/>
      <c r="F2" s="7" t="s">
        <v>19</v>
      </c>
      <c r="H2" s="9">
        <v>44730</v>
      </c>
    </row>
    <row r="3" spans="1:16" x14ac:dyDescent="0.25">
      <c r="A3" s="7" t="s">
        <v>20</v>
      </c>
      <c r="B3" s="122" t="s">
        <v>270</v>
      </c>
      <c r="C3" s="122"/>
      <c r="D3" s="122"/>
      <c r="F3" s="7" t="s">
        <v>21</v>
      </c>
      <c r="H3" s="9"/>
    </row>
    <row r="4" spans="1:16" x14ac:dyDescent="0.25">
      <c r="A4" s="7" t="s">
        <v>22</v>
      </c>
      <c r="B4" s="122" t="s">
        <v>271</v>
      </c>
      <c r="C4" s="122"/>
      <c r="D4" s="122"/>
      <c r="P4" s="61">
        <v>60000</v>
      </c>
    </row>
    <row r="5" spans="1:16" x14ac:dyDescent="0.25">
      <c r="A5" s="7" t="s">
        <v>23</v>
      </c>
      <c r="B5" s="122"/>
      <c r="C5" s="122"/>
      <c r="P5" s="61">
        <v>46000</v>
      </c>
    </row>
    <row r="6" spans="1:16" x14ac:dyDescent="0.25">
      <c r="A6" s="7" t="s">
        <v>24</v>
      </c>
      <c r="B6" s="123"/>
      <c r="C6" s="122"/>
      <c r="P6" s="61">
        <v>110000</v>
      </c>
    </row>
    <row r="7" spans="1:16" x14ac:dyDescent="0.25">
      <c r="P7" s="61">
        <v>10000</v>
      </c>
    </row>
    <row r="8" spans="1:16" x14ac:dyDescent="0.25">
      <c r="K8" s="39">
        <f>B9-H9-H25</f>
        <v>820560</v>
      </c>
      <c r="P8" s="61">
        <v>20000</v>
      </c>
    </row>
    <row r="9" spans="1:16" x14ac:dyDescent="0.25">
      <c r="A9" s="7" t="s">
        <v>25</v>
      </c>
      <c r="B9" s="126">
        <v>2800000</v>
      </c>
      <c r="C9" s="126"/>
      <c r="D9" s="126"/>
      <c r="E9" s="7" t="s">
        <v>26</v>
      </c>
      <c r="F9" s="7"/>
      <c r="H9" s="10">
        <f>(B9-H25)*0.6</f>
        <v>1230840</v>
      </c>
      <c r="L9" s="39"/>
      <c r="P9" s="61">
        <v>12000</v>
      </c>
    </row>
    <row r="10" spans="1:16" x14ac:dyDescent="0.25">
      <c r="K10" s="39"/>
      <c r="P10" s="61">
        <v>70000</v>
      </c>
    </row>
    <row r="11" spans="1:16" ht="15.75" thickBot="1" x14ac:dyDescent="0.3">
      <c r="B11" s="1"/>
      <c r="C11" s="1"/>
      <c r="D11" s="1"/>
      <c r="E11" s="1"/>
      <c r="F11" s="1"/>
      <c r="G11" s="5"/>
      <c r="H11" s="1"/>
      <c r="P11" s="61">
        <v>190000</v>
      </c>
    </row>
    <row r="12" spans="1:16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  <c r="P12" s="61">
        <v>23000</v>
      </c>
    </row>
    <row r="13" spans="1:16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  <c r="P13" s="61">
        <v>30000</v>
      </c>
    </row>
    <row r="14" spans="1:16" x14ac:dyDescent="0.25">
      <c r="A14" s="3">
        <v>44730</v>
      </c>
      <c r="B14" s="124">
        <v>16094</v>
      </c>
      <c r="C14" s="124"/>
      <c r="D14" s="124"/>
      <c r="E14" s="124"/>
      <c r="F14" s="124"/>
      <c r="G14" s="125">
        <v>318700</v>
      </c>
      <c r="H14" s="125"/>
      <c r="L14" s="39"/>
      <c r="P14" s="61">
        <v>406000</v>
      </c>
    </row>
    <row r="15" spans="1:16" x14ac:dyDescent="0.25">
      <c r="A15" s="17"/>
      <c r="B15" s="124"/>
      <c r="C15" s="124"/>
      <c r="D15" s="124"/>
      <c r="E15" s="124" t="s">
        <v>279</v>
      </c>
      <c r="F15" s="124"/>
      <c r="G15" s="125">
        <v>24000</v>
      </c>
      <c r="H15" s="125"/>
      <c r="L15" s="39"/>
      <c r="P15" s="61">
        <f>SUM(P4:P14)</f>
        <v>977000</v>
      </c>
    </row>
    <row r="16" spans="1:16" x14ac:dyDescent="0.25">
      <c r="A16" s="17">
        <v>44733</v>
      </c>
      <c r="B16" s="124">
        <v>2552</v>
      </c>
      <c r="C16" s="124"/>
      <c r="D16" s="124"/>
      <c r="E16" s="124"/>
      <c r="F16" s="124"/>
      <c r="G16" s="125">
        <v>143400</v>
      </c>
      <c r="H16" s="125"/>
      <c r="L16" s="4"/>
      <c r="M16" s="4"/>
      <c r="P16" s="61"/>
    </row>
    <row r="17" spans="1:16" x14ac:dyDescent="0.25">
      <c r="A17" s="17"/>
      <c r="B17" s="124"/>
      <c r="C17" s="124"/>
      <c r="D17" s="124"/>
      <c r="E17" s="124" t="s">
        <v>84</v>
      </c>
      <c r="F17" s="124"/>
      <c r="G17" s="125">
        <v>5500</v>
      </c>
      <c r="H17" s="125"/>
      <c r="P17" s="61"/>
    </row>
    <row r="18" spans="1:16" x14ac:dyDescent="0.25">
      <c r="A18" s="17">
        <v>44748</v>
      </c>
      <c r="B18" s="124">
        <v>2573</v>
      </c>
      <c r="C18" s="124"/>
      <c r="D18" s="124"/>
      <c r="E18" s="124" t="s">
        <v>308</v>
      </c>
      <c r="F18" s="124"/>
      <c r="G18" s="125">
        <f>105000+12000+65000</f>
        <v>182000</v>
      </c>
      <c r="H18" s="125"/>
      <c r="P18" s="61"/>
    </row>
    <row r="19" spans="1:16" x14ac:dyDescent="0.25">
      <c r="A19" s="17"/>
      <c r="B19" s="124"/>
      <c r="C19" s="124"/>
      <c r="D19" s="124"/>
      <c r="E19" s="124" t="s">
        <v>154</v>
      </c>
      <c r="F19" s="124"/>
      <c r="G19" s="125">
        <v>65000</v>
      </c>
      <c r="H19" s="125"/>
      <c r="P19" s="61">
        <f>1300000-P15</f>
        <v>323000</v>
      </c>
    </row>
    <row r="20" spans="1:16" x14ac:dyDescent="0.25">
      <c r="A20" s="17"/>
      <c r="B20" s="124"/>
      <c r="C20" s="124"/>
      <c r="D20" s="124"/>
      <c r="E20" s="124" t="s">
        <v>309</v>
      </c>
      <c r="F20" s="124"/>
      <c r="G20" s="125">
        <v>10000</v>
      </c>
      <c r="H20" s="125"/>
    </row>
    <row r="21" spans="1:16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16" x14ac:dyDescent="0.25">
      <c r="A22" s="17"/>
      <c r="B22" s="124"/>
      <c r="C22" s="124"/>
      <c r="D22" s="124"/>
      <c r="E22" s="124"/>
      <c r="F22" s="124"/>
      <c r="G22" s="131"/>
      <c r="H22" s="131"/>
    </row>
    <row r="23" spans="1:16" x14ac:dyDescent="0.25">
      <c r="A23" s="17"/>
      <c r="B23" s="124"/>
      <c r="C23" s="124"/>
      <c r="D23" s="124"/>
      <c r="E23" s="124"/>
      <c r="F23" s="124"/>
      <c r="G23" s="125"/>
      <c r="H23" s="125"/>
    </row>
    <row r="24" spans="1:16" x14ac:dyDescent="0.25">
      <c r="A24" s="17"/>
      <c r="B24" s="124"/>
      <c r="C24" s="124"/>
      <c r="D24" s="124"/>
      <c r="E24" s="124"/>
      <c r="F24" s="124"/>
      <c r="G24" s="131"/>
      <c r="H24" s="131"/>
    </row>
    <row r="25" spans="1:16" ht="15.75" thickBot="1" x14ac:dyDescent="0.3">
      <c r="A25" s="3"/>
      <c r="F25" s="133" t="s">
        <v>32</v>
      </c>
      <c r="G25" s="133"/>
      <c r="H25" s="12">
        <f>SUM(G14:H24)</f>
        <v>748600</v>
      </c>
    </row>
    <row r="27" spans="1:16" ht="15.75" thickBot="1" x14ac:dyDescent="0.3"/>
    <row r="28" spans="1:16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16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16" x14ac:dyDescent="0.25">
      <c r="A30" s="38">
        <v>44730</v>
      </c>
      <c r="B30" s="137"/>
      <c r="C30" s="137"/>
      <c r="D30" s="137"/>
      <c r="E30" s="132">
        <v>718700</v>
      </c>
      <c r="F30" s="132"/>
      <c r="G30" s="144">
        <f>B9-E34</f>
        <v>81300</v>
      </c>
      <c r="H30" s="145"/>
    </row>
    <row r="31" spans="1:16" x14ac:dyDescent="0.25">
      <c r="A31" s="17">
        <v>44733</v>
      </c>
      <c r="B31" s="124"/>
      <c r="C31" s="124"/>
      <c r="D31" s="124"/>
      <c r="E31" s="131">
        <v>1000000</v>
      </c>
      <c r="F31" s="131"/>
      <c r="G31" s="132"/>
      <c r="H31" s="132"/>
    </row>
    <row r="32" spans="1:16" x14ac:dyDescent="0.25">
      <c r="A32" s="17">
        <v>44751</v>
      </c>
      <c r="B32" s="124"/>
      <c r="C32" s="124"/>
      <c r="D32" s="124"/>
      <c r="E32" s="131">
        <v>1000000</v>
      </c>
      <c r="F32" s="131"/>
      <c r="G32" s="132"/>
      <c r="H32" s="132"/>
    </row>
    <row r="33" spans="1:11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11" ht="15.75" thickBot="1" x14ac:dyDescent="0.3">
      <c r="A34" s="140" t="s">
        <v>36</v>
      </c>
      <c r="B34" s="140"/>
      <c r="C34" s="140"/>
      <c r="D34" s="140"/>
      <c r="E34" s="141">
        <f>SUM(E30:F33)</f>
        <v>2718700</v>
      </c>
      <c r="F34" s="142"/>
      <c r="G34" s="141"/>
      <c r="H34" s="143"/>
    </row>
    <row r="36" spans="1:11" ht="15.75" thickBot="1" x14ac:dyDescent="0.3"/>
    <row r="37" spans="1:11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11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  <c r="K38" s="39">
        <f>445200+G39</f>
        <v>1090040</v>
      </c>
    </row>
    <row r="39" spans="1:11" x14ac:dyDescent="0.25">
      <c r="A39" s="16">
        <v>44730</v>
      </c>
      <c r="B39" s="124"/>
      <c r="C39" s="124"/>
      <c r="D39" s="124"/>
      <c r="E39" s="131">
        <v>78700</v>
      </c>
      <c r="F39" s="131"/>
      <c r="G39" s="138">
        <f>H9-E59</f>
        <v>644840</v>
      </c>
      <c r="H39" s="138"/>
    </row>
    <row r="40" spans="1:11" x14ac:dyDescent="0.25">
      <c r="A40" s="16">
        <v>44737</v>
      </c>
      <c r="B40" s="124"/>
      <c r="C40" s="124"/>
      <c r="D40" s="124"/>
      <c r="E40" s="131">
        <v>507300</v>
      </c>
      <c r="F40" s="131"/>
      <c r="G40" s="138"/>
      <c r="H40" s="138"/>
    </row>
    <row r="41" spans="1:11" x14ac:dyDescent="0.25">
      <c r="A41" s="16">
        <v>44751</v>
      </c>
      <c r="B41" s="124"/>
      <c r="C41" s="124"/>
      <c r="D41" s="124"/>
      <c r="E41" s="131"/>
      <c r="F41" s="131"/>
      <c r="G41" s="138"/>
      <c r="H41" s="138"/>
    </row>
    <row r="42" spans="1:11" x14ac:dyDescent="0.25">
      <c r="A42" s="15"/>
      <c r="B42" s="124"/>
      <c r="C42" s="124"/>
      <c r="D42" s="124"/>
      <c r="E42" s="131"/>
      <c r="F42" s="131"/>
      <c r="G42" s="138"/>
      <c r="H42" s="138"/>
    </row>
    <row r="43" spans="1:11" x14ac:dyDescent="0.25">
      <c r="A43" s="15"/>
      <c r="B43" s="124"/>
      <c r="C43" s="124"/>
      <c r="D43" s="124"/>
      <c r="E43" s="131"/>
      <c r="F43" s="131"/>
      <c r="G43" s="138"/>
      <c r="H43" s="138"/>
    </row>
    <row r="44" spans="1:11" x14ac:dyDescent="0.25">
      <c r="A44" s="15"/>
      <c r="B44" s="124"/>
      <c r="C44" s="124"/>
      <c r="D44" s="124"/>
      <c r="E44" s="131"/>
      <c r="F44" s="131"/>
      <c r="G44" s="138"/>
      <c r="H44" s="138"/>
    </row>
    <row r="45" spans="1:11" x14ac:dyDescent="0.25">
      <c r="A45" s="15"/>
      <c r="B45" s="124"/>
      <c r="C45" s="124"/>
      <c r="D45" s="124"/>
      <c r="E45" s="131"/>
      <c r="F45" s="131"/>
      <c r="G45" s="138"/>
      <c r="H45" s="138"/>
    </row>
    <row r="46" spans="1:11" x14ac:dyDescent="0.25">
      <c r="A46" s="15"/>
      <c r="B46" s="124"/>
      <c r="C46" s="124"/>
      <c r="D46" s="124"/>
      <c r="E46" s="131"/>
      <c r="F46" s="131"/>
      <c r="G46" s="138"/>
      <c r="H46" s="138"/>
    </row>
    <row r="47" spans="1:11" x14ac:dyDescent="0.25">
      <c r="A47" s="15"/>
      <c r="B47" s="124"/>
      <c r="C47" s="124"/>
      <c r="D47" s="124"/>
      <c r="E47" s="131"/>
      <c r="F47" s="131"/>
      <c r="G47" s="138"/>
      <c r="H47" s="138"/>
    </row>
    <row r="48" spans="1:11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586000</v>
      </c>
      <c r="F59" s="142"/>
      <c r="G59" s="138">
        <f>H13-E59</f>
        <v>-586000</v>
      </c>
      <c r="H59" s="138"/>
    </row>
  </sheetData>
  <mergeCells count="131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</mergeCells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23413-AAB8-4B55-993B-F992A6CCD965}">
  <sheetPr>
    <tabColor theme="4" tint="-0.249977111117893"/>
  </sheetPr>
  <dimension ref="A1:M59"/>
  <sheetViews>
    <sheetView workbookViewId="0">
      <selection activeCell="L28" sqref="L28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3" bestFit="1" customWidth="1"/>
    <col min="11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319</v>
      </c>
      <c r="C2" s="122"/>
      <c r="D2" s="122"/>
      <c r="F2" s="7" t="s">
        <v>19</v>
      </c>
      <c r="H2" s="9">
        <v>44754</v>
      </c>
    </row>
    <row r="3" spans="1:13" x14ac:dyDescent="0.25">
      <c r="A3" s="7" t="s">
        <v>20</v>
      </c>
      <c r="B3" s="122" t="s">
        <v>320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318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9" spans="1:13" x14ac:dyDescent="0.25">
      <c r="A9" s="7" t="s">
        <v>25</v>
      </c>
      <c r="B9" s="126">
        <v>2000000</v>
      </c>
      <c r="C9" s="126"/>
      <c r="D9" s="126"/>
      <c r="E9" s="7" t="s">
        <v>26</v>
      </c>
      <c r="F9" s="7"/>
      <c r="H9" s="10">
        <f>(B9-H25)*0.6</f>
        <v>911160</v>
      </c>
      <c r="J9" s="39"/>
      <c r="K9" s="39">
        <f>B9-H9-H25</f>
        <v>607440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/>
      <c r="B14" s="124"/>
      <c r="C14" s="124"/>
      <c r="D14" s="124"/>
      <c r="E14" s="124" t="s">
        <v>325</v>
      </c>
      <c r="F14" s="124"/>
      <c r="G14" s="125">
        <f>85000+1800+1800+1800</f>
        <v>90400</v>
      </c>
      <c r="H14" s="125"/>
      <c r="L14" s="39"/>
    </row>
    <row r="15" spans="1:13" x14ac:dyDescent="0.25">
      <c r="A15" s="17"/>
      <c r="B15" s="124">
        <v>2601</v>
      </c>
      <c r="C15" s="124"/>
      <c r="D15" s="124"/>
      <c r="E15" s="124" t="s">
        <v>326</v>
      </c>
      <c r="F15" s="124"/>
      <c r="G15" s="125">
        <v>151000</v>
      </c>
      <c r="H15" s="125"/>
      <c r="L15" s="39"/>
    </row>
    <row r="16" spans="1:13" x14ac:dyDescent="0.25">
      <c r="A16" s="17"/>
      <c r="B16" s="124"/>
      <c r="C16" s="124"/>
      <c r="D16" s="124"/>
      <c r="E16" s="124"/>
      <c r="F16" s="124"/>
      <c r="G16" s="125">
        <v>240000</v>
      </c>
      <c r="H16" s="125"/>
      <c r="L16" s="4"/>
      <c r="M16" s="4"/>
    </row>
    <row r="17" spans="1:9" x14ac:dyDescent="0.25">
      <c r="A17" s="17"/>
      <c r="B17" s="124"/>
      <c r="C17" s="124"/>
      <c r="D17" s="124"/>
      <c r="E17" s="124"/>
      <c r="F17" s="124"/>
      <c r="G17" s="125"/>
      <c r="H17" s="125"/>
    </row>
    <row r="18" spans="1:9" x14ac:dyDescent="0.25">
      <c r="A18" s="17"/>
      <c r="B18" s="124"/>
      <c r="C18" s="124"/>
      <c r="D18" s="124"/>
      <c r="E18" s="124"/>
      <c r="F18" s="124"/>
      <c r="G18" s="125"/>
      <c r="H18" s="125"/>
    </row>
    <row r="19" spans="1:9" x14ac:dyDescent="0.25">
      <c r="A19" s="17"/>
      <c r="B19" s="124"/>
      <c r="C19" s="124"/>
      <c r="D19" s="124"/>
      <c r="E19" s="124"/>
      <c r="F19" s="124"/>
      <c r="G19" s="125"/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481400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>
        <v>44754</v>
      </c>
      <c r="B30" s="137"/>
      <c r="C30" s="137"/>
      <c r="D30" s="137"/>
      <c r="E30" s="132">
        <v>1000000</v>
      </c>
      <c r="F30" s="132"/>
      <c r="G30" s="132"/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1000000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/>
      <c r="B39" s="146">
        <v>44758</v>
      </c>
      <c r="C39" s="124"/>
      <c r="D39" s="124"/>
      <c r="E39" s="131">
        <v>110000</v>
      </c>
      <c r="F39" s="131"/>
      <c r="G39" s="138"/>
      <c r="H39" s="138"/>
    </row>
    <row r="40" spans="1:8" x14ac:dyDescent="0.25">
      <c r="A40" s="16"/>
      <c r="B40" s="146">
        <v>44765</v>
      </c>
      <c r="C40" s="124"/>
      <c r="D40" s="124"/>
      <c r="E40" s="131">
        <v>538000</v>
      </c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648000</v>
      </c>
      <c r="F59" s="142"/>
      <c r="G59" s="138">
        <f>H9-E59</f>
        <v>263160</v>
      </c>
      <c r="H59" s="138"/>
    </row>
  </sheetData>
  <mergeCells count="131"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</mergeCells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6DB0B2-2C6E-428D-93B9-B42DA3671AE7}">
  <sheetPr>
    <tabColor theme="1" tint="0.249977111117893"/>
  </sheetPr>
  <dimension ref="A1:M69"/>
  <sheetViews>
    <sheetView topLeftCell="A51" workbookViewId="0">
      <selection sqref="A1:I69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182</v>
      </c>
      <c r="C2" s="122"/>
      <c r="D2" s="122"/>
      <c r="F2" s="7" t="s">
        <v>19</v>
      </c>
      <c r="H2" s="9">
        <v>44932</v>
      </c>
    </row>
    <row r="3" spans="1:13" x14ac:dyDescent="0.25">
      <c r="A3" s="7" t="s">
        <v>20</v>
      </c>
      <c r="B3" s="122" t="s">
        <v>139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436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9" spans="1:13" x14ac:dyDescent="0.25">
      <c r="A9" s="7" t="s">
        <v>25</v>
      </c>
      <c r="B9" s="126">
        <v>6000000</v>
      </c>
      <c r="C9" s="126"/>
      <c r="D9" s="126"/>
      <c r="E9" s="7" t="s">
        <v>26</v>
      </c>
      <c r="F9" s="7"/>
      <c r="H9" s="10">
        <f>(B9-H35)*0.6</f>
        <v>2984100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44938</v>
      </c>
      <c r="B14" s="124"/>
      <c r="C14" s="124"/>
      <c r="D14" s="124"/>
      <c r="E14" s="124" t="s">
        <v>584</v>
      </c>
      <c r="F14" s="124"/>
      <c r="G14" s="125">
        <v>20000</v>
      </c>
      <c r="H14" s="125"/>
      <c r="L14" s="39"/>
    </row>
    <row r="15" spans="1:13" x14ac:dyDescent="0.25">
      <c r="A15" s="17">
        <v>44940</v>
      </c>
      <c r="B15" s="124"/>
      <c r="C15" s="124"/>
      <c r="D15" s="124"/>
      <c r="E15" s="124" t="s">
        <v>590</v>
      </c>
      <c r="F15" s="124"/>
      <c r="G15" s="125">
        <v>2700</v>
      </c>
      <c r="H15" s="125"/>
      <c r="L15" s="39"/>
    </row>
    <row r="16" spans="1:13" x14ac:dyDescent="0.25">
      <c r="A16" s="17">
        <v>44942</v>
      </c>
      <c r="B16" s="124"/>
      <c r="C16" s="124"/>
      <c r="D16" s="124"/>
      <c r="E16" s="124" t="s">
        <v>591</v>
      </c>
      <c r="F16" s="124"/>
      <c r="G16" s="125">
        <f>2700*2</f>
        <v>5400</v>
      </c>
      <c r="H16" s="125"/>
      <c r="L16" s="4"/>
      <c r="M16" s="4"/>
    </row>
    <row r="17" spans="1:9" x14ac:dyDescent="0.25">
      <c r="A17" s="17">
        <v>44943</v>
      </c>
      <c r="B17" s="124"/>
      <c r="C17" s="124"/>
      <c r="D17" s="124"/>
      <c r="E17" s="124" t="s">
        <v>118</v>
      </c>
      <c r="F17" s="124"/>
      <c r="G17" s="125">
        <v>6200</v>
      </c>
      <c r="H17" s="125"/>
    </row>
    <row r="18" spans="1:9" x14ac:dyDescent="0.25">
      <c r="A18" s="17">
        <v>44949</v>
      </c>
      <c r="B18" s="124">
        <v>23012023</v>
      </c>
      <c r="C18" s="124"/>
      <c r="D18" s="124"/>
      <c r="E18" s="150" t="s">
        <v>74</v>
      </c>
      <c r="F18" s="151"/>
      <c r="G18" s="125">
        <v>200000</v>
      </c>
      <c r="H18" s="125"/>
    </row>
    <row r="19" spans="1:9" x14ac:dyDescent="0.25">
      <c r="A19" s="17">
        <v>44950</v>
      </c>
      <c r="B19" s="124"/>
      <c r="C19" s="124"/>
      <c r="D19" s="124"/>
      <c r="E19" s="124" t="s">
        <v>591</v>
      </c>
      <c r="F19" s="124"/>
      <c r="G19" s="125">
        <f>2700*2</f>
        <v>5400</v>
      </c>
      <c r="H19" s="125"/>
    </row>
    <row r="20" spans="1:9" x14ac:dyDescent="0.25">
      <c r="A20" s="17">
        <v>44951</v>
      </c>
      <c r="B20" s="124"/>
      <c r="C20" s="124"/>
      <c r="D20" s="124"/>
      <c r="E20" s="124" t="s">
        <v>590</v>
      </c>
      <c r="F20" s="124"/>
      <c r="G20" s="125">
        <v>2700</v>
      </c>
      <c r="H20" s="125"/>
    </row>
    <row r="21" spans="1:9" x14ac:dyDescent="0.25">
      <c r="A21" s="17">
        <v>44952</v>
      </c>
      <c r="B21" s="124"/>
      <c r="C21" s="124"/>
      <c r="D21" s="124"/>
      <c r="E21" s="124" t="s">
        <v>118</v>
      </c>
      <c r="F21" s="124"/>
      <c r="G21" s="125">
        <v>6200</v>
      </c>
      <c r="H21" s="125"/>
      <c r="I21" s="4"/>
    </row>
    <row r="22" spans="1:9" x14ac:dyDescent="0.25">
      <c r="A22" s="17">
        <v>44957</v>
      </c>
      <c r="B22" s="124"/>
      <c r="C22" s="124"/>
      <c r="D22" s="124"/>
      <c r="E22" s="124" t="s">
        <v>622</v>
      </c>
      <c r="F22" s="124"/>
      <c r="G22" s="131">
        <v>12400</v>
      </c>
      <c r="H22" s="131"/>
    </row>
    <row r="23" spans="1:9" x14ac:dyDescent="0.25">
      <c r="A23" s="17">
        <v>44957</v>
      </c>
      <c r="B23" s="149"/>
      <c r="C23" s="150"/>
      <c r="D23" s="151"/>
      <c r="E23" s="149" t="s">
        <v>610</v>
      </c>
      <c r="F23" s="151"/>
      <c r="G23" s="152">
        <v>13500</v>
      </c>
      <c r="H23" s="153"/>
    </row>
    <row r="24" spans="1:9" x14ac:dyDescent="0.25">
      <c r="A24" s="17">
        <v>44957</v>
      </c>
      <c r="B24" s="149"/>
      <c r="C24" s="150"/>
      <c r="D24" s="151"/>
      <c r="E24" s="149" t="s">
        <v>611</v>
      </c>
      <c r="F24" s="151"/>
      <c r="G24" s="152">
        <v>7500</v>
      </c>
      <c r="H24" s="153"/>
    </row>
    <row r="25" spans="1:9" x14ac:dyDescent="0.25">
      <c r="A25" s="17">
        <v>44958</v>
      </c>
      <c r="B25" s="149"/>
      <c r="C25" s="150"/>
      <c r="D25" s="151"/>
      <c r="E25" s="149" t="s">
        <v>612</v>
      </c>
      <c r="F25" s="151"/>
      <c r="G25" s="152">
        <v>25000</v>
      </c>
      <c r="H25" s="153"/>
    </row>
    <row r="26" spans="1:9" x14ac:dyDescent="0.25">
      <c r="A26" s="17">
        <v>44958</v>
      </c>
      <c r="B26" s="149"/>
      <c r="C26" s="150"/>
      <c r="D26" s="151"/>
      <c r="E26" s="149" t="s">
        <v>621</v>
      </c>
      <c r="F26" s="151"/>
      <c r="G26" s="152">
        <v>26000</v>
      </c>
      <c r="H26" s="153"/>
    </row>
    <row r="27" spans="1:9" x14ac:dyDescent="0.25">
      <c r="A27" s="17">
        <v>44958</v>
      </c>
      <c r="B27" s="149"/>
      <c r="C27" s="150"/>
      <c r="D27" s="151"/>
      <c r="E27" s="149" t="s">
        <v>613</v>
      </c>
      <c r="F27" s="151"/>
      <c r="G27" s="152">
        <v>18000</v>
      </c>
      <c r="H27" s="153"/>
    </row>
    <row r="28" spans="1:9" x14ac:dyDescent="0.25">
      <c r="A28" s="17">
        <v>44958</v>
      </c>
      <c r="B28" s="124"/>
      <c r="C28" s="124"/>
      <c r="D28" s="124"/>
      <c r="E28" s="124" t="s">
        <v>614</v>
      </c>
      <c r="F28" s="124"/>
      <c r="G28" s="125">
        <v>13000</v>
      </c>
      <c r="H28" s="125"/>
    </row>
    <row r="29" spans="1:9" x14ac:dyDescent="0.25">
      <c r="A29" s="17"/>
      <c r="B29" s="149"/>
      <c r="C29" s="150"/>
      <c r="D29" s="151"/>
      <c r="E29" s="149" t="s">
        <v>615</v>
      </c>
      <c r="F29" s="151"/>
      <c r="G29" s="147">
        <v>70000</v>
      </c>
      <c r="H29" s="148"/>
    </row>
    <row r="30" spans="1:9" x14ac:dyDescent="0.25">
      <c r="A30" s="17"/>
      <c r="B30" s="149"/>
      <c r="C30" s="150"/>
      <c r="D30" s="151"/>
      <c r="E30" s="149" t="s">
        <v>616</v>
      </c>
      <c r="F30" s="151"/>
      <c r="G30" s="147">
        <v>25000</v>
      </c>
      <c r="H30" s="148"/>
    </row>
    <row r="31" spans="1:9" x14ac:dyDescent="0.25">
      <c r="A31" s="17"/>
      <c r="B31" s="149"/>
      <c r="C31" s="150"/>
      <c r="D31" s="151"/>
      <c r="E31" s="149" t="s">
        <v>617</v>
      </c>
      <c r="F31" s="151"/>
      <c r="G31" s="147">
        <v>14000</v>
      </c>
      <c r="H31" s="148"/>
    </row>
    <row r="32" spans="1:9" x14ac:dyDescent="0.25">
      <c r="A32" s="17"/>
      <c r="B32" s="149"/>
      <c r="C32" s="150"/>
      <c r="D32" s="151"/>
      <c r="E32" s="149" t="s">
        <v>618</v>
      </c>
      <c r="F32" s="151"/>
      <c r="G32" s="147">
        <v>19000</v>
      </c>
      <c r="H32" s="148"/>
    </row>
    <row r="33" spans="1:8" x14ac:dyDescent="0.25">
      <c r="A33" s="17"/>
      <c r="B33" s="149"/>
      <c r="C33" s="150"/>
      <c r="D33" s="151"/>
      <c r="E33" s="149" t="s">
        <v>619</v>
      </c>
      <c r="F33" s="151"/>
      <c r="G33" s="147">
        <v>14500</v>
      </c>
      <c r="H33" s="148"/>
    </row>
    <row r="34" spans="1:8" x14ac:dyDescent="0.25">
      <c r="A34" s="17"/>
      <c r="B34" s="124"/>
      <c r="C34" s="124"/>
      <c r="D34" s="124"/>
      <c r="E34" s="124" t="s">
        <v>620</v>
      </c>
      <c r="F34" s="124"/>
      <c r="G34" s="131">
        <v>520000</v>
      </c>
      <c r="H34" s="131"/>
    </row>
    <row r="35" spans="1:8" ht="15.75" thickBot="1" x14ac:dyDescent="0.3">
      <c r="A35" s="3"/>
      <c r="F35" s="133" t="s">
        <v>32</v>
      </c>
      <c r="G35" s="133"/>
      <c r="H35" s="12">
        <f>SUM(G14:H34)</f>
        <v>1026500</v>
      </c>
    </row>
    <row r="37" spans="1:8" ht="15.75" thickBot="1" x14ac:dyDescent="0.3"/>
    <row r="38" spans="1:8" ht="19.5" thickBot="1" x14ac:dyDescent="0.35">
      <c r="A38" s="127" t="s">
        <v>10</v>
      </c>
      <c r="B38" s="128"/>
      <c r="C38" s="128"/>
      <c r="D38" s="128"/>
      <c r="E38" s="128"/>
      <c r="F38" s="128"/>
      <c r="G38" s="128"/>
      <c r="H38" s="129"/>
    </row>
    <row r="39" spans="1:8" ht="15" customHeight="1" thickBot="1" x14ac:dyDescent="0.3">
      <c r="A39" s="13" t="s">
        <v>0</v>
      </c>
      <c r="B39" s="134" t="s">
        <v>33</v>
      </c>
      <c r="C39" s="134"/>
      <c r="D39" s="134"/>
      <c r="E39" s="135" t="s">
        <v>34</v>
      </c>
      <c r="F39" s="135"/>
      <c r="G39" s="135" t="s">
        <v>35</v>
      </c>
      <c r="H39" s="136"/>
    </row>
    <row r="40" spans="1:8" x14ac:dyDescent="0.25">
      <c r="A40" s="38">
        <v>44932</v>
      </c>
      <c r="B40" s="137" t="s">
        <v>585</v>
      </c>
      <c r="C40" s="137"/>
      <c r="D40" s="137"/>
      <c r="E40" s="132">
        <v>3432000</v>
      </c>
      <c r="F40" s="132"/>
      <c r="G40" s="132">
        <f>7140000-E44</f>
        <v>276000</v>
      </c>
      <c r="H40" s="132"/>
    </row>
    <row r="41" spans="1:8" x14ac:dyDescent="0.25">
      <c r="A41" s="17">
        <v>44974</v>
      </c>
      <c r="B41" s="137" t="s">
        <v>585</v>
      </c>
      <c r="C41" s="137"/>
      <c r="D41" s="137"/>
      <c r="E41" s="131">
        <v>3432000</v>
      </c>
      <c r="F41" s="131"/>
      <c r="G41" s="132"/>
      <c r="H41" s="132"/>
    </row>
    <row r="42" spans="1:8" x14ac:dyDescent="0.25">
      <c r="A42" s="15"/>
      <c r="B42" s="124"/>
      <c r="C42" s="124"/>
      <c r="D42" s="124"/>
      <c r="G42" s="132"/>
      <c r="H42" s="132"/>
    </row>
    <row r="43" spans="1:8" ht="15.75" thickBot="1" x14ac:dyDescent="0.3">
      <c r="A43" s="15"/>
      <c r="B43" s="124"/>
      <c r="C43" s="124"/>
      <c r="D43" s="124"/>
      <c r="E43" s="139"/>
      <c r="F43" s="139"/>
      <c r="G43" s="132"/>
      <c r="H43" s="132"/>
    </row>
    <row r="44" spans="1:8" ht="15.75" thickBot="1" x14ac:dyDescent="0.3">
      <c r="A44" s="140" t="s">
        <v>36</v>
      </c>
      <c r="B44" s="140"/>
      <c r="C44" s="140"/>
      <c r="D44" s="140"/>
      <c r="E44" s="141">
        <f>SUM(E40:F43)</f>
        <v>6864000</v>
      </c>
      <c r="F44" s="142"/>
      <c r="G44" s="141"/>
      <c r="H44" s="143"/>
    </row>
    <row r="46" spans="1:8" ht="15.75" thickBot="1" x14ac:dyDescent="0.3"/>
    <row r="47" spans="1:8" ht="19.5" thickBot="1" x14ac:dyDescent="0.35">
      <c r="A47" s="127" t="s">
        <v>37</v>
      </c>
      <c r="B47" s="128"/>
      <c r="C47" s="128"/>
      <c r="D47" s="128"/>
      <c r="E47" s="128"/>
      <c r="F47" s="128"/>
      <c r="G47" s="128"/>
      <c r="H47" s="129"/>
    </row>
    <row r="48" spans="1:8" ht="15.75" thickBot="1" x14ac:dyDescent="0.3">
      <c r="A48" s="13" t="s">
        <v>0</v>
      </c>
      <c r="B48" s="134" t="s">
        <v>33</v>
      </c>
      <c r="C48" s="134"/>
      <c r="D48" s="134"/>
      <c r="E48" s="135" t="s">
        <v>38</v>
      </c>
      <c r="F48" s="135"/>
      <c r="G48" s="135" t="s">
        <v>35</v>
      </c>
      <c r="H48" s="136"/>
    </row>
    <row r="49" spans="1:8" x14ac:dyDescent="0.25">
      <c r="A49" s="16">
        <v>44933</v>
      </c>
      <c r="B49" s="124"/>
      <c r="C49" s="124"/>
      <c r="D49" s="124"/>
      <c r="E49" s="131">
        <v>836000</v>
      </c>
      <c r="F49" s="131"/>
      <c r="G49" s="138">
        <f>H9-E69</f>
        <v>0</v>
      </c>
      <c r="H49" s="138"/>
    </row>
    <row r="50" spans="1:8" x14ac:dyDescent="0.25">
      <c r="A50" s="16">
        <v>44940</v>
      </c>
      <c r="B50" s="124"/>
      <c r="C50" s="124"/>
      <c r="D50" s="124"/>
      <c r="E50" s="131">
        <v>164000</v>
      </c>
      <c r="F50" s="131"/>
      <c r="G50" s="138"/>
      <c r="H50" s="138"/>
    </row>
    <row r="51" spans="1:8" x14ac:dyDescent="0.25">
      <c r="A51" s="16">
        <v>44947</v>
      </c>
      <c r="B51" s="124"/>
      <c r="C51" s="124"/>
      <c r="D51" s="124"/>
      <c r="E51" s="131">
        <v>800000</v>
      </c>
      <c r="F51" s="131"/>
      <c r="G51" s="138"/>
      <c r="H51" s="138"/>
    </row>
    <row r="52" spans="1:8" x14ac:dyDescent="0.25">
      <c r="A52" s="16">
        <v>44975</v>
      </c>
      <c r="B52" s="124"/>
      <c r="C52" s="124"/>
      <c r="D52" s="124"/>
      <c r="E52" s="131">
        <v>1184100</v>
      </c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x14ac:dyDescent="0.25">
      <c r="A60" s="15"/>
      <c r="B60" s="124"/>
      <c r="C60" s="124"/>
      <c r="D60" s="124"/>
      <c r="E60" s="131"/>
      <c r="F60" s="131"/>
      <c r="G60" s="138"/>
      <c r="H60" s="138"/>
    </row>
    <row r="61" spans="1:8" x14ac:dyDescent="0.25">
      <c r="A61" s="15"/>
      <c r="B61" s="124"/>
      <c r="C61" s="124"/>
      <c r="D61" s="124"/>
      <c r="E61" s="131"/>
      <c r="F61" s="131"/>
      <c r="G61" s="138"/>
      <c r="H61" s="138"/>
    </row>
    <row r="62" spans="1:8" x14ac:dyDescent="0.25">
      <c r="A62" s="15"/>
      <c r="B62" s="124"/>
      <c r="C62" s="124"/>
      <c r="D62" s="124"/>
      <c r="E62" s="131"/>
      <c r="F62" s="131"/>
      <c r="G62" s="138"/>
      <c r="H62" s="138"/>
    </row>
    <row r="63" spans="1:8" x14ac:dyDescent="0.25">
      <c r="A63" s="15"/>
      <c r="B63" s="124"/>
      <c r="C63" s="124"/>
      <c r="D63" s="124"/>
      <c r="E63" s="131"/>
      <c r="F63" s="131"/>
      <c r="G63" s="138"/>
      <c r="H63" s="138"/>
    </row>
    <row r="64" spans="1:8" x14ac:dyDescent="0.25">
      <c r="A64" s="15"/>
      <c r="B64" s="124"/>
      <c r="C64" s="124"/>
      <c r="D64" s="124"/>
      <c r="E64" s="131"/>
      <c r="F64" s="131"/>
      <c r="G64" s="138"/>
      <c r="H64" s="138"/>
    </row>
    <row r="65" spans="1:8" x14ac:dyDescent="0.25">
      <c r="A65" s="15"/>
      <c r="B65" s="124"/>
      <c r="C65" s="124"/>
      <c r="D65" s="124"/>
      <c r="E65" s="131"/>
      <c r="F65" s="131"/>
      <c r="G65" s="138"/>
      <c r="H65" s="138"/>
    </row>
    <row r="66" spans="1:8" x14ac:dyDescent="0.25">
      <c r="A66" s="15"/>
      <c r="B66" s="124"/>
      <c r="C66" s="124"/>
      <c r="D66" s="124"/>
      <c r="E66" s="131"/>
      <c r="F66" s="131"/>
      <c r="G66" s="138"/>
      <c r="H66" s="138"/>
    </row>
    <row r="67" spans="1:8" x14ac:dyDescent="0.25">
      <c r="A67" s="15"/>
      <c r="B67" s="124"/>
      <c r="C67" s="124"/>
      <c r="D67" s="124"/>
      <c r="E67" s="131"/>
      <c r="F67" s="131"/>
      <c r="G67" s="138"/>
      <c r="H67" s="138"/>
    </row>
    <row r="68" spans="1:8" ht="15.75" thickBot="1" x14ac:dyDescent="0.3">
      <c r="A68" s="15"/>
      <c r="B68" s="124"/>
      <c r="C68" s="124"/>
      <c r="D68" s="124"/>
      <c r="E68" s="131"/>
      <c r="F68" s="131"/>
      <c r="G68" s="138">
        <f>H12-E68</f>
        <v>0</v>
      </c>
      <c r="H68" s="138"/>
    </row>
    <row r="69" spans="1:8" ht="15.75" thickBot="1" x14ac:dyDescent="0.3">
      <c r="A69" s="140" t="s">
        <v>36</v>
      </c>
      <c r="B69" s="140"/>
      <c r="C69" s="140"/>
      <c r="D69" s="140"/>
      <c r="E69" s="141">
        <f>SUM(E49:F68)</f>
        <v>2984100</v>
      </c>
      <c r="F69" s="142"/>
      <c r="G69" s="138">
        <f>H13-E69</f>
        <v>-2984100</v>
      </c>
      <c r="H69" s="138"/>
    </row>
  </sheetData>
  <mergeCells count="160">
    <mergeCell ref="B68:D68"/>
    <mergeCell ref="E68:F68"/>
    <mergeCell ref="G68:H68"/>
    <mergeCell ref="A69:D69"/>
    <mergeCell ref="E69:F69"/>
    <mergeCell ref="G69:H69"/>
    <mergeCell ref="B66:D66"/>
    <mergeCell ref="E66:F66"/>
    <mergeCell ref="G66:H66"/>
    <mergeCell ref="B67:D67"/>
    <mergeCell ref="E67:F67"/>
    <mergeCell ref="G67:H67"/>
    <mergeCell ref="B64:D64"/>
    <mergeCell ref="E64:F64"/>
    <mergeCell ref="G64:H64"/>
    <mergeCell ref="B65:D65"/>
    <mergeCell ref="E65:F65"/>
    <mergeCell ref="G65:H65"/>
    <mergeCell ref="B62:D62"/>
    <mergeCell ref="E62:F62"/>
    <mergeCell ref="G62:H62"/>
    <mergeCell ref="B63:D63"/>
    <mergeCell ref="E63:F63"/>
    <mergeCell ref="G63:H63"/>
    <mergeCell ref="B60:D60"/>
    <mergeCell ref="E60:F60"/>
    <mergeCell ref="G60:H60"/>
    <mergeCell ref="B61:D61"/>
    <mergeCell ref="E61:F61"/>
    <mergeCell ref="G61:H61"/>
    <mergeCell ref="B58:D58"/>
    <mergeCell ref="E58:F58"/>
    <mergeCell ref="G58:H58"/>
    <mergeCell ref="B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A47:H47"/>
    <mergeCell ref="B48:D48"/>
    <mergeCell ref="E48:F48"/>
    <mergeCell ref="G48:H48"/>
    <mergeCell ref="B49:D49"/>
    <mergeCell ref="E49:F49"/>
    <mergeCell ref="G49:H49"/>
    <mergeCell ref="B43:D43"/>
    <mergeCell ref="E43:F43"/>
    <mergeCell ref="G43:H43"/>
    <mergeCell ref="A44:D44"/>
    <mergeCell ref="E44:F44"/>
    <mergeCell ref="G44:H44"/>
    <mergeCell ref="B41:D41"/>
    <mergeCell ref="G41:H41"/>
    <mergeCell ref="B42:D42"/>
    <mergeCell ref="E41:F41"/>
    <mergeCell ref="G42:H42"/>
    <mergeCell ref="F35:G35"/>
    <mergeCell ref="A38:H38"/>
    <mergeCell ref="B39:D39"/>
    <mergeCell ref="E39:F39"/>
    <mergeCell ref="G39:H39"/>
    <mergeCell ref="B40:D40"/>
    <mergeCell ref="E40:F40"/>
    <mergeCell ref="G40:H40"/>
    <mergeCell ref="B34:D34"/>
    <mergeCell ref="E34:F34"/>
    <mergeCell ref="G34:H34"/>
    <mergeCell ref="B21:D21"/>
    <mergeCell ref="E21:F21"/>
    <mergeCell ref="G21:H21"/>
    <mergeCell ref="B22:D22"/>
    <mergeCell ref="E22:F22"/>
    <mergeCell ref="G22:H22"/>
    <mergeCell ref="B23:D23"/>
    <mergeCell ref="E23:F23"/>
    <mergeCell ref="G23:H23"/>
    <mergeCell ref="B24:D24"/>
    <mergeCell ref="E24:F24"/>
    <mergeCell ref="G24:H24"/>
    <mergeCell ref="B25:D25"/>
    <mergeCell ref="E25:F25"/>
    <mergeCell ref="G25:H25"/>
    <mergeCell ref="B26:D26"/>
    <mergeCell ref="E26:F26"/>
    <mergeCell ref="G26:H26"/>
    <mergeCell ref="B27:D27"/>
    <mergeCell ref="E27:F27"/>
    <mergeCell ref="G27:H27"/>
    <mergeCell ref="B20:D20"/>
    <mergeCell ref="E20:F20"/>
    <mergeCell ref="G20:H20"/>
    <mergeCell ref="B17:D17"/>
    <mergeCell ref="E17:F17"/>
    <mergeCell ref="G17:H17"/>
    <mergeCell ref="B19:D19"/>
    <mergeCell ref="E19:F19"/>
    <mergeCell ref="G19:H19"/>
    <mergeCell ref="G18:H18"/>
    <mergeCell ref="E18:F18"/>
    <mergeCell ref="B18:D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G29:H29"/>
    <mergeCell ref="G30:H30"/>
    <mergeCell ref="G31:H31"/>
    <mergeCell ref="G32:H32"/>
    <mergeCell ref="G33:H33"/>
    <mergeCell ref="B28:D28"/>
    <mergeCell ref="E28:F28"/>
    <mergeCell ref="G28:H28"/>
    <mergeCell ref="B29:D29"/>
    <mergeCell ref="B30:D30"/>
    <mergeCell ref="B31:D31"/>
    <mergeCell ref="B32:D32"/>
    <mergeCell ref="B33:D33"/>
    <mergeCell ref="E29:F29"/>
    <mergeCell ref="E30:F30"/>
    <mergeCell ref="E31:F31"/>
    <mergeCell ref="E32:F32"/>
    <mergeCell ref="E33:F33"/>
  </mergeCells>
  <phoneticPr fontId="9" type="noConversion"/>
  <pageMargins left="0.7" right="0.7" top="0.75" bottom="0.75" header="0.3" footer="0.3"/>
  <pageSetup paperSize="9" orientation="portrait" horizontalDpi="360" verticalDpi="36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C0B50-4753-4778-8C81-EA140142AD24}">
  <sheetPr>
    <tabColor theme="4" tint="-0.249977111117893"/>
  </sheetPr>
  <dimension ref="A1:M61"/>
  <sheetViews>
    <sheetView topLeftCell="A13" workbookViewId="0">
      <selection activeCell="K33" sqref="K33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4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420</v>
      </c>
      <c r="C2" s="122"/>
      <c r="D2" s="122"/>
      <c r="F2" s="7" t="s">
        <v>19</v>
      </c>
      <c r="H2" s="9">
        <v>44830</v>
      </c>
    </row>
    <row r="3" spans="1:13" x14ac:dyDescent="0.25">
      <c r="A3" s="7" t="s">
        <v>20</v>
      </c>
      <c r="B3" s="122"/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582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  <c r="I6" s="39">
        <f>B9-H9-H27</f>
        <v>1549000</v>
      </c>
    </row>
    <row r="9" spans="1:13" x14ac:dyDescent="0.25">
      <c r="A9" s="7" t="s">
        <v>25</v>
      </c>
      <c r="B9" s="126">
        <v>5000000</v>
      </c>
      <c r="C9" s="126"/>
      <c r="D9" s="126"/>
      <c r="E9" s="7" t="s">
        <v>26</v>
      </c>
      <c r="F9" s="7"/>
      <c r="H9" s="10">
        <f>(B9-H27)*0.6</f>
        <v>2323500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44832</v>
      </c>
      <c r="B14" s="124"/>
      <c r="C14" s="124"/>
      <c r="D14" s="124"/>
      <c r="E14" s="124" t="s">
        <v>154</v>
      </c>
      <c r="F14" s="124"/>
      <c r="G14" s="125">
        <v>45000</v>
      </c>
      <c r="H14" s="125"/>
      <c r="L14" s="39"/>
    </row>
    <row r="15" spans="1:13" x14ac:dyDescent="0.25">
      <c r="A15" s="3">
        <v>44832</v>
      </c>
      <c r="B15" s="124"/>
      <c r="C15" s="124"/>
      <c r="D15" s="124"/>
      <c r="E15" s="124" t="s">
        <v>421</v>
      </c>
      <c r="F15" s="124"/>
      <c r="G15" s="125">
        <v>6500</v>
      </c>
      <c r="H15" s="125"/>
      <c r="L15" s="39"/>
    </row>
    <row r="16" spans="1:13" x14ac:dyDescent="0.25">
      <c r="A16" s="17">
        <v>44834</v>
      </c>
      <c r="B16" s="124">
        <v>2870</v>
      </c>
      <c r="C16" s="124"/>
      <c r="D16" s="124"/>
      <c r="E16" s="124"/>
      <c r="F16" s="124"/>
      <c r="G16" s="125">
        <v>100000</v>
      </c>
      <c r="H16" s="125"/>
      <c r="L16" s="4"/>
      <c r="M16" s="4"/>
    </row>
    <row r="17" spans="1:9" x14ac:dyDescent="0.25">
      <c r="A17" s="17">
        <v>44835</v>
      </c>
      <c r="B17" s="124"/>
      <c r="C17" s="124"/>
      <c r="D17" s="124"/>
      <c r="E17" s="124" t="s">
        <v>61</v>
      </c>
      <c r="F17" s="124"/>
      <c r="G17" s="125">
        <v>5200</v>
      </c>
      <c r="H17" s="125"/>
    </row>
    <row r="18" spans="1:9" x14ac:dyDescent="0.25">
      <c r="A18" s="17">
        <v>44854</v>
      </c>
      <c r="B18" s="124"/>
      <c r="C18" s="124"/>
      <c r="D18" s="124"/>
      <c r="E18" s="124" t="s">
        <v>477</v>
      </c>
      <c r="F18" s="124"/>
      <c r="G18" s="125">
        <v>2600</v>
      </c>
      <c r="H18" s="125"/>
    </row>
    <row r="19" spans="1:9" x14ac:dyDescent="0.25">
      <c r="A19" s="17"/>
      <c r="B19" s="124"/>
      <c r="C19" s="124"/>
      <c r="D19" s="124"/>
      <c r="E19" s="124" t="s">
        <v>154</v>
      </c>
      <c r="F19" s="124"/>
      <c r="G19" s="125">
        <v>26000</v>
      </c>
      <c r="H19" s="125"/>
    </row>
    <row r="20" spans="1:9" x14ac:dyDescent="0.25">
      <c r="A20" s="17">
        <v>44855</v>
      </c>
      <c r="B20" s="124"/>
      <c r="C20" s="124"/>
      <c r="D20" s="124"/>
      <c r="E20" s="124" t="s">
        <v>482</v>
      </c>
      <c r="F20" s="124"/>
      <c r="G20" s="125">
        <v>30000</v>
      </c>
      <c r="H20" s="125"/>
    </row>
    <row r="21" spans="1:9" x14ac:dyDescent="0.25">
      <c r="A21" s="17"/>
      <c r="B21" s="124"/>
      <c r="C21" s="124"/>
      <c r="D21" s="124"/>
      <c r="E21" s="124" t="s">
        <v>154</v>
      </c>
      <c r="F21" s="124"/>
      <c r="G21" s="125">
        <v>98000</v>
      </c>
      <c r="H21" s="125"/>
      <c r="I21" s="4"/>
    </row>
    <row r="22" spans="1:9" x14ac:dyDescent="0.25">
      <c r="A22" s="17"/>
      <c r="B22" s="124"/>
      <c r="C22" s="124"/>
      <c r="D22" s="124"/>
      <c r="E22" s="124" t="s">
        <v>154</v>
      </c>
      <c r="F22" s="124"/>
      <c r="G22" s="131">
        <v>20000</v>
      </c>
      <c r="H22" s="131"/>
    </row>
    <row r="23" spans="1:9" x14ac:dyDescent="0.25">
      <c r="A23" s="17">
        <v>44901</v>
      </c>
      <c r="B23" s="124"/>
      <c r="C23" s="124"/>
      <c r="D23" s="124"/>
      <c r="E23" s="124" t="s">
        <v>154</v>
      </c>
      <c r="F23" s="124"/>
      <c r="G23" s="125">
        <v>26000</v>
      </c>
      <c r="H23" s="125"/>
    </row>
    <row r="24" spans="1:9" x14ac:dyDescent="0.25">
      <c r="A24" s="17">
        <v>44931</v>
      </c>
      <c r="B24" s="149"/>
      <c r="C24" s="150"/>
      <c r="D24" s="151"/>
      <c r="E24" s="149" t="s">
        <v>118</v>
      </c>
      <c r="F24" s="151"/>
      <c r="G24" s="147">
        <v>6200</v>
      </c>
      <c r="H24" s="148"/>
    </row>
    <row r="25" spans="1:9" x14ac:dyDescent="0.25">
      <c r="A25" s="17">
        <v>44936</v>
      </c>
      <c r="B25" s="124" t="s">
        <v>583</v>
      </c>
      <c r="C25" s="124"/>
      <c r="D25" s="124"/>
      <c r="E25" s="149"/>
      <c r="F25" s="151"/>
      <c r="G25" s="147">
        <v>762000</v>
      </c>
      <c r="H25" s="148"/>
    </row>
    <row r="26" spans="1:9" x14ac:dyDescent="0.25">
      <c r="A26" s="17"/>
      <c r="B26" s="124"/>
      <c r="C26" s="124"/>
      <c r="D26" s="124"/>
      <c r="E26" s="124"/>
      <c r="F26" s="124"/>
      <c r="G26" s="131"/>
      <c r="H26" s="131"/>
    </row>
    <row r="27" spans="1:9" ht="15.75" thickBot="1" x14ac:dyDescent="0.3">
      <c r="A27" s="3"/>
      <c r="F27" s="133" t="s">
        <v>32</v>
      </c>
      <c r="G27" s="133"/>
      <c r="H27" s="12">
        <f>SUM(G14:H26)</f>
        <v>1127500</v>
      </c>
    </row>
    <row r="29" spans="1:9" ht="15.75" thickBot="1" x14ac:dyDescent="0.3"/>
    <row r="30" spans="1:9" ht="19.5" thickBot="1" x14ac:dyDescent="0.35">
      <c r="A30" s="127" t="s">
        <v>10</v>
      </c>
      <c r="B30" s="128"/>
      <c r="C30" s="128"/>
      <c r="D30" s="128"/>
      <c r="E30" s="128"/>
      <c r="F30" s="128"/>
      <c r="G30" s="128"/>
      <c r="H30" s="129"/>
    </row>
    <row r="31" spans="1:9" ht="15" customHeight="1" thickBot="1" x14ac:dyDescent="0.3">
      <c r="A31" s="13" t="s">
        <v>0</v>
      </c>
      <c r="B31" s="134" t="s">
        <v>33</v>
      </c>
      <c r="C31" s="134"/>
      <c r="D31" s="134"/>
      <c r="E31" s="135" t="s">
        <v>34</v>
      </c>
      <c r="F31" s="135"/>
      <c r="G31" s="135" t="s">
        <v>35</v>
      </c>
      <c r="H31" s="136"/>
    </row>
    <row r="32" spans="1:9" x14ac:dyDescent="0.25">
      <c r="A32" s="38">
        <v>44835</v>
      </c>
      <c r="B32" s="137"/>
      <c r="C32" s="137"/>
      <c r="D32" s="137"/>
      <c r="E32" s="132">
        <v>2000000</v>
      </c>
      <c r="F32" s="132"/>
      <c r="G32" s="132">
        <f>B9-E36</f>
        <v>0</v>
      </c>
      <c r="H32" s="132"/>
    </row>
    <row r="33" spans="1:8" x14ac:dyDescent="0.25">
      <c r="A33" s="17">
        <v>44911</v>
      </c>
      <c r="B33" s="124"/>
      <c r="C33" s="124"/>
      <c r="D33" s="124"/>
      <c r="E33" s="131">
        <v>1000000</v>
      </c>
      <c r="F33" s="131"/>
      <c r="G33" s="132"/>
      <c r="H33" s="132"/>
    </row>
    <row r="34" spans="1:8" x14ac:dyDescent="0.25">
      <c r="A34" s="17">
        <v>44956</v>
      </c>
      <c r="B34" s="124"/>
      <c r="C34" s="124"/>
      <c r="D34" s="124"/>
      <c r="E34" s="131">
        <v>800000</v>
      </c>
      <c r="F34" s="131"/>
      <c r="G34" s="132"/>
      <c r="H34" s="132"/>
    </row>
    <row r="35" spans="1:8" ht="15.75" thickBot="1" x14ac:dyDescent="0.3">
      <c r="A35" s="16">
        <v>44975</v>
      </c>
      <c r="B35" s="124"/>
      <c r="C35" s="124"/>
      <c r="D35" s="124"/>
      <c r="E35" s="139">
        <v>1200000</v>
      </c>
      <c r="F35" s="139"/>
      <c r="G35" s="132"/>
      <c r="H35" s="132"/>
    </row>
    <row r="36" spans="1:8" ht="15.75" thickBot="1" x14ac:dyDescent="0.3">
      <c r="A36" s="140" t="s">
        <v>36</v>
      </c>
      <c r="B36" s="140"/>
      <c r="C36" s="140"/>
      <c r="D36" s="140"/>
      <c r="E36" s="141">
        <f>SUM(E32:F35)</f>
        <v>5000000</v>
      </c>
      <c r="F36" s="142"/>
      <c r="G36" s="141"/>
      <c r="H36" s="143"/>
    </row>
    <row r="38" spans="1:8" ht="15.75" thickBot="1" x14ac:dyDescent="0.3"/>
    <row r="39" spans="1:8" ht="19.5" thickBot="1" x14ac:dyDescent="0.35">
      <c r="A39" s="127" t="s">
        <v>37</v>
      </c>
      <c r="B39" s="128"/>
      <c r="C39" s="128"/>
      <c r="D39" s="128"/>
      <c r="E39" s="128"/>
      <c r="F39" s="128"/>
      <c r="G39" s="128"/>
      <c r="H39" s="129"/>
    </row>
    <row r="40" spans="1:8" ht="15.75" thickBot="1" x14ac:dyDescent="0.3">
      <c r="A40" s="13" t="s">
        <v>0</v>
      </c>
      <c r="B40" s="134" t="s">
        <v>33</v>
      </c>
      <c r="C40" s="134"/>
      <c r="D40" s="134"/>
      <c r="E40" s="135" t="s">
        <v>38</v>
      </c>
      <c r="F40" s="135"/>
      <c r="G40" s="135" t="s">
        <v>35</v>
      </c>
      <c r="H40" s="136"/>
    </row>
    <row r="41" spans="1:8" x14ac:dyDescent="0.25">
      <c r="A41" s="16">
        <v>44834</v>
      </c>
      <c r="B41" s="124"/>
      <c r="C41" s="124"/>
      <c r="D41" s="124"/>
      <c r="E41" s="131">
        <v>726000</v>
      </c>
      <c r="F41" s="131"/>
      <c r="G41" s="138">
        <f>H9-E61</f>
        <v>0</v>
      </c>
      <c r="H41" s="138"/>
    </row>
    <row r="42" spans="1:8" x14ac:dyDescent="0.25">
      <c r="A42" s="16">
        <v>44856</v>
      </c>
      <c r="B42" s="124"/>
      <c r="C42" s="124"/>
      <c r="D42" s="124"/>
      <c r="E42" s="131">
        <v>498000</v>
      </c>
      <c r="F42" s="131"/>
      <c r="G42" s="138"/>
      <c r="H42" s="138"/>
    </row>
    <row r="43" spans="1:8" x14ac:dyDescent="0.25">
      <c r="A43" s="16">
        <v>44919</v>
      </c>
      <c r="B43" s="124"/>
      <c r="C43" s="124"/>
      <c r="D43" s="124"/>
      <c r="E43" s="131">
        <v>920000</v>
      </c>
      <c r="F43" s="131"/>
      <c r="G43" s="138"/>
      <c r="H43" s="138"/>
    </row>
    <row r="44" spans="1:8" x14ac:dyDescent="0.25">
      <c r="A44" s="16">
        <v>44940</v>
      </c>
      <c r="B44" s="124"/>
      <c r="C44" s="124"/>
      <c r="D44" s="124"/>
      <c r="E44" s="131">
        <v>179500</v>
      </c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ht="15.75" thickBot="1" x14ac:dyDescent="0.3">
      <c r="A60" s="15"/>
      <c r="B60" s="124"/>
      <c r="C60" s="124"/>
      <c r="D60" s="124"/>
      <c r="E60" s="131"/>
      <c r="F60" s="131"/>
      <c r="G60" s="138">
        <f>H12-E60</f>
        <v>0</v>
      </c>
      <c r="H60" s="138"/>
    </row>
    <row r="61" spans="1:8" ht="15.75" thickBot="1" x14ac:dyDescent="0.3">
      <c r="A61" s="140" t="s">
        <v>36</v>
      </c>
      <c r="B61" s="140"/>
      <c r="C61" s="140"/>
      <c r="D61" s="140"/>
      <c r="E61" s="141">
        <f>SUM(E41:F60)</f>
        <v>2323500</v>
      </c>
      <c r="F61" s="142"/>
      <c r="G61" s="138">
        <f>H13-E61</f>
        <v>-2323500</v>
      </c>
      <c r="H61" s="138"/>
    </row>
  </sheetData>
  <mergeCells count="137">
    <mergeCell ref="B60:D60"/>
    <mergeCell ref="E60:F60"/>
    <mergeCell ref="G60:H60"/>
    <mergeCell ref="A61:D61"/>
    <mergeCell ref="E61:F61"/>
    <mergeCell ref="G61:H61"/>
    <mergeCell ref="B58:D58"/>
    <mergeCell ref="E58:F58"/>
    <mergeCell ref="G58:H58"/>
    <mergeCell ref="B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A39:H39"/>
    <mergeCell ref="B40:D40"/>
    <mergeCell ref="E40:F40"/>
    <mergeCell ref="G40:H40"/>
    <mergeCell ref="B41:D41"/>
    <mergeCell ref="E41:F41"/>
    <mergeCell ref="G41:H41"/>
    <mergeCell ref="B35:D35"/>
    <mergeCell ref="E35:F35"/>
    <mergeCell ref="G35:H35"/>
    <mergeCell ref="A36:D36"/>
    <mergeCell ref="E36:F36"/>
    <mergeCell ref="G36:H36"/>
    <mergeCell ref="B33:D33"/>
    <mergeCell ref="E33:F33"/>
    <mergeCell ref="G33:H33"/>
    <mergeCell ref="B34:D34"/>
    <mergeCell ref="E34:F34"/>
    <mergeCell ref="G34:H34"/>
    <mergeCell ref="F27:G27"/>
    <mergeCell ref="A30:H30"/>
    <mergeCell ref="B31:D31"/>
    <mergeCell ref="E31:F31"/>
    <mergeCell ref="G31:H31"/>
    <mergeCell ref="B32:D32"/>
    <mergeCell ref="E32:F32"/>
    <mergeCell ref="G32:H32"/>
    <mergeCell ref="B23:D23"/>
    <mergeCell ref="E23:F23"/>
    <mergeCell ref="G23:H23"/>
    <mergeCell ref="B26:D26"/>
    <mergeCell ref="E26:F26"/>
    <mergeCell ref="G26:H26"/>
    <mergeCell ref="B21:D21"/>
    <mergeCell ref="E21:F21"/>
    <mergeCell ref="G21:H21"/>
    <mergeCell ref="B22:D22"/>
    <mergeCell ref="E22:F22"/>
    <mergeCell ref="G22:H22"/>
    <mergeCell ref="B25:D25"/>
    <mergeCell ref="E25:F25"/>
    <mergeCell ref="G25:H25"/>
    <mergeCell ref="B24:D24"/>
    <mergeCell ref="E24:F24"/>
    <mergeCell ref="G24:H2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</mergeCells>
  <pageMargins left="0.7" right="0.7" top="0.75" bottom="0.75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EB47-D64D-495E-A616-EF71AC0FCA11}">
  <sheetPr>
    <tabColor theme="4" tint="-0.249977111117893"/>
  </sheetPr>
  <dimension ref="A3:I63"/>
  <sheetViews>
    <sheetView topLeftCell="A25" workbookViewId="0">
      <selection activeCell="G37" sqref="G37:H37"/>
    </sheetView>
  </sheetViews>
  <sheetFormatPr baseColWidth="10" defaultRowHeight="15" x14ac:dyDescent="0.25"/>
  <cols>
    <col min="7" max="7" width="7.5703125" customWidth="1"/>
    <col min="8" max="8" width="16.140625" customWidth="1"/>
  </cols>
  <sheetData>
    <row r="3" spans="1:9" ht="28.5" x14ac:dyDescent="0.45">
      <c r="A3" s="121" t="s">
        <v>12</v>
      </c>
      <c r="B3" s="121"/>
      <c r="C3" s="121"/>
      <c r="D3" s="121"/>
      <c r="E3" s="121"/>
      <c r="F3" s="121"/>
      <c r="G3" s="121"/>
      <c r="H3" s="121"/>
      <c r="I3" s="121"/>
    </row>
    <row r="4" spans="1:9" x14ac:dyDescent="0.25">
      <c r="A4" s="7" t="s">
        <v>18</v>
      </c>
      <c r="B4" s="122" t="s">
        <v>648</v>
      </c>
      <c r="C4" s="122"/>
      <c r="D4" s="122"/>
      <c r="F4" s="7" t="s">
        <v>19</v>
      </c>
      <c r="H4" s="9">
        <v>44984</v>
      </c>
    </row>
    <row r="5" spans="1:9" x14ac:dyDescent="0.25">
      <c r="A5" s="7" t="s">
        <v>20</v>
      </c>
      <c r="B5" s="122" t="s">
        <v>659</v>
      </c>
      <c r="C5" s="122"/>
      <c r="D5" s="122"/>
      <c r="F5" s="7" t="s">
        <v>21</v>
      </c>
      <c r="H5" s="9"/>
    </row>
    <row r="6" spans="1:9" x14ac:dyDescent="0.25">
      <c r="A6" s="7" t="s">
        <v>22</v>
      </c>
      <c r="B6" s="122" t="s">
        <v>658</v>
      </c>
      <c r="C6" s="122"/>
      <c r="D6" s="122"/>
    </row>
    <row r="7" spans="1:9" x14ac:dyDescent="0.25">
      <c r="A7" s="7" t="s">
        <v>23</v>
      </c>
      <c r="B7" s="122">
        <v>5905317</v>
      </c>
      <c r="C7" s="122"/>
    </row>
    <row r="8" spans="1:9" x14ac:dyDescent="0.25">
      <c r="A8" s="7" t="s">
        <v>24</v>
      </c>
      <c r="B8" s="123">
        <v>3208036061</v>
      </c>
      <c r="C8" s="122"/>
      <c r="I8" s="39">
        <f>B11-H11-H29</f>
        <v>609320</v>
      </c>
    </row>
    <row r="11" spans="1:9" x14ac:dyDescent="0.25">
      <c r="A11" s="7" t="s">
        <v>25</v>
      </c>
      <c r="B11" s="126">
        <v>2300000</v>
      </c>
      <c r="C11" s="126"/>
      <c r="D11" s="126"/>
      <c r="E11" s="7" t="s">
        <v>26</v>
      </c>
      <c r="F11" s="7"/>
      <c r="H11" s="10">
        <f>(B11-H29)*0.6</f>
        <v>913980</v>
      </c>
    </row>
    <row r="13" spans="1:9" ht="15.75" thickBot="1" x14ac:dyDescent="0.3">
      <c r="B13" s="1"/>
      <c r="C13" s="1"/>
      <c r="D13" s="1"/>
      <c r="E13" s="1"/>
      <c r="F13" s="1"/>
      <c r="G13" s="5"/>
      <c r="H13" s="1"/>
    </row>
    <row r="14" spans="1:9" ht="19.5" thickBot="1" x14ac:dyDescent="0.35">
      <c r="A14" s="127" t="s">
        <v>27</v>
      </c>
      <c r="B14" s="128"/>
      <c r="C14" s="128"/>
      <c r="D14" s="128"/>
      <c r="E14" s="128"/>
      <c r="F14" s="128"/>
      <c r="G14" s="128"/>
      <c r="H14" s="129"/>
    </row>
    <row r="15" spans="1:9" x14ac:dyDescent="0.25">
      <c r="A15" s="18" t="s">
        <v>28</v>
      </c>
      <c r="B15" s="130" t="s">
        <v>29</v>
      </c>
      <c r="C15" s="130"/>
      <c r="D15" s="130"/>
      <c r="E15" s="130" t="s">
        <v>30</v>
      </c>
      <c r="F15" s="130"/>
      <c r="G15" s="130" t="s">
        <v>31</v>
      </c>
      <c r="H15" s="130"/>
    </row>
    <row r="16" spans="1:9" x14ac:dyDescent="0.25">
      <c r="A16" s="3">
        <v>44984</v>
      </c>
      <c r="B16" s="124"/>
      <c r="C16" s="124"/>
      <c r="D16" s="124"/>
      <c r="E16" s="124" t="s">
        <v>651</v>
      </c>
      <c r="F16" s="124"/>
      <c r="G16" s="125">
        <v>20000</v>
      </c>
      <c r="H16" s="125"/>
    </row>
    <row r="17" spans="1:9" x14ac:dyDescent="0.25">
      <c r="A17" s="3">
        <v>44984</v>
      </c>
      <c r="B17" s="124"/>
      <c r="C17" s="124"/>
      <c r="D17" s="124"/>
      <c r="E17" s="124" t="s">
        <v>682</v>
      </c>
      <c r="F17" s="124"/>
      <c r="G17" s="125">
        <v>61400</v>
      </c>
      <c r="H17" s="125"/>
    </row>
    <row r="18" spans="1:9" x14ac:dyDescent="0.25">
      <c r="A18" s="3">
        <v>44984</v>
      </c>
      <c r="B18" s="124"/>
      <c r="C18" s="124"/>
      <c r="D18" s="124"/>
      <c r="E18" s="124" t="s">
        <v>652</v>
      </c>
      <c r="F18" s="124"/>
      <c r="G18" s="125">
        <v>12000</v>
      </c>
      <c r="H18" s="125"/>
    </row>
    <row r="19" spans="1:9" x14ac:dyDescent="0.25">
      <c r="A19" s="17">
        <v>44984</v>
      </c>
      <c r="B19" s="124"/>
      <c r="C19" s="124"/>
      <c r="D19" s="124"/>
      <c r="E19" s="124" t="s">
        <v>653</v>
      </c>
      <c r="F19" s="124"/>
      <c r="G19" s="125">
        <v>50000</v>
      </c>
      <c r="H19" s="125"/>
    </row>
    <row r="20" spans="1:9" x14ac:dyDescent="0.25">
      <c r="A20" s="17">
        <v>44986</v>
      </c>
      <c r="B20" s="124"/>
      <c r="C20" s="124"/>
      <c r="D20" s="124"/>
      <c r="E20" s="124" t="s">
        <v>681</v>
      </c>
      <c r="F20" s="124"/>
      <c r="G20" s="125">
        <v>47000</v>
      </c>
      <c r="H20" s="125"/>
    </row>
    <row r="21" spans="1:9" x14ac:dyDescent="0.25">
      <c r="A21" s="17">
        <v>44986</v>
      </c>
      <c r="B21" s="124"/>
      <c r="C21" s="124"/>
      <c r="D21" s="124"/>
      <c r="E21" s="124" t="s">
        <v>683</v>
      </c>
      <c r="F21" s="124"/>
      <c r="G21" s="125">
        <v>28400</v>
      </c>
      <c r="H21" s="125"/>
    </row>
    <row r="22" spans="1:9" x14ac:dyDescent="0.25">
      <c r="A22" s="17">
        <v>44986</v>
      </c>
      <c r="B22" s="124"/>
      <c r="C22" s="124"/>
      <c r="D22" s="124"/>
      <c r="E22" s="124" t="s">
        <v>654</v>
      </c>
      <c r="F22" s="124"/>
      <c r="G22" s="125">
        <v>8000</v>
      </c>
      <c r="H22" s="125"/>
    </row>
    <row r="23" spans="1:9" x14ac:dyDescent="0.25">
      <c r="A23" s="17">
        <v>44986</v>
      </c>
      <c r="B23" s="124"/>
      <c r="C23" s="124"/>
      <c r="D23" s="124"/>
      <c r="E23" s="124" t="s">
        <v>680</v>
      </c>
      <c r="F23" s="124"/>
      <c r="G23" s="125">
        <v>22400</v>
      </c>
      <c r="H23" s="125"/>
      <c r="I23" s="4"/>
    </row>
    <row r="24" spans="1:9" x14ac:dyDescent="0.25">
      <c r="A24" s="17">
        <v>44986</v>
      </c>
      <c r="B24" s="124"/>
      <c r="C24" s="124"/>
      <c r="D24" s="124"/>
      <c r="E24" s="124" t="s">
        <v>679</v>
      </c>
      <c r="F24" s="124"/>
      <c r="G24" s="131">
        <v>349500</v>
      </c>
      <c r="H24" s="131"/>
    </row>
    <row r="25" spans="1:9" x14ac:dyDescent="0.25">
      <c r="A25" s="17">
        <v>44986</v>
      </c>
      <c r="B25" s="124"/>
      <c r="C25" s="124"/>
      <c r="D25" s="124"/>
      <c r="E25" s="124" t="s">
        <v>656</v>
      </c>
      <c r="F25" s="124"/>
      <c r="G25" s="125">
        <v>22000</v>
      </c>
      <c r="H25" s="125"/>
    </row>
    <row r="26" spans="1:9" x14ac:dyDescent="0.25">
      <c r="A26" s="17">
        <v>44986</v>
      </c>
      <c r="B26" s="154"/>
      <c r="C26" s="150"/>
      <c r="D26" s="151"/>
      <c r="E26" s="149" t="s">
        <v>678</v>
      </c>
      <c r="F26" s="151"/>
      <c r="G26" s="147">
        <v>56000</v>
      </c>
      <c r="H26" s="148"/>
    </row>
    <row r="27" spans="1:9" x14ac:dyDescent="0.25">
      <c r="A27" s="17">
        <v>44987</v>
      </c>
      <c r="B27" s="124"/>
      <c r="C27" s="124"/>
      <c r="D27" s="124"/>
      <c r="E27" s="149" t="s">
        <v>665</v>
      </c>
      <c r="F27" s="151"/>
      <c r="G27" s="147">
        <v>30000</v>
      </c>
      <c r="H27" s="148"/>
    </row>
    <row r="28" spans="1:9" x14ac:dyDescent="0.25">
      <c r="A28" s="17">
        <v>44988</v>
      </c>
      <c r="B28" s="124"/>
      <c r="C28" s="124"/>
      <c r="D28" s="124"/>
      <c r="E28" s="124" t="s">
        <v>666</v>
      </c>
      <c r="F28" s="124"/>
      <c r="G28" s="131">
        <v>70000</v>
      </c>
      <c r="H28" s="131"/>
    </row>
    <row r="29" spans="1:9" ht="15.75" thickBot="1" x14ac:dyDescent="0.3">
      <c r="A29" s="3"/>
      <c r="F29" s="133" t="s">
        <v>32</v>
      </c>
      <c r="G29" s="133"/>
      <c r="H29" s="12">
        <f>SUM(G16:H28)</f>
        <v>776700</v>
      </c>
    </row>
    <row r="31" spans="1:9" ht="15.75" thickBot="1" x14ac:dyDescent="0.3"/>
    <row r="32" spans="1:9" ht="19.5" thickBot="1" x14ac:dyDescent="0.35">
      <c r="A32" s="127" t="s">
        <v>10</v>
      </c>
      <c r="B32" s="128"/>
      <c r="C32" s="128"/>
      <c r="D32" s="128"/>
      <c r="E32" s="128"/>
      <c r="F32" s="128"/>
      <c r="G32" s="128"/>
      <c r="H32" s="129"/>
    </row>
    <row r="33" spans="1:8" ht="15.75" thickBot="1" x14ac:dyDescent="0.3">
      <c r="A33" s="13" t="s">
        <v>0</v>
      </c>
      <c r="B33" s="134" t="s">
        <v>33</v>
      </c>
      <c r="C33" s="134"/>
      <c r="D33" s="134"/>
      <c r="E33" s="135" t="s">
        <v>34</v>
      </c>
      <c r="F33" s="135"/>
      <c r="G33" s="135" t="s">
        <v>35</v>
      </c>
      <c r="H33" s="136"/>
    </row>
    <row r="34" spans="1:8" x14ac:dyDescent="0.25">
      <c r="A34" s="38">
        <v>44984</v>
      </c>
      <c r="B34" s="137"/>
      <c r="C34" s="137"/>
      <c r="D34" s="137"/>
      <c r="E34" s="132">
        <v>200000</v>
      </c>
      <c r="F34" s="132"/>
      <c r="G34" s="132">
        <f>B11-E38</f>
        <v>280000</v>
      </c>
      <c r="H34" s="132"/>
    </row>
    <row r="35" spans="1:8" x14ac:dyDescent="0.25">
      <c r="A35" s="17">
        <v>44987</v>
      </c>
      <c r="B35" s="124"/>
      <c r="C35" s="124"/>
      <c r="D35" s="124"/>
      <c r="E35" s="131">
        <v>500000</v>
      </c>
      <c r="F35" s="131"/>
      <c r="G35" s="132"/>
      <c r="H35" s="132"/>
    </row>
    <row r="36" spans="1:8" x14ac:dyDescent="0.25">
      <c r="A36" s="17">
        <v>44992</v>
      </c>
      <c r="B36" s="124"/>
      <c r="C36" s="124"/>
      <c r="D36" s="124"/>
      <c r="E36" s="131">
        <v>400000</v>
      </c>
      <c r="F36" s="131"/>
      <c r="G36" s="132"/>
      <c r="H36" s="132"/>
    </row>
    <row r="37" spans="1:8" ht="15.75" thickBot="1" x14ac:dyDescent="0.3">
      <c r="A37" s="16">
        <v>45001</v>
      </c>
      <c r="B37" s="146">
        <v>45006</v>
      </c>
      <c r="C37" s="124"/>
      <c r="D37" s="124"/>
      <c r="E37" s="139">
        <v>920000</v>
      </c>
      <c r="F37" s="139"/>
      <c r="G37" s="132"/>
      <c r="H37" s="132"/>
    </row>
    <row r="38" spans="1:8" ht="15.75" thickBot="1" x14ac:dyDescent="0.3">
      <c r="A38" s="140" t="s">
        <v>36</v>
      </c>
      <c r="B38" s="140"/>
      <c r="C38" s="140"/>
      <c r="D38" s="140"/>
      <c r="E38" s="141">
        <f>SUM(E34:F37)</f>
        <v>2020000</v>
      </c>
      <c r="F38" s="142"/>
      <c r="G38" s="141"/>
      <c r="H38" s="143"/>
    </row>
    <row r="40" spans="1:8" ht="15.75" thickBot="1" x14ac:dyDescent="0.3"/>
    <row r="41" spans="1:8" ht="19.5" thickBot="1" x14ac:dyDescent="0.35">
      <c r="A41" s="127" t="s">
        <v>37</v>
      </c>
      <c r="B41" s="128"/>
      <c r="C41" s="128"/>
      <c r="D41" s="128"/>
      <c r="E41" s="128"/>
      <c r="F41" s="128"/>
      <c r="G41" s="128"/>
      <c r="H41" s="129"/>
    </row>
    <row r="42" spans="1:8" ht="15.75" thickBot="1" x14ac:dyDescent="0.3">
      <c r="A42" s="13" t="s">
        <v>0</v>
      </c>
      <c r="B42" s="134" t="s">
        <v>33</v>
      </c>
      <c r="C42" s="134"/>
      <c r="D42" s="134"/>
      <c r="E42" s="135" t="s">
        <v>38</v>
      </c>
      <c r="F42" s="135"/>
      <c r="G42" s="135" t="s">
        <v>35</v>
      </c>
      <c r="H42" s="136"/>
    </row>
    <row r="43" spans="1:8" x14ac:dyDescent="0.25">
      <c r="A43" s="16"/>
      <c r="B43" s="124"/>
      <c r="C43" s="124"/>
      <c r="D43" s="124"/>
      <c r="E43" s="131"/>
      <c r="F43" s="131"/>
      <c r="G43" s="138">
        <f>H11-E63</f>
        <v>913980</v>
      </c>
      <c r="H43" s="138"/>
    </row>
    <row r="44" spans="1:8" x14ac:dyDescent="0.25">
      <c r="A44" s="16"/>
      <c r="B44" s="124"/>
      <c r="C44" s="124"/>
      <c r="D44" s="124"/>
      <c r="E44" s="131"/>
      <c r="F44" s="131"/>
      <c r="G44" s="138"/>
      <c r="H44" s="138"/>
    </row>
    <row r="45" spans="1:8" x14ac:dyDescent="0.25">
      <c r="A45" s="16"/>
      <c r="B45" s="124"/>
      <c r="C45" s="124"/>
      <c r="D45" s="124"/>
      <c r="E45" s="131"/>
      <c r="F45" s="131"/>
      <c r="G45" s="138"/>
      <c r="H45" s="138"/>
    </row>
    <row r="46" spans="1:8" x14ac:dyDescent="0.25">
      <c r="A46" s="16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x14ac:dyDescent="0.25">
      <c r="A60" s="15"/>
      <c r="B60" s="124"/>
      <c r="C60" s="124"/>
      <c r="D60" s="124"/>
      <c r="E60" s="131"/>
      <c r="F60" s="131"/>
      <c r="G60" s="138"/>
      <c r="H60" s="138"/>
    </row>
    <row r="61" spans="1:8" x14ac:dyDescent="0.25">
      <c r="A61" s="15"/>
      <c r="B61" s="124"/>
      <c r="C61" s="124"/>
      <c r="D61" s="124"/>
      <c r="E61" s="131"/>
      <c r="F61" s="131"/>
      <c r="G61" s="138"/>
      <c r="H61" s="138"/>
    </row>
    <row r="62" spans="1:8" ht="15.75" thickBot="1" x14ac:dyDescent="0.3">
      <c r="A62" s="15"/>
      <c r="B62" s="124"/>
      <c r="C62" s="124"/>
      <c r="D62" s="124"/>
      <c r="E62" s="131"/>
      <c r="F62" s="131"/>
      <c r="G62" s="138">
        <f>H14-E62</f>
        <v>0</v>
      </c>
      <c r="H62" s="138"/>
    </row>
    <row r="63" spans="1:8" ht="15.75" thickBot="1" x14ac:dyDescent="0.3">
      <c r="A63" s="140" t="s">
        <v>36</v>
      </c>
      <c r="B63" s="140"/>
      <c r="C63" s="140"/>
      <c r="D63" s="140"/>
      <c r="E63" s="141">
        <f>SUM(E43:F62)</f>
        <v>0</v>
      </c>
      <c r="F63" s="142"/>
      <c r="G63" s="138">
        <f>H15-E63</f>
        <v>0</v>
      </c>
      <c r="H63" s="138"/>
    </row>
  </sheetData>
  <mergeCells count="137">
    <mergeCell ref="B62:D62"/>
    <mergeCell ref="E62:F62"/>
    <mergeCell ref="G62:H62"/>
    <mergeCell ref="A63:D63"/>
    <mergeCell ref="E63:F63"/>
    <mergeCell ref="G63:H63"/>
    <mergeCell ref="B60:D60"/>
    <mergeCell ref="E60:F60"/>
    <mergeCell ref="G60:H60"/>
    <mergeCell ref="B61:D61"/>
    <mergeCell ref="E61:F61"/>
    <mergeCell ref="G61:H61"/>
    <mergeCell ref="B58:D58"/>
    <mergeCell ref="E58:F58"/>
    <mergeCell ref="G58:H58"/>
    <mergeCell ref="B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A41:H41"/>
    <mergeCell ref="B42:D42"/>
    <mergeCell ref="E42:F42"/>
    <mergeCell ref="G42:H42"/>
    <mergeCell ref="B43:D43"/>
    <mergeCell ref="E43:F43"/>
    <mergeCell ref="G43:H43"/>
    <mergeCell ref="B37:D37"/>
    <mergeCell ref="E37:F37"/>
    <mergeCell ref="G37:H37"/>
    <mergeCell ref="A38:D38"/>
    <mergeCell ref="E38:F38"/>
    <mergeCell ref="G38:H38"/>
    <mergeCell ref="B35:D35"/>
    <mergeCell ref="E35:F35"/>
    <mergeCell ref="G35:H35"/>
    <mergeCell ref="B36:D36"/>
    <mergeCell ref="E36:F36"/>
    <mergeCell ref="G36:H36"/>
    <mergeCell ref="F29:G29"/>
    <mergeCell ref="A32:H32"/>
    <mergeCell ref="B33:D33"/>
    <mergeCell ref="E33:F33"/>
    <mergeCell ref="G33:H33"/>
    <mergeCell ref="B34:D34"/>
    <mergeCell ref="E34:F34"/>
    <mergeCell ref="G34:H34"/>
    <mergeCell ref="B27:D27"/>
    <mergeCell ref="E27:F27"/>
    <mergeCell ref="G27:H27"/>
    <mergeCell ref="B28:D28"/>
    <mergeCell ref="E28:F28"/>
    <mergeCell ref="G28:H28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1:D11"/>
    <mergeCell ref="A14:H14"/>
    <mergeCell ref="B15:D15"/>
    <mergeCell ref="E15:F15"/>
    <mergeCell ref="G15:H15"/>
    <mergeCell ref="B16:D16"/>
    <mergeCell ref="E16:F16"/>
    <mergeCell ref="G16:H16"/>
    <mergeCell ref="A3:I3"/>
    <mergeCell ref="B4:D4"/>
    <mergeCell ref="B5:D5"/>
    <mergeCell ref="B6:D6"/>
    <mergeCell ref="B7:C7"/>
    <mergeCell ref="B8:C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7FC40-D352-4D25-91C2-AAAA80247B1E}">
  <sheetPr>
    <tabColor theme="5" tint="-0.499984740745262"/>
  </sheetPr>
  <dimension ref="A1:G197"/>
  <sheetViews>
    <sheetView topLeftCell="A175" workbookViewId="0">
      <selection activeCell="F196" sqref="F196"/>
    </sheetView>
  </sheetViews>
  <sheetFormatPr baseColWidth="10" defaultRowHeight="15" x14ac:dyDescent="0.25"/>
  <cols>
    <col min="1" max="1" width="19.85546875" customWidth="1"/>
    <col min="2" max="2" width="9.42578125" customWidth="1"/>
    <col min="3" max="3" width="44.140625" customWidth="1"/>
    <col min="4" max="4" width="15.85546875" customWidth="1"/>
    <col min="5" max="5" width="13" bestFit="1" customWidth="1"/>
    <col min="6" max="6" width="21" customWidth="1"/>
    <col min="7" max="7" width="13" bestFit="1" customWidth="1"/>
  </cols>
  <sheetData>
    <row r="1" spans="1:4" x14ac:dyDescent="0.25">
      <c r="A1" s="7" t="s">
        <v>201</v>
      </c>
    </row>
    <row r="3" spans="1:4" x14ac:dyDescent="0.25">
      <c r="A3" s="48" t="s">
        <v>185</v>
      </c>
      <c r="B3" s="48" t="s">
        <v>186</v>
      </c>
      <c r="C3" s="52" t="s">
        <v>187</v>
      </c>
      <c r="D3" s="51">
        <v>390000</v>
      </c>
    </row>
    <row r="4" spans="1:4" x14ac:dyDescent="0.25">
      <c r="A4" s="48" t="s">
        <v>210</v>
      </c>
      <c r="B4" s="48" t="s">
        <v>211</v>
      </c>
      <c r="C4" s="53" t="s">
        <v>212</v>
      </c>
      <c r="D4" s="51">
        <v>36000</v>
      </c>
    </row>
    <row r="5" spans="1:4" x14ac:dyDescent="0.25">
      <c r="A5" s="15"/>
      <c r="B5" s="48" t="s">
        <v>203</v>
      </c>
      <c r="C5" s="52" t="s">
        <v>204</v>
      </c>
      <c r="D5" s="51">
        <v>30000</v>
      </c>
    </row>
    <row r="6" spans="1:4" x14ac:dyDescent="0.25">
      <c r="A6" s="15"/>
      <c r="B6" s="48" t="s">
        <v>205</v>
      </c>
      <c r="C6" s="52" t="s">
        <v>206</v>
      </c>
      <c r="D6" s="51">
        <v>48000</v>
      </c>
    </row>
    <row r="7" spans="1:4" x14ac:dyDescent="0.25">
      <c r="A7" s="15"/>
      <c r="B7" s="48" t="s">
        <v>207</v>
      </c>
      <c r="C7" s="52" t="s">
        <v>208</v>
      </c>
      <c r="D7" s="51">
        <v>30000</v>
      </c>
    </row>
    <row r="8" spans="1:4" x14ac:dyDescent="0.25">
      <c r="A8" s="15"/>
      <c r="B8" s="48"/>
      <c r="C8" s="52" t="s">
        <v>209</v>
      </c>
      <c r="D8" s="51">
        <v>466000</v>
      </c>
    </row>
    <row r="9" spans="1:4" x14ac:dyDescent="0.25">
      <c r="A9" s="15"/>
      <c r="B9" s="15"/>
      <c r="C9" s="15" t="s">
        <v>107</v>
      </c>
      <c r="D9" s="50">
        <f>SUM(D3:D8)</f>
        <v>1000000</v>
      </c>
    </row>
    <row r="10" spans="1:4" x14ac:dyDescent="0.25">
      <c r="D10" s="54"/>
    </row>
    <row r="11" spans="1:4" x14ac:dyDescent="0.25">
      <c r="D11" s="49"/>
    </row>
    <row r="12" spans="1:4" x14ac:dyDescent="0.25">
      <c r="D12" s="49"/>
    </row>
    <row r="13" spans="1:4" x14ac:dyDescent="0.25">
      <c r="A13" s="7" t="s">
        <v>202</v>
      </c>
      <c r="D13" s="49"/>
    </row>
    <row r="14" spans="1:4" x14ac:dyDescent="0.25">
      <c r="D14" s="49"/>
    </row>
    <row r="15" spans="1:4" x14ac:dyDescent="0.25">
      <c r="D15" s="49"/>
    </row>
    <row r="16" spans="1:4" x14ac:dyDescent="0.25">
      <c r="A16" s="48" t="s">
        <v>189</v>
      </c>
      <c r="B16" s="48" t="s">
        <v>190</v>
      </c>
      <c r="C16" s="52" t="s">
        <v>191</v>
      </c>
      <c r="D16" s="51">
        <v>105000</v>
      </c>
    </row>
    <row r="17" spans="1:7" x14ac:dyDescent="0.25">
      <c r="A17" s="48"/>
      <c r="B17" s="48"/>
      <c r="C17" s="53" t="s">
        <v>181</v>
      </c>
      <c r="D17" s="51">
        <v>168000</v>
      </c>
    </row>
    <row r="18" spans="1:7" x14ac:dyDescent="0.25">
      <c r="A18" s="15"/>
      <c r="B18" s="48"/>
      <c r="C18" s="52" t="s">
        <v>213</v>
      </c>
      <c r="D18" s="51">
        <v>53440</v>
      </c>
    </row>
    <row r="19" spans="1:7" x14ac:dyDescent="0.25">
      <c r="A19" s="15"/>
      <c r="B19" s="48"/>
      <c r="C19" s="15" t="s">
        <v>107</v>
      </c>
      <c r="D19" s="51">
        <f>SUM(D16:D18)</f>
        <v>326440</v>
      </c>
    </row>
    <row r="20" spans="1:7" x14ac:dyDescent="0.25">
      <c r="D20" s="49"/>
    </row>
    <row r="21" spans="1:7" x14ac:dyDescent="0.25">
      <c r="C21" t="s">
        <v>214</v>
      </c>
      <c r="D21" s="49">
        <f>1000000-D19</f>
        <v>673560</v>
      </c>
    </row>
    <row r="22" spans="1:7" x14ac:dyDescent="0.25">
      <c r="D22" s="49"/>
    </row>
    <row r="23" spans="1:7" x14ac:dyDescent="0.25">
      <c r="A23" t="s">
        <v>215</v>
      </c>
      <c r="D23" s="49"/>
    </row>
    <row r="24" spans="1:7" x14ac:dyDescent="0.25">
      <c r="D24" s="49"/>
    </row>
    <row r="25" spans="1:7" x14ac:dyDescent="0.25">
      <c r="A25" t="s">
        <v>216</v>
      </c>
      <c r="D25" s="49">
        <v>150000</v>
      </c>
    </row>
    <row r="26" spans="1:7" x14ac:dyDescent="0.25">
      <c r="A26" t="s">
        <v>225</v>
      </c>
      <c r="D26" s="49">
        <v>200000</v>
      </c>
    </row>
    <row r="27" spans="1:7" x14ac:dyDescent="0.25">
      <c r="A27" t="s">
        <v>217</v>
      </c>
      <c r="D27" s="49">
        <v>100000</v>
      </c>
    </row>
    <row r="28" spans="1:7" x14ac:dyDescent="0.25">
      <c r="A28" t="s">
        <v>218</v>
      </c>
      <c r="D28" s="49">
        <v>300000</v>
      </c>
    </row>
    <row r="29" spans="1:7" x14ac:dyDescent="0.25">
      <c r="A29" t="s">
        <v>219</v>
      </c>
      <c r="D29" s="49">
        <v>100000</v>
      </c>
    </row>
    <row r="30" spans="1:7" x14ac:dyDescent="0.25">
      <c r="A30" t="s">
        <v>220</v>
      </c>
      <c r="D30" s="55">
        <f>SUM(D25:D29)</f>
        <v>850000</v>
      </c>
    </row>
    <row r="31" spans="1:7" x14ac:dyDescent="0.25">
      <c r="D31" s="49"/>
      <c r="G31" s="39"/>
    </row>
    <row r="35" spans="1:4" x14ac:dyDescent="0.25">
      <c r="A35" t="s">
        <v>224</v>
      </c>
    </row>
    <row r="37" spans="1:4" x14ac:dyDescent="0.25">
      <c r="A37" s="15"/>
      <c r="B37" s="15" t="s">
        <v>193</v>
      </c>
      <c r="C37" s="15" t="s">
        <v>194</v>
      </c>
      <c r="D37" s="50">
        <v>271200</v>
      </c>
    </row>
    <row r="38" spans="1:4" x14ac:dyDescent="0.25">
      <c r="A38" s="17" t="s">
        <v>223</v>
      </c>
      <c r="B38" s="15" t="s">
        <v>196</v>
      </c>
      <c r="C38" s="15" t="s">
        <v>197</v>
      </c>
      <c r="D38" s="50">
        <v>89400</v>
      </c>
    </row>
    <row r="39" spans="1:4" x14ac:dyDescent="0.25">
      <c r="A39" s="17" t="s">
        <v>198</v>
      </c>
      <c r="B39" s="15" t="s">
        <v>199</v>
      </c>
      <c r="C39" s="15" t="s">
        <v>200</v>
      </c>
      <c r="D39" s="50">
        <v>60000</v>
      </c>
    </row>
    <row r="40" spans="1:4" x14ac:dyDescent="0.25">
      <c r="A40" s="17"/>
      <c r="B40" s="15"/>
      <c r="C40" s="15" t="s">
        <v>221</v>
      </c>
      <c r="D40" s="50">
        <v>45060</v>
      </c>
    </row>
    <row r="41" spans="1:4" x14ac:dyDescent="0.25">
      <c r="A41" s="15"/>
      <c r="B41" s="15"/>
      <c r="C41" s="15" t="s">
        <v>226</v>
      </c>
      <c r="D41" s="30">
        <v>176400</v>
      </c>
    </row>
    <row r="42" spans="1:4" x14ac:dyDescent="0.25">
      <c r="D42" s="4">
        <f>SUM(D37:D41)</f>
        <v>642060</v>
      </c>
    </row>
    <row r="45" spans="1:4" x14ac:dyDescent="0.25">
      <c r="C45" t="s">
        <v>227</v>
      </c>
      <c r="D45" s="39">
        <f>D42-800000</f>
        <v>-157940</v>
      </c>
    </row>
    <row r="48" spans="1:4" x14ac:dyDescent="0.25">
      <c r="A48" t="s">
        <v>236</v>
      </c>
    </row>
    <row r="50" spans="1:6" x14ac:dyDescent="0.25">
      <c r="A50" s="15"/>
      <c r="B50" s="50"/>
      <c r="C50" s="48" t="s">
        <v>237</v>
      </c>
      <c r="D50" s="50">
        <v>20000</v>
      </c>
    </row>
    <row r="51" spans="1:6" x14ac:dyDescent="0.25">
      <c r="A51" s="15"/>
      <c r="B51" s="56"/>
      <c r="C51" s="48" t="s">
        <v>238</v>
      </c>
      <c r="D51" s="50">
        <v>24000</v>
      </c>
    </row>
    <row r="52" spans="1:6" x14ac:dyDescent="0.25">
      <c r="A52" s="15"/>
      <c r="B52" s="15"/>
      <c r="C52" s="48" t="s">
        <v>228</v>
      </c>
      <c r="D52" s="50">
        <v>804000</v>
      </c>
      <c r="E52" s="57"/>
      <c r="F52" s="49"/>
    </row>
    <row r="53" spans="1:6" x14ac:dyDescent="0.25">
      <c r="A53" s="15"/>
      <c r="B53" s="15"/>
      <c r="C53" s="48" t="s">
        <v>231</v>
      </c>
      <c r="D53" s="50">
        <v>142800</v>
      </c>
      <c r="E53" s="57"/>
      <c r="F53" s="49"/>
    </row>
    <row r="54" spans="1:6" x14ac:dyDescent="0.25">
      <c r="D54" s="30">
        <f>SUM(D50:D53)</f>
        <v>990800</v>
      </c>
    </row>
    <row r="57" spans="1:6" x14ac:dyDescent="0.25">
      <c r="A57" t="s">
        <v>242</v>
      </c>
    </row>
    <row r="58" spans="1:6" x14ac:dyDescent="0.25">
      <c r="A58" s="15"/>
      <c r="B58" s="58"/>
      <c r="C58" s="59" t="s">
        <v>239</v>
      </c>
      <c r="D58" s="58">
        <v>60000</v>
      </c>
    </row>
    <row r="59" spans="1:6" x14ac:dyDescent="0.25">
      <c r="A59" s="15"/>
      <c r="B59" s="58"/>
      <c r="C59" s="59" t="s">
        <v>240</v>
      </c>
      <c r="D59" s="58">
        <v>36000</v>
      </c>
    </row>
    <row r="60" spans="1:6" x14ac:dyDescent="0.25">
      <c r="A60" s="15"/>
      <c r="B60" s="15"/>
      <c r="C60" s="48" t="s">
        <v>233</v>
      </c>
      <c r="D60" s="58">
        <v>764000</v>
      </c>
    </row>
    <row r="61" spans="1:6" x14ac:dyDescent="0.25">
      <c r="A61" s="15"/>
      <c r="B61" s="15"/>
      <c r="C61" s="48" t="s">
        <v>241</v>
      </c>
      <c r="D61" s="58">
        <v>250000</v>
      </c>
    </row>
    <row r="62" spans="1:6" x14ac:dyDescent="0.25">
      <c r="D62" s="30">
        <f>SUM(D58:D61)</f>
        <v>1110000</v>
      </c>
    </row>
    <row r="65" spans="1:5" x14ac:dyDescent="0.25">
      <c r="A65" t="s">
        <v>257</v>
      </c>
    </row>
    <row r="66" spans="1:5" x14ac:dyDescent="0.25">
      <c r="A66" s="15" t="s">
        <v>86</v>
      </c>
      <c r="B66" s="15"/>
      <c r="C66" s="15"/>
      <c r="D66" s="58">
        <v>218000</v>
      </c>
    </row>
    <row r="67" spans="1:5" x14ac:dyDescent="0.25">
      <c r="A67" s="15" t="s">
        <v>214</v>
      </c>
      <c r="B67" s="15"/>
      <c r="C67" s="15"/>
      <c r="D67" s="58">
        <v>582000</v>
      </c>
      <c r="E67" s="39"/>
    </row>
    <row r="69" spans="1:5" x14ac:dyDescent="0.25">
      <c r="A69" t="s">
        <v>284</v>
      </c>
    </row>
    <row r="70" spans="1:5" x14ac:dyDescent="0.25">
      <c r="A70" s="15" t="s">
        <v>248</v>
      </c>
      <c r="B70" s="15" t="s">
        <v>247</v>
      </c>
      <c r="C70" s="15"/>
      <c r="D70" s="15">
        <v>108000</v>
      </c>
    </row>
    <row r="71" spans="1:5" x14ac:dyDescent="0.25">
      <c r="A71" s="15" t="s">
        <v>249</v>
      </c>
      <c r="B71" s="15"/>
      <c r="C71" s="15"/>
      <c r="D71" s="15">
        <v>180000</v>
      </c>
    </row>
    <row r="72" spans="1:5" x14ac:dyDescent="0.25">
      <c r="A72" s="15" t="s">
        <v>252</v>
      </c>
      <c r="B72" s="15" t="s">
        <v>250</v>
      </c>
      <c r="C72" s="15"/>
      <c r="D72" s="15">
        <v>84600</v>
      </c>
    </row>
    <row r="73" spans="1:5" x14ac:dyDescent="0.25">
      <c r="A73" s="15" t="s">
        <v>170</v>
      </c>
      <c r="B73" s="15"/>
      <c r="C73" s="15"/>
      <c r="D73" s="15">
        <v>627400</v>
      </c>
    </row>
    <row r="74" spans="1:5" x14ac:dyDescent="0.25">
      <c r="A74" s="15" t="s">
        <v>107</v>
      </c>
      <c r="B74" s="15"/>
      <c r="C74" s="15"/>
      <c r="D74" s="15">
        <f>SUM(D70:D73)</f>
        <v>1000000</v>
      </c>
    </row>
    <row r="77" spans="1:5" x14ac:dyDescent="0.25">
      <c r="A77" t="s">
        <v>283</v>
      </c>
    </row>
    <row r="79" spans="1:5" x14ac:dyDescent="0.25">
      <c r="A79" s="15" t="s">
        <v>285</v>
      </c>
      <c r="B79" s="15"/>
      <c r="C79" s="15"/>
      <c r="D79" s="15">
        <v>42000</v>
      </c>
    </row>
    <row r="80" spans="1:5" x14ac:dyDescent="0.25">
      <c r="A80" s="15" t="s">
        <v>286</v>
      </c>
      <c r="B80" s="15"/>
      <c r="C80" s="15"/>
      <c r="D80" s="15">
        <v>78000</v>
      </c>
    </row>
    <row r="81" spans="1:6" x14ac:dyDescent="0.25">
      <c r="A81" s="15" t="s">
        <v>287</v>
      </c>
      <c r="B81" s="15"/>
      <c r="C81" s="15"/>
      <c r="D81" s="15">
        <v>12000</v>
      </c>
    </row>
    <row r="82" spans="1:6" x14ac:dyDescent="0.25">
      <c r="A82" s="15" t="s">
        <v>288</v>
      </c>
      <c r="B82" s="15"/>
      <c r="C82" s="15"/>
      <c r="D82" s="15">
        <v>24000</v>
      </c>
    </row>
    <row r="83" spans="1:6" x14ac:dyDescent="0.25">
      <c r="A83" s="15" t="s">
        <v>258</v>
      </c>
      <c r="B83" s="15"/>
      <c r="C83" s="15" t="s">
        <v>146</v>
      </c>
      <c r="D83" s="15">
        <v>60000</v>
      </c>
    </row>
    <row r="84" spans="1:6" x14ac:dyDescent="0.25">
      <c r="A84" s="15" t="s">
        <v>259</v>
      </c>
      <c r="B84" s="15"/>
      <c r="C84" s="15" t="s">
        <v>146</v>
      </c>
      <c r="D84" s="15">
        <v>90000</v>
      </c>
    </row>
    <row r="85" spans="1:6" x14ac:dyDescent="0.25">
      <c r="A85" s="15" t="s">
        <v>170</v>
      </c>
      <c r="B85" s="15"/>
      <c r="C85" s="15"/>
      <c r="D85" s="15">
        <v>694000</v>
      </c>
      <c r="F85" s="39"/>
    </row>
    <row r="86" spans="1:6" x14ac:dyDescent="0.25">
      <c r="A86" t="s">
        <v>289</v>
      </c>
      <c r="D86" s="15">
        <f>SUM(D79:D85)</f>
        <v>1000000</v>
      </c>
    </row>
    <row r="89" spans="1:6" x14ac:dyDescent="0.25">
      <c r="A89" t="s">
        <v>267</v>
      </c>
    </row>
    <row r="90" spans="1:6" x14ac:dyDescent="0.25">
      <c r="A90" s="15" t="s">
        <v>203</v>
      </c>
      <c r="B90" s="15"/>
      <c r="C90" s="15" t="s">
        <v>265</v>
      </c>
      <c r="D90" s="58">
        <v>180000</v>
      </c>
    </row>
    <row r="91" spans="1:6" x14ac:dyDescent="0.25">
      <c r="A91" s="15" t="s">
        <v>266</v>
      </c>
      <c r="B91" s="15"/>
      <c r="C91" s="15" t="s">
        <v>12</v>
      </c>
      <c r="D91" s="58">
        <v>30000</v>
      </c>
    </row>
    <row r="92" spans="1:6" x14ac:dyDescent="0.25">
      <c r="A92" s="15" t="s">
        <v>228</v>
      </c>
      <c r="B92" s="15"/>
      <c r="C92" s="15" t="s">
        <v>260</v>
      </c>
      <c r="D92" s="58">
        <v>91200</v>
      </c>
    </row>
    <row r="93" spans="1:6" x14ac:dyDescent="0.25">
      <c r="A93" s="15" t="s">
        <v>262</v>
      </c>
      <c r="B93" s="15"/>
      <c r="C93" s="15" t="s">
        <v>264</v>
      </c>
      <c r="D93" s="58">
        <v>270600</v>
      </c>
    </row>
    <row r="94" spans="1:6" x14ac:dyDescent="0.25">
      <c r="A94" s="15" t="s">
        <v>268</v>
      </c>
      <c r="B94" s="15"/>
      <c r="C94" s="15"/>
      <c r="D94" s="30">
        <v>229500</v>
      </c>
    </row>
    <row r="95" spans="1:6" x14ac:dyDescent="0.25">
      <c r="A95" s="15" t="s">
        <v>272</v>
      </c>
      <c r="B95" s="15"/>
      <c r="C95" s="15" t="s">
        <v>243</v>
      </c>
      <c r="D95" s="30">
        <v>120000</v>
      </c>
    </row>
    <row r="96" spans="1:6" x14ac:dyDescent="0.25">
      <c r="A96" s="15" t="s">
        <v>280</v>
      </c>
      <c r="B96" s="15"/>
      <c r="C96" s="15"/>
      <c r="D96" s="58">
        <v>78700</v>
      </c>
    </row>
    <row r="97" spans="1:4" x14ac:dyDescent="0.25">
      <c r="A97" t="s">
        <v>107</v>
      </c>
      <c r="D97" s="30">
        <f>SUM(D90:D96)</f>
        <v>1000000</v>
      </c>
    </row>
    <row r="101" spans="1:4" x14ac:dyDescent="0.25">
      <c r="A101" t="s">
        <v>291</v>
      </c>
    </row>
    <row r="103" spans="1:4" x14ac:dyDescent="0.25">
      <c r="A103" t="s">
        <v>278</v>
      </c>
      <c r="B103" t="s">
        <v>273</v>
      </c>
      <c r="C103" t="s">
        <v>274</v>
      </c>
      <c r="D103">
        <v>289500</v>
      </c>
    </row>
    <row r="104" spans="1:4" x14ac:dyDescent="0.25">
      <c r="A104" t="s">
        <v>275</v>
      </c>
      <c r="B104" t="s">
        <v>276</v>
      </c>
      <c r="C104" t="s">
        <v>277</v>
      </c>
      <c r="D104">
        <v>239400</v>
      </c>
    </row>
    <row r="105" spans="1:4" x14ac:dyDescent="0.25">
      <c r="A105" t="s">
        <v>281</v>
      </c>
      <c r="C105" t="s">
        <v>282</v>
      </c>
      <c r="D105">
        <v>163800</v>
      </c>
    </row>
    <row r="106" spans="1:4" x14ac:dyDescent="0.25">
      <c r="A106" t="s">
        <v>292</v>
      </c>
      <c r="D106">
        <v>507300</v>
      </c>
    </row>
    <row r="107" spans="1:4" x14ac:dyDescent="0.25">
      <c r="D107">
        <f>SUM(D103:D106)</f>
        <v>1200000</v>
      </c>
    </row>
    <row r="109" spans="1:4" x14ac:dyDescent="0.25">
      <c r="A109" t="s">
        <v>300</v>
      </c>
    </row>
    <row r="110" spans="1:4" x14ac:dyDescent="0.25">
      <c r="A110" t="s">
        <v>294</v>
      </c>
      <c r="B110" t="s">
        <v>293</v>
      </c>
      <c r="C110" t="s">
        <v>12</v>
      </c>
      <c r="D110">
        <v>170400</v>
      </c>
    </row>
    <row r="111" spans="1:4" x14ac:dyDescent="0.25">
      <c r="A111" t="s">
        <v>272</v>
      </c>
      <c r="B111" t="s">
        <v>295</v>
      </c>
      <c r="C111" t="s">
        <v>12</v>
      </c>
      <c r="D111">
        <v>260400</v>
      </c>
    </row>
    <row r="112" spans="1:4" x14ac:dyDescent="0.25">
      <c r="A112" t="s">
        <v>297</v>
      </c>
      <c r="B112" t="s">
        <v>298</v>
      </c>
      <c r="C112" t="s">
        <v>12</v>
      </c>
      <c r="D112">
        <v>50400</v>
      </c>
    </row>
    <row r="115" spans="1:4" x14ac:dyDescent="0.25">
      <c r="A115" t="s">
        <v>321</v>
      </c>
    </row>
    <row r="116" spans="1:4" x14ac:dyDescent="0.25">
      <c r="B116" t="s">
        <v>299</v>
      </c>
      <c r="C116" t="s">
        <v>12</v>
      </c>
      <c r="D116">
        <v>240000</v>
      </c>
    </row>
    <row r="117" spans="1:4" x14ac:dyDescent="0.25">
      <c r="A117" t="s">
        <v>122</v>
      </c>
      <c r="B117" t="s">
        <v>306</v>
      </c>
      <c r="C117" t="s">
        <v>307</v>
      </c>
      <c r="D117">
        <v>205200</v>
      </c>
    </row>
    <row r="118" spans="1:4" x14ac:dyDescent="0.25">
      <c r="C118" t="s">
        <v>312</v>
      </c>
      <c r="D118">
        <v>644840</v>
      </c>
    </row>
    <row r="129" spans="1:4" x14ac:dyDescent="0.25">
      <c r="A129" t="s">
        <v>323</v>
      </c>
    </row>
    <row r="130" spans="1:4" x14ac:dyDescent="0.25">
      <c r="A130" t="s">
        <v>322</v>
      </c>
    </row>
    <row r="131" spans="1:4" ht="30" x14ac:dyDescent="0.25">
      <c r="A131" t="s">
        <v>150</v>
      </c>
      <c r="B131" t="s">
        <v>303</v>
      </c>
      <c r="C131" s="62" t="s">
        <v>304</v>
      </c>
      <c r="D131" s="61">
        <v>369300</v>
      </c>
    </row>
    <row r="132" spans="1:4" x14ac:dyDescent="0.25">
      <c r="A132" t="s">
        <v>310</v>
      </c>
      <c r="B132" t="s">
        <v>311</v>
      </c>
      <c r="C132" s="62" t="s">
        <v>146</v>
      </c>
      <c r="D132" s="61">
        <v>202800</v>
      </c>
    </row>
    <row r="133" spans="1:4" ht="30" x14ac:dyDescent="0.25">
      <c r="A133" t="s">
        <v>315</v>
      </c>
      <c r="B133" t="s">
        <v>316</v>
      </c>
      <c r="C133" s="62" t="s">
        <v>317</v>
      </c>
      <c r="D133" s="61">
        <v>217800</v>
      </c>
    </row>
    <row r="134" spans="1:4" x14ac:dyDescent="0.25">
      <c r="C134" s="62" t="s">
        <v>324</v>
      </c>
      <c r="D134" s="61"/>
    </row>
    <row r="135" spans="1:4" x14ac:dyDescent="0.25">
      <c r="A135" t="s">
        <v>319</v>
      </c>
      <c r="D135" s="61">
        <v>110000</v>
      </c>
    </row>
    <row r="136" spans="1:4" x14ac:dyDescent="0.25">
      <c r="D136" s="39"/>
    </row>
    <row r="138" spans="1:4" x14ac:dyDescent="0.25">
      <c r="A138" t="s">
        <v>329</v>
      </c>
    </row>
    <row r="140" spans="1:4" x14ac:dyDescent="0.25">
      <c r="A140" t="s">
        <v>262</v>
      </c>
      <c r="B140" t="s">
        <v>263</v>
      </c>
      <c r="C140" t="s">
        <v>327</v>
      </c>
      <c r="D140" s="61">
        <v>262000</v>
      </c>
    </row>
    <row r="141" spans="1:4" x14ac:dyDescent="0.25">
      <c r="C141" t="s">
        <v>319</v>
      </c>
      <c r="D141" s="61">
        <v>538000</v>
      </c>
    </row>
    <row r="144" spans="1:4" x14ac:dyDescent="0.25">
      <c r="A144" t="s">
        <v>349</v>
      </c>
    </row>
    <row r="146" spans="1:4" x14ac:dyDescent="0.25">
      <c r="A146" t="s">
        <v>150</v>
      </c>
      <c r="B146" t="s">
        <v>330</v>
      </c>
      <c r="C146" t="s">
        <v>331</v>
      </c>
      <c r="D146">
        <v>190500</v>
      </c>
    </row>
    <row r="147" spans="1:4" x14ac:dyDescent="0.25">
      <c r="A147" t="s">
        <v>170</v>
      </c>
      <c r="C147" t="s">
        <v>181</v>
      </c>
      <c r="D147">
        <v>90000</v>
      </c>
    </row>
    <row r="148" spans="1:4" x14ac:dyDescent="0.25">
      <c r="A148" t="s">
        <v>332</v>
      </c>
      <c r="B148" t="s">
        <v>333</v>
      </c>
      <c r="C148" t="s">
        <v>334</v>
      </c>
      <c r="D148">
        <v>102000</v>
      </c>
    </row>
    <row r="149" spans="1:4" x14ac:dyDescent="0.25">
      <c r="D149">
        <v>263200</v>
      </c>
    </row>
    <row r="150" spans="1:4" x14ac:dyDescent="0.25">
      <c r="D150">
        <f>SUM(D146:D149)</f>
        <v>645700</v>
      </c>
    </row>
    <row r="152" spans="1:4" x14ac:dyDescent="0.25">
      <c r="A152" t="s">
        <v>350</v>
      </c>
    </row>
    <row r="153" spans="1:4" x14ac:dyDescent="0.25">
      <c r="A153" t="s">
        <v>337</v>
      </c>
      <c r="C153" t="s">
        <v>220</v>
      </c>
      <c r="D153">
        <v>72000</v>
      </c>
    </row>
    <row r="154" spans="1:4" x14ac:dyDescent="0.25">
      <c r="A154" t="s">
        <v>340</v>
      </c>
      <c r="B154" t="s">
        <v>341</v>
      </c>
      <c r="C154" t="s">
        <v>342</v>
      </c>
      <c r="D154">
        <v>42000</v>
      </c>
    </row>
    <row r="155" spans="1:4" x14ac:dyDescent="0.25">
      <c r="A155" t="s">
        <v>338</v>
      </c>
      <c r="B155" t="s">
        <v>339</v>
      </c>
      <c r="D155">
        <v>270000</v>
      </c>
    </row>
    <row r="156" spans="1:4" x14ac:dyDescent="0.25">
      <c r="D156">
        <f>SUM(D153:D155)</f>
        <v>384000</v>
      </c>
    </row>
    <row r="157" spans="1:4" x14ac:dyDescent="0.25">
      <c r="C157" t="s">
        <v>214</v>
      </c>
      <c r="D157">
        <f>600000-D156</f>
        <v>216000</v>
      </c>
    </row>
    <row r="160" spans="1:4" x14ac:dyDescent="0.25">
      <c r="A160" t="s">
        <v>355</v>
      </c>
    </row>
    <row r="161" spans="1:4" x14ac:dyDescent="0.25">
      <c r="A161" t="s">
        <v>344</v>
      </c>
      <c r="B161" t="s">
        <v>343</v>
      </c>
      <c r="C161" t="s">
        <v>345</v>
      </c>
      <c r="D161">
        <v>150000</v>
      </c>
    </row>
    <row r="162" spans="1:4" x14ac:dyDescent="0.25">
      <c r="A162" t="s">
        <v>348</v>
      </c>
      <c r="B162" t="s">
        <v>346</v>
      </c>
      <c r="C162" t="s">
        <v>347</v>
      </c>
      <c r="D162">
        <v>403800</v>
      </c>
    </row>
    <row r="163" spans="1:4" x14ac:dyDescent="0.25">
      <c r="A163" t="s">
        <v>351</v>
      </c>
      <c r="B163" t="s">
        <v>352</v>
      </c>
      <c r="C163" t="s">
        <v>354</v>
      </c>
      <c r="D163">
        <v>314400</v>
      </c>
    </row>
    <row r="164" spans="1:4" x14ac:dyDescent="0.25">
      <c r="A164" t="s">
        <v>138</v>
      </c>
      <c r="B164" t="s">
        <v>136</v>
      </c>
      <c r="C164" t="s">
        <v>353</v>
      </c>
      <c r="D164">
        <v>95100</v>
      </c>
    </row>
    <row r="165" spans="1:4" x14ac:dyDescent="0.25">
      <c r="D165">
        <f>SUM(D161:D164)</f>
        <v>963300</v>
      </c>
    </row>
    <row r="167" spans="1:4" x14ac:dyDescent="0.25">
      <c r="A167" t="s">
        <v>383</v>
      </c>
    </row>
    <row r="168" spans="1:4" x14ac:dyDescent="0.25">
      <c r="D168">
        <v>60000</v>
      </c>
    </row>
    <row r="169" spans="1:4" x14ac:dyDescent="0.25">
      <c r="A169" t="s">
        <v>357</v>
      </c>
      <c r="B169" t="s">
        <v>365</v>
      </c>
      <c r="D169">
        <v>108000</v>
      </c>
    </row>
    <row r="170" spans="1:4" x14ac:dyDescent="0.25">
      <c r="A170" t="s">
        <v>359</v>
      </c>
      <c r="B170" t="s">
        <v>360</v>
      </c>
      <c r="D170">
        <v>48000</v>
      </c>
    </row>
    <row r="171" spans="1:4" x14ac:dyDescent="0.25">
      <c r="B171" t="s">
        <v>362</v>
      </c>
      <c r="D171">
        <v>54000</v>
      </c>
    </row>
    <row r="172" spans="1:4" x14ac:dyDescent="0.25">
      <c r="B172" t="s">
        <v>366</v>
      </c>
      <c r="D172">
        <v>30000</v>
      </c>
    </row>
    <row r="173" spans="1:4" x14ac:dyDescent="0.25">
      <c r="B173" t="s">
        <v>367</v>
      </c>
      <c r="D173">
        <v>100000</v>
      </c>
    </row>
    <row r="174" spans="1:4" x14ac:dyDescent="0.25">
      <c r="D174">
        <f>SUM(D168:D173)</f>
        <v>400000</v>
      </c>
    </row>
    <row r="175" spans="1:4" x14ac:dyDescent="0.25">
      <c r="A175" t="s">
        <v>227</v>
      </c>
      <c r="D175">
        <v>200000</v>
      </c>
    </row>
    <row r="178" spans="1:4" x14ac:dyDescent="0.25">
      <c r="A178" t="s">
        <v>384</v>
      </c>
    </row>
    <row r="180" spans="1:4" x14ac:dyDescent="0.25">
      <c r="A180" t="s">
        <v>361</v>
      </c>
      <c r="B180" t="s">
        <v>369</v>
      </c>
      <c r="C180" t="s">
        <v>373</v>
      </c>
      <c r="D180">
        <v>180000</v>
      </c>
    </row>
    <row r="181" spans="1:4" x14ac:dyDescent="0.25">
      <c r="A181" t="s">
        <v>66</v>
      </c>
      <c r="B181" t="s">
        <v>375</v>
      </c>
      <c r="C181" t="s">
        <v>376</v>
      </c>
      <c r="D181">
        <v>504600</v>
      </c>
    </row>
    <row r="182" spans="1:4" x14ac:dyDescent="0.25">
      <c r="A182" t="s">
        <v>358</v>
      </c>
      <c r="C182" t="s">
        <v>377</v>
      </c>
      <c r="D182">
        <v>60000</v>
      </c>
    </row>
    <row r="186" spans="1:4" x14ac:dyDescent="0.25">
      <c r="A186" t="s">
        <v>385</v>
      </c>
    </row>
    <row r="188" spans="1:4" x14ac:dyDescent="0.25">
      <c r="A188" t="s">
        <v>386</v>
      </c>
      <c r="D188">
        <v>1080000</v>
      </c>
    </row>
    <row r="189" spans="1:4" x14ac:dyDescent="0.25">
      <c r="A189" s="64" t="s">
        <v>246</v>
      </c>
      <c r="B189" s="64" t="s">
        <v>379</v>
      </c>
      <c r="C189" s="64" t="s">
        <v>378</v>
      </c>
      <c r="D189" s="65">
        <v>40000</v>
      </c>
    </row>
    <row r="190" spans="1:4" x14ac:dyDescent="0.25">
      <c r="D190">
        <f>SUM(D188:D189)</f>
        <v>1120000</v>
      </c>
    </row>
    <row r="192" spans="1:4" x14ac:dyDescent="0.25">
      <c r="A192" t="s">
        <v>390</v>
      </c>
    </row>
    <row r="193" spans="1:4" x14ac:dyDescent="0.25">
      <c r="A193" s="64" t="s">
        <v>361</v>
      </c>
      <c r="B193" s="64" t="s">
        <v>387</v>
      </c>
      <c r="C193" s="64" t="s">
        <v>206</v>
      </c>
      <c r="D193" s="65">
        <v>30000</v>
      </c>
    </row>
    <row r="194" spans="1:4" x14ac:dyDescent="0.25">
      <c r="A194" s="57" t="s">
        <v>160</v>
      </c>
      <c r="B194" s="57" t="s">
        <v>388</v>
      </c>
      <c r="C194" s="57" t="s">
        <v>12</v>
      </c>
      <c r="D194" s="66">
        <v>261000</v>
      </c>
    </row>
    <row r="195" spans="1:4" x14ac:dyDescent="0.25">
      <c r="A195" s="64"/>
      <c r="B195" s="64"/>
      <c r="C195" s="64" t="s">
        <v>243</v>
      </c>
      <c r="D195" s="65">
        <v>121800</v>
      </c>
    </row>
    <row r="196" spans="1:4" x14ac:dyDescent="0.25">
      <c r="D196" s="4">
        <f>SUM(D193:D195)</f>
        <v>412800</v>
      </c>
    </row>
    <row r="197" spans="1:4" x14ac:dyDescent="0.25">
      <c r="C197" t="s">
        <v>214</v>
      </c>
      <c r="D197" s="39">
        <f>600000-D196</f>
        <v>187200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B5B10-E70B-41C9-84E0-AC665B564579}">
  <sheetPr>
    <tabColor theme="4" tint="-0.249977111117893"/>
  </sheetPr>
  <dimension ref="A1:M122"/>
  <sheetViews>
    <sheetView topLeftCell="A96" workbookViewId="0">
      <selection sqref="A1:I122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371</v>
      </c>
      <c r="C2" s="122"/>
      <c r="D2" s="122"/>
      <c r="F2" s="7" t="s">
        <v>19</v>
      </c>
      <c r="H2" s="9">
        <v>44953</v>
      </c>
    </row>
    <row r="3" spans="1:13" x14ac:dyDescent="0.25">
      <c r="A3" s="7" t="s">
        <v>20</v>
      </c>
      <c r="B3" s="122" t="s">
        <v>607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604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>
        <v>3024170645</v>
      </c>
      <c r="C6" s="122"/>
    </row>
    <row r="9" spans="1:13" x14ac:dyDescent="0.25">
      <c r="A9" s="7" t="s">
        <v>25</v>
      </c>
      <c r="B9" s="126">
        <v>2500000</v>
      </c>
      <c r="C9" s="126"/>
      <c r="D9" s="126"/>
      <c r="E9" s="7" t="s">
        <v>26</v>
      </c>
      <c r="F9" s="7"/>
      <c r="H9" s="10">
        <f>(B9-H25)*0.6</f>
        <v>1164480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44957</v>
      </c>
      <c r="B14" s="124"/>
      <c r="C14" s="124"/>
      <c r="D14" s="124"/>
      <c r="E14" s="124" t="s">
        <v>608</v>
      </c>
      <c r="F14" s="124"/>
      <c r="G14" s="125"/>
      <c r="H14" s="125"/>
      <c r="L14" s="39"/>
    </row>
    <row r="15" spans="1:13" x14ac:dyDescent="0.25">
      <c r="A15" s="17">
        <v>44958</v>
      </c>
      <c r="B15" s="124"/>
      <c r="C15" s="124"/>
      <c r="D15" s="124"/>
      <c r="E15" s="124" t="s">
        <v>609</v>
      </c>
      <c r="F15" s="124"/>
      <c r="G15" s="125">
        <v>6200</v>
      </c>
      <c r="H15" s="125"/>
      <c r="L15" s="39"/>
    </row>
    <row r="16" spans="1:13" x14ac:dyDescent="0.25">
      <c r="A16" s="17">
        <v>44958</v>
      </c>
      <c r="B16" s="124"/>
      <c r="C16" s="124"/>
      <c r="D16" s="124"/>
      <c r="E16" s="124" t="s">
        <v>584</v>
      </c>
      <c r="F16" s="124"/>
      <c r="G16" s="125">
        <v>10000</v>
      </c>
      <c r="H16" s="125"/>
      <c r="L16" s="4"/>
      <c r="M16" s="4"/>
    </row>
    <row r="17" spans="1:9" x14ac:dyDescent="0.25">
      <c r="A17" s="17">
        <v>44959</v>
      </c>
      <c r="B17" s="124"/>
      <c r="C17" s="124"/>
      <c r="D17" s="124"/>
      <c r="E17" s="124" t="s">
        <v>608</v>
      </c>
      <c r="F17" s="124"/>
      <c r="G17" s="125"/>
      <c r="H17" s="125"/>
    </row>
    <row r="18" spans="1:9" x14ac:dyDescent="0.25">
      <c r="A18" s="17">
        <v>44963</v>
      </c>
      <c r="B18" s="124">
        <v>3116</v>
      </c>
      <c r="C18" s="124"/>
      <c r="D18" s="124"/>
      <c r="E18" s="124" t="s">
        <v>623</v>
      </c>
      <c r="F18" s="124"/>
      <c r="G18" s="125">
        <v>340000</v>
      </c>
      <c r="H18" s="125"/>
    </row>
    <row r="19" spans="1:9" x14ac:dyDescent="0.25">
      <c r="A19" s="17">
        <v>44963</v>
      </c>
      <c r="B19" s="124">
        <v>3116</v>
      </c>
      <c r="C19" s="124"/>
      <c r="D19" s="124"/>
      <c r="E19" s="124" t="s">
        <v>625</v>
      </c>
      <c r="F19" s="124"/>
      <c r="G19" s="125">
        <v>25000</v>
      </c>
      <c r="H19" s="125"/>
    </row>
    <row r="20" spans="1:9" x14ac:dyDescent="0.25">
      <c r="A20" s="17">
        <v>44963</v>
      </c>
      <c r="B20" s="124">
        <v>3116</v>
      </c>
      <c r="C20" s="124"/>
      <c r="D20" s="124"/>
      <c r="E20" s="124" t="s">
        <v>626</v>
      </c>
      <c r="F20" s="124"/>
      <c r="G20" s="125">
        <v>30000</v>
      </c>
      <c r="H20" s="125"/>
    </row>
    <row r="21" spans="1:9" x14ac:dyDescent="0.25">
      <c r="A21" s="17">
        <v>44963</v>
      </c>
      <c r="B21" s="124">
        <v>3116</v>
      </c>
      <c r="C21" s="124"/>
      <c r="D21" s="124"/>
      <c r="E21" s="124" t="s">
        <v>630</v>
      </c>
      <c r="F21" s="124"/>
      <c r="G21" s="125">
        <v>48000</v>
      </c>
      <c r="H21" s="125"/>
      <c r="I21" s="4"/>
    </row>
    <row r="22" spans="1:9" x14ac:dyDescent="0.25">
      <c r="A22" s="9">
        <v>44963</v>
      </c>
      <c r="B22" s="124">
        <v>316</v>
      </c>
      <c r="C22" s="124"/>
      <c r="D22" s="124"/>
      <c r="E22" s="124" t="s">
        <v>629</v>
      </c>
      <c r="F22" s="124"/>
      <c r="G22" s="131">
        <v>23000</v>
      </c>
      <c r="H22" s="131"/>
    </row>
    <row r="23" spans="1:9" x14ac:dyDescent="0.25">
      <c r="A23" s="17">
        <v>44963</v>
      </c>
      <c r="B23" s="124">
        <v>316</v>
      </c>
      <c r="C23" s="124"/>
      <c r="D23" s="124"/>
      <c r="E23" s="124" t="s">
        <v>628</v>
      </c>
      <c r="F23" s="124"/>
      <c r="G23" s="125">
        <v>50000</v>
      </c>
      <c r="H23" s="125"/>
    </row>
    <row r="24" spans="1:9" x14ac:dyDescent="0.25">
      <c r="A24" s="17">
        <v>44963</v>
      </c>
      <c r="B24" s="124">
        <v>316</v>
      </c>
      <c r="C24" s="124"/>
      <c r="D24" s="124"/>
      <c r="E24" s="124" t="s">
        <v>627</v>
      </c>
      <c r="F24" s="124"/>
      <c r="G24" s="131">
        <v>27000</v>
      </c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559200</v>
      </c>
    </row>
    <row r="26" spans="1:9" x14ac:dyDescent="0.25">
      <c r="A26" s="3"/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/>
      <c r="B30" s="137"/>
      <c r="C30" s="137"/>
      <c r="D30" s="137"/>
      <c r="E30" s="132">
        <v>500000</v>
      </c>
      <c r="F30" s="132"/>
      <c r="G30" s="132">
        <f>B9-E34</f>
        <v>0</v>
      </c>
      <c r="H30" s="132"/>
    </row>
    <row r="31" spans="1:9" x14ac:dyDescent="0.25">
      <c r="A31" s="17"/>
      <c r="B31" s="124"/>
      <c r="C31" s="124"/>
      <c r="D31" s="124"/>
      <c r="E31" s="131">
        <v>500000</v>
      </c>
      <c r="F31" s="131"/>
      <c r="G31" s="132"/>
      <c r="H31" s="132"/>
    </row>
    <row r="32" spans="1:9" x14ac:dyDescent="0.25">
      <c r="A32" s="16">
        <v>44968</v>
      </c>
      <c r="B32" s="124"/>
      <c r="C32" s="124"/>
      <c r="D32" s="124"/>
      <c r="E32" s="131">
        <v>1500000</v>
      </c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2500000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44961</v>
      </c>
      <c r="B39" s="124">
        <v>378</v>
      </c>
      <c r="C39" s="124"/>
      <c r="D39" s="124"/>
      <c r="E39" s="131">
        <v>580000</v>
      </c>
      <c r="F39" s="131"/>
      <c r="G39" s="138">
        <f>H9-E59</f>
        <v>584480</v>
      </c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9" x14ac:dyDescent="0.25">
      <c r="A49" s="15"/>
      <c r="B49" s="124"/>
      <c r="C49" s="124"/>
      <c r="D49" s="124"/>
      <c r="E49" s="131"/>
      <c r="F49" s="131"/>
      <c r="G49" s="138"/>
      <c r="H49" s="138"/>
    </row>
    <row r="50" spans="1:9" x14ac:dyDescent="0.25">
      <c r="A50" s="15"/>
      <c r="B50" s="124"/>
      <c r="C50" s="124"/>
      <c r="D50" s="124"/>
      <c r="E50" s="131"/>
      <c r="F50" s="131"/>
      <c r="G50" s="138"/>
      <c r="H50" s="138"/>
    </row>
    <row r="51" spans="1:9" x14ac:dyDescent="0.25">
      <c r="A51" s="15"/>
      <c r="B51" s="124"/>
      <c r="C51" s="124"/>
      <c r="D51" s="124"/>
      <c r="E51" s="131"/>
      <c r="F51" s="131"/>
      <c r="G51" s="138"/>
      <c r="H51" s="138"/>
    </row>
    <row r="52" spans="1:9" x14ac:dyDescent="0.25">
      <c r="A52" s="15"/>
      <c r="B52" s="124"/>
      <c r="C52" s="124"/>
      <c r="D52" s="124"/>
      <c r="E52" s="131"/>
      <c r="F52" s="131"/>
      <c r="G52" s="138"/>
      <c r="H52" s="138"/>
    </row>
    <row r="53" spans="1:9" x14ac:dyDescent="0.25">
      <c r="A53" s="15"/>
      <c r="B53" s="124"/>
      <c r="C53" s="124"/>
      <c r="D53" s="124"/>
      <c r="E53" s="131"/>
      <c r="F53" s="131"/>
      <c r="G53" s="138"/>
      <c r="H53" s="138"/>
    </row>
    <row r="54" spans="1:9" x14ac:dyDescent="0.25">
      <c r="A54" s="15"/>
      <c r="B54" s="124"/>
      <c r="C54" s="124"/>
      <c r="D54" s="124"/>
      <c r="E54" s="131"/>
      <c r="F54" s="131"/>
      <c r="G54" s="138"/>
      <c r="H54" s="138"/>
    </row>
    <row r="55" spans="1:9" x14ac:dyDescent="0.25">
      <c r="A55" s="15"/>
      <c r="B55" s="124"/>
      <c r="C55" s="124"/>
      <c r="D55" s="124"/>
      <c r="E55" s="131"/>
      <c r="F55" s="131"/>
      <c r="G55" s="138"/>
      <c r="H55" s="138"/>
    </row>
    <row r="56" spans="1:9" x14ac:dyDescent="0.25">
      <c r="A56" s="15"/>
      <c r="B56" s="124"/>
      <c r="C56" s="124"/>
      <c r="D56" s="124"/>
      <c r="E56" s="131"/>
      <c r="F56" s="131"/>
      <c r="G56" s="138"/>
      <c r="H56" s="138"/>
    </row>
    <row r="57" spans="1:9" x14ac:dyDescent="0.25">
      <c r="A57" s="15"/>
      <c r="B57" s="124"/>
      <c r="C57" s="124"/>
      <c r="D57" s="124"/>
      <c r="E57" s="131"/>
      <c r="F57" s="131"/>
      <c r="G57" s="138"/>
      <c r="H57" s="138"/>
    </row>
    <row r="58" spans="1:9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9" ht="15.75" thickBot="1" x14ac:dyDescent="0.3">
      <c r="A59" s="140" t="s">
        <v>36</v>
      </c>
      <c r="B59" s="140"/>
      <c r="C59" s="140"/>
      <c r="D59" s="140"/>
      <c r="E59" s="141">
        <f>SUM(E39:F58)</f>
        <v>580000</v>
      </c>
      <c r="F59" s="142"/>
      <c r="G59" s="138">
        <f>H13-E59</f>
        <v>-580000</v>
      </c>
      <c r="H59" s="138"/>
    </row>
    <row r="64" spans="1:9" ht="28.5" x14ac:dyDescent="0.45">
      <c r="A64" s="121" t="s">
        <v>12</v>
      </c>
      <c r="B64" s="121"/>
      <c r="C64" s="121"/>
      <c r="D64" s="121"/>
      <c r="E64" s="121"/>
      <c r="F64" s="121"/>
      <c r="G64" s="121"/>
      <c r="H64" s="121"/>
      <c r="I64" s="121"/>
    </row>
    <row r="65" spans="1:8" x14ac:dyDescent="0.25">
      <c r="A65" s="7" t="s">
        <v>18</v>
      </c>
      <c r="B65" s="122" t="s">
        <v>371</v>
      </c>
      <c r="C65" s="122"/>
      <c r="D65" s="122"/>
      <c r="F65" s="7" t="s">
        <v>19</v>
      </c>
      <c r="H65" s="9">
        <v>44953</v>
      </c>
    </row>
    <row r="66" spans="1:8" x14ac:dyDescent="0.25">
      <c r="A66" s="7" t="s">
        <v>20</v>
      </c>
      <c r="B66" s="122" t="s">
        <v>607</v>
      </c>
      <c r="C66" s="122"/>
      <c r="D66" s="122"/>
      <c r="F66" s="7" t="s">
        <v>21</v>
      </c>
      <c r="H66" s="9"/>
    </row>
    <row r="67" spans="1:8" x14ac:dyDescent="0.25">
      <c r="A67" s="7" t="s">
        <v>22</v>
      </c>
      <c r="B67" s="122" t="s">
        <v>604</v>
      </c>
      <c r="C67" s="122"/>
      <c r="D67" s="122"/>
    </row>
    <row r="68" spans="1:8" x14ac:dyDescent="0.25">
      <c r="A68" s="7" t="s">
        <v>23</v>
      </c>
      <c r="B68" s="122"/>
      <c r="C68" s="122"/>
    </row>
    <row r="69" spans="1:8" x14ac:dyDescent="0.25">
      <c r="A69" s="7" t="s">
        <v>24</v>
      </c>
      <c r="B69" s="123">
        <v>3024170645</v>
      </c>
      <c r="C69" s="122"/>
    </row>
    <row r="72" spans="1:8" x14ac:dyDescent="0.25">
      <c r="A72" s="7" t="s">
        <v>25</v>
      </c>
      <c r="B72" s="126">
        <v>250000</v>
      </c>
      <c r="C72" s="126"/>
      <c r="D72" s="126"/>
      <c r="E72" s="7" t="s">
        <v>26</v>
      </c>
      <c r="F72" s="7"/>
      <c r="H72" s="10">
        <f>(B72-H88)*0.6</f>
        <v>120000</v>
      </c>
    </row>
    <row r="74" spans="1:8" ht="15.75" thickBot="1" x14ac:dyDescent="0.3">
      <c r="B74" s="1"/>
      <c r="C74" s="1"/>
      <c r="D74" s="1"/>
      <c r="E74" s="1"/>
      <c r="F74" s="1"/>
      <c r="G74" s="5"/>
      <c r="H74" s="1"/>
    </row>
    <row r="75" spans="1:8" ht="19.5" thickBot="1" x14ac:dyDescent="0.35">
      <c r="A75" s="127" t="s">
        <v>27</v>
      </c>
      <c r="B75" s="128"/>
      <c r="C75" s="128"/>
      <c r="D75" s="128"/>
      <c r="E75" s="128"/>
      <c r="F75" s="128"/>
      <c r="G75" s="128"/>
      <c r="H75" s="129"/>
    </row>
    <row r="76" spans="1:8" x14ac:dyDescent="0.25">
      <c r="A76" s="18" t="s">
        <v>28</v>
      </c>
      <c r="B76" s="130" t="s">
        <v>29</v>
      </c>
      <c r="C76" s="130"/>
      <c r="D76" s="130"/>
      <c r="E76" s="130" t="s">
        <v>30</v>
      </c>
      <c r="F76" s="130"/>
      <c r="G76" s="130" t="s">
        <v>31</v>
      </c>
      <c r="H76" s="130"/>
    </row>
    <row r="77" spans="1:8" x14ac:dyDescent="0.25">
      <c r="A77" s="3">
        <v>44970</v>
      </c>
      <c r="B77" s="124"/>
      <c r="C77" s="124"/>
      <c r="D77" s="124"/>
      <c r="E77" s="124" t="s">
        <v>85</v>
      </c>
      <c r="F77" s="124"/>
      <c r="G77" s="125">
        <v>5000</v>
      </c>
      <c r="H77" s="125"/>
    </row>
    <row r="78" spans="1:8" x14ac:dyDescent="0.25">
      <c r="A78" s="3">
        <v>44970</v>
      </c>
      <c r="B78" s="124"/>
      <c r="C78" s="124"/>
      <c r="D78" s="124"/>
      <c r="E78" s="124" t="s">
        <v>640</v>
      </c>
      <c r="F78" s="124"/>
      <c r="G78" s="125">
        <v>19000</v>
      </c>
      <c r="H78" s="125"/>
    </row>
    <row r="79" spans="1:8" x14ac:dyDescent="0.25">
      <c r="A79" s="3">
        <v>44970</v>
      </c>
      <c r="B79" s="124"/>
      <c r="C79" s="124"/>
      <c r="D79" s="124"/>
      <c r="E79" s="124" t="s">
        <v>641</v>
      </c>
      <c r="F79" s="124"/>
      <c r="G79" s="125">
        <v>12000</v>
      </c>
      <c r="H79" s="125"/>
    </row>
    <row r="80" spans="1:8" x14ac:dyDescent="0.25">
      <c r="A80" s="3">
        <v>44970</v>
      </c>
      <c r="B80" s="124"/>
      <c r="C80" s="124"/>
      <c r="D80" s="124"/>
      <c r="E80" s="124" t="s">
        <v>642</v>
      </c>
      <c r="F80" s="124"/>
      <c r="G80" s="125">
        <v>10000</v>
      </c>
      <c r="H80" s="125"/>
    </row>
    <row r="81" spans="1:9" x14ac:dyDescent="0.25">
      <c r="A81" s="17">
        <v>44970</v>
      </c>
      <c r="B81" s="124"/>
      <c r="C81" s="124"/>
      <c r="D81" s="124"/>
      <c r="E81" s="124" t="s">
        <v>98</v>
      </c>
      <c r="F81" s="124"/>
      <c r="G81" s="125">
        <v>4000</v>
      </c>
      <c r="H81" s="125"/>
    </row>
    <row r="82" spans="1:9" x14ac:dyDescent="0.25">
      <c r="A82" s="17"/>
      <c r="B82" s="124"/>
      <c r="C82" s="124"/>
      <c r="D82" s="124"/>
      <c r="E82" s="124"/>
      <c r="F82" s="124"/>
      <c r="G82" s="125"/>
      <c r="H82" s="125"/>
    </row>
    <row r="83" spans="1:9" x14ac:dyDescent="0.25">
      <c r="A83" s="17"/>
      <c r="B83" s="124"/>
      <c r="C83" s="124"/>
      <c r="D83" s="124"/>
      <c r="E83" s="124"/>
      <c r="F83" s="124"/>
      <c r="G83" s="125"/>
      <c r="H83" s="125"/>
    </row>
    <row r="84" spans="1:9" x14ac:dyDescent="0.25">
      <c r="A84" s="17"/>
      <c r="B84" s="124"/>
      <c r="C84" s="124"/>
      <c r="D84" s="124"/>
      <c r="E84" s="124"/>
      <c r="F84" s="124"/>
      <c r="G84" s="125"/>
      <c r="H84" s="125"/>
      <c r="I84" s="4"/>
    </row>
    <row r="85" spans="1:9" x14ac:dyDescent="0.25">
      <c r="A85" s="9"/>
      <c r="B85" s="124"/>
      <c r="C85" s="124"/>
      <c r="D85" s="124"/>
      <c r="E85" s="124"/>
      <c r="F85" s="124"/>
      <c r="G85" s="131"/>
      <c r="H85" s="131"/>
    </row>
    <row r="86" spans="1:9" x14ac:dyDescent="0.25">
      <c r="A86" s="17"/>
      <c r="B86" s="124"/>
      <c r="C86" s="124"/>
      <c r="D86" s="124"/>
      <c r="E86" s="124"/>
      <c r="F86" s="124"/>
      <c r="G86" s="125"/>
      <c r="H86" s="125"/>
    </row>
    <row r="87" spans="1:9" x14ac:dyDescent="0.25">
      <c r="A87" s="17"/>
      <c r="B87" s="124"/>
      <c r="C87" s="124"/>
      <c r="D87" s="124"/>
      <c r="E87" s="124"/>
      <c r="F87" s="124"/>
      <c r="G87" s="131"/>
      <c r="H87" s="131"/>
    </row>
    <row r="88" spans="1:9" ht="15.75" thickBot="1" x14ac:dyDescent="0.3">
      <c r="A88" s="3"/>
      <c r="F88" s="133" t="s">
        <v>32</v>
      </c>
      <c r="G88" s="133"/>
      <c r="H88" s="12">
        <f>SUM(G77:H87)</f>
        <v>50000</v>
      </c>
    </row>
    <row r="89" spans="1:9" x14ac:dyDescent="0.25">
      <c r="A89" s="3"/>
    </row>
    <row r="90" spans="1:9" ht="15.75" thickBot="1" x14ac:dyDescent="0.3"/>
    <row r="91" spans="1:9" ht="19.5" thickBot="1" x14ac:dyDescent="0.35">
      <c r="A91" s="127" t="s">
        <v>10</v>
      </c>
      <c r="B91" s="128"/>
      <c r="C91" s="128"/>
      <c r="D91" s="128"/>
      <c r="E91" s="128"/>
      <c r="F91" s="128"/>
      <c r="G91" s="128"/>
      <c r="H91" s="129"/>
    </row>
    <row r="92" spans="1:9" ht="15.75" thickBot="1" x14ac:dyDescent="0.3">
      <c r="A92" s="13" t="s">
        <v>0</v>
      </c>
      <c r="B92" s="134" t="s">
        <v>33</v>
      </c>
      <c r="C92" s="134"/>
      <c r="D92" s="134"/>
      <c r="E92" s="135" t="s">
        <v>34</v>
      </c>
      <c r="F92" s="135"/>
      <c r="G92" s="135" t="s">
        <v>35</v>
      </c>
      <c r="H92" s="136"/>
    </row>
    <row r="93" spans="1:9" x14ac:dyDescent="0.25">
      <c r="A93" s="38"/>
      <c r="B93" s="137"/>
      <c r="C93" s="137"/>
      <c r="D93" s="137"/>
      <c r="E93" s="132"/>
      <c r="F93" s="132"/>
      <c r="G93" s="132">
        <f>B72-E97</f>
        <v>250000</v>
      </c>
      <c r="H93" s="132"/>
    </row>
    <row r="94" spans="1:9" x14ac:dyDescent="0.25">
      <c r="A94" s="17"/>
      <c r="B94" s="124"/>
      <c r="C94" s="124"/>
      <c r="D94" s="124"/>
      <c r="E94" s="131"/>
      <c r="F94" s="131"/>
      <c r="G94" s="132"/>
      <c r="H94" s="132"/>
    </row>
    <row r="95" spans="1:9" x14ac:dyDescent="0.25">
      <c r="A95" s="16"/>
      <c r="B95" s="124"/>
      <c r="C95" s="124"/>
      <c r="D95" s="124"/>
      <c r="E95" s="131"/>
      <c r="F95" s="131"/>
      <c r="G95" s="132"/>
      <c r="H95" s="132"/>
    </row>
    <row r="96" spans="1:9" ht="15.75" thickBot="1" x14ac:dyDescent="0.3">
      <c r="A96" s="15"/>
      <c r="B96" s="124"/>
      <c r="C96" s="124"/>
      <c r="D96" s="124"/>
      <c r="E96" s="139"/>
      <c r="F96" s="139"/>
      <c r="G96" s="132"/>
      <c r="H96" s="132"/>
    </row>
    <row r="97" spans="1:8" ht="15.75" thickBot="1" x14ac:dyDescent="0.3">
      <c r="A97" s="140" t="s">
        <v>36</v>
      </c>
      <c r="B97" s="140"/>
      <c r="C97" s="140"/>
      <c r="D97" s="140"/>
      <c r="E97" s="141">
        <f>SUM(E93:F96)</f>
        <v>0</v>
      </c>
      <c r="F97" s="142"/>
      <c r="G97" s="141"/>
      <c r="H97" s="143"/>
    </row>
    <row r="99" spans="1:8" ht="15.75" thickBot="1" x14ac:dyDescent="0.3"/>
    <row r="100" spans="1:8" ht="19.5" thickBot="1" x14ac:dyDescent="0.35">
      <c r="A100" s="127" t="s">
        <v>37</v>
      </c>
      <c r="B100" s="128"/>
      <c r="C100" s="128"/>
      <c r="D100" s="128"/>
      <c r="E100" s="128"/>
      <c r="F100" s="128"/>
      <c r="G100" s="128"/>
      <c r="H100" s="129"/>
    </row>
    <row r="101" spans="1:8" ht="15.75" thickBot="1" x14ac:dyDescent="0.3">
      <c r="A101" s="13" t="s">
        <v>0</v>
      </c>
      <c r="B101" s="134" t="s">
        <v>33</v>
      </c>
      <c r="C101" s="134"/>
      <c r="D101" s="134"/>
      <c r="E101" s="135" t="s">
        <v>38</v>
      </c>
      <c r="F101" s="135"/>
      <c r="G101" s="135" t="s">
        <v>35</v>
      </c>
      <c r="H101" s="136"/>
    </row>
    <row r="102" spans="1:8" x14ac:dyDescent="0.25">
      <c r="A102" s="16">
        <v>44961</v>
      </c>
      <c r="B102" s="124">
        <v>378</v>
      </c>
      <c r="C102" s="124"/>
      <c r="D102" s="124"/>
      <c r="E102" s="131">
        <v>580000</v>
      </c>
      <c r="F102" s="131"/>
      <c r="G102" s="138">
        <f>H72-E122</f>
        <v>-460000</v>
      </c>
      <c r="H102" s="138"/>
    </row>
    <row r="103" spans="1:8" x14ac:dyDescent="0.25">
      <c r="A103" s="16"/>
      <c r="B103" s="124"/>
      <c r="C103" s="124"/>
      <c r="D103" s="124"/>
      <c r="E103" s="131"/>
      <c r="F103" s="131"/>
      <c r="G103" s="138"/>
      <c r="H103" s="138"/>
    </row>
    <row r="104" spans="1:8" x14ac:dyDescent="0.25">
      <c r="A104" s="15"/>
      <c r="B104" s="124"/>
      <c r="C104" s="124"/>
      <c r="D104" s="124"/>
      <c r="E104" s="131"/>
      <c r="F104" s="131"/>
      <c r="G104" s="138"/>
      <c r="H104" s="138"/>
    </row>
    <row r="105" spans="1:8" x14ac:dyDescent="0.25">
      <c r="A105" s="15"/>
      <c r="B105" s="124"/>
      <c r="C105" s="124"/>
      <c r="D105" s="124"/>
      <c r="E105" s="131"/>
      <c r="F105" s="131"/>
      <c r="G105" s="138"/>
      <c r="H105" s="138"/>
    </row>
    <row r="106" spans="1:8" x14ac:dyDescent="0.25">
      <c r="A106" s="15"/>
      <c r="B106" s="124"/>
      <c r="C106" s="124"/>
      <c r="D106" s="124"/>
      <c r="E106" s="131"/>
      <c r="F106" s="131"/>
      <c r="G106" s="138"/>
      <c r="H106" s="138"/>
    </row>
    <row r="107" spans="1:8" x14ac:dyDescent="0.25">
      <c r="A107" s="15"/>
      <c r="B107" s="124"/>
      <c r="C107" s="124"/>
      <c r="D107" s="124"/>
      <c r="E107" s="131"/>
      <c r="F107" s="131"/>
      <c r="G107" s="138"/>
      <c r="H107" s="138"/>
    </row>
    <row r="108" spans="1:8" x14ac:dyDescent="0.25">
      <c r="A108" s="15"/>
      <c r="B108" s="124"/>
      <c r="C108" s="124"/>
      <c r="D108" s="124"/>
      <c r="E108" s="131"/>
      <c r="F108" s="131"/>
      <c r="G108" s="138"/>
      <c r="H108" s="138"/>
    </row>
    <row r="109" spans="1:8" x14ac:dyDescent="0.25">
      <c r="A109" s="15"/>
      <c r="B109" s="124"/>
      <c r="C109" s="124"/>
      <c r="D109" s="124"/>
      <c r="E109" s="131"/>
      <c r="F109" s="131"/>
      <c r="G109" s="138"/>
      <c r="H109" s="138"/>
    </row>
    <row r="110" spans="1:8" x14ac:dyDescent="0.25">
      <c r="A110" s="15"/>
      <c r="B110" s="124"/>
      <c r="C110" s="124"/>
      <c r="D110" s="124"/>
      <c r="E110" s="131"/>
      <c r="F110" s="131"/>
      <c r="G110" s="138"/>
      <c r="H110" s="138"/>
    </row>
    <row r="111" spans="1:8" x14ac:dyDescent="0.25">
      <c r="A111" s="15"/>
      <c r="B111" s="124"/>
      <c r="C111" s="124"/>
      <c r="D111" s="124"/>
      <c r="E111" s="131"/>
      <c r="F111" s="131"/>
      <c r="G111" s="138"/>
      <c r="H111" s="138"/>
    </row>
    <row r="112" spans="1:8" x14ac:dyDescent="0.25">
      <c r="A112" s="15"/>
      <c r="B112" s="124"/>
      <c r="C112" s="124"/>
      <c r="D112" s="124"/>
      <c r="E112" s="131"/>
      <c r="F112" s="131"/>
      <c r="G112" s="138"/>
      <c r="H112" s="138"/>
    </row>
    <row r="113" spans="1:8" x14ac:dyDescent="0.25">
      <c r="A113" s="15"/>
      <c r="B113" s="124"/>
      <c r="C113" s="124"/>
      <c r="D113" s="124"/>
      <c r="E113" s="131"/>
      <c r="F113" s="131"/>
      <c r="G113" s="138"/>
      <c r="H113" s="138"/>
    </row>
    <row r="114" spans="1:8" x14ac:dyDescent="0.25">
      <c r="A114" s="15"/>
      <c r="B114" s="124"/>
      <c r="C114" s="124"/>
      <c r="D114" s="124"/>
      <c r="E114" s="131"/>
      <c r="F114" s="131"/>
      <c r="G114" s="138"/>
      <c r="H114" s="138"/>
    </row>
    <row r="115" spans="1:8" x14ac:dyDescent="0.25">
      <c r="A115" s="15"/>
      <c r="B115" s="124"/>
      <c r="C115" s="124"/>
      <c r="D115" s="124"/>
      <c r="E115" s="131"/>
      <c r="F115" s="131"/>
      <c r="G115" s="138"/>
      <c r="H115" s="138"/>
    </row>
    <row r="116" spans="1:8" x14ac:dyDescent="0.25">
      <c r="A116" s="15"/>
      <c r="B116" s="124"/>
      <c r="C116" s="124"/>
      <c r="D116" s="124"/>
      <c r="E116" s="131"/>
      <c r="F116" s="131"/>
      <c r="G116" s="138"/>
      <c r="H116" s="138"/>
    </row>
    <row r="117" spans="1:8" x14ac:dyDescent="0.25">
      <c r="A117" s="15"/>
      <c r="B117" s="124"/>
      <c r="C117" s="124"/>
      <c r="D117" s="124"/>
      <c r="E117" s="131"/>
      <c r="F117" s="131"/>
      <c r="G117" s="138"/>
      <c r="H117" s="138"/>
    </row>
    <row r="118" spans="1:8" x14ac:dyDescent="0.25">
      <c r="A118" s="15"/>
      <c r="B118" s="124"/>
      <c r="C118" s="124"/>
      <c r="D118" s="124"/>
      <c r="E118" s="131"/>
      <c r="F118" s="131"/>
      <c r="G118" s="138"/>
      <c r="H118" s="138"/>
    </row>
    <row r="119" spans="1:8" x14ac:dyDescent="0.25">
      <c r="A119" s="15"/>
      <c r="B119" s="124"/>
      <c r="C119" s="124"/>
      <c r="D119" s="124"/>
      <c r="E119" s="131"/>
      <c r="F119" s="131"/>
      <c r="G119" s="138"/>
      <c r="H119" s="138"/>
    </row>
    <row r="120" spans="1:8" x14ac:dyDescent="0.25">
      <c r="A120" s="15"/>
      <c r="B120" s="124"/>
      <c r="C120" s="124"/>
      <c r="D120" s="124"/>
      <c r="E120" s="131"/>
      <c r="F120" s="131"/>
      <c r="G120" s="138"/>
      <c r="H120" s="138"/>
    </row>
    <row r="121" spans="1:8" ht="15.75" thickBot="1" x14ac:dyDescent="0.3">
      <c r="A121" s="15"/>
      <c r="B121" s="124"/>
      <c r="C121" s="124"/>
      <c r="D121" s="124"/>
      <c r="E121" s="131"/>
      <c r="F121" s="131"/>
      <c r="G121" s="138">
        <f>H75-E121</f>
        <v>0</v>
      </c>
      <c r="H121" s="138"/>
    </row>
    <row r="122" spans="1:8" ht="15.75" thickBot="1" x14ac:dyDescent="0.3">
      <c r="A122" s="140" t="s">
        <v>36</v>
      </c>
      <c r="B122" s="140"/>
      <c r="C122" s="140"/>
      <c r="D122" s="140"/>
      <c r="E122" s="141">
        <f>SUM(E102:F121)</f>
        <v>580000</v>
      </c>
      <c r="F122" s="142"/>
      <c r="G122" s="138">
        <f>H76-E122</f>
        <v>-580000</v>
      </c>
      <c r="H122" s="138"/>
    </row>
  </sheetData>
  <mergeCells count="262"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A64:I64"/>
    <mergeCell ref="B65:D65"/>
    <mergeCell ref="B66:D66"/>
    <mergeCell ref="B67:D67"/>
    <mergeCell ref="B68:C68"/>
    <mergeCell ref="B69:C69"/>
    <mergeCell ref="B72:D72"/>
    <mergeCell ref="A75:H75"/>
    <mergeCell ref="B76:D76"/>
    <mergeCell ref="E76:F76"/>
    <mergeCell ref="G76:H76"/>
    <mergeCell ref="B77:D77"/>
    <mergeCell ref="E77:F77"/>
    <mergeCell ref="G77:H77"/>
    <mergeCell ref="B78:D78"/>
    <mergeCell ref="E78:F78"/>
    <mergeCell ref="G78:H78"/>
    <mergeCell ref="B79:D79"/>
    <mergeCell ref="E79:F79"/>
    <mergeCell ref="G79:H79"/>
    <mergeCell ref="B80:D80"/>
    <mergeCell ref="E80:F80"/>
    <mergeCell ref="G80:H80"/>
    <mergeCell ref="B81:D81"/>
    <mergeCell ref="E81:F81"/>
    <mergeCell ref="G81:H81"/>
    <mergeCell ref="B82:D82"/>
    <mergeCell ref="E82:F82"/>
    <mergeCell ref="G82:H82"/>
    <mergeCell ref="B83:D83"/>
    <mergeCell ref="E83:F83"/>
    <mergeCell ref="G83:H83"/>
    <mergeCell ref="B84:D84"/>
    <mergeCell ref="E84:F84"/>
    <mergeCell ref="G84:H84"/>
    <mergeCell ref="B85:D85"/>
    <mergeCell ref="E85:F85"/>
    <mergeCell ref="G85:H85"/>
    <mergeCell ref="B86:D86"/>
    <mergeCell ref="E86:F86"/>
    <mergeCell ref="G86:H86"/>
    <mergeCell ref="B87:D87"/>
    <mergeCell ref="E87:F87"/>
    <mergeCell ref="G87:H87"/>
    <mergeCell ref="F88:G88"/>
    <mergeCell ref="A91:H91"/>
    <mergeCell ref="B92:D92"/>
    <mergeCell ref="E92:F92"/>
    <mergeCell ref="G92:H92"/>
    <mergeCell ref="B93:D93"/>
    <mergeCell ref="E93:F93"/>
    <mergeCell ref="G93:H93"/>
    <mergeCell ref="B94:D94"/>
    <mergeCell ref="E94:F94"/>
    <mergeCell ref="G94:H94"/>
    <mergeCell ref="B95:D95"/>
    <mergeCell ref="E95:F95"/>
    <mergeCell ref="G95:H95"/>
    <mergeCell ref="B96:D96"/>
    <mergeCell ref="E96:F96"/>
    <mergeCell ref="G96:H96"/>
    <mergeCell ref="A97:D97"/>
    <mergeCell ref="E97:F97"/>
    <mergeCell ref="G97:H97"/>
    <mergeCell ref="A100:H100"/>
    <mergeCell ref="B101:D101"/>
    <mergeCell ref="E101:F101"/>
    <mergeCell ref="G101:H101"/>
    <mergeCell ref="B102:D102"/>
    <mergeCell ref="E102:F102"/>
    <mergeCell ref="G102:H102"/>
    <mergeCell ref="B103:D103"/>
    <mergeCell ref="E103:F103"/>
    <mergeCell ref="G103:H103"/>
    <mergeCell ref="B104:D104"/>
    <mergeCell ref="E104:F104"/>
    <mergeCell ref="G104:H104"/>
    <mergeCell ref="B105:D105"/>
    <mergeCell ref="E105:F105"/>
    <mergeCell ref="G105:H105"/>
    <mergeCell ref="B106:D106"/>
    <mergeCell ref="E106:F106"/>
    <mergeCell ref="G106:H106"/>
    <mergeCell ref="B107:D107"/>
    <mergeCell ref="E107:F107"/>
    <mergeCell ref="G107:H107"/>
    <mergeCell ref="B108:D108"/>
    <mergeCell ref="E108:F108"/>
    <mergeCell ref="G108:H108"/>
    <mergeCell ref="B109:D109"/>
    <mergeCell ref="E109:F109"/>
    <mergeCell ref="G109:H109"/>
    <mergeCell ref="B110:D110"/>
    <mergeCell ref="E110:F110"/>
    <mergeCell ref="G110:H110"/>
    <mergeCell ref="B111:D111"/>
    <mergeCell ref="E111:F111"/>
    <mergeCell ref="G111:H111"/>
    <mergeCell ref="B112:D112"/>
    <mergeCell ref="E112:F112"/>
    <mergeCell ref="G112:H112"/>
    <mergeCell ref="B113:D113"/>
    <mergeCell ref="E113:F113"/>
    <mergeCell ref="G113:H113"/>
    <mergeCell ref="B114:D114"/>
    <mergeCell ref="E114:F114"/>
    <mergeCell ref="G114:H114"/>
    <mergeCell ref="B115:D115"/>
    <mergeCell ref="E115:F115"/>
    <mergeCell ref="G115:H115"/>
    <mergeCell ref="B116:D116"/>
    <mergeCell ref="E116:F116"/>
    <mergeCell ref="G116:H116"/>
    <mergeCell ref="B117:D117"/>
    <mergeCell ref="E117:F117"/>
    <mergeCell ref="G117:H117"/>
    <mergeCell ref="B118:D118"/>
    <mergeCell ref="E118:F118"/>
    <mergeCell ref="G118:H118"/>
    <mergeCell ref="B119:D119"/>
    <mergeCell ref="E119:F119"/>
    <mergeCell ref="G119:H119"/>
    <mergeCell ref="B120:D120"/>
    <mergeCell ref="E120:F120"/>
    <mergeCell ref="G120:H120"/>
    <mergeCell ref="B121:D121"/>
    <mergeCell ref="E121:F121"/>
    <mergeCell ref="G121:H121"/>
    <mergeCell ref="A122:D122"/>
    <mergeCell ref="E122:F122"/>
    <mergeCell ref="G122:H122"/>
  </mergeCells>
  <pageMargins left="0.7" right="0.7" top="0.75" bottom="0.75" header="0.3" footer="0.3"/>
  <pageSetup paperSize="9" orientation="portrait" horizontalDpi="0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EEFCC-F852-4060-8B3D-5F210C4FCABB}">
  <sheetPr>
    <tabColor theme="4" tint="-0.249977111117893"/>
  </sheetPr>
  <dimension ref="A1:M121"/>
  <sheetViews>
    <sheetView topLeftCell="A25" workbookViewId="0">
      <selection activeCell="K79" sqref="K79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9.85546875" customWidth="1"/>
    <col min="9" max="9" width="12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/>
      <c r="C2" s="122"/>
      <c r="D2" s="122"/>
      <c r="F2" s="7" t="s">
        <v>19</v>
      </c>
      <c r="H2" s="9">
        <v>44962</v>
      </c>
    </row>
    <row r="3" spans="1:13" x14ac:dyDescent="0.25">
      <c r="A3" s="7" t="s">
        <v>20</v>
      </c>
      <c r="B3" s="122"/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/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</row>
    <row r="9" spans="1:13" x14ac:dyDescent="0.25">
      <c r="A9" s="7" t="s">
        <v>25</v>
      </c>
      <c r="B9" s="126">
        <v>2500000</v>
      </c>
      <c r="C9" s="126"/>
      <c r="D9" s="126"/>
      <c r="E9" s="7" t="s">
        <v>26</v>
      </c>
      <c r="F9" s="7"/>
      <c r="H9" s="10">
        <f>(B9-H25)*0.6</f>
        <v>1038900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44964</v>
      </c>
      <c r="B14" s="124"/>
      <c r="C14" s="124"/>
      <c r="D14" s="124"/>
      <c r="E14" s="124" t="s">
        <v>645</v>
      </c>
      <c r="F14" s="124"/>
      <c r="G14" s="125">
        <v>8100</v>
      </c>
      <c r="H14" s="125"/>
      <c r="L14" s="39"/>
    </row>
    <row r="15" spans="1:13" x14ac:dyDescent="0.25">
      <c r="A15" s="3">
        <v>44964</v>
      </c>
      <c r="B15" s="124">
        <v>3117</v>
      </c>
      <c r="C15" s="124"/>
      <c r="D15" s="124"/>
      <c r="E15" s="124" t="s">
        <v>631</v>
      </c>
      <c r="F15" s="124"/>
      <c r="G15" s="125">
        <v>95000</v>
      </c>
      <c r="H15" s="125"/>
      <c r="L15" s="39"/>
    </row>
    <row r="16" spans="1:13" x14ac:dyDescent="0.25">
      <c r="A16" s="3">
        <v>44964</v>
      </c>
      <c r="B16" s="124">
        <v>3117</v>
      </c>
      <c r="C16" s="124"/>
      <c r="D16" s="124"/>
      <c r="E16" s="124" t="s">
        <v>632</v>
      </c>
      <c r="F16" s="124"/>
      <c r="G16" s="125">
        <v>120000</v>
      </c>
      <c r="H16" s="125"/>
      <c r="L16" s="4"/>
      <c r="M16" s="4"/>
    </row>
    <row r="17" spans="1:9" x14ac:dyDescent="0.25">
      <c r="A17" s="17">
        <v>44964</v>
      </c>
      <c r="B17" s="124">
        <v>3117</v>
      </c>
      <c r="C17" s="124"/>
      <c r="D17" s="124"/>
      <c r="E17" s="124" t="s">
        <v>633</v>
      </c>
      <c r="F17" s="124"/>
      <c r="G17" s="125">
        <v>40000</v>
      </c>
      <c r="H17" s="125"/>
    </row>
    <row r="18" spans="1:9" x14ac:dyDescent="0.25">
      <c r="A18" s="17">
        <v>44964</v>
      </c>
      <c r="B18" s="124">
        <v>3117</v>
      </c>
      <c r="C18" s="124"/>
      <c r="D18" s="124"/>
      <c r="E18" s="124" t="s">
        <v>634</v>
      </c>
      <c r="F18" s="124"/>
      <c r="G18" s="125">
        <v>70000</v>
      </c>
      <c r="H18" s="125"/>
    </row>
    <row r="19" spans="1:9" x14ac:dyDescent="0.25">
      <c r="A19" s="17">
        <v>44964</v>
      </c>
      <c r="B19" s="124" t="s">
        <v>677</v>
      </c>
      <c r="C19" s="124"/>
      <c r="D19" s="124"/>
      <c r="E19" s="124" t="s">
        <v>675</v>
      </c>
      <c r="F19" s="124"/>
      <c r="G19" s="125">
        <v>62000</v>
      </c>
      <c r="H19" s="125"/>
    </row>
    <row r="20" spans="1:9" x14ac:dyDescent="0.25">
      <c r="A20" s="17">
        <v>44967</v>
      </c>
      <c r="B20" s="124"/>
      <c r="C20" s="124"/>
      <c r="D20" s="124"/>
      <c r="E20" s="124" t="s">
        <v>117</v>
      </c>
      <c r="F20" s="124"/>
      <c r="G20" s="125">
        <v>10000</v>
      </c>
      <c r="H20" s="125"/>
    </row>
    <row r="21" spans="1:9" x14ac:dyDescent="0.25">
      <c r="A21" s="17">
        <v>44974</v>
      </c>
      <c r="B21" s="124"/>
      <c r="C21" s="124"/>
      <c r="D21" s="124"/>
      <c r="E21" s="124" t="s">
        <v>646</v>
      </c>
      <c r="F21" s="124"/>
      <c r="G21" s="125">
        <v>9000</v>
      </c>
      <c r="H21" s="125"/>
      <c r="I21" s="4"/>
    </row>
    <row r="22" spans="1:9" x14ac:dyDescent="0.25">
      <c r="A22" s="17">
        <v>44979</v>
      </c>
      <c r="B22" s="124"/>
      <c r="C22" s="124"/>
      <c r="D22" s="124"/>
      <c r="E22" s="124" t="s">
        <v>667</v>
      </c>
      <c r="F22" s="124"/>
      <c r="G22" s="131">
        <v>12400</v>
      </c>
      <c r="H22" s="131"/>
    </row>
    <row r="23" spans="1:9" x14ac:dyDescent="0.25">
      <c r="A23" s="17">
        <v>44992</v>
      </c>
      <c r="B23" s="124">
        <v>3258</v>
      </c>
      <c r="C23" s="124"/>
      <c r="D23" s="124"/>
      <c r="E23" s="124" t="s">
        <v>664</v>
      </c>
      <c r="F23" s="124"/>
      <c r="G23" s="125">
        <v>180000</v>
      </c>
      <c r="H23" s="125"/>
    </row>
    <row r="24" spans="1:9" x14ac:dyDescent="0.25">
      <c r="A24" s="17">
        <v>44992</v>
      </c>
      <c r="B24" s="124">
        <v>3258</v>
      </c>
      <c r="C24" s="124"/>
      <c r="D24" s="124"/>
      <c r="E24" s="124" t="s">
        <v>676</v>
      </c>
      <c r="F24" s="124"/>
      <c r="G24" s="131">
        <v>162000</v>
      </c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768500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>
        <v>44962</v>
      </c>
      <c r="B30" s="137"/>
      <c r="C30" s="137"/>
      <c r="D30" s="137"/>
      <c r="E30" s="132">
        <v>1250000</v>
      </c>
      <c r="F30" s="132"/>
      <c r="G30" s="132">
        <f>B9-E34</f>
        <v>1250000</v>
      </c>
      <c r="H30" s="132"/>
    </row>
    <row r="31" spans="1:9" x14ac:dyDescent="0.25">
      <c r="A31" s="17">
        <v>44975</v>
      </c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10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10" ht="15.75" thickBot="1" x14ac:dyDescent="0.3">
      <c r="A34" s="140" t="s">
        <v>36</v>
      </c>
      <c r="B34" s="140"/>
      <c r="C34" s="140"/>
      <c r="D34" s="140"/>
      <c r="E34" s="141">
        <f>SUM(E30:F33)</f>
        <v>1250000</v>
      </c>
      <c r="F34" s="142"/>
      <c r="G34" s="141"/>
      <c r="H34" s="143"/>
    </row>
    <row r="36" spans="1:10" ht="15.75" thickBot="1" x14ac:dyDescent="0.3"/>
    <row r="37" spans="1:10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10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10" x14ac:dyDescent="0.25">
      <c r="A39" s="9">
        <v>44975</v>
      </c>
      <c r="B39" s="124"/>
      <c r="C39" s="124"/>
      <c r="D39" s="124"/>
      <c r="E39" s="131">
        <v>342000</v>
      </c>
      <c r="F39" s="131"/>
      <c r="G39" s="138">
        <f>H9-E59</f>
        <v>696900</v>
      </c>
      <c r="H39" s="138"/>
    </row>
    <row r="40" spans="1:10" x14ac:dyDescent="0.25">
      <c r="A40" s="16"/>
      <c r="B40" s="124"/>
      <c r="C40" s="124"/>
      <c r="D40" s="124"/>
      <c r="E40" s="131"/>
      <c r="F40" s="131"/>
      <c r="G40" s="138"/>
      <c r="H40" s="138"/>
    </row>
    <row r="41" spans="1:10" x14ac:dyDescent="0.25">
      <c r="A41" s="15"/>
      <c r="B41" s="124"/>
      <c r="C41" s="124"/>
      <c r="D41" s="124"/>
      <c r="E41" s="131"/>
      <c r="F41" s="131"/>
      <c r="G41" s="138"/>
      <c r="H41" s="138"/>
    </row>
    <row r="42" spans="1:10" x14ac:dyDescent="0.25">
      <c r="A42" s="15"/>
      <c r="B42" s="124"/>
      <c r="C42" s="124"/>
      <c r="D42" s="124"/>
      <c r="E42" s="131"/>
      <c r="F42" s="131"/>
      <c r="G42" s="138"/>
      <c r="H42" s="138"/>
    </row>
    <row r="43" spans="1:10" x14ac:dyDescent="0.25">
      <c r="A43" s="15"/>
      <c r="B43" s="124"/>
      <c r="C43" s="124"/>
      <c r="D43" s="124"/>
      <c r="E43" s="131"/>
      <c r="F43" s="131"/>
      <c r="G43" s="138"/>
      <c r="H43" s="138"/>
    </row>
    <row r="44" spans="1:10" x14ac:dyDescent="0.25">
      <c r="A44" s="15"/>
      <c r="B44" s="124"/>
      <c r="C44" s="124"/>
      <c r="D44" s="124"/>
      <c r="E44" s="131"/>
      <c r="F44" s="131"/>
      <c r="G44" s="138"/>
      <c r="H44" s="138"/>
    </row>
    <row r="45" spans="1:10" x14ac:dyDescent="0.25">
      <c r="A45" s="15"/>
      <c r="B45" s="124"/>
      <c r="C45" s="124"/>
      <c r="D45" s="124"/>
      <c r="E45" s="131"/>
      <c r="F45" s="131"/>
      <c r="G45" s="138"/>
      <c r="H45" s="138"/>
    </row>
    <row r="46" spans="1:10" x14ac:dyDescent="0.25">
      <c r="A46" s="15"/>
      <c r="B46" s="124"/>
      <c r="C46" s="124"/>
      <c r="D46" s="124"/>
      <c r="E46" s="131"/>
      <c r="F46" s="131"/>
      <c r="G46" s="138"/>
      <c r="H46" s="138"/>
    </row>
    <row r="47" spans="1:10" x14ac:dyDescent="0.25">
      <c r="A47" s="15"/>
      <c r="B47" s="124"/>
      <c r="C47" s="124"/>
      <c r="D47" s="124"/>
      <c r="E47" s="131"/>
      <c r="F47" s="131"/>
      <c r="G47" s="138"/>
      <c r="H47" s="138"/>
      <c r="J47" s="118"/>
    </row>
    <row r="48" spans="1:10" x14ac:dyDescent="0.25">
      <c r="A48" s="15"/>
      <c r="B48" s="124"/>
      <c r="C48" s="124"/>
      <c r="D48" s="124"/>
      <c r="E48" s="131"/>
      <c r="F48" s="131"/>
      <c r="G48" s="138"/>
      <c r="H48" s="138"/>
    </row>
    <row r="49" spans="1:9" x14ac:dyDescent="0.25">
      <c r="A49" s="15"/>
      <c r="B49" s="124"/>
      <c r="C49" s="124"/>
      <c r="D49" s="124"/>
      <c r="E49" s="131"/>
      <c r="F49" s="131"/>
      <c r="G49" s="138"/>
      <c r="H49" s="138"/>
    </row>
    <row r="50" spans="1:9" x14ac:dyDescent="0.25">
      <c r="A50" s="15"/>
      <c r="B50" s="124"/>
      <c r="C50" s="124"/>
      <c r="D50" s="124"/>
      <c r="E50" s="131"/>
      <c r="F50" s="131"/>
      <c r="G50" s="138"/>
      <c r="H50" s="138"/>
    </row>
    <row r="51" spans="1:9" x14ac:dyDescent="0.25">
      <c r="A51" s="15"/>
      <c r="B51" s="124"/>
      <c r="C51" s="124"/>
      <c r="D51" s="124"/>
      <c r="E51" s="131"/>
      <c r="F51" s="131"/>
      <c r="G51" s="138"/>
      <c r="H51" s="138"/>
    </row>
    <row r="52" spans="1:9" x14ac:dyDescent="0.25">
      <c r="A52" s="15"/>
      <c r="B52" s="124"/>
      <c r="C52" s="124"/>
      <c r="D52" s="124"/>
      <c r="E52" s="131"/>
      <c r="F52" s="131"/>
      <c r="G52" s="138"/>
      <c r="H52" s="138"/>
    </row>
    <row r="53" spans="1:9" x14ac:dyDescent="0.25">
      <c r="A53" s="15"/>
      <c r="B53" s="124"/>
      <c r="C53" s="124"/>
      <c r="D53" s="124"/>
      <c r="E53" s="131"/>
      <c r="F53" s="131"/>
      <c r="G53" s="138"/>
      <c r="H53" s="138"/>
    </row>
    <row r="54" spans="1:9" x14ac:dyDescent="0.25">
      <c r="A54" s="15"/>
      <c r="B54" s="124"/>
      <c r="C54" s="124"/>
      <c r="D54" s="124"/>
      <c r="E54" s="131"/>
      <c r="F54" s="131"/>
      <c r="G54" s="138"/>
      <c r="H54" s="138"/>
    </row>
    <row r="55" spans="1:9" x14ac:dyDescent="0.25">
      <c r="A55" s="15"/>
      <c r="B55" s="124"/>
      <c r="C55" s="124"/>
      <c r="D55" s="124"/>
      <c r="E55" s="131"/>
      <c r="F55" s="131"/>
      <c r="G55" s="138"/>
      <c r="H55" s="138"/>
    </row>
    <row r="56" spans="1:9" x14ac:dyDescent="0.25">
      <c r="A56" s="15"/>
      <c r="B56" s="124"/>
      <c r="C56" s="124"/>
      <c r="D56" s="124"/>
      <c r="E56" s="131"/>
      <c r="F56" s="131"/>
      <c r="G56" s="138"/>
      <c r="H56" s="138"/>
    </row>
    <row r="57" spans="1:9" x14ac:dyDescent="0.25">
      <c r="A57" s="15"/>
      <c r="B57" s="124"/>
      <c r="C57" s="124"/>
      <c r="D57" s="124"/>
      <c r="E57" s="131"/>
      <c r="F57" s="131"/>
      <c r="G57" s="138"/>
      <c r="H57" s="138"/>
    </row>
    <row r="58" spans="1:9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9" ht="15.75" thickBot="1" x14ac:dyDescent="0.3">
      <c r="A59" s="140" t="s">
        <v>36</v>
      </c>
      <c r="B59" s="140"/>
      <c r="C59" s="140"/>
      <c r="D59" s="140"/>
      <c r="E59" s="141">
        <f>SUM(E39:F58)</f>
        <v>342000</v>
      </c>
      <c r="F59" s="142"/>
      <c r="G59" s="138">
        <f>H13-E59</f>
        <v>-342000</v>
      </c>
      <c r="H59" s="138"/>
    </row>
    <row r="63" spans="1:9" ht="28.5" x14ac:dyDescent="0.45">
      <c r="A63" s="121" t="s">
        <v>12</v>
      </c>
      <c r="B63" s="121"/>
      <c r="C63" s="121"/>
      <c r="D63" s="121"/>
      <c r="E63" s="121"/>
      <c r="F63" s="121"/>
      <c r="G63" s="121"/>
      <c r="H63" s="121"/>
      <c r="I63" s="121"/>
    </row>
    <row r="64" spans="1:9" x14ac:dyDescent="0.25">
      <c r="A64" s="7" t="s">
        <v>18</v>
      </c>
      <c r="B64" s="122" t="s">
        <v>648</v>
      </c>
      <c r="C64" s="122"/>
      <c r="D64" s="122"/>
      <c r="F64" s="7" t="s">
        <v>19</v>
      </c>
      <c r="H64" s="9">
        <v>44979</v>
      </c>
    </row>
    <row r="65" spans="1:8" x14ac:dyDescent="0.25">
      <c r="A65" s="7" t="s">
        <v>20</v>
      </c>
      <c r="B65" s="122" t="s">
        <v>647</v>
      </c>
      <c r="C65" s="122"/>
      <c r="D65" s="122"/>
      <c r="F65" s="7" t="s">
        <v>21</v>
      </c>
      <c r="H65" s="9">
        <v>44980</v>
      </c>
    </row>
    <row r="66" spans="1:8" x14ac:dyDescent="0.25">
      <c r="A66" s="7" t="s">
        <v>22</v>
      </c>
      <c r="B66" s="122"/>
      <c r="C66" s="122"/>
      <c r="D66" s="122"/>
    </row>
    <row r="67" spans="1:8" x14ac:dyDescent="0.25">
      <c r="A67" s="7" t="s">
        <v>23</v>
      </c>
      <c r="B67" s="122"/>
      <c r="C67" s="122"/>
    </row>
    <row r="68" spans="1:8" x14ac:dyDescent="0.25">
      <c r="A68" s="7" t="s">
        <v>24</v>
      </c>
      <c r="B68" s="123"/>
      <c r="C68" s="122"/>
    </row>
    <row r="71" spans="1:8" x14ac:dyDescent="0.25">
      <c r="A71" s="7" t="s">
        <v>25</v>
      </c>
      <c r="B71" s="126">
        <v>450000</v>
      </c>
      <c r="C71" s="126"/>
      <c r="D71" s="126"/>
      <c r="E71" s="7" t="s">
        <v>26</v>
      </c>
      <c r="F71" s="7"/>
      <c r="H71" s="10">
        <f>(B71-H87)*0.6</f>
        <v>238380</v>
      </c>
    </row>
    <row r="73" spans="1:8" ht="15.75" thickBot="1" x14ac:dyDescent="0.3">
      <c r="B73" s="1"/>
      <c r="C73" s="1"/>
      <c r="D73" s="1"/>
      <c r="E73" s="1"/>
      <c r="F73" s="1"/>
      <c r="G73" s="5"/>
      <c r="H73" s="1"/>
    </row>
    <row r="74" spans="1:8" ht="19.5" thickBot="1" x14ac:dyDescent="0.35">
      <c r="A74" s="127" t="s">
        <v>27</v>
      </c>
      <c r="B74" s="128"/>
      <c r="C74" s="128"/>
      <c r="D74" s="128"/>
      <c r="E74" s="128"/>
      <c r="F74" s="128"/>
      <c r="G74" s="128"/>
      <c r="H74" s="129"/>
    </row>
    <row r="75" spans="1:8" x14ac:dyDescent="0.25">
      <c r="A75" s="18" t="s">
        <v>28</v>
      </c>
      <c r="B75" s="130" t="s">
        <v>29</v>
      </c>
      <c r="C75" s="130"/>
      <c r="D75" s="130"/>
      <c r="E75" s="130" t="s">
        <v>30</v>
      </c>
      <c r="F75" s="130"/>
      <c r="G75" s="130" t="s">
        <v>31</v>
      </c>
      <c r="H75" s="130"/>
    </row>
    <row r="76" spans="1:8" x14ac:dyDescent="0.25">
      <c r="A76" s="3">
        <v>44979</v>
      </c>
      <c r="B76" s="124"/>
      <c r="C76" s="124"/>
      <c r="D76" s="124"/>
      <c r="E76" s="124" t="s">
        <v>643</v>
      </c>
      <c r="F76" s="124"/>
      <c r="G76" s="125">
        <v>39000</v>
      </c>
      <c r="H76" s="125"/>
    </row>
    <row r="77" spans="1:8" x14ac:dyDescent="0.25">
      <c r="A77" s="3">
        <v>44980</v>
      </c>
      <c r="B77" s="124"/>
      <c r="C77" s="124"/>
      <c r="D77" s="124"/>
      <c r="E77" s="124" t="s">
        <v>644</v>
      </c>
      <c r="F77" s="124"/>
      <c r="G77" s="125">
        <v>11000</v>
      </c>
      <c r="H77" s="125"/>
    </row>
    <row r="78" spans="1:8" x14ac:dyDescent="0.25">
      <c r="A78" s="3">
        <v>44980</v>
      </c>
      <c r="B78" s="124"/>
      <c r="C78" s="124"/>
      <c r="D78" s="124"/>
      <c r="E78" s="124" t="s">
        <v>649</v>
      </c>
      <c r="F78" s="124"/>
      <c r="G78" s="125">
        <v>2700</v>
      </c>
      <c r="H78" s="125"/>
    </row>
    <row r="79" spans="1:8" x14ac:dyDescent="0.25">
      <c r="A79" s="17"/>
      <c r="B79" s="124"/>
      <c r="C79" s="124"/>
      <c r="D79" s="124"/>
      <c r="E79" s="124"/>
      <c r="F79" s="124"/>
      <c r="G79" s="125"/>
      <c r="H79" s="125"/>
    </row>
    <row r="80" spans="1:8" x14ac:dyDescent="0.25">
      <c r="A80" s="17"/>
      <c r="B80" s="124"/>
      <c r="C80" s="124"/>
      <c r="D80" s="124"/>
      <c r="E80" s="124"/>
      <c r="F80" s="124"/>
      <c r="G80" s="125"/>
      <c r="H80" s="125"/>
    </row>
    <row r="81" spans="1:9" x14ac:dyDescent="0.25">
      <c r="A81" s="17"/>
      <c r="B81" s="124"/>
      <c r="C81" s="124"/>
      <c r="D81" s="124"/>
      <c r="E81" s="124"/>
      <c r="F81" s="124"/>
      <c r="G81" s="125"/>
      <c r="H81" s="125"/>
    </row>
    <row r="82" spans="1:9" x14ac:dyDescent="0.25">
      <c r="A82" s="17"/>
      <c r="B82" s="124"/>
      <c r="C82" s="124"/>
      <c r="D82" s="124"/>
      <c r="E82" s="124"/>
      <c r="F82" s="124"/>
      <c r="G82" s="125"/>
      <c r="H82" s="125"/>
    </row>
    <row r="83" spans="1:9" x14ac:dyDescent="0.25">
      <c r="A83" s="17"/>
      <c r="B83" s="124"/>
      <c r="C83" s="124"/>
      <c r="D83" s="124"/>
      <c r="E83" s="124"/>
      <c r="F83" s="124"/>
      <c r="G83" s="125"/>
      <c r="H83" s="125"/>
      <c r="I83" s="4"/>
    </row>
    <row r="84" spans="1:9" x14ac:dyDescent="0.25">
      <c r="A84" s="17"/>
      <c r="B84" s="124"/>
      <c r="C84" s="124"/>
      <c r="D84" s="124"/>
      <c r="E84" s="124"/>
      <c r="F84" s="124"/>
      <c r="G84" s="131"/>
      <c r="H84" s="131"/>
    </row>
    <row r="85" spans="1:9" x14ac:dyDescent="0.25">
      <c r="A85" s="17"/>
      <c r="B85" s="124"/>
      <c r="C85" s="124"/>
      <c r="D85" s="124"/>
      <c r="E85" s="124"/>
      <c r="F85" s="124"/>
      <c r="G85" s="125"/>
      <c r="H85" s="125"/>
    </row>
    <row r="86" spans="1:9" x14ac:dyDescent="0.25">
      <c r="A86" s="17"/>
      <c r="B86" s="124"/>
      <c r="C86" s="124"/>
      <c r="D86" s="124"/>
      <c r="E86" s="124"/>
      <c r="F86" s="124"/>
      <c r="G86" s="131"/>
      <c r="H86" s="131"/>
    </row>
    <row r="87" spans="1:9" ht="15.75" thickBot="1" x14ac:dyDescent="0.3">
      <c r="A87" s="3"/>
      <c r="F87" s="133" t="s">
        <v>32</v>
      </c>
      <c r="G87" s="133"/>
      <c r="H87" s="12">
        <f>SUM(G76:H86)</f>
        <v>52700</v>
      </c>
    </row>
    <row r="89" spans="1:9" ht="15.75" thickBot="1" x14ac:dyDescent="0.3"/>
    <row r="90" spans="1:9" ht="19.5" thickBot="1" x14ac:dyDescent="0.35">
      <c r="A90" s="127" t="s">
        <v>10</v>
      </c>
      <c r="B90" s="128"/>
      <c r="C90" s="128"/>
      <c r="D90" s="128"/>
      <c r="E90" s="128"/>
      <c r="F90" s="128"/>
      <c r="G90" s="128"/>
      <c r="H90" s="129"/>
    </row>
    <row r="91" spans="1:9" ht="15.75" thickBot="1" x14ac:dyDescent="0.3">
      <c r="A91" s="13" t="s">
        <v>0</v>
      </c>
      <c r="B91" s="134" t="s">
        <v>33</v>
      </c>
      <c r="C91" s="134"/>
      <c r="D91" s="134"/>
      <c r="E91" s="135" t="s">
        <v>34</v>
      </c>
      <c r="F91" s="135"/>
      <c r="G91" s="135" t="s">
        <v>35</v>
      </c>
      <c r="H91" s="136"/>
    </row>
    <row r="92" spans="1:9" x14ac:dyDescent="0.25">
      <c r="A92" s="38"/>
      <c r="B92" s="137"/>
      <c r="C92" s="137"/>
      <c r="D92" s="137"/>
      <c r="E92" s="132"/>
      <c r="F92" s="132"/>
      <c r="G92" s="132">
        <f>B71-E96</f>
        <v>450000</v>
      </c>
      <c r="H92" s="132"/>
    </row>
    <row r="93" spans="1:9" x14ac:dyDescent="0.25">
      <c r="A93" s="17"/>
      <c r="B93" s="124"/>
      <c r="C93" s="124"/>
      <c r="D93" s="124"/>
      <c r="E93" s="131"/>
      <c r="F93" s="131"/>
      <c r="G93" s="132"/>
      <c r="H93" s="132"/>
    </row>
    <row r="94" spans="1:9" x14ac:dyDescent="0.25">
      <c r="A94" s="15"/>
      <c r="B94" s="124"/>
      <c r="C94" s="124"/>
      <c r="D94" s="124"/>
      <c r="E94" s="131"/>
      <c r="F94" s="131"/>
      <c r="G94" s="132"/>
      <c r="H94" s="132"/>
    </row>
    <row r="95" spans="1:9" ht="15.75" thickBot="1" x14ac:dyDescent="0.3">
      <c r="A95" s="15"/>
      <c r="B95" s="124"/>
      <c r="C95" s="124"/>
      <c r="D95" s="124"/>
      <c r="E95" s="139"/>
      <c r="F95" s="139"/>
      <c r="G95" s="132"/>
      <c r="H95" s="132"/>
    </row>
    <row r="96" spans="1:9" ht="15.75" thickBot="1" x14ac:dyDescent="0.3">
      <c r="A96" s="140" t="s">
        <v>36</v>
      </c>
      <c r="B96" s="140"/>
      <c r="C96" s="140"/>
      <c r="D96" s="140"/>
      <c r="E96" s="141">
        <f>SUM(E92:F95)</f>
        <v>0</v>
      </c>
      <c r="F96" s="142"/>
      <c r="G96" s="141"/>
      <c r="H96" s="143"/>
    </row>
    <row r="98" spans="1:8" ht="15.75" thickBot="1" x14ac:dyDescent="0.3"/>
    <row r="99" spans="1:8" ht="19.5" thickBot="1" x14ac:dyDescent="0.35">
      <c r="A99" s="127" t="s">
        <v>37</v>
      </c>
      <c r="B99" s="128"/>
      <c r="C99" s="128"/>
      <c r="D99" s="128"/>
      <c r="E99" s="128"/>
      <c r="F99" s="128"/>
      <c r="G99" s="128"/>
      <c r="H99" s="129"/>
    </row>
    <row r="100" spans="1:8" ht="15.75" thickBot="1" x14ac:dyDescent="0.3">
      <c r="A100" s="13" t="s">
        <v>0</v>
      </c>
      <c r="B100" s="134" t="s">
        <v>33</v>
      </c>
      <c r="C100" s="134"/>
      <c r="D100" s="134"/>
      <c r="E100" s="135" t="s">
        <v>38</v>
      </c>
      <c r="F100" s="135"/>
      <c r="G100" s="135" t="s">
        <v>35</v>
      </c>
      <c r="H100" s="136"/>
    </row>
    <row r="101" spans="1:8" x14ac:dyDescent="0.25">
      <c r="A101" s="16"/>
      <c r="B101" s="124"/>
      <c r="C101" s="124"/>
      <c r="D101" s="124"/>
      <c r="E101" s="131"/>
      <c r="F101" s="131"/>
      <c r="G101" s="138">
        <f>H71-E121</f>
        <v>238380</v>
      </c>
      <c r="H101" s="138"/>
    </row>
    <row r="102" spans="1:8" x14ac:dyDescent="0.25">
      <c r="A102" s="16"/>
      <c r="B102" s="124"/>
      <c r="C102" s="124"/>
      <c r="D102" s="124"/>
      <c r="E102" s="131"/>
      <c r="F102" s="131"/>
      <c r="G102" s="138"/>
      <c r="H102" s="138"/>
    </row>
    <row r="103" spans="1:8" x14ac:dyDescent="0.25">
      <c r="A103" s="15"/>
      <c r="B103" s="124"/>
      <c r="C103" s="124"/>
      <c r="D103" s="124"/>
      <c r="E103" s="131"/>
      <c r="F103" s="131"/>
      <c r="G103" s="138"/>
      <c r="H103" s="138"/>
    </row>
    <row r="104" spans="1:8" x14ac:dyDescent="0.25">
      <c r="A104" s="15"/>
      <c r="B104" s="124"/>
      <c r="C104" s="124"/>
      <c r="D104" s="124"/>
      <c r="E104" s="131"/>
      <c r="F104" s="131"/>
      <c r="G104" s="138"/>
      <c r="H104" s="138"/>
    </row>
    <row r="105" spans="1:8" x14ac:dyDescent="0.25">
      <c r="A105" s="15"/>
      <c r="B105" s="124"/>
      <c r="C105" s="124"/>
      <c r="D105" s="124"/>
      <c r="E105" s="131"/>
      <c r="F105" s="131"/>
      <c r="G105" s="138"/>
      <c r="H105" s="138"/>
    </row>
    <row r="106" spans="1:8" x14ac:dyDescent="0.25">
      <c r="A106" s="15"/>
      <c r="B106" s="124"/>
      <c r="C106" s="124"/>
      <c r="D106" s="124"/>
      <c r="E106" s="131"/>
      <c r="F106" s="131"/>
      <c r="G106" s="138"/>
      <c r="H106" s="138"/>
    </row>
    <row r="107" spans="1:8" x14ac:dyDescent="0.25">
      <c r="A107" s="15"/>
      <c r="B107" s="124"/>
      <c r="C107" s="124"/>
      <c r="D107" s="124"/>
      <c r="E107" s="131"/>
      <c r="F107" s="131"/>
      <c r="G107" s="138"/>
      <c r="H107" s="138"/>
    </row>
    <row r="108" spans="1:8" x14ac:dyDescent="0.25">
      <c r="A108" s="15"/>
      <c r="B108" s="124"/>
      <c r="C108" s="124"/>
      <c r="D108" s="124"/>
      <c r="E108" s="131"/>
      <c r="F108" s="131"/>
      <c r="G108" s="138"/>
      <c r="H108" s="138"/>
    </row>
    <row r="109" spans="1:8" x14ac:dyDescent="0.25">
      <c r="A109" s="15"/>
      <c r="B109" s="124"/>
      <c r="C109" s="124"/>
      <c r="D109" s="124"/>
      <c r="E109" s="131"/>
      <c r="F109" s="131"/>
      <c r="G109" s="138"/>
      <c r="H109" s="138"/>
    </row>
    <row r="110" spans="1:8" x14ac:dyDescent="0.25">
      <c r="A110" s="15"/>
      <c r="B110" s="124"/>
      <c r="C110" s="124"/>
      <c r="D110" s="124"/>
      <c r="E110" s="131"/>
      <c r="F110" s="131"/>
      <c r="G110" s="138"/>
      <c r="H110" s="138"/>
    </row>
    <row r="111" spans="1:8" x14ac:dyDescent="0.25">
      <c r="A111" s="15"/>
      <c r="B111" s="124"/>
      <c r="C111" s="124"/>
      <c r="D111" s="124"/>
      <c r="E111" s="131"/>
      <c r="F111" s="131"/>
      <c r="G111" s="138"/>
      <c r="H111" s="138"/>
    </row>
    <row r="112" spans="1:8" x14ac:dyDescent="0.25">
      <c r="A112" s="15"/>
      <c r="B112" s="124"/>
      <c r="C112" s="124"/>
      <c r="D112" s="124"/>
      <c r="E112" s="131"/>
      <c r="F112" s="131"/>
      <c r="G112" s="138"/>
      <c r="H112" s="138"/>
    </row>
    <row r="113" spans="1:8" x14ac:dyDescent="0.25">
      <c r="A113" s="15"/>
      <c r="B113" s="124"/>
      <c r="C113" s="124"/>
      <c r="D113" s="124"/>
      <c r="E113" s="131"/>
      <c r="F113" s="131"/>
      <c r="G113" s="138"/>
      <c r="H113" s="138"/>
    </row>
    <row r="114" spans="1:8" x14ac:dyDescent="0.25">
      <c r="A114" s="15"/>
      <c r="B114" s="124"/>
      <c r="C114" s="124"/>
      <c r="D114" s="124"/>
      <c r="E114" s="131"/>
      <c r="F114" s="131"/>
      <c r="G114" s="138"/>
      <c r="H114" s="138"/>
    </row>
    <row r="115" spans="1:8" x14ac:dyDescent="0.25">
      <c r="A115" s="15"/>
      <c r="B115" s="124"/>
      <c r="C115" s="124"/>
      <c r="D115" s="124"/>
      <c r="E115" s="131"/>
      <c r="F115" s="131"/>
      <c r="G115" s="138"/>
      <c r="H115" s="138"/>
    </row>
    <row r="116" spans="1:8" x14ac:dyDescent="0.25">
      <c r="A116" s="15"/>
      <c r="B116" s="124"/>
      <c r="C116" s="124"/>
      <c r="D116" s="124"/>
      <c r="E116" s="131"/>
      <c r="F116" s="131"/>
      <c r="G116" s="138"/>
      <c r="H116" s="138"/>
    </row>
    <row r="117" spans="1:8" x14ac:dyDescent="0.25">
      <c r="A117" s="15"/>
      <c r="B117" s="124"/>
      <c r="C117" s="124"/>
      <c r="D117" s="124"/>
      <c r="E117" s="131"/>
      <c r="F117" s="131"/>
      <c r="G117" s="138"/>
      <c r="H117" s="138"/>
    </row>
    <row r="118" spans="1:8" x14ac:dyDescent="0.25">
      <c r="A118" s="15"/>
      <c r="B118" s="124"/>
      <c r="C118" s="124"/>
      <c r="D118" s="124"/>
      <c r="E118" s="131"/>
      <c r="F118" s="131"/>
      <c r="G118" s="138"/>
      <c r="H118" s="138"/>
    </row>
    <row r="119" spans="1:8" x14ac:dyDescent="0.25">
      <c r="A119" s="15"/>
      <c r="B119" s="124"/>
      <c r="C119" s="124"/>
      <c r="D119" s="124"/>
      <c r="E119" s="131"/>
      <c r="F119" s="131"/>
      <c r="G119" s="138"/>
      <c r="H119" s="138"/>
    </row>
    <row r="120" spans="1:8" ht="15.75" thickBot="1" x14ac:dyDescent="0.3">
      <c r="A120" s="15"/>
      <c r="B120" s="124"/>
      <c r="C120" s="124"/>
      <c r="D120" s="124"/>
      <c r="E120" s="131"/>
      <c r="F120" s="131"/>
      <c r="G120" s="138">
        <f>H74-E120</f>
        <v>0</v>
      </c>
      <c r="H120" s="138"/>
    </row>
    <row r="121" spans="1:8" ht="15.75" thickBot="1" x14ac:dyDescent="0.3">
      <c r="A121" s="140" t="s">
        <v>36</v>
      </c>
      <c r="B121" s="140"/>
      <c r="C121" s="140"/>
      <c r="D121" s="140"/>
      <c r="E121" s="141">
        <f>SUM(E101:F120)</f>
        <v>0</v>
      </c>
      <c r="F121" s="142"/>
      <c r="G121" s="138">
        <f>H75-E121</f>
        <v>0</v>
      </c>
      <c r="H121" s="138"/>
    </row>
  </sheetData>
  <mergeCells count="262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A63:I63"/>
    <mergeCell ref="B64:D64"/>
    <mergeCell ref="B65:D65"/>
    <mergeCell ref="B66:D66"/>
    <mergeCell ref="B67:C67"/>
    <mergeCell ref="B68:C68"/>
    <mergeCell ref="B71:D71"/>
    <mergeCell ref="A74:H74"/>
    <mergeCell ref="B75:D75"/>
    <mergeCell ref="E75:F75"/>
    <mergeCell ref="G75:H75"/>
    <mergeCell ref="B76:D76"/>
    <mergeCell ref="E76:F76"/>
    <mergeCell ref="G76:H76"/>
    <mergeCell ref="B77:D77"/>
    <mergeCell ref="E77:F77"/>
    <mergeCell ref="G77:H77"/>
    <mergeCell ref="B78:D78"/>
    <mergeCell ref="E78:F78"/>
    <mergeCell ref="G78:H78"/>
    <mergeCell ref="B79:D79"/>
    <mergeCell ref="E79:F79"/>
    <mergeCell ref="G79:H79"/>
    <mergeCell ref="B80:D80"/>
    <mergeCell ref="E80:F80"/>
    <mergeCell ref="G80:H80"/>
    <mergeCell ref="B81:D81"/>
    <mergeCell ref="E81:F81"/>
    <mergeCell ref="G81:H81"/>
    <mergeCell ref="B82:D82"/>
    <mergeCell ref="E82:F82"/>
    <mergeCell ref="G82:H82"/>
    <mergeCell ref="B83:D83"/>
    <mergeCell ref="E83:F83"/>
    <mergeCell ref="G83:H83"/>
    <mergeCell ref="B84:D84"/>
    <mergeCell ref="E84:F84"/>
    <mergeCell ref="G84:H84"/>
    <mergeCell ref="B85:D85"/>
    <mergeCell ref="E85:F85"/>
    <mergeCell ref="G85:H85"/>
    <mergeCell ref="B86:D86"/>
    <mergeCell ref="E86:F86"/>
    <mergeCell ref="G86:H86"/>
    <mergeCell ref="F87:G87"/>
    <mergeCell ref="A90:H90"/>
    <mergeCell ref="B91:D91"/>
    <mergeCell ref="E91:F91"/>
    <mergeCell ref="G91:H91"/>
    <mergeCell ref="B92:D92"/>
    <mergeCell ref="E92:F92"/>
    <mergeCell ref="G92:H92"/>
    <mergeCell ref="B93:D93"/>
    <mergeCell ref="E93:F93"/>
    <mergeCell ref="G93:H93"/>
    <mergeCell ref="B94:D94"/>
    <mergeCell ref="E94:F94"/>
    <mergeCell ref="G94:H94"/>
    <mergeCell ref="B95:D95"/>
    <mergeCell ref="E95:F95"/>
    <mergeCell ref="G95:H95"/>
    <mergeCell ref="A96:D96"/>
    <mergeCell ref="E96:F96"/>
    <mergeCell ref="G96:H96"/>
    <mergeCell ref="A99:H99"/>
    <mergeCell ref="B100:D100"/>
    <mergeCell ref="E100:F100"/>
    <mergeCell ref="G100:H100"/>
    <mergeCell ref="B101:D101"/>
    <mergeCell ref="E101:F101"/>
    <mergeCell ref="G101:H101"/>
    <mergeCell ref="B102:D102"/>
    <mergeCell ref="E102:F102"/>
    <mergeCell ref="G102:H102"/>
    <mergeCell ref="B103:D103"/>
    <mergeCell ref="E103:F103"/>
    <mergeCell ref="G103:H103"/>
    <mergeCell ref="B104:D104"/>
    <mergeCell ref="E104:F104"/>
    <mergeCell ref="G104:H104"/>
    <mergeCell ref="B105:D105"/>
    <mergeCell ref="E105:F105"/>
    <mergeCell ref="G105:H105"/>
    <mergeCell ref="B106:D106"/>
    <mergeCell ref="E106:F106"/>
    <mergeCell ref="G106:H106"/>
    <mergeCell ref="B107:D107"/>
    <mergeCell ref="E107:F107"/>
    <mergeCell ref="G107:H107"/>
    <mergeCell ref="B108:D108"/>
    <mergeCell ref="E108:F108"/>
    <mergeCell ref="G108:H108"/>
    <mergeCell ref="B109:D109"/>
    <mergeCell ref="E109:F109"/>
    <mergeCell ref="G109:H109"/>
    <mergeCell ref="B110:D110"/>
    <mergeCell ref="E110:F110"/>
    <mergeCell ref="G110:H110"/>
    <mergeCell ref="B111:D111"/>
    <mergeCell ref="E111:F111"/>
    <mergeCell ref="G111:H111"/>
    <mergeCell ref="B112:D112"/>
    <mergeCell ref="E112:F112"/>
    <mergeCell ref="G112:H112"/>
    <mergeCell ref="B113:D113"/>
    <mergeCell ref="E113:F113"/>
    <mergeCell ref="G113:H113"/>
    <mergeCell ref="B114:D114"/>
    <mergeCell ref="E114:F114"/>
    <mergeCell ref="G114:H114"/>
    <mergeCell ref="B115:D115"/>
    <mergeCell ref="E115:F115"/>
    <mergeCell ref="G115:H115"/>
    <mergeCell ref="B116:D116"/>
    <mergeCell ref="E116:F116"/>
    <mergeCell ref="G116:H116"/>
    <mergeCell ref="B117:D117"/>
    <mergeCell ref="E117:F117"/>
    <mergeCell ref="G117:H117"/>
    <mergeCell ref="B118:D118"/>
    <mergeCell ref="E118:F118"/>
    <mergeCell ref="G118:H118"/>
    <mergeCell ref="B119:D119"/>
    <mergeCell ref="E119:F119"/>
    <mergeCell ref="G119:H119"/>
    <mergeCell ref="B120:D120"/>
    <mergeCell ref="E120:F120"/>
    <mergeCell ref="G120:H120"/>
    <mergeCell ref="A121:D121"/>
    <mergeCell ref="E121:F121"/>
    <mergeCell ref="G121:H121"/>
  </mergeCells>
  <pageMargins left="0.7" right="0.7" top="0.75" bottom="0.75" header="0.3" footer="0.3"/>
  <pageSetup paperSize="9" orientation="portrait" horizontalDpi="0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7A417-E3E5-4243-A575-4CB0B8BF4CEA}">
  <dimension ref="B3:J124"/>
  <sheetViews>
    <sheetView topLeftCell="A109" workbookViewId="0">
      <selection activeCell="F95" sqref="F95:G95"/>
    </sheetView>
  </sheetViews>
  <sheetFormatPr baseColWidth="10" defaultRowHeight="15" x14ac:dyDescent="0.25"/>
  <cols>
    <col min="1" max="1" width="9" customWidth="1"/>
    <col min="2" max="2" width="16.5703125" customWidth="1"/>
    <col min="9" max="9" width="14.42578125" customWidth="1"/>
  </cols>
  <sheetData>
    <row r="3" spans="2:10" ht="28.5" x14ac:dyDescent="0.45">
      <c r="B3" s="121" t="s">
        <v>12</v>
      </c>
      <c r="C3" s="121"/>
      <c r="D3" s="121"/>
      <c r="E3" s="121"/>
      <c r="F3" s="121"/>
      <c r="G3" s="121"/>
      <c r="H3" s="121"/>
      <c r="I3" s="121"/>
      <c r="J3" s="121"/>
    </row>
    <row r="4" spans="2:10" x14ac:dyDescent="0.25">
      <c r="B4" s="7" t="s">
        <v>18</v>
      </c>
      <c r="C4" s="122"/>
      <c r="D4" s="122"/>
      <c r="E4" s="122"/>
      <c r="G4" s="7" t="s">
        <v>19</v>
      </c>
      <c r="I4" s="9">
        <v>44991</v>
      </c>
    </row>
    <row r="5" spans="2:10" x14ac:dyDescent="0.25">
      <c r="B5" s="7" t="s">
        <v>20</v>
      </c>
      <c r="C5" s="122"/>
      <c r="D5" s="122"/>
      <c r="E5" s="122"/>
      <c r="G5" s="7" t="s">
        <v>21</v>
      </c>
      <c r="I5" s="9"/>
    </row>
    <row r="6" spans="2:10" x14ac:dyDescent="0.25">
      <c r="B6" s="7" t="s">
        <v>22</v>
      </c>
      <c r="C6" s="122"/>
      <c r="D6" s="122"/>
      <c r="E6" s="122"/>
    </row>
    <row r="7" spans="2:10" x14ac:dyDescent="0.25">
      <c r="B7" s="7" t="s">
        <v>23</v>
      </c>
      <c r="C7" s="122"/>
      <c r="D7" s="122"/>
    </row>
    <row r="8" spans="2:10" x14ac:dyDescent="0.25">
      <c r="B8" s="7" t="s">
        <v>24</v>
      </c>
      <c r="C8" s="123"/>
      <c r="D8" s="122"/>
    </row>
    <row r="11" spans="2:10" x14ac:dyDescent="0.25">
      <c r="B11" s="7" t="s">
        <v>25</v>
      </c>
      <c r="C11" s="126">
        <v>1400000</v>
      </c>
      <c r="D11" s="126"/>
      <c r="E11" s="126"/>
      <c r="F11" s="7" t="s">
        <v>26</v>
      </c>
      <c r="G11" s="7"/>
      <c r="I11" s="10">
        <f>(C11-I27)*0.6</f>
        <v>610740</v>
      </c>
    </row>
    <row r="13" spans="2:10" ht="15.75" thickBot="1" x14ac:dyDescent="0.3">
      <c r="C13" s="1"/>
      <c r="D13" s="1"/>
      <c r="E13" s="1"/>
      <c r="F13" s="1"/>
      <c r="G13" s="1"/>
      <c r="H13" s="5"/>
      <c r="I13" s="1"/>
    </row>
    <row r="14" spans="2:10" ht="19.5" thickBot="1" x14ac:dyDescent="0.35">
      <c r="B14" s="127" t="s">
        <v>27</v>
      </c>
      <c r="C14" s="128"/>
      <c r="D14" s="128"/>
      <c r="E14" s="128"/>
      <c r="F14" s="128"/>
      <c r="G14" s="128"/>
      <c r="H14" s="128"/>
      <c r="I14" s="129"/>
    </row>
    <row r="15" spans="2:10" x14ac:dyDescent="0.25">
      <c r="B15" s="18" t="s">
        <v>28</v>
      </c>
      <c r="C15" s="130" t="s">
        <v>29</v>
      </c>
      <c r="D15" s="130"/>
      <c r="E15" s="130"/>
      <c r="F15" s="130" t="s">
        <v>30</v>
      </c>
      <c r="G15" s="130"/>
      <c r="H15" s="130" t="s">
        <v>31</v>
      </c>
      <c r="I15" s="130"/>
    </row>
    <row r="16" spans="2:10" x14ac:dyDescent="0.25">
      <c r="B16" s="3">
        <v>44992</v>
      </c>
      <c r="C16" s="124"/>
      <c r="D16" s="124"/>
      <c r="E16" s="124"/>
      <c r="F16" s="124" t="s">
        <v>154</v>
      </c>
      <c r="G16" s="124"/>
      <c r="H16" s="125">
        <v>96000</v>
      </c>
      <c r="I16" s="125"/>
    </row>
    <row r="17" spans="2:10" x14ac:dyDescent="0.25">
      <c r="B17" s="17">
        <v>44994</v>
      </c>
      <c r="C17" s="124"/>
      <c r="D17" s="124"/>
      <c r="E17" s="124"/>
      <c r="F17" s="124" t="s">
        <v>670</v>
      </c>
      <c r="G17" s="124"/>
      <c r="H17" s="125">
        <v>12400</v>
      </c>
      <c r="I17" s="125"/>
    </row>
    <row r="18" spans="2:10" x14ac:dyDescent="0.25">
      <c r="B18" s="17">
        <v>44992</v>
      </c>
      <c r="C18" s="124">
        <v>3259</v>
      </c>
      <c r="D18" s="124"/>
      <c r="E18" s="124"/>
      <c r="F18" s="124" t="s">
        <v>655</v>
      </c>
      <c r="G18" s="124"/>
      <c r="H18" s="125">
        <v>28500</v>
      </c>
      <c r="I18" s="125"/>
    </row>
    <row r="19" spans="2:10" x14ac:dyDescent="0.25">
      <c r="B19" s="17">
        <v>44992</v>
      </c>
      <c r="C19" s="124">
        <v>3259</v>
      </c>
      <c r="D19" s="124"/>
      <c r="E19" s="124"/>
      <c r="F19" s="124" t="s">
        <v>671</v>
      </c>
      <c r="G19" s="124"/>
      <c r="H19" s="125">
        <v>15200</v>
      </c>
      <c r="I19" s="125"/>
    </row>
    <row r="20" spans="2:10" x14ac:dyDescent="0.25">
      <c r="B20" s="17">
        <v>44992</v>
      </c>
      <c r="C20" s="124">
        <v>3259</v>
      </c>
      <c r="D20" s="124"/>
      <c r="E20" s="124"/>
      <c r="F20" s="124" t="s">
        <v>624</v>
      </c>
      <c r="G20" s="124"/>
      <c r="H20" s="125">
        <v>13000</v>
      </c>
      <c r="I20" s="125"/>
    </row>
    <row r="21" spans="2:10" x14ac:dyDescent="0.25">
      <c r="B21" s="17">
        <v>44992</v>
      </c>
      <c r="C21" s="124">
        <v>3259</v>
      </c>
      <c r="D21" s="124"/>
      <c r="E21" s="124"/>
      <c r="F21" s="124" t="s">
        <v>641</v>
      </c>
      <c r="G21" s="124"/>
      <c r="H21" s="125">
        <v>12000</v>
      </c>
      <c r="I21" s="125"/>
    </row>
    <row r="22" spans="2:10" x14ac:dyDescent="0.25">
      <c r="B22" s="17">
        <v>44992</v>
      </c>
      <c r="C22" s="124">
        <v>3259</v>
      </c>
      <c r="D22" s="124"/>
      <c r="E22" s="124"/>
      <c r="F22" s="124" t="s">
        <v>672</v>
      </c>
      <c r="G22" s="124"/>
      <c r="H22" s="125">
        <v>10000</v>
      </c>
      <c r="I22" s="125"/>
    </row>
    <row r="23" spans="2:10" x14ac:dyDescent="0.25">
      <c r="B23" s="17">
        <v>44994</v>
      </c>
      <c r="C23" s="124">
        <v>3264</v>
      </c>
      <c r="D23" s="124"/>
      <c r="E23" s="124"/>
      <c r="F23" s="124" t="s">
        <v>673</v>
      </c>
      <c r="G23" s="124"/>
      <c r="H23" s="125">
        <v>95000</v>
      </c>
      <c r="I23" s="125"/>
      <c r="J23" s="4"/>
    </row>
    <row r="24" spans="2:10" x14ac:dyDescent="0.25">
      <c r="B24" s="17">
        <v>44994</v>
      </c>
      <c r="C24" s="124">
        <v>3264</v>
      </c>
      <c r="D24" s="124"/>
      <c r="E24" s="124"/>
      <c r="F24" s="124" t="s">
        <v>664</v>
      </c>
      <c r="G24" s="124"/>
      <c r="H24" s="131">
        <v>90000</v>
      </c>
      <c r="I24" s="131"/>
    </row>
    <row r="25" spans="2:10" x14ac:dyDescent="0.25">
      <c r="B25" s="17">
        <v>44994</v>
      </c>
      <c r="C25" s="124">
        <v>3264</v>
      </c>
      <c r="D25" s="124"/>
      <c r="E25" s="124"/>
      <c r="F25" s="124" t="s">
        <v>674</v>
      </c>
      <c r="G25" s="124"/>
      <c r="H25" s="125">
        <v>10000</v>
      </c>
      <c r="I25" s="125"/>
    </row>
    <row r="26" spans="2:10" x14ac:dyDescent="0.25">
      <c r="B26" s="17"/>
      <c r="C26" s="124"/>
      <c r="D26" s="124"/>
      <c r="E26" s="124"/>
      <c r="F26" s="124"/>
      <c r="G26" s="124"/>
      <c r="H26" s="131"/>
      <c r="I26" s="131"/>
    </row>
    <row r="27" spans="2:10" ht="15.75" thickBot="1" x14ac:dyDescent="0.3">
      <c r="B27" s="3"/>
      <c r="G27" s="133" t="s">
        <v>32</v>
      </c>
      <c r="H27" s="133"/>
      <c r="I27" s="12">
        <f>SUM(H16:I26)</f>
        <v>382100</v>
      </c>
    </row>
    <row r="28" spans="2:10" x14ac:dyDescent="0.25">
      <c r="B28" s="3"/>
    </row>
    <row r="29" spans="2:10" ht="15.75" thickBot="1" x14ac:dyDescent="0.3"/>
    <row r="30" spans="2:10" ht="19.5" thickBot="1" x14ac:dyDescent="0.35">
      <c r="B30" s="127" t="s">
        <v>10</v>
      </c>
      <c r="C30" s="128"/>
      <c r="D30" s="128"/>
      <c r="E30" s="128"/>
      <c r="F30" s="128"/>
      <c r="G30" s="128"/>
      <c r="H30" s="128"/>
      <c r="I30" s="129"/>
    </row>
    <row r="31" spans="2:10" ht="15.75" thickBot="1" x14ac:dyDescent="0.3">
      <c r="B31" s="13" t="s">
        <v>0</v>
      </c>
      <c r="C31" s="134" t="s">
        <v>33</v>
      </c>
      <c r="D31" s="134"/>
      <c r="E31" s="134"/>
      <c r="F31" s="135" t="s">
        <v>34</v>
      </c>
      <c r="G31" s="135"/>
      <c r="H31" s="135" t="s">
        <v>35</v>
      </c>
      <c r="I31" s="136"/>
    </row>
    <row r="32" spans="2:10" x14ac:dyDescent="0.25">
      <c r="B32" s="38">
        <v>44991</v>
      </c>
      <c r="C32" s="137">
        <v>63</v>
      </c>
      <c r="D32" s="137"/>
      <c r="E32" s="137"/>
      <c r="F32" s="132">
        <v>700000</v>
      </c>
      <c r="G32" s="132"/>
      <c r="H32" s="132">
        <f>C11-F36</f>
        <v>0</v>
      </c>
      <c r="I32" s="132"/>
    </row>
    <row r="33" spans="2:9" x14ac:dyDescent="0.25">
      <c r="B33" s="17">
        <v>44996</v>
      </c>
      <c r="C33" s="124">
        <v>65</v>
      </c>
      <c r="D33" s="124"/>
      <c r="E33" s="124"/>
      <c r="F33" s="131">
        <v>700000</v>
      </c>
      <c r="G33" s="131"/>
      <c r="H33" s="132"/>
      <c r="I33" s="132"/>
    </row>
    <row r="34" spans="2:9" x14ac:dyDescent="0.25">
      <c r="B34" s="16"/>
      <c r="C34" s="124"/>
      <c r="D34" s="124"/>
      <c r="E34" s="124"/>
      <c r="F34" s="131"/>
      <c r="G34" s="131"/>
      <c r="H34" s="132"/>
      <c r="I34" s="132"/>
    </row>
    <row r="35" spans="2:9" ht="15.75" thickBot="1" x14ac:dyDescent="0.3">
      <c r="B35" s="15"/>
      <c r="C35" s="124"/>
      <c r="D35" s="124"/>
      <c r="E35" s="124"/>
      <c r="F35" s="139"/>
      <c r="G35" s="139"/>
      <c r="H35" s="132"/>
      <c r="I35" s="132"/>
    </row>
    <row r="36" spans="2:9" ht="15.75" thickBot="1" x14ac:dyDescent="0.3">
      <c r="B36" s="140" t="s">
        <v>36</v>
      </c>
      <c r="C36" s="140"/>
      <c r="D36" s="140"/>
      <c r="E36" s="140"/>
      <c r="F36" s="141">
        <f>SUM(F32:G35)</f>
        <v>1400000</v>
      </c>
      <c r="G36" s="142"/>
      <c r="H36" s="141"/>
      <c r="I36" s="143"/>
    </row>
    <row r="38" spans="2:9" ht="15.75" thickBot="1" x14ac:dyDescent="0.3"/>
    <row r="39" spans="2:9" ht="19.5" thickBot="1" x14ac:dyDescent="0.35">
      <c r="B39" s="127" t="s">
        <v>37</v>
      </c>
      <c r="C39" s="128"/>
      <c r="D39" s="128"/>
      <c r="E39" s="128"/>
      <c r="F39" s="128"/>
      <c r="G39" s="128"/>
      <c r="H39" s="128"/>
      <c r="I39" s="129"/>
    </row>
    <row r="40" spans="2:9" ht="15.75" thickBot="1" x14ac:dyDescent="0.3">
      <c r="B40" s="13" t="s">
        <v>0</v>
      </c>
      <c r="C40" s="134" t="s">
        <v>33</v>
      </c>
      <c r="D40" s="134"/>
      <c r="E40" s="134"/>
      <c r="F40" s="135" t="s">
        <v>38</v>
      </c>
      <c r="G40" s="135"/>
      <c r="H40" s="135" t="s">
        <v>35</v>
      </c>
      <c r="I40" s="136"/>
    </row>
    <row r="41" spans="2:9" x14ac:dyDescent="0.25">
      <c r="B41" s="16">
        <v>44996</v>
      </c>
      <c r="C41" s="124"/>
      <c r="D41" s="124"/>
      <c r="E41" s="124"/>
      <c r="F41" s="131">
        <v>610740</v>
      </c>
      <c r="G41" s="131"/>
      <c r="H41" s="138">
        <f>I11-F61</f>
        <v>0</v>
      </c>
      <c r="I41" s="138"/>
    </row>
    <row r="42" spans="2:9" x14ac:dyDescent="0.25">
      <c r="B42" s="16"/>
      <c r="C42" s="124"/>
      <c r="D42" s="124"/>
      <c r="E42" s="124"/>
      <c r="F42" s="131"/>
      <c r="G42" s="131"/>
      <c r="H42" s="138"/>
      <c r="I42" s="138"/>
    </row>
    <row r="43" spans="2:9" x14ac:dyDescent="0.25">
      <c r="B43" s="15"/>
      <c r="C43" s="124"/>
      <c r="D43" s="124"/>
      <c r="E43" s="124"/>
      <c r="F43" s="131"/>
      <c r="G43" s="131"/>
      <c r="H43" s="138"/>
      <c r="I43" s="138"/>
    </row>
    <row r="44" spans="2:9" x14ac:dyDescent="0.25">
      <c r="B44" s="15"/>
      <c r="C44" s="124"/>
      <c r="D44" s="124"/>
      <c r="E44" s="124"/>
      <c r="F44" s="131"/>
      <c r="G44" s="131"/>
      <c r="H44" s="138"/>
      <c r="I44" s="138"/>
    </row>
    <row r="45" spans="2:9" x14ac:dyDescent="0.25">
      <c r="B45" s="15"/>
      <c r="C45" s="124"/>
      <c r="D45" s="124"/>
      <c r="E45" s="124"/>
      <c r="F45" s="131"/>
      <c r="G45" s="131"/>
      <c r="H45" s="138"/>
      <c r="I45" s="138"/>
    </row>
    <row r="46" spans="2:9" x14ac:dyDescent="0.25">
      <c r="B46" s="15"/>
      <c r="C46" s="124"/>
      <c r="D46" s="124"/>
      <c r="E46" s="124"/>
      <c r="F46" s="131"/>
      <c r="G46" s="131"/>
      <c r="H46" s="138"/>
      <c r="I46" s="138"/>
    </row>
    <row r="47" spans="2:9" x14ac:dyDescent="0.25">
      <c r="B47" s="15"/>
      <c r="C47" s="124"/>
      <c r="D47" s="124"/>
      <c r="E47" s="124"/>
      <c r="F47" s="131"/>
      <c r="G47" s="131"/>
      <c r="H47" s="138"/>
      <c r="I47" s="138"/>
    </row>
    <row r="48" spans="2:9" x14ac:dyDescent="0.25">
      <c r="B48" s="15"/>
      <c r="C48" s="124"/>
      <c r="D48" s="124"/>
      <c r="E48" s="124"/>
      <c r="F48" s="131"/>
      <c r="G48" s="131"/>
      <c r="H48" s="138"/>
      <c r="I48" s="138"/>
    </row>
    <row r="49" spans="2:9" x14ac:dyDescent="0.25">
      <c r="B49" s="15"/>
      <c r="C49" s="124"/>
      <c r="D49" s="124"/>
      <c r="E49" s="124"/>
      <c r="F49" s="131"/>
      <c r="G49" s="131"/>
      <c r="H49" s="138"/>
      <c r="I49" s="138"/>
    </row>
    <row r="50" spans="2:9" x14ac:dyDescent="0.25">
      <c r="B50" s="15"/>
      <c r="C50" s="124"/>
      <c r="D50" s="124"/>
      <c r="E50" s="124"/>
      <c r="F50" s="131"/>
      <c r="G50" s="131"/>
      <c r="H50" s="138"/>
      <c r="I50" s="138"/>
    </row>
    <row r="51" spans="2:9" x14ac:dyDescent="0.25">
      <c r="B51" s="15"/>
      <c r="C51" s="124"/>
      <c r="D51" s="124"/>
      <c r="E51" s="124"/>
      <c r="F51" s="131"/>
      <c r="G51" s="131"/>
      <c r="H51" s="138"/>
      <c r="I51" s="138"/>
    </row>
    <row r="52" spans="2:9" x14ac:dyDescent="0.25">
      <c r="B52" s="15"/>
      <c r="C52" s="124"/>
      <c r="D52" s="124"/>
      <c r="E52" s="124"/>
      <c r="F52" s="131"/>
      <c r="G52" s="131"/>
      <c r="H52" s="138"/>
      <c r="I52" s="138"/>
    </row>
    <row r="53" spans="2:9" x14ac:dyDescent="0.25">
      <c r="B53" s="15"/>
      <c r="C53" s="124"/>
      <c r="D53" s="124"/>
      <c r="E53" s="124"/>
      <c r="F53" s="131"/>
      <c r="G53" s="131"/>
      <c r="H53" s="138"/>
      <c r="I53" s="138"/>
    </row>
    <row r="54" spans="2:9" x14ac:dyDescent="0.25">
      <c r="B54" s="15"/>
      <c r="C54" s="124"/>
      <c r="D54" s="124"/>
      <c r="E54" s="124"/>
      <c r="F54" s="131"/>
      <c r="G54" s="131"/>
      <c r="H54" s="138"/>
      <c r="I54" s="138"/>
    </row>
    <row r="55" spans="2:9" x14ac:dyDescent="0.25">
      <c r="B55" s="15"/>
      <c r="C55" s="124"/>
      <c r="D55" s="124"/>
      <c r="E55" s="124"/>
      <c r="F55" s="131"/>
      <c r="G55" s="131"/>
      <c r="H55" s="138"/>
      <c r="I55" s="138"/>
    </row>
    <row r="56" spans="2:9" x14ac:dyDescent="0.25">
      <c r="B56" s="15"/>
      <c r="C56" s="124"/>
      <c r="D56" s="124"/>
      <c r="E56" s="124"/>
      <c r="F56" s="131"/>
      <c r="G56" s="131"/>
      <c r="H56" s="138"/>
      <c r="I56" s="138"/>
    </row>
    <row r="57" spans="2:9" x14ac:dyDescent="0.25">
      <c r="B57" s="15"/>
      <c r="C57" s="124"/>
      <c r="D57" s="124"/>
      <c r="E57" s="124"/>
      <c r="F57" s="131"/>
      <c r="G57" s="131"/>
      <c r="H57" s="138"/>
      <c r="I57" s="138"/>
    </row>
    <row r="58" spans="2:9" x14ac:dyDescent="0.25">
      <c r="B58" s="15"/>
      <c r="C58" s="124"/>
      <c r="D58" s="124"/>
      <c r="E58" s="124"/>
      <c r="F58" s="131"/>
      <c r="G58" s="131"/>
      <c r="H58" s="138"/>
      <c r="I58" s="138"/>
    </row>
    <row r="59" spans="2:9" x14ac:dyDescent="0.25">
      <c r="B59" s="15"/>
      <c r="C59" s="124"/>
      <c r="D59" s="124"/>
      <c r="E59" s="124"/>
      <c r="F59" s="131"/>
      <c r="G59" s="131"/>
      <c r="H59" s="138"/>
      <c r="I59" s="138"/>
    </row>
    <row r="60" spans="2:9" ht="15.75" thickBot="1" x14ac:dyDescent="0.3">
      <c r="B60" s="15"/>
      <c r="C60" s="124"/>
      <c r="D60" s="124"/>
      <c r="E60" s="124"/>
      <c r="F60" s="131"/>
      <c r="G60" s="131"/>
      <c r="H60" s="138">
        <f>I14-F60</f>
        <v>0</v>
      </c>
      <c r="I60" s="138"/>
    </row>
    <row r="61" spans="2:9" ht="15.75" thickBot="1" x14ac:dyDescent="0.3">
      <c r="B61" s="140" t="s">
        <v>36</v>
      </c>
      <c r="C61" s="140"/>
      <c r="D61" s="140"/>
      <c r="E61" s="140"/>
      <c r="F61" s="141">
        <f>SUM(F41:G60)</f>
        <v>610740</v>
      </c>
      <c r="G61" s="142"/>
      <c r="H61" s="138">
        <f>I15-F61</f>
        <v>-610740</v>
      </c>
      <c r="I61" s="138"/>
    </row>
    <row r="66" spans="2:10" ht="28.5" x14ac:dyDescent="0.45">
      <c r="B66" s="121" t="s">
        <v>12</v>
      </c>
      <c r="C66" s="121"/>
      <c r="D66" s="121"/>
      <c r="E66" s="121"/>
      <c r="F66" s="121"/>
      <c r="G66" s="121"/>
      <c r="H66" s="121"/>
      <c r="I66" s="121"/>
      <c r="J66" s="121"/>
    </row>
    <row r="67" spans="2:10" x14ac:dyDescent="0.25">
      <c r="B67" s="7" t="s">
        <v>18</v>
      </c>
      <c r="C67" s="122" t="s">
        <v>371</v>
      </c>
      <c r="D67" s="122"/>
      <c r="E67" s="122"/>
      <c r="G67" s="7" t="s">
        <v>19</v>
      </c>
      <c r="I67" s="9">
        <v>44953</v>
      </c>
    </row>
    <row r="68" spans="2:10" x14ac:dyDescent="0.25">
      <c r="B68" s="7" t="s">
        <v>20</v>
      </c>
      <c r="C68" s="122" t="s">
        <v>607</v>
      </c>
      <c r="D68" s="122"/>
      <c r="E68" s="122"/>
      <c r="G68" s="7" t="s">
        <v>21</v>
      </c>
      <c r="I68" s="9"/>
    </row>
    <row r="69" spans="2:10" x14ac:dyDescent="0.25">
      <c r="B69" s="7" t="s">
        <v>22</v>
      </c>
      <c r="C69" s="122" t="s">
        <v>604</v>
      </c>
      <c r="D69" s="122"/>
      <c r="E69" s="122"/>
    </row>
    <row r="70" spans="2:10" x14ac:dyDescent="0.25">
      <c r="B70" s="7" t="s">
        <v>23</v>
      </c>
      <c r="C70" s="122"/>
      <c r="D70" s="122"/>
    </row>
    <row r="71" spans="2:10" x14ac:dyDescent="0.25">
      <c r="B71" s="7" t="s">
        <v>24</v>
      </c>
      <c r="C71" s="123">
        <v>3024170645</v>
      </c>
      <c r="D71" s="122"/>
    </row>
    <row r="74" spans="2:10" x14ac:dyDescent="0.25">
      <c r="B74" s="7" t="s">
        <v>25</v>
      </c>
      <c r="C74" s="126">
        <v>250000</v>
      </c>
      <c r="D74" s="126"/>
      <c r="E74" s="126"/>
      <c r="F74" s="7" t="s">
        <v>26</v>
      </c>
      <c r="G74" s="7"/>
      <c r="I74" s="10">
        <f>(C74-I90)*0.6</f>
        <v>120000</v>
      </c>
    </row>
    <row r="76" spans="2:10" ht="15.75" thickBot="1" x14ac:dyDescent="0.3">
      <c r="C76" s="1"/>
      <c r="D76" s="1"/>
      <c r="E76" s="1"/>
      <c r="F76" s="1"/>
      <c r="G76" s="1"/>
      <c r="H76" s="5"/>
      <c r="I76" s="1"/>
    </row>
    <row r="77" spans="2:10" ht="19.5" thickBot="1" x14ac:dyDescent="0.35">
      <c r="B77" s="127" t="s">
        <v>27</v>
      </c>
      <c r="C77" s="128"/>
      <c r="D77" s="128"/>
      <c r="E77" s="128"/>
      <c r="F77" s="128"/>
      <c r="G77" s="128"/>
      <c r="H77" s="128"/>
      <c r="I77" s="129"/>
    </row>
    <row r="78" spans="2:10" x14ac:dyDescent="0.25">
      <c r="B78" s="18" t="s">
        <v>28</v>
      </c>
      <c r="C78" s="130" t="s">
        <v>29</v>
      </c>
      <c r="D78" s="130"/>
      <c r="E78" s="130"/>
      <c r="F78" s="130" t="s">
        <v>30</v>
      </c>
      <c r="G78" s="130"/>
      <c r="H78" s="130" t="s">
        <v>31</v>
      </c>
      <c r="I78" s="130"/>
    </row>
    <row r="79" spans="2:10" x14ac:dyDescent="0.25">
      <c r="B79" s="3">
        <v>44970</v>
      </c>
      <c r="C79" s="124"/>
      <c r="D79" s="124"/>
      <c r="E79" s="124"/>
      <c r="F79" s="124" t="s">
        <v>85</v>
      </c>
      <c r="G79" s="124"/>
      <c r="H79" s="125">
        <v>5000</v>
      </c>
      <c r="I79" s="125"/>
    </row>
    <row r="80" spans="2:10" x14ac:dyDescent="0.25">
      <c r="B80" s="3">
        <v>44970</v>
      </c>
      <c r="C80" s="124"/>
      <c r="D80" s="124"/>
      <c r="E80" s="124"/>
      <c r="F80" s="124" t="s">
        <v>640</v>
      </c>
      <c r="G80" s="124"/>
      <c r="H80" s="125">
        <v>19000</v>
      </c>
      <c r="I80" s="125"/>
    </row>
    <row r="81" spans="2:10" x14ac:dyDescent="0.25">
      <c r="B81" s="3">
        <v>44970</v>
      </c>
      <c r="C81" s="124"/>
      <c r="D81" s="124"/>
      <c r="E81" s="124"/>
      <c r="F81" s="124" t="s">
        <v>641</v>
      </c>
      <c r="G81" s="124"/>
      <c r="H81" s="125">
        <v>12000</v>
      </c>
      <c r="I81" s="125"/>
    </row>
    <row r="82" spans="2:10" x14ac:dyDescent="0.25">
      <c r="B82" s="3">
        <v>44970</v>
      </c>
      <c r="C82" s="124"/>
      <c r="D82" s="124"/>
      <c r="E82" s="124"/>
      <c r="F82" s="124" t="s">
        <v>642</v>
      </c>
      <c r="G82" s="124"/>
      <c r="H82" s="125">
        <v>10000</v>
      </c>
      <c r="I82" s="125"/>
    </row>
    <row r="83" spans="2:10" x14ac:dyDescent="0.25">
      <c r="B83" s="17">
        <v>44970</v>
      </c>
      <c r="C83" s="124"/>
      <c r="D83" s="124"/>
      <c r="E83" s="124"/>
      <c r="F83" s="124" t="s">
        <v>98</v>
      </c>
      <c r="G83" s="124"/>
      <c r="H83" s="125">
        <v>4000</v>
      </c>
      <c r="I83" s="125"/>
    </row>
    <row r="84" spans="2:10" x14ac:dyDescent="0.25">
      <c r="B84" s="17"/>
      <c r="C84" s="124"/>
      <c r="D84" s="124"/>
      <c r="E84" s="124"/>
      <c r="F84" s="124"/>
      <c r="G84" s="124"/>
      <c r="H84" s="125"/>
      <c r="I84" s="125"/>
    </row>
    <row r="85" spans="2:10" x14ac:dyDescent="0.25">
      <c r="B85" s="17"/>
      <c r="C85" s="124"/>
      <c r="D85" s="124"/>
      <c r="E85" s="124"/>
      <c r="F85" s="124"/>
      <c r="G85" s="124"/>
      <c r="H85" s="125"/>
      <c r="I85" s="125"/>
    </row>
    <row r="86" spans="2:10" x14ac:dyDescent="0.25">
      <c r="B86" s="17"/>
      <c r="C86" s="124"/>
      <c r="D86" s="124"/>
      <c r="E86" s="124"/>
      <c r="F86" s="124"/>
      <c r="G86" s="124"/>
      <c r="H86" s="125"/>
      <c r="I86" s="125"/>
      <c r="J86" s="4"/>
    </row>
    <row r="87" spans="2:10" x14ac:dyDescent="0.25">
      <c r="B87" s="9"/>
      <c r="C87" s="124"/>
      <c r="D87" s="124"/>
      <c r="E87" s="124"/>
      <c r="F87" s="124"/>
      <c r="G87" s="124"/>
      <c r="H87" s="131"/>
      <c r="I87" s="131"/>
    </row>
    <row r="88" spans="2:10" x14ac:dyDescent="0.25">
      <c r="B88" s="17"/>
      <c r="C88" s="124"/>
      <c r="D88" s="124"/>
      <c r="E88" s="124"/>
      <c r="F88" s="124"/>
      <c r="G88" s="124"/>
      <c r="H88" s="125"/>
      <c r="I88" s="125"/>
    </row>
    <row r="89" spans="2:10" x14ac:dyDescent="0.25">
      <c r="B89" s="17"/>
      <c r="C89" s="124"/>
      <c r="D89" s="124"/>
      <c r="E89" s="124"/>
      <c r="F89" s="124"/>
      <c r="G89" s="124"/>
      <c r="H89" s="131"/>
      <c r="I89" s="131"/>
    </row>
    <row r="90" spans="2:10" ht="15.75" thickBot="1" x14ac:dyDescent="0.3">
      <c r="B90" s="3"/>
      <c r="G90" s="133" t="s">
        <v>32</v>
      </c>
      <c r="H90" s="133"/>
      <c r="I90" s="12">
        <f>SUM(H79:I89)</f>
        <v>50000</v>
      </c>
    </row>
    <row r="91" spans="2:10" x14ac:dyDescent="0.25">
      <c r="B91" s="3"/>
    </row>
    <row r="92" spans="2:10" ht="15.75" thickBot="1" x14ac:dyDescent="0.3"/>
    <row r="93" spans="2:10" ht="19.5" thickBot="1" x14ac:dyDescent="0.35">
      <c r="B93" s="127" t="s">
        <v>10</v>
      </c>
      <c r="C93" s="128"/>
      <c r="D93" s="128"/>
      <c r="E93" s="128"/>
      <c r="F93" s="128"/>
      <c r="G93" s="128"/>
      <c r="H93" s="128"/>
      <c r="I93" s="129"/>
    </row>
    <row r="94" spans="2:10" ht="15.75" thickBot="1" x14ac:dyDescent="0.3">
      <c r="B94" s="13" t="s">
        <v>0</v>
      </c>
      <c r="C94" s="134" t="s">
        <v>33</v>
      </c>
      <c r="D94" s="134"/>
      <c r="E94" s="134"/>
      <c r="F94" s="135" t="s">
        <v>34</v>
      </c>
      <c r="G94" s="135"/>
      <c r="H94" s="135" t="s">
        <v>35</v>
      </c>
      <c r="I94" s="136"/>
    </row>
    <row r="95" spans="2:10" x14ac:dyDescent="0.25">
      <c r="B95" s="38"/>
      <c r="C95" s="137"/>
      <c r="D95" s="137"/>
      <c r="E95" s="137"/>
      <c r="F95" s="132"/>
      <c r="G95" s="132"/>
      <c r="H95" s="132">
        <f>C74-F99</f>
        <v>250000</v>
      </c>
      <c r="I95" s="132"/>
    </row>
    <row r="96" spans="2:10" x14ac:dyDescent="0.25">
      <c r="B96" s="17"/>
      <c r="C96" s="124"/>
      <c r="D96" s="124"/>
      <c r="E96" s="124"/>
      <c r="F96" s="131"/>
      <c r="G96" s="131"/>
      <c r="H96" s="132"/>
      <c r="I96" s="132"/>
    </row>
    <row r="97" spans="2:9" x14ac:dyDescent="0.25">
      <c r="B97" s="16"/>
      <c r="C97" s="124"/>
      <c r="D97" s="124"/>
      <c r="E97" s="124"/>
      <c r="F97" s="131"/>
      <c r="G97" s="131"/>
      <c r="H97" s="132"/>
      <c r="I97" s="132"/>
    </row>
    <row r="98" spans="2:9" ht="15.75" thickBot="1" x14ac:dyDescent="0.3">
      <c r="B98" s="15"/>
      <c r="C98" s="124"/>
      <c r="D98" s="124"/>
      <c r="E98" s="124"/>
      <c r="F98" s="139"/>
      <c r="G98" s="139"/>
      <c r="H98" s="132"/>
      <c r="I98" s="132"/>
    </row>
    <row r="99" spans="2:9" ht="15.75" thickBot="1" x14ac:dyDescent="0.3">
      <c r="B99" s="140" t="s">
        <v>36</v>
      </c>
      <c r="C99" s="140"/>
      <c r="D99" s="140"/>
      <c r="E99" s="140"/>
      <c r="F99" s="141">
        <f>SUM(F95:G98)</f>
        <v>0</v>
      </c>
      <c r="G99" s="142"/>
      <c r="H99" s="141"/>
      <c r="I99" s="143"/>
    </row>
    <row r="101" spans="2:9" ht="15.75" thickBot="1" x14ac:dyDescent="0.3"/>
    <row r="102" spans="2:9" ht="19.5" thickBot="1" x14ac:dyDescent="0.35">
      <c r="B102" s="127" t="s">
        <v>37</v>
      </c>
      <c r="C102" s="128"/>
      <c r="D102" s="128"/>
      <c r="E102" s="128"/>
      <c r="F102" s="128"/>
      <c r="G102" s="128"/>
      <c r="H102" s="128"/>
      <c r="I102" s="129"/>
    </row>
    <row r="103" spans="2:9" ht="15.75" thickBot="1" x14ac:dyDescent="0.3">
      <c r="B103" s="13" t="s">
        <v>0</v>
      </c>
      <c r="C103" s="134" t="s">
        <v>33</v>
      </c>
      <c r="D103" s="134"/>
      <c r="E103" s="134"/>
      <c r="F103" s="135" t="s">
        <v>38</v>
      </c>
      <c r="G103" s="135"/>
      <c r="H103" s="135" t="s">
        <v>35</v>
      </c>
      <c r="I103" s="136"/>
    </row>
    <row r="104" spans="2:9" x14ac:dyDescent="0.25">
      <c r="B104" s="16">
        <v>44961</v>
      </c>
      <c r="C104" s="124">
        <v>378</v>
      </c>
      <c r="D104" s="124"/>
      <c r="E104" s="124"/>
      <c r="F104" s="131">
        <v>580000</v>
      </c>
      <c r="G104" s="131"/>
      <c r="H104" s="138">
        <f>I74-F124</f>
        <v>-460000</v>
      </c>
      <c r="I104" s="138"/>
    </row>
    <row r="105" spans="2:9" x14ac:dyDescent="0.25">
      <c r="B105" s="16"/>
      <c r="C105" s="124"/>
      <c r="D105" s="124"/>
      <c r="E105" s="124"/>
      <c r="F105" s="131"/>
      <c r="G105" s="131"/>
      <c r="H105" s="138"/>
      <c r="I105" s="138"/>
    </row>
    <row r="106" spans="2:9" x14ac:dyDescent="0.25">
      <c r="B106" s="15"/>
      <c r="C106" s="124"/>
      <c r="D106" s="124"/>
      <c r="E106" s="124"/>
      <c r="F106" s="131"/>
      <c r="G106" s="131"/>
      <c r="H106" s="138"/>
      <c r="I106" s="138"/>
    </row>
    <row r="107" spans="2:9" x14ac:dyDescent="0.25">
      <c r="B107" s="15"/>
      <c r="C107" s="124"/>
      <c r="D107" s="124"/>
      <c r="E107" s="124"/>
      <c r="F107" s="131"/>
      <c r="G107" s="131"/>
      <c r="H107" s="138"/>
      <c r="I107" s="138"/>
    </row>
    <row r="108" spans="2:9" x14ac:dyDescent="0.25">
      <c r="B108" s="15"/>
      <c r="C108" s="124"/>
      <c r="D108" s="124"/>
      <c r="E108" s="124"/>
      <c r="F108" s="131"/>
      <c r="G108" s="131"/>
      <c r="H108" s="138"/>
      <c r="I108" s="138"/>
    </row>
    <row r="109" spans="2:9" x14ac:dyDescent="0.25">
      <c r="B109" s="15"/>
      <c r="C109" s="124"/>
      <c r="D109" s="124"/>
      <c r="E109" s="124"/>
      <c r="F109" s="131"/>
      <c r="G109" s="131"/>
      <c r="H109" s="138"/>
      <c r="I109" s="138"/>
    </row>
    <row r="110" spans="2:9" x14ac:dyDescent="0.25">
      <c r="B110" s="15"/>
      <c r="C110" s="124"/>
      <c r="D110" s="124"/>
      <c r="E110" s="124"/>
      <c r="F110" s="131"/>
      <c r="G110" s="131"/>
      <c r="H110" s="138"/>
      <c r="I110" s="138"/>
    </row>
    <row r="111" spans="2:9" x14ac:dyDescent="0.25">
      <c r="B111" s="15"/>
      <c r="C111" s="124"/>
      <c r="D111" s="124"/>
      <c r="E111" s="124"/>
      <c r="F111" s="131"/>
      <c r="G111" s="131"/>
      <c r="H111" s="138"/>
      <c r="I111" s="138"/>
    </row>
    <row r="112" spans="2:9" x14ac:dyDescent="0.25">
      <c r="B112" s="15"/>
      <c r="C112" s="124"/>
      <c r="D112" s="124"/>
      <c r="E112" s="124"/>
      <c r="F112" s="131"/>
      <c r="G112" s="131"/>
      <c r="H112" s="138"/>
      <c r="I112" s="138"/>
    </row>
    <row r="113" spans="2:9" x14ac:dyDescent="0.25">
      <c r="B113" s="15"/>
      <c r="C113" s="124"/>
      <c r="D113" s="124"/>
      <c r="E113" s="124"/>
      <c r="F113" s="131"/>
      <c r="G113" s="131"/>
      <c r="H113" s="138"/>
      <c r="I113" s="138"/>
    </row>
    <row r="114" spans="2:9" x14ac:dyDescent="0.25">
      <c r="B114" s="15"/>
      <c r="C114" s="124"/>
      <c r="D114" s="124"/>
      <c r="E114" s="124"/>
      <c r="F114" s="131"/>
      <c r="G114" s="131"/>
      <c r="H114" s="138"/>
      <c r="I114" s="138"/>
    </row>
    <row r="115" spans="2:9" x14ac:dyDescent="0.25">
      <c r="B115" s="15"/>
      <c r="C115" s="124"/>
      <c r="D115" s="124"/>
      <c r="E115" s="124"/>
      <c r="F115" s="131"/>
      <c r="G115" s="131"/>
      <c r="H115" s="138"/>
      <c r="I115" s="138"/>
    </row>
    <row r="116" spans="2:9" x14ac:dyDescent="0.25">
      <c r="B116" s="15"/>
      <c r="C116" s="124"/>
      <c r="D116" s="124"/>
      <c r="E116" s="124"/>
      <c r="F116" s="131"/>
      <c r="G116" s="131"/>
      <c r="H116" s="138"/>
      <c r="I116" s="138"/>
    </row>
    <row r="117" spans="2:9" x14ac:dyDescent="0.25">
      <c r="B117" s="15"/>
      <c r="C117" s="124"/>
      <c r="D117" s="124"/>
      <c r="E117" s="124"/>
      <c r="F117" s="131"/>
      <c r="G117" s="131"/>
      <c r="H117" s="138"/>
      <c r="I117" s="138"/>
    </row>
    <row r="118" spans="2:9" x14ac:dyDescent="0.25">
      <c r="B118" s="15"/>
      <c r="C118" s="124"/>
      <c r="D118" s="124"/>
      <c r="E118" s="124"/>
      <c r="F118" s="131"/>
      <c r="G118" s="131"/>
      <c r="H118" s="138"/>
      <c r="I118" s="138"/>
    </row>
    <row r="119" spans="2:9" x14ac:dyDescent="0.25">
      <c r="B119" s="15"/>
      <c r="C119" s="124"/>
      <c r="D119" s="124"/>
      <c r="E119" s="124"/>
      <c r="F119" s="131"/>
      <c r="G119" s="131"/>
      <c r="H119" s="138"/>
      <c r="I119" s="138"/>
    </row>
    <row r="120" spans="2:9" x14ac:dyDescent="0.25">
      <c r="B120" s="15"/>
      <c r="C120" s="124"/>
      <c r="D120" s="124"/>
      <c r="E120" s="124"/>
      <c r="F120" s="131"/>
      <c r="G120" s="131"/>
      <c r="H120" s="138"/>
      <c r="I120" s="138"/>
    </row>
    <row r="121" spans="2:9" x14ac:dyDescent="0.25">
      <c r="B121" s="15"/>
      <c r="C121" s="124"/>
      <c r="D121" s="124"/>
      <c r="E121" s="124"/>
      <c r="F121" s="131"/>
      <c r="G121" s="131"/>
      <c r="H121" s="138"/>
      <c r="I121" s="138"/>
    </row>
    <row r="122" spans="2:9" x14ac:dyDescent="0.25">
      <c r="B122" s="15"/>
      <c r="C122" s="124"/>
      <c r="D122" s="124"/>
      <c r="E122" s="124"/>
      <c r="F122" s="131"/>
      <c r="G122" s="131"/>
      <c r="H122" s="138"/>
      <c r="I122" s="138"/>
    </row>
    <row r="123" spans="2:9" ht="15.75" thickBot="1" x14ac:dyDescent="0.3">
      <c r="B123" s="15"/>
      <c r="C123" s="124"/>
      <c r="D123" s="124"/>
      <c r="E123" s="124"/>
      <c r="F123" s="131"/>
      <c r="G123" s="131"/>
      <c r="H123" s="138">
        <f>I77-F123</f>
        <v>0</v>
      </c>
      <c r="I123" s="138"/>
    </row>
    <row r="124" spans="2:9" ht="15.75" thickBot="1" x14ac:dyDescent="0.3">
      <c r="B124" s="140" t="s">
        <v>36</v>
      </c>
      <c r="C124" s="140"/>
      <c r="D124" s="140"/>
      <c r="E124" s="140"/>
      <c r="F124" s="141">
        <f>SUM(F104:G123)</f>
        <v>580000</v>
      </c>
      <c r="G124" s="142"/>
      <c r="H124" s="138">
        <f>I78-F124</f>
        <v>-580000</v>
      </c>
      <c r="I124" s="138"/>
    </row>
  </sheetData>
  <mergeCells count="262">
    <mergeCell ref="C11:E11"/>
    <mergeCell ref="B14:I14"/>
    <mergeCell ref="C15:E15"/>
    <mergeCell ref="F15:G15"/>
    <mergeCell ref="H15:I15"/>
    <mergeCell ref="C16:E16"/>
    <mergeCell ref="F16:G16"/>
    <mergeCell ref="H16:I16"/>
    <mergeCell ref="B3:J3"/>
    <mergeCell ref="C4:E4"/>
    <mergeCell ref="C5:E5"/>
    <mergeCell ref="C6:E6"/>
    <mergeCell ref="C7:D7"/>
    <mergeCell ref="C8:D8"/>
    <mergeCell ref="C19:E19"/>
    <mergeCell ref="F19:G19"/>
    <mergeCell ref="H19:I19"/>
    <mergeCell ref="C20:E20"/>
    <mergeCell ref="F20:G20"/>
    <mergeCell ref="H20:I20"/>
    <mergeCell ref="C17:E17"/>
    <mergeCell ref="F17:G17"/>
    <mergeCell ref="H17:I17"/>
    <mergeCell ref="C18:E18"/>
    <mergeCell ref="F18:G18"/>
    <mergeCell ref="H18:I18"/>
    <mergeCell ref="C23:E23"/>
    <mergeCell ref="F23:G23"/>
    <mergeCell ref="H23:I23"/>
    <mergeCell ref="C24:E24"/>
    <mergeCell ref="F24:G24"/>
    <mergeCell ref="H24:I24"/>
    <mergeCell ref="C21:E21"/>
    <mergeCell ref="F21:G21"/>
    <mergeCell ref="H21:I21"/>
    <mergeCell ref="C22:E22"/>
    <mergeCell ref="F22:G22"/>
    <mergeCell ref="H22:I22"/>
    <mergeCell ref="G27:H27"/>
    <mergeCell ref="B30:I30"/>
    <mergeCell ref="C31:E31"/>
    <mergeCell ref="F31:G31"/>
    <mergeCell ref="H31:I31"/>
    <mergeCell ref="C32:E32"/>
    <mergeCell ref="F32:G32"/>
    <mergeCell ref="H32:I32"/>
    <mergeCell ref="C25:E25"/>
    <mergeCell ref="F25:G25"/>
    <mergeCell ref="H25:I25"/>
    <mergeCell ref="C26:E26"/>
    <mergeCell ref="F26:G26"/>
    <mergeCell ref="H26:I26"/>
    <mergeCell ref="C35:E35"/>
    <mergeCell ref="F35:G35"/>
    <mergeCell ref="H35:I35"/>
    <mergeCell ref="B36:E36"/>
    <mergeCell ref="F36:G36"/>
    <mergeCell ref="H36:I36"/>
    <mergeCell ref="C33:E33"/>
    <mergeCell ref="F33:G33"/>
    <mergeCell ref="H33:I33"/>
    <mergeCell ref="C34:E34"/>
    <mergeCell ref="F34:G34"/>
    <mergeCell ref="H34:I34"/>
    <mergeCell ref="C42:E42"/>
    <mergeCell ref="F42:G42"/>
    <mergeCell ref="H42:I42"/>
    <mergeCell ref="C43:E43"/>
    <mergeCell ref="F43:G43"/>
    <mergeCell ref="H43:I43"/>
    <mergeCell ref="B39:I39"/>
    <mergeCell ref="C40:E40"/>
    <mergeCell ref="F40:G40"/>
    <mergeCell ref="H40:I40"/>
    <mergeCell ref="C41:E41"/>
    <mergeCell ref="F41:G41"/>
    <mergeCell ref="H41:I41"/>
    <mergeCell ref="C46:E46"/>
    <mergeCell ref="F46:G46"/>
    <mergeCell ref="H46:I46"/>
    <mergeCell ref="C47:E47"/>
    <mergeCell ref="F47:G47"/>
    <mergeCell ref="H47:I47"/>
    <mergeCell ref="C44:E44"/>
    <mergeCell ref="F44:G44"/>
    <mergeCell ref="H44:I44"/>
    <mergeCell ref="C45:E45"/>
    <mergeCell ref="F45:G45"/>
    <mergeCell ref="H45:I45"/>
    <mergeCell ref="C50:E50"/>
    <mergeCell ref="F50:G50"/>
    <mergeCell ref="H50:I50"/>
    <mergeCell ref="C51:E51"/>
    <mergeCell ref="F51:G51"/>
    <mergeCell ref="H51:I51"/>
    <mergeCell ref="C48:E48"/>
    <mergeCell ref="F48:G48"/>
    <mergeCell ref="H48:I48"/>
    <mergeCell ref="C49:E49"/>
    <mergeCell ref="F49:G49"/>
    <mergeCell ref="H49:I49"/>
    <mergeCell ref="C54:E54"/>
    <mergeCell ref="F54:G54"/>
    <mergeCell ref="H54:I54"/>
    <mergeCell ref="C55:E55"/>
    <mergeCell ref="F55:G55"/>
    <mergeCell ref="H55:I55"/>
    <mergeCell ref="C52:E52"/>
    <mergeCell ref="F52:G52"/>
    <mergeCell ref="H52:I52"/>
    <mergeCell ref="C53:E53"/>
    <mergeCell ref="F53:G53"/>
    <mergeCell ref="H53:I53"/>
    <mergeCell ref="C58:E58"/>
    <mergeCell ref="F58:G58"/>
    <mergeCell ref="H58:I58"/>
    <mergeCell ref="C59:E59"/>
    <mergeCell ref="F59:G59"/>
    <mergeCell ref="H59:I59"/>
    <mergeCell ref="C56:E56"/>
    <mergeCell ref="F56:G56"/>
    <mergeCell ref="H56:I56"/>
    <mergeCell ref="C57:E57"/>
    <mergeCell ref="F57:G57"/>
    <mergeCell ref="H57:I57"/>
    <mergeCell ref="B66:J66"/>
    <mergeCell ref="C67:E67"/>
    <mergeCell ref="C68:E68"/>
    <mergeCell ref="C69:E69"/>
    <mergeCell ref="C70:D70"/>
    <mergeCell ref="C71:D71"/>
    <mergeCell ref="C60:E60"/>
    <mergeCell ref="F60:G60"/>
    <mergeCell ref="H60:I60"/>
    <mergeCell ref="B61:E61"/>
    <mergeCell ref="F61:G61"/>
    <mergeCell ref="H61:I61"/>
    <mergeCell ref="C80:E80"/>
    <mergeCell ref="F80:G80"/>
    <mergeCell ref="H80:I80"/>
    <mergeCell ref="C81:E81"/>
    <mergeCell ref="F81:G81"/>
    <mergeCell ref="H81:I81"/>
    <mergeCell ref="C74:E74"/>
    <mergeCell ref="B77:I77"/>
    <mergeCell ref="C78:E78"/>
    <mergeCell ref="F78:G78"/>
    <mergeCell ref="H78:I78"/>
    <mergeCell ref="C79:E79"/>
    <mergeCell ref="F79:G79"/>
    <mergeCell ref="H79:I79"/>
    <mergeCell ref="C84:E84"/>
    <mergeCell ref="F84:G84"/>
    <mergeCell ref="H84:I84"/>
    <mergeCell ref="C85:E85"/>
    <mergeCell ref="F85:G85"/>
    <mergeCell ref="H85:I85"/>
    <mergeCell ref="C82:E82"/>
    <mergeCell ref="F82:G82"/>
    <mergeCell ref="H82:I82"/>
    <mergeCell ref="C83:E83"/>
    <mergeCell ref="F83:G83"/>
    <mergeCell ref="H83:I83"/>
    <mergeCell ref="C88:E88"/>
    <mergeCell ref="F88:G88"/>
    <mergeCell ref="H88:I88"/>
    <mergeCell ref="C89:E89"/>
    <mergeCell ref="F89:G89"/>
    <mergeCell ref="H89:I89"/>
    <mergeCell ref="C86:E86"/>
    <mergeCell ref="F86:G86"/>
    <mergeCell ref="H86:I86"/>
    <mergeCell ref="C87:E87"/>
    <mergeCell ref="F87:G87"/>
    <mergeCell ref="H87:I87"/>
    <mergeCell ref="C96:E96"/>
    <mergeCell ref="F96:G96"/>
    <mergeCell ref="H96:I96"/>
    <mergeCell ref="C97:E97"/>
    <mergeCell ref="F97:G97"/>
    <mergeCell ref="H97:I97"/>
    <mergeCell ref="G90:H90"/>
    <mergeCell ref="B93:I93"/>
    <mergeCell ref="C94:E94"/>
    <mergeCell ref="F94:G94"/>
    <mergeCell ref="H94:I94"/>
    <mergeCell ref="C95:E95"/>
    <mergeCell ref="F95:G95"/>
    <mergeCell ref="H95:I95"/>
    <mergeCell ref="B102:I102"/>
    <mergeCell ref="C103:E103"/>
    <mergeCell ref="F103:G103"/>
    <mergeCell ref="H103:I103"/>
    <mergeCell ref="C104:E104"/>
    <mergeCell ref="F104:G104"/>
    <mergeCell ref="H104:I104"/>
    <mergeCell ref="C98:E98"/>
    <mergeCell ref="F98:G98"/>
    <mergeCell ref="H98:I98"/>
    <mergeCell ref="B99:E99"/>
    <mergeCell ref="F99:G99"/>
    <mergeCell ref="H99:I99"/>
    <mergeCell ref="C107:E107"/>
    <mergeCell ref="F107:G107"/>
    <mergeCell ref="H107:I107"/>
    <mergeCell ref="C108:E108"/>
    <mergeCell ref="F108:G108"/>
    <mergeCell ref="H108:I108"/>
    <mergeCell ref="C105:E105"/>
    <mergeCell ref="F105:G105"/>
    <mergeCell ref="H105:I105"/>
    <mergeCell ref="C106:E106"/>
    <mergeCell ref="F106:G106"/>
    <mergeCell ref="H106:I106"/>
    <mergeCell ref="C111:E111"/>
    <mergeCell ref="F111:G111"/>
    <mergeCell ref="H111:I111"/>
    <mergeCell ref="C112:E112"/>
    <mergeCell ref="F112:G112"/>
    <mergeCell ref="H112:I112"/>
    <mergeCell ref="C109:E109"/>
    <mergeCell ref="F109:G109"/>
    <mergeCell ref="H109:I109"/>
    <mergeCell ref="C110:E110"/>
    <mergeCell ref="F110:G110"/>
    <mergeCell ref="H110:I110"/>
    <mergeCell ref="C115:E115"/>
    <mergeCell ref="F115:G115"/>
    <mergeCell ref="H115:I115"/>
    <mergeCell ref="C116:E116"/>
    <mergeCell ref="F116:G116"/>
    <mergeCell ref="H116:I116"/>
    <mergeCell ref="C113:E113"/>
    <mergeCell ref="F113:G113"/>
    <mergeCell ref="H113:I113"/>
    <mergeCell ref="C114:E114"/>
    <mergeCell ref="F114:G114"/>
    <mergeCell ref="H114:I114"/>
    <mergeCell ref="C119:E119"/>
    <mergeCell ref="F119:G119"/>
    <mergeCell ref="H119:I119"/>
    <mergeCell ref="C120:E120"/>
    <mergeCell ref="F120:G120"/>
    <mergeCell ref="H120:I120"/>
    <mergeCell ref="C117:E117"/>
    <mergeCell ref="F117:G117"/>
    <mergeCell ref="H117:I117"/>
    <mergeCell ref="C118:E118"/>
    <mergeCell ref="F118:G118"/>
    <mergeCell ref="H118:I118"/>
    <mergeCell ref="C123:E123"/>
    <mergeCell ref="F123:G123"/>
    <mergeCell ref="H123:I123"/>
    <mergeCell ref="B124:E124"/>
    <mergeCell ref="F124:G124"/>
    <mergeCell ref="H124:I124"/>
    <mergeCell ref="C121:E121"/>
    <mergeCell ref="F121:G121"/>
    <mergeCell ref="H121:I121"/>
    <mergeCell ref="C122:E122"/>
    <mergeCell ref="F122:G122"/>
    <mergeCell ref="H122:I12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BBCC4-F29C-4D9D-9BB7-8AEBA4ACCEDB}">
  <dimension ref="A3:I61"/>
  <sheetViews>
    <sheetView workbookViewId="0">
      <selection activeCell="B41" sqref="B41:D41"/>
    </sheetView>
  </sheetViews>
  <sheetFormatPr baseColWidth="10" defaultRowHeight="15" x14ac:dyDescent="0.25"/>
  <cols>
    <col min="6" max="6" width="12.85546875" customWidth="1"/>
    <col min="7" max="7" width="9.28515625" customWidth="1"/>
    <col min="8" max="8" width="17" customWidth="1"/>
  </cols>
  <sheetData>
    <row r="3" spans="1:9" ht="28.5" x14ac:dyDescent="0.45">
      <c r="A3" s="121" t="s">
        <v>12</v>
      </c>
      <c r="B3" s="121"/>
      <c r="C3" s="121"/>
      <c r="D3" s="121"/>
      <c r="E3" s="121"/>
      <c r="F3" s="121"/>
      <c r="G3" s="121"/>
      <c r="H3" s="121"/>
      <c r="I3" s="121"/>
    </row>
    <row r="4" spans="1:9" x14ac:dyDescent="0.25">
      <c r="A4" s="7" t="s">
        <v>18</v>
      </c>
      <c r="B4" s="122"/>
      <c r="C4" s="122"/>
      <c r="D4" s="122"/>
      <c r="F4" s="7" t="s">
        <v>19</v>
      </c>
      <c r="H4" s="9"/>
    </row>
    <row r="5" spans="1:9" x14ac:dyDescent="0.25">
      <c r="A5" s="7" t="s">
        <v>20</v>
      </c>
      <c r="B5" s="122"/>
      <c r="C5" s="122"/>
      <c r="D5" s="122"/>
      <c r="F5" s="7" t="s">
        <v>21</v>
      </c>
      <c r="H5" s="9"/>
    </row>
    <row r="6" spans="1:9" x14ac:dyDescent="0.25">
      <c r="A6" s="7" t="s">
        <v>22</v>
      </c>
      <c r="B6" s="122" t="s">
        <v>657</v>
      </c>
      <c r="C6" s="122"/>
      <c r="D6" s="122"/>
    </row>
    <row r="7" spans="1:9" x14ac:dyDescent="0.25">
      <c r="A7" s="7" t="s">
        <v>23</v>
      </c>
      <c r="B7" s="122"/>
      <c r="C7" s="122"/>
    </row>
    <row r="8" spans="1:9" x14ac:dyDescent="0.25">
      <c r="A8" s="7" t="s">
        <v>24</v>
      </c>
      <c r="B8" s="123"/>
      <c r="C8" s="122"/>
    </row>
    <row r="11" spans="1:9" x14ac:dyDescent="0.25">
      <c r="A11" s="7" t="s">
        <v>25</v>
      </c>
      <c r="B11" s="126">
        <v>5500000</v>
      </c>
      <c r="C11" s="126"/>
      <c r="D11" s="126"/>
      <c r="E11" s="7" t="s">
        <v>26</v>
      </c>
      <c r="F11" s="7"/>
      <c r="H11" s="10">
        <f>(B11-H27)*0.6</f>
        <v>3032880</v>
      </c>
    </row>
    <row r="13" spans="1:9" ht="15.75" thickBot="1" x14ac:dyDescent="0.3">
      <c r="B13" s="1"/>
      <c r="C13" s="1"/>
      <c r="D13" s="1"/>
      <c r="E13" s="1"/>
      <c r="F13" s="1"/>
      <c r="G13" s="5"/>
      <c r="H13" s="1"/>
    </row>
    <row r="14" spans="1:9" ht="19.5" thickBot="1" x14ac:dyDescent="0.35">
      <c r="A14" s="127" t="s">
        <v>27</v>
      </c>
      <c r="B14" s="128"/>
      <c r="C14" s="128"/>
      <c r="D14" s="128"/>
      <c r="E14" s="128"/>
      <c r="F14" s="128"/>
      <c r="G14" s="128"/>
      <c r="H14" s="129"/>
    </row>
    <row r="15" spans="1:9" x14ac:dyDescent="0.25">
      <c r="A15" s="18" t="s">
        <v>28</v>
      </c>
      <c r="B15" s="130" t="s">
        <v>29</v>
      </c>
      <c r="C15" s="130"/>
      <c r="D15" s="130"/>
      <c r="E15" s="130" t="s">
        <v>30</v>
      </c>
      <c r="F15" s="130"/>
      <c r="G15" s="130" t="s">
        <v>31</v>
      </c>
      <c r="H15" s="130"/>
    </row>
    <row r="16" spans="1:9" x14ac:dyDescent="0.25">
      <c r="A16" s="3">
        <v>44987</v>
      </c>
      <c r="B16" s="124">
        <v>3193</v>
      </c>
      <c r="C16" s="124"/>
      <c r="D16" s="124"/>
      <c r="E16" s="124" t="s">
        <v>660</v>
      </c>
      <c r="F16" s="124"/>
      <c r="G16" s="125">
        <v>178000</v>
      </c>
      <c r="H16" s="125"/>
    </row>
    <row r="17" spans="1:9" x14ac:dyDescent="0.25">
      <c r="A17" s="3">
        <v>44987</v>
      </c>
      <c r="B17" s="124">
        <v>3193</v>
      </c>
      <c r="C17" s="124"/>
      <c r="D17" s="124"/>
      <c r="E17" s="124" t="s">
        <v>641</v>
      </c>
      <c r="F17" s="124"/>
      <c r="G17" s="125">
        <v>55000</v>
      </c>
      <c r="H17" s="125"/>
    </row>
    <row r="18" spans="1:9" x14ac:dyDescent="0.25">
      <c r="A18" s="3">
        <v>44987</v>
      </c>
      <c r="B18" s="124">
        <v>3193</v>
      </c>
      <c r="C18" s="124"/>
      <c r="D18" s="124"/>
      <c r="E18" s="155" t="s">
        <v>662</v>
      </c>
      <c r="F18" s="124"/>
      <c r="G18" s="125">
        <v>13000</v>
      </c>
      <c r="H18" s="125"/>
    </row>
    <row r="19" spans="1:9" x14ac:dyDescent="0.25">
      <c r="A19" s="3">
        <v>44987</v>
      </c>
      <c r="B19" s="124">
        <v>3195</v>
      </c>
      <c r="C19" s="124"/>
      <c r="D19" s="124"/>
      <c r="E19" s="124" t="s">
        <v>661</v>
      </c>
      <c r="F19" s="124"/>
      <c r="G19" s="125">
        <v>35000</v>
      </c>
      <c r="H19" s="125"/>
    </row>
    <row r="20" spans="1:9" x14ac:dyDescent="0.25">
      <c r="A20" s="3">
        <v>44987</v>
      </c>
      <c r="B20" s="124">
        <v>3196</v>
      </c>
      <c r="C20" s="124"/>
      <c r="D20" s="124"/>
      <c r="E20" s="124" t="s">
        <v>663</v>
      </c>
      <c r="F20" s="124"/>
      <c r="G20" s="125">
        <v>22000</v>
      </c>
      <c r="H20" s="125"/>
    </row>
    <row r="21" spans="1:9" x14ac:dyDescent="0.25">
      <c r="A21" s="3">
        <v>44987</v>
      </c>
      <c r="B21" s="124">
        <v>3197</v>
      </c>
      <c r="C21" s="124"/>
      <c r="D21" s="124"/>
      <c r="E21" s="124" t="s">
        <v>664</v>
      </c>
      <c r="F21" s="124"/>
      <c r="G21" s="125">
        <v>90000</v>
      </c>
      <c r="H21" s="125"/>
    </row>
    <row r="22" spans="1:9" x14ac:dyDescent="0.25">
      <c r="A22" s="17">
        <v>44989</v>
      </c>
      <c r="B22" s="124"/>
      <c r="C22" s="124"/>
      <c r="D22" s="124"/>
      <c r="E22" s="124" t="s">
        <v>118</v>
      </c>
      <c r="F22" s="124"/>
      <c r="G22" s="125">
        <v>6200</v>
      </c>
      <c r="H22" s="125"/>
    </row>
    <row r="23" spans="1:9" x14ac:dyDescent="0.25">
      <c r="A23" s="17">
        <v>44989</v>
      </c>
      <c r="B23" s="124"/>
      <c r="C23" s="124"/>
      <c r="D23" s="124"/>
      <c r="E23" s="124" t="s">
        <v>154</v>
      </c>
      <c r="F23" s="124"/>
      <c r="G23" s="125">
        <v>46000</v>
      </c>
      <c r="H23" s="125"/>
      <c r="I23" s="4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x14ac:dyDescent="0.25">
      <c r="A25" s="17"/>
      <c r="B25" s="124"/>
      <c r="C25" s="124"/>
      <c r="D25" s="124"/>
      <c r="E25" s="124"/>
      <c r="F25" s="124"/>
      <c r="G25" s="125"/>
      <c r="H25" s="125"/>
    </row>
    <row r="26" spans="1:9" x14ac:dyDescent="0.25">
      <c r="A26" s="17"/>
      <c r="B26" s="124"/>
      <c r="C26" s="124"/>
      <c r="D26" s="124"/>
      <c r="E26" s="124"/>
      <c r="F26" s="124"/>
      <c r="G26" s="131"/>
      <c r="H26" s="131"/>
    </row>
    <row r="27" spans="1:9" ht="15.75" thickBot="1" x14ac:dyDescent="0.3">
      <c r="A27" s="3"/>
      <c r="F27" s="133" t="s">
        <v>32</v>
      </c>
      <c r="G27" s="133"/>
      <c r="H27" s="12">
        <f>SUM(G16:H26)</f>
        <v>445200</v>
      </c>
    </row>
    <row r="29" spans="1:9" ht="15.75" thickBot="1" x14ac:dyDescent="0.3"/>
    <row r="30" spans="1:9" ht="19.5" thickBot="1" x14ac:dyDescent="0.35">
      <c r="A30" s="127" t="s">
        <v>10</v>
      </c>
      <c r="B30" s="128"/>
      <c r="C30" s="128"/>
      <c r="D30" s="128"/>
      <c r="E30" s="128"/>
      <c r="F30" s="128"/>
      <c r="G30" s="128"/>
      <c r="H30" s="129"/>
    </row>
    <row r="31" spans="1:9" ht="15.75" thickBot="1" x14ac:dyDescent="0.3">
      <c r="A31" s="13" t="s">
        <v>0</v>
      </c>
      <c r="B31" s="134" t="s">
        <v>33</v>
      </c>
      <c r="C31" s="134"/>
      <c r="D31" s="134"/>
      <c r="E31" s="135" t="s">
        <v>34</v>
      </c>
      <c r="F31" s="135"/>
      <c r="G31" s="135" t="s">
        <v>35</v>
      </c>
      <c r="H31" s="136"/>
    </row>
    <row r="32" spans="1:9" x14ac:dyDescent="0.25">
      <c r="A32" s="38">
        <v>44988</v>
      </c>
      <c r="B32" s="137"/>
      <c r="C32" s="137"/>
      <c r="D32" s="137"/>
      <c r="E32" s="132">
        <v>2820000</v>
      </c>
      <c r="F32" s="132"/>
      <c r="G32" s="132">
        <f>B11-E36</f>
        <v>2680000</v>
      </c>
      <c r="H32" s="132"/>
    </row>
    <row r="33" spans="1:8" x14ac:dyDescent="0.25">
      <c r="A33" s="17"/>
      <c r="B33" s="124"/>
      <c r="C33" s="124"/>
      <c r="D33" s="124"/>
      <c r="E33" s="131"/>
      <c r="F33" s="131"/>
      <c r="G33" s="132"/>
      <c r="H33" s="132"/>
    </row>
    <row r="34" spans="1:8" x14ac:dyDescent="0.25">
      <c r="A34" s="15"/>
      <c r="B34" s="124"/>
      <c r="C34" s="124"/>
      <c r="D34" s="124"/>
      <c r="E34" s="131"/>
      <c r="F34" s="131"/>
      <c r="G34" s="132"/>
      <c r="H34" s="132"/>
    </row>
    <row r="35" spans="1:8" ht="15.75" thickBot="1" x14ac:dyDescent="0.3">
      <c r="A35" s="15"/>
      <c r="B35" s="124"/>
      <c r="C35" s="124"/>
      <c r="D35" s="124"/>
      <c r="E35" s="139"/>
      <c r="F35" s="139"/>
      <c r="G35" s="132"/>
      <c r="H35" s="132"/>
    </row>
    <row r="36" spans="1:8" ht="15.75" thickBot="1" x14ac:dyDescent="0.3">
      <c r="A36" s="140" t="s">
        <v>36</v>
      </c>
      <c r="B36" s="140"/>
      <c r="C36" s="140"/>
      <c r="D36" s="140"/>
      <c r="E36" s="141">
        <f>SUM(E32:F35)</f>
        <v>2820000</v>
      </c>
      <c r="F36" s="142"/>
      <c r="G36" s="141"/>
      <c r="H36" s="143"/>
    </row>
    <row r="38" spans="1:8" ht="15.75" thickBot="1" x14ac:dyDescent="0.3"/>
    <row r="39" spans="1:8" ht="19.5" thickBot="1" x14ac:dyDescent="0.35">
      <c r="A39" s="127" t="s">
        <v>37</v>
      </c>
      <c r="B39" s="128"/>
      <c r="C39" s="128"/>
      <c r="D39" s="128"/>
      <c r="E39" s="128"/>
      <c r="F39" s="128"/>
      <c r="G39" s="128"/>
      <c r="H39" s="129"/>
    </row>
    <row r="40" spans="1:8" ht="15.75" thickBot="1" x14ac:dyDescent="0.3">
      <c r="A40" s="13" t="s">
        <v>0</v>
      </c>
      <c r="B40" s="134" t="s">
        <v>33</v>
      </c>
      <c r="C40" s="134"/>
      <c r="D40" s="134"/>
      <c r="E40" s="135" t="s">
        <v>38</v>
      </c>
      <c r="F40" s="135"/>
      <c r="G40" s="135" t="s">
        <v>35</v>
      </c>
      <c r="H40" s="136"/>
    </row>
    <row r="41" spans="1:8" x14ac:dyDescent="0.25">
      <c r="A41" s="9">
        <v>44989</v>
      </c>
      <c r="B41" s="124"/>
      <c r="C41" s="124"/>
      <c r="D41" s="124"/>
      <c r="E41" s="131">
        <v>800000</v>
      </c>
      <c r="F41" s="131"/>
      <c r="G41" s="138">
        <f>H11-E61</f>
        <v>2232880</v>
      </c>
      <c r="H41" s="138"/>
    </row>
    <row r="42" spans="1:8" x14ac:dyDescent="0.25">
      <c r="A42" s="16">
        <v>44996</v>
      </c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ht="15.75" thickBot="1" x14ac:dyDescent="0.3">
      <c r="A60" s="15"/>
      <c r="B60" s="124"/>
      <c r="C60" s="124"/>
      <c r="D60" s="124"/>
      <c r="E60" s="131"/>
      <c r="F60" s="131"/>
      <c r="G60" s="138">
        <f>H14-E60</f>
        <v>0</v>
      </c>
      <c r="H60" s="138"/>
    </row>
    <row r="61" spans="1:8" ht="15.75" thickBot="1" x14ac:dyDescent="0.3">
      <c r="A61" s="140" t="s">
        <v>36</v>
      </c>
      <c r="B61" s="140"/>
      <c r="C61" s="140"/>
      <c r="D61" s="140"/>
      <c r="E61" s="141">
        <f>SUM(E41:F60)</f>
        <v>800000</v>
      </c>
      <c r="F61" s="142"/>
      <c r="G61" s="138">
        <f>H15-E61</f>
        <v>-800000</v>
      </c>
      <c r="H61" s="138"/>
    </row>
  </sheetData>
  <mergeCells count="131">
    <mergeCell ref="B60:D60"/>
    <mergeCell ref="E60:F60"/>
    <mergeCell ref="G60:H60"/>
    <mergeCell ref="A61:D61"/>
    <mergeCell ref="E61:F61"/>
    <mergeCell ref="G61:H61"/>
    <mergeCell ref="B58:D58"/>
    <mergeCell ref="E58:F58"/>
    <mergeCell ref="G58:H58"/>
    <mergeCell ref="B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A39:H39"/>
    <mergeCell ref="B40:D40"/>
    <mergeCell ref="E40:F40"/>
    <mergeCell ref="G40:H40"/>
    <mergeCell ref="B41:D41"/>
    <mergeCell ref="E41:F41"/>
    <mergeCell ref="G41:H41"/>
    <mergeCell ref="B35:D35"/>
    <mergeCell ref="E35:F35"/>
    <mergeCell ref="G35:H35"/>
    <mergeCell ref="A36:D36"/>
    <mergeCell ref="E36:F36"/>
    <mergeCell ref="G36:H36"/>
    <mergeCell ref="B33:D33"/>
    <mergeCell ref="E33:F33"/>
    <mergeCell ref="G33:H33"/>
    <mergeCell ref="B34:D34"/>
    <mergeCell ref="E34:F34"/>
    <mergeCell ref="G34:H34"/>
    <mergeCell ref="F27:G27"/>
    <mergeCell ref="A30:H30"/>
    <mergeCell ref="B31:D31"/>
    <mergeCell ref="E31:F31"/>
    <mergeCell ref="G31:H31"/>
    <mergeCell ref="B32:D32"/>
    <mergeCell ref="E32:F32"/>
    <mergeCell ref="G32:H32"/>
    <mergeCell ref="B25:D25"/>
    <mergeCell ref="E25:F25"/>
    <mergeCell ref="G25:H25"/>
    <mergeCell ref="B26:D26"/>
    <mergeCell ref="E26:F26"/>
    <mergeCell ref="G26:H26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8:D18"/>
    <mergeCell ref="E18:F18"/>
    <mergeCell ref="G18:H18"/>
    <mergeCell ref="B11:D11"/>
    <mergeCell ref="A14:H14"/>
    <mergeCell ref="B15:D15"/>
    <mergeCell ref="E15:F15"/>
    <mergeCell ref="G15:H15"/>
    <mergeCell ref="B16:D16"/>
    <mergeCell ref="E16:F16"/>
    <mergeCell ref="G16:H16"/>
    <mergeCell ref="A3:I3"/>
    <mergeCell ref="B4:D4"/>
    <mergeCell ref="B5:D5"/>
    <mergeCell ref="B6:D6"/>
    <mergeCell ref="B7:C7"/>
    <mergeCell ref="B8:C8"/>
    <mergeCell ref="B17:D17"/>
    <mergeCell ref="E17:F17"/>
    <mergeCell ref="G17:H1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33D60-9ACD-4FA7-8296-B78006E14B22}">
  <dimension ref="A2:I70"/>
  <sheetViews>
    <sheetView tabSelected="1" topLeftCell="A34" workbookViewId="0">
      <selection activeCell="A50" sqref="A50"/>
    </sheetView>
  </sheetViews>
  <sheetFormatPr baseColWidth="10" defaultRowHeight="15" x14ac:dyDescent="0.25"/>
  <cols>
    <col min="1" max="1" width="18.85546875" customWidth="1"/>
    <col min="8" max="8" width="15.85546875" customWidth="1"/>
  </cols>
  <sheetData>
    <row r="2" spans="1:9" ht="28.5" x14ac:dyDescent="0.45">
      <c r="A2" s="121" t="s">
        <v>12</v>
      </c>
      <c r="B2" s="121"/>
      <c r="C2" s="121"/>
      <c r="D2" s="121"/>
      <c r="E2" s="121"/>
      <c r="F2" s="121"/>
      <c r="G2" s="121"/>
      <c r="H2" s="121"/>
      <c r="I2" s="121"/>
    </row>
    <row r="3" spans="1:9" x14ac:dyDescent="0.25">
      <c r="A3" s="7" t="s">
        <v>18</v>
      </c>
      <c r="B3" s="122"/>
      <c r="C3" s="122"/>
      <c r="D3" s="122"/>
      <c r="F3" s="7" t="s">
        <v>19</v>
      </c>
      <c r="H3" s="9"/>
    </row>
    <row r="4" spans="1:9" x14ac:dyDescent="0.25">
      <c r="A4" s="7" t="s">
        <v>20</v>
      </c>
      <c r="B4" s="122"/>
      <c r="C4" s="122"/>
      <c r="D4" s="122"/>
      <c r="F4" s="7" t="s">
        <v>21</v>
      </c>
      <c r="H4" s="9"/>
    </row>
    <row r="5" spans="1:9" x14ac:dyDescent="0.25">
      <c r="A5" s="7" t="s">
        <v>22</v>
      </c>
      <c r="B5" s="122"/>
      <c r="C5" s="122"/>
      <c r="D5" s="122"/>
    </row>
    <row r="6" spans="1:9" x14ac:dyDescent="0.25">
      <c r="A6" s="7" t="s">
        <v>23</v>
      </c>
      <c r="B6" s="122"/>
      <c r="C6" s="122"/>
    </row>
    <row r="7" spans="1:9" x14ac:dyDescent="0.25">
      <c r="A7" s="7" t="s">
        <v>24</v>
      </c>
      <c r="B7" s="123"/>
      <c r="C7" s="122"/>
    </row>
    <row r="10" spans="1:9" x14ac:dyDescent="0.25">
      <c r="A10" s="7" t="s">
        <v>25</v>
      </c>
      <c r="B10" s="126">
        <v>7000000</v>
      </c>
      <c r="C10" s="126"/>
      <c r="D10" s="126"/>
      <c r="E10" s="7" t="s">
        <v>26</v>
      </c>
      <c r="F10" s="7"/>
      <c r="H10" s="10">
        <f>(B10-H36)*0.6</f>
        <v>4149600</v>
      </c>
    </row>
    <row r="12" spans="1:9" ht="15.75" thickBot="1" x14ac:dyDescent="0.3">
      <c r="B12" s="1"/>
      <c r="C12" s="1"/>
      <c r="D12" s="1"/>
      <c r="E12" s="1"/>
      <c r="F12" s="1"/>
      <c r="G12" s="5"/>
      <c r="H12" s="1"/>
    </row>
    <row r="13" spans="1:9" ht="19.5" thickBot="1" x14ac:dyDescent="0.35">
      <c r="A13" s="127" t="s">
        <v>27</v>
      </c>
      <c r="B13" s="128"/>
      <c r="C13" s="128"/>
      <c r="D13" s="128"/>
      <c r="E13" s="128"/>
      <c r="F13" s="128"/>
      <c r="G13" s="128"/>
      <c r="H13" s="129"/>
    </row>
    <row r="14" spans="1:9" x14ac:dyDescent="0.25">
      <c r="A14" s="18" t="s">
        <v>28</v>
      </c>
      <c r="B14" s="130" t="s">
        <v>29</v>
      </c>
      <c r="C14" s="130"/>
      <c r="D14" s="130"/>
      <c r="E14" s="130" t="s">
        <v>30</v>
      </c>
      <c r="F14" s="130"/>
      <c r="G14" s="130" t="s">
        <v>31</v>
      </c>
      <c r="H14" s="130"/>
    </row>
    <row r="15" spans="1:9" x14ac:dyDescent="0.25">
      <c r="A15" s="3">
        <v>45008</v>
      </c>
      <c r="B15" s="124">
        <v>77569</v>
      </c>
      <c r="C15" s="124"/>
      <c r="D15" s="124"/>
      <c r="E15" s="124" t="s">
        <v>687</v>
      </c>
      <c r="F15" s="124"/>
      <c r="G15" s="125">
        <v>14000</v>
      </c>
      <c r="H15" s="125"/>
    </row>
    <row r="16" spans="1:9" x14ac:dyDescent="0.25">
      <c r="A16" s="17">
        <v>45008</v>
      </c>
      <c r="B16" s="124">
        <v>77569</v>
      </c>
      <c r="C16" s="124"/>
      <c r="D16" s="124"/>
      <c r="E16" s="124" t="s">
        <v>688</v>
      </c>
      <c r="F16" s="124"/>
      <c r="G16" s="125">
        <v>70000</v>
      </c>
      <c r="H16" s="125"/>
    </row>
    <row r="17" spans="1:9" x14ac:dyDescent="0.25">
      <c r="A17" s="17"/>
      <c r="B17" s="124"/>
      <c r="C17" s="124"/>
      <c r="D17" s="124"/>
      <c r="E17" s="124"/>
      <c r="F17" s="124"/>
      <c r="G17" s="125"/>
      <c r="H17" s="125"/>
    </row>
    <row r="18" spans="1:9" x14ac:dyDescent="0.25">
      <c r="A18" s="17"/>
      <c r="B18" s="124"/>
      <c r="C18" s="124"/>
      <c r="D18" s="124"/>
      <c r="E18" s="124"/>
      <c r="F18" s="124"/>
      <c r="G18" s="125"/>
      <c r="H18" s="125"/>
    </row>
    <row r="19" spans="1:9" x14ac:dyDescent="0.25">
      <c r="A19" s="17"/>
      <c r="B19" s="124"/>
      <c r="C19" s="124"/>
      <c r="D19" s="124"/>
      <c r="E19" s="150"/>
      <c r="F19" s="151"/>
      <c r="G19" s="125"/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</row>
    <row r="22" spans="1:9" x14ac:dyDescent="0.25">
      <c r="A22" s="17"/>
      <c r="B22" s="124"/>
      <c r="C22" s="124"/>
      <c r="D22" s="124"/>
      <c r="E22" s="124"/>
      <c r="F22" s="124"/>
      <c r="G22" s="125"/>
      <c r="H22" s="125"/>
      <c r="I22" s="4"/>
    </row>
    <row r="23" spans="1:9" x14ac:dyDescent="0.25">
      <c r="A23" s="17"/>
      <c r="B23" s="124"/>
      <c r="C23" s="124"/>
      <c r="D23" s="124"/>
      <c r="E23" s="124"/>
      <c r="F23" s="124"/>
      <c r="G23" s="131"/>
      <c r="H23" s="131"/>
    </row>
    <row r="24" spans="1:9" x14ac:dyDescent="0.25">
      <c r="A24" s="17"/>
      <c r="B24" s="149"/>
      <c r="C24" s="150"/>
      <c r="D24" s="151"/>
      <c r="E24" s="149"/>
      <c r="F24" s="151"/>
      <c r="G24" s="152"/>
      <c r="H24" s="153"/>
    </row>
    <row r="25" spans="1:9" x14ac:dyDescent="0.25">
      <c r="A25" s="17"/>
      <c r="B25" s="149"/>
      <c r="C25" s="150"/>
      <c r="D25" s="151"/>
      <c r="E25" s="149"/>
      <c r="F25" s="151"/>
      <c r="G25" s="152"/>
      <c r="H25" s="153"/>
    </row>
    <row r="26" spans="1:9" x14ac:dyDescent="0.25">
      <c r="A26" s="17"/>
      <c r="B26" s="149"/>
      <c r="C26" s="150"/>
      <c r="D26" s="151"/>
      <c r="E26" s="149"/>
      <c r="F26" s="151"/>
      <c r="G26" s="152"/>
      <c r="H26" s="153"/>
    </row>
    <row r="27" spans="1:9" x14ac:dyDescent="0.25">
      <c r="A27" s="17"/>
      <c r="B27" s="149"/>
      <c r="C27" s="150"/>
      <c r="D27" s="151"/>
      <c r="E27" s="149"/>
      <c r="F27" s="151"/>
      <c r="G27" s="152"/>
      <c r="H27" s="153"/>
    </row>
    <row r="28" spans="1:9" x14ac:dyDescent="0.25">
      <c r="A28" s="17"/>
      <c r="B28" s="149"/>
      <c r="C28" s="150"/>
      <c r="D28" s="151"/>
      <c r="E28" s="149"/>
      <c r="F28" s="151"/>
      <c r="G28" s="152"/>
      <c r="H28" s="153"/>
    </row>
    <row r="29" spans="1:9" x14ac:dyDescent="0.25">
      <c r="A29" s="17"/>
      <c r="B29" s="124"/>
      <c r="C29" s="124"/>
      <c r="D29" s="124"/>
      <c r="E29" s="124"/>
      <c r="F29" s="124"/>
      <c r="G29" s="125"/>
      <c r="H29" s="125"/>
    </row>
    <row r="30" spans="1:9" x14ac:dyDescent="0.25">
      <c r="A30" s="17"/>
      <c r="B30" s="149"/>
      <c r="C30" s="150"/>
      <c r="D30" s="151"/>
      <c r="E30" s="149"/>
      <c r="F30" s="151"/>
      <c r="G30" s="147"/>
      <c r="H30" s="148"/>
    </row>
    <row r="31" spans="1:9" x14ac:dyDescent="0.25">
      <c r="A31" s="17"/>
      <c r="B31" s="149"/>
      <c r="C31" s="150"/>
      <c r="D31" s="151"/>
      <c r="E31" s="149"/>
      <c r="F31" s="151"/>
      <c r="G31" s="147"/>
      <c r="H31" s="148"/>
    </row>
    <row r="32" spans="1:9" x14ac:dyDescent="0.25">
      <c r="A32" s="17"/>
      <c r="B32" s="149"/>
      <c r="C32" s="150"/>
      <c r="D32" s="151"/>
      <c r="E32" s="149"/>
      <c r="F32" s="151"/>
      <c r="G32" s="147"/>
      <c r="H32" s="148"/>
    </row>
    <row r="33" spans="1:8" x14ac:dyDescent="0.25">
      <c r="A33" s="17"/>
      <c r="B33" s="149"/>
      <c r="C33" s="150"/>
      <c r="D33" s="151"/>
      <c r="E33" s="149"/>
      <c r="F33" s="151"/>
      <c r="G33" s="147"/>
      <c r="H33" s="148"/>
    </row>
    <row r="34" spans="1:8" x14ac:dyDescent="0.25">
      <c r="A34" s="17"/>
      <c r="B34" s="149"/>
      <c r="C34" s="150"/>
      <c r="D34" s="151"/>
      <c r="E34" s="149"/>
      <c r="F34" s="151"/>
      <c r="G34" s="147"/>
      <c r="H34" s="148"/>
    </row>
    <row r="35" spans="1:8" x14ac:dyDescent="0.25">
      <c r="A35" s="17"/>
      <c r="B35" s="124"/>
      <c r="C35" s="124"/>
      <c r="D35" s="124"/>
      <c r="E35" s="124"/>
      <c r="F35" s="124"/>
      <c r="G35" s="131"/>
      <c r="H35" s="131"/>
    </row>
    <row r="36" spans="1:8" ht="15.75" thickBot="1" x14ac:dyDescent="0.3">
      <c r="A36" s="3"/>
      <c r="F36" s="133" t="s">
        <v>32</v>
      </c>
      <c r="G36" s="133"/>
      <c r="H36" s="12">
        <f>SUM(G15:H35)</f>
        <v>84000</v>
      </c>
    </row>
    <row r="38" spans="1:8" ht="15.75" thickBot="1" x14ac:dyDescent="0.3"/>
    <row r="39" spans="1:8" ht="19.5" thickBot="1" x14ac:dyDescent="0.35">
      <c r="A39" s="127" t="s">
        <v>10</v>
      </c>
      <c r="B39" s="128"/>
      <c r="C39" s="128"/>
      <c r="D39" s="128"/>
      <c r="E39" s="128"/>
      <c r="F39" s="128"/>
      <c r="G39" s="128"/>
      <c r="H39" s="129"/>
    </row>
    <row r="40" spans="1:8" ht="15.75" thickBot="1" x14ac:dyDescent="0.3">
      <c r="A40" s="13" t="s">
        <v>0</v>
      </c>
      <c r="B40" s="134" t="s">
        <v>33</v>
      </c>
      <c r="C40" s="134"/>
      <c r="D40" s="134"/>
      <c r="E40" s="135" t="s">
        <v>34</v>
      </c>
      <c r="F40" s="135"/>
      <c r="G40" s="135" t="s">
        <v>35</v>
      </c>
      <c r="H40" s="136"/>
    </row>
    <row r="41" spans="1:8" ht="15.75" thickBot="1" x14ac:dyDescent="0.3">
      <c r="A41" s="38"/>
      <c r="B41" s="137"/>
      <c r="C41" s="137"/>
      <c r="D41" s="137"/>
      <c r="E41" s="132"/>
      <c r="F41" s="132"/>
      <c r="G41" s="141">
        <f>SUM(G37:H40)</f>
        <v>0</v>
      </c>
      <c r="H41" s="142"/>
    </row>
    <row r="42" spans="1:8" ht="15.75" thickBot="1" x14ac:dyDescent="0.3">
      <c r="A42" s="17"/>
      <c r="B42" s="137"/>
      <c r="C42" s="137"/>
      <c r="D42" s="137"/>
      <c r="E42" s="131"/>
      <c r="F42" s="131"/>
      <c r="G42" s="141">
        <f t="shared" ref="G42:G44" si="0">SUM(G38:H41)</f>
        <v>0</v>
      </c>
      <c r="H42" s="142"/>
    </row>
    <row r="43" spans="1:8" ht="15.75" thickBot="1" x14ac:dyDescent="0.3">
      <c r="A43" s="15"/>
      <c r="B43" s="124"/>
      <c r="C43" s="124"/>
      <c r="D43" s="124"/>
      <c r="G43" s="141">
        <f t="shared" si="0"/>
        <v>0</v>
      </c>
      <c r="H43" s="142"/>
    </row>
    <row r="44" spans="1:8" ht="15.75" thickBot="1" x14ac:dyDescent="0.3">
      <c r="A44" s="15"/>
      <c r="B44" s="124"/>
      <c r="C44" s="124"/>
      <c r="D44" s="124"/>
      <c r="E44" s="139"/>
      <c r="F44" s="139"/>
      <c r="G44" s="141">
        <f t="shared" si="0"/>
        <v>0</v>
      </c>
      <c r="H44" s="142"/>
    </row>
    <row r="45" spans="1:8" ht="15.75" thickBot="1" x14ac:dyDescent="0.3">
      <c r="A45" s="140" t="s">
        <v>36</v>
      </c>
      <c r="B45" s="140"/>
      <c r="C45" s="140"/>
      <c r="D45" s="140"/>
      <c r="E45" s="141">
        <f>SUM(E41:F44)</f>
        <v>0</v>
      </c>
      <c r="F45" s="142"/>
      <c r="G45" s="141"/>
      <c r="H45" s="143"/>
    </row>
    <row r="47" spans="1:8" ht="15.75" thickBot="1" x14ac:dyDescent="0.3"/>
    <row r="48" spans="1:8" ht="19.5" thickBot="1" x14ac:dyDescent="0.35">
      <c r="A48" s="127" t="s">
        <v>37</v>
      </c>
      <c r="B48" s="128"/>
      <c r="C48" s="128"/>
      <c r="D48" s="128"/>
      <c r="E48" s="128"/>
      <c r="F48" s="128"/>
      <c r="G48" s="128"/>
      <c r="H48" s="129"/>
    </row>
    <row r="49" spans="1:8" ht="15.75" thickBot="1" x14ac:dyDescent="0.3">
      <c r="A49" s="13" t="s">
        <v>0</v>
      </c>
      <c r="B49" s="134" t="s">
        <v>33</v>
      </c>
      <c r="C49" s="134"/>
      <c r="D49" s="134"/>
      <c r="E49" s="135" t="s">
        <v>38</v>
      </c>
      <c r="F49" s="135"/>
      <c r="G49" s="135" t="s">
        <v>35</v>
      </c>
      <c r="H49" s="136"/>
    </row>
    <row r="50" spans="1:8" x14ac:dyDescent="0.25">
      <c r="A50" s="16">
        <v>2</v>
      </c>
      <c r="B50" s="124"/>
      <c r="C50" s="124"/>
      <c r="D50" s="124"/>
      <c r="E50" s="131"/>
      <c r="F50" s="131"/>
      <c r="G50" s="138">
        <f>H10-E70</f>
        <v>4149600</v>
      </c>
      <c r="H50" s="138"/>
    </row>
    <row r="51" spans="1:8" x14ac:dyDescent="0.25">
      <c r="A51" s="16"/>
      <c r="B51" s="124"/>
      <c r="C51" s="124"/>
      <c r="D51" s="124"/>
      <c r="E51" s="131"/>
      <c r="F51" s="131"/>
      <c r="G51" s="138"/>
      <c r="H51" s="138"/>
    </row>
    <row r="52" spans="1:8" x14ac:dyDescent="0.25">
      <c r="A52" s="16"/>
      <c r="B52" s="124"/>
      <c r="C52" s="124"/>
      <c r="D52" s="124"/>
      <c r="E52" s="131"/>
      <c r="F52" s="131"/>
      <c r="G52" s="138"/>
      <c r="H52" s="138"/>
    </row>
    <row r="53" spans="1:8" x14ac:dyDescent="0.25">
      <c r="A53" s="16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x14ac:dyDescent="0.25">
      <c r="A60" s="15"/>
      <c r="B60" s="124"/>
      <c r="C60" s="124"/>
      <c r="D60" s="124"/>
      <c r="E60" s="131"/>
      <c r="F60" s="131"/>
      <c r="G60" s="138"/>
      <c r="H60" s="138"/>
    </row>
    <row r="61" spans="1:8" x14ac:dyDescent="0.25">
      <c r="A61" s="15"/>
      <c r="B61" s="124"/>
      <c r="C61" s="124"/>
      <c r="D61" s="124"/>
      <c r="E61" s="131"/>
      <c r="F61" s="131"/>
      <c r="G61" s="138"/>
      <c r="H61" s="138"/>
    </row>
    <row r="62" spans="1:8" x14ac:dyDescent="0.25">
      <c r="A62" s="15"/>
      <c r="B62" s="124"/>
      <c r="C62" s="124"/>
      <c r="D62" s="124"/>
      <c r="E62" s="131"/>
      <c r="F62" s="131"/>
      <c r="G62" s="138"/>
      <c r="H62" s="138"/>
    </row>
    <row r="63" spans="1:8" x14ac:dyDescent="0.25">
      <c r="A63" s="15"/>
      <c r="B63" s="124"/>
      <c r="C63" s="124"/>
      <c r="D63" s="124"/>
      <c r="E63" s="131"/>
      <c r="F63" s="131"/>
      <c r="G63" s="138"/>
      <c r="H63" s="138"/>
    </row>
    <row r="64" spans="1:8" x14ac:dyDescent="0.25">
      <c r="A64" s="15"/>
      <c r="B64" s="124"/>
      <c r="C64" s="124"/>
      <c r="D64" s="124"/>
      <c r="E64" s="131"/>
      <c r="F64" s="131"/>
      <c r="G64" s="138"/>
      <c r="H64" s="138"/>
    </row>
    <row r="65" spans="1:8" x14ac:dyDescent="0.25">
      <c r="A65" s="15"/>
      <c r="B65" s="124"/>
      <c r="C65" s="124"/>
      <c r="D65" s="124"/>
      <c r="E65" s="131"/>
      <c r="F65" s="131"/>
      <c r="G65" s="138"/>
      <c r="H65" s="138"/>
    </row>
    <row r="66" spans="1:8" x14ac:dyDescent="0.25">
      <c r="A66" s="15"/>
      <c r="B66" s="124"/>
      <c r="C66" s="124"/>
      <c r="D66" s="124"/>
      <c r="E66" s="131"/>
      <c r="F66" s="131"/>
      <c r="G66" s="138"/>
      <c r="H66" s="138"/>
    </row>
    <row r="67" spans="1:8" x14ac:dyDescent="0.25">
      <c r="A67" s="15"/>
      <c r="B67" s="124"/>
      <c r="C67" s="124"/>
      <c r="D67" s="124"/>
      <c r="E67" s="131"/>
      <c r="F67" s="131"/>
      <c r="G67" s="138"/>
      <c r="H67" s="138"/>
    </row>
    <row r="68" spans="1:8" x14ac:dyDescent="0.25">
      <c r="A68" s="15"/>
      <c r="B68" s="124"/>
      <c r="C68" s="124"/>
      <c r="D68" s="124"/>
      <c r="E68" s="131"/>
      <c r="F68" s="131"/>
      <c r="G68" s="138"/>
      <c r="H68" s="138"/>
    </row>
    <row r="69" spans="1:8" ht="15.75" thickBot="1" x14ac:dyDescent="0.3">
      <c r="A69" s="15"/>
      <c r="B69" s="124"/>
      <c r="C69" s="124"/>
      <c r="D69" s="124"/>
      <c r="E69" s="131"/>
      <c r="F69" s="131"/>
      <c r="G69" s="138">
        <f>H13-E69</f>
        <v>0</v>
      </c>
      <c r="H69" s="138"/>
    </row>
    <row r="70" spans="1:8" ht="15.75" thickBot="1" x14ac:dyDescent="0.3">
      <c r="A70" s="140" t="s">
        <v>36</v>
      </c>
      <c r="B70" s="140"/>
      <c r="C70" s="140"/>
      <c r="D70" s="140"/>
      <c r="E70" s="141">
        <f>SUM(E50:F69)</f>
        <v>0</v>
      </c>
      <c r="F70" s="142"/>
      <c r="G70" s="138">
        <f>H14-E70</f>
        <v>0</v>
      </c>
      <c r="H70" s="138"/>
    </row>
  </sheetData>
  <mergeCells count="160">
    <mergeCell ref="A70:D70"/>
    <mergeCell ref="E70:F70"/>
    <mergeCell ref="G70:H70"/>
    <mergeCell ref="B68:D68"/>
    <mergeCell ref="E68:F68"/>
    <mergeCell ref="G68:H68"/>
    <mergeCell ref="B69:D69"/>
    <mergeCell ref="E69:F69"/>
    <mergeCell ref="G69:H69"/>
    <mergeCell ref="B66:D66"/>
    <mergeCell ref="E66:F66"/>
    <mergeCell ref="G66:H66"/>
    <mergeCell ref="B67:D67"/>
    <mergeCell ref="E67:F67"/>
    <mergeCell ref="G67:H67"/>
    <mergeCell ref="B64:D64"/>
    <mergeCell ref="E64:F64"/>
    <mergeCell ref="G64:H64"/>
    <mergeCell ref="B65:D65"/>
    <mergeCell ref="E65:F65"/>
    <mergeCell ref="G65:H65"/>
    <mergeCell ref="B62:D62"/>
    <mergeCell ref="E62:F62"/>
    <mergeCell ref="G62:H62"/>
    <mergeCell ref="B63:D63"/>
    <mergeCell ref="E63:F63"/>
    <mergeCell ref="G63:H63"/>
    <mergeCell ref="B60:D60"/>
    <mergeCell ref="E60:F60"/>
    <mergeCell ref="G60:H60"/>
    <mergeCell ref="B61:D61"/>
    <mergeCell ref="E61:F61"/>
    <mergeCell ref="G61:H61"/>
    <mergeCell ref="B58:D58"/>
    <mergeCell ref="E58:F58"/>
    <mergeCell ref="G58:H58"/>
    <mergeCell ref="B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A45:D45"/>
    <mergeCell ref="E45:F45"/>
    <mergeCell ref="G45:H45"/>
    <mergeCell ref="A48:H48"/>
    <mergeCell ref="B49:D49"/>
    <mergeCell ref="E49:F49"/>
    <mergeCell ref="G49:H49"/>
    <mergeCell ref="B42:D42"/>
    <mergeCell ref="E42:F42"/>
    <mergeCell ref="G42:H42"/>
    <mergeCell ref="B43:D43"/>
    <mergeCell ref="G43:H43"/>
    <mergeCell ref="B44:D44"/>
    <mergeCell ref="E44:F44"/>
    <mergeCell ref="G44:H44"/>
    <mergeCell ref="F36:G36"/>
    <mergeCell ref="A39:H39"/>
    <mergeCell ref="B40:D40"/>
    <mergeCell ref="E40:F40"/>
    <mergeCell ref="G40:H40"/>
    <mergeCell ref="B41:D41"/>
    <mergeCell ref="E41:F41"/>
    <mergeCell ref="G41:H41"/>
    <mergeCell ref="B34:D34"/>
    <mergeCell ref="E34:F34"/>
    <mergeCell ref="G34:H34"/>
    <mergeCell ref="B35:D35"/>
    <mergeCell ref="E35:F35"/>
    <mergeCell ref="G35:H35"/>
    <mergeCell ref="B32:D32"/>
    <mergeCell ref="E32:F32"/>
    <mergeCell ref="G32:H32"/>
    <mergeCell ref="B33:D33"/>
    <mergeCell ref="E33:F33"/>
    <mergeCell ref="G33:H33"/>
    <mergeCell ref="B30:D30"/>
    <mergeCell ref="E30:F30"/>
    <mergeCell ref="G30:H30"/>
    <mergeCell ref="B31:D31"/>
    <mergeCell ref="E31:F31"/>
    <mergeCell ref="G31:H31"/>
    <mergeCell ref="B28:D28"/>
    <mergeCell ref="E28:F28"/>
    <mergeCell ref="G28:H28"/>
    <mergeCell ref="B29:D29"/>
    <mergeCell ref="E29:F29"/>
    <mergeCell ref="G29:H29"/>
    <mergeCell ref="B26:D26"/>
    <mergeCell ref="E26:F26"/>
    <mergeCell ref="G26:H26"/>
    <mergeCell ref="B27:D27"/>
    <mergeCell ref="E27:F27"/>
    <mergeCell ref="G27:H27"/>
    <mergeCell ref="B24:D24"/>
    <mergeCell ref="E24:F24"/>
    <mergeCell ref="G24:H24"/>
    <mergeCell ref="B25:D25"/>
    <mergeCell ref="E25:F25"/>
    <mergeCell ref="G25:H25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B10:D10"/>
    <mergeCell ref="A13:H13"/>
    <mergeCell ref="B14:D14"/>
    <mergeCell ref="E14:F14"/>
    <mergeCell ref="G14:H14"/>
    <mergeCell ref="B15:D15"/>
    <mergeCell ref="E15:F15"/>
    <mergeCell ref="G15:H15"/>
    <mergeCell ref="A2:I2"/>
    <mergeCell ref="B3:D3"/>
    <mergeCell ref="B4:D4"/>
    <mergeCell ref="B5:D5"/>
    <mergeCell ref="B6:C6"/>
    <mergeCell ref="B7:C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/>
  <dimension ref="A1:H44"/>
  <sheetViews>
    <sheetView topLeftCell="A10" workbookViewId="0">
      <selection activeCell="M36" sqref="M36"/>
    </sheetView>
  </sheetViews>
  <sheetFormatPr baseColWidth="10" defaultRowHeight="15" x14ac:dyDescent="0.25"/>
  <cols>
    <col min="1" max="1" width="37.7109375" customWidth="1"/>
    <col min="2" max="2" width="22.42578125" customWidth="1"/>
    <col min="3" max="3" width="14.7109375" customWidth="1"/>
    <col min="4" max="4" width="19.140625" customWidth="1"/>
    <col min="5" max="5" width="27.7109375" customWidth="1"/>
    <col min="6" max="8" width="11.42578125" hidden="1" customWidth="1"/>
    <col min="9" max="9" width="18.28515625" customWidth="1"/>
  </cols>
  <sheetData>
    <row r="1" spans="1:5" x14ac:dyDescent="0.25">
      <c r="A1" s="19" t="s">
        <v>57</v>
      </c>
      <c r="B1" s="19"/>
      <c r="C1" s="19" t="s">
        <v>86</v>
      </c>
      <c r="D1" s="19" t="s">
        <v>87</v>
      </c>
    </row>
    <row r="2" spans="1:5" x14ac:dyDescent="0.25">
      <c r="A2" s="32" t="s">
        <v>65</v>
      </c>
      <c r="B2" s="27">
        <v>200000</v>
      </c>
      <c r="C2" s="28"/>
      <c r="D2" s="29"/>
    </row>
    <row r="3" spans="1:5" x14ac:dyDescent="0.25">
      <c r="A3" s="33">
        <v>44547</v>
      </c>
      <c r="B3" s="27">
        <v>650000</v>
      </c>
      <c r="C3" s="30">
        <v>150000</v>
      </c>
      <c r="D3" s="31">
        <f>B3+C3</f>
        <v>800000</v>
      </c>
    </row>
    <row r="4" spans="1:5" x14ac:dyDescent="0.25">
      <c r="A4" s="33">
        <v>44553</v>
      </c>
      <c r="B4" s="27">
        <v>600000</v>
      </c>
      <c r="C4" s="30">
        <v>200000</v>
      </c>
      <c r="D4" s="31">
        <f t="shared" ref="D4:D7" si="0">B4+C4</f>
        <v>800000</v>
      </c>
    </row>
    <row r="5" spans="1:5" x14ac:dyDescent="0.25">
      <c r="A5" s="33">
        <v>44560</v>
      </c>
      <c r="B5" s="27">
        <v>590000</v>
      </c>
      <c r="C5" s="30">
        <v>210000</v>
      </c>
      <c r="D5" s="31">
        <f t="shared" si="0"/>
        <v>800000</v>
      </c>
    </row>
    <row r="6" spans="1:5" x14ac:dyDescent="0.25">
      <c r="A6" s="33">
        <v>44569</v>
      </c>
      <c r="B6" s="31">
        <v>838000</v>
      </c>
      <c r="C6" s="30">
        <v>162000</v>
      </c>
      <c r="D6" s="31">
        <f t="shared" si="0"/>
        <v>1000000</v>
      </c>
    </row>
    <row r="7" spans="1:5" x14ac:dyDescent="0.25">
      <c r="A7" s="33">
        <v>44576</v>
      </c>
      <c r="B7" s="31">
        <v>412000</v>
      </c>
      <c r="C7" s="30">
        <v>88000</v>
      </c>
      <c r="D7" s="31">
        <f t="shared" si="0"/>
        <v>500000</v>
      </c>
    </row>
    <row r="8" spans="1:5" x14ac:dyDescent="0.25">
      <c r="A8" s="33">
        <v>44583</v>
      </c>
      <c r="B8" s="31">
        <f>D8-C8</f>
        <v>54520</v>
      </c>
      <c r="C8" s="30">
        <f>161280+784200</f>
        <v>945480</v>
      </c>
      <c r="D8" s="31">
        <v>1000000</v>
      </c>
    </row>
    <row r="9" spans="1:5" x14ac:dyDescent="0.25">
      <c r="A9" s="33">
        <v>44590</v>
      </c>
      <c r="B9" s="31">
        <f>D9-C9</f>
        <v>665000</v>
      </c>
      <c r="C9" s="30">
        <v>335000</v>
      </c>
      <c r="D9" s="31">
        <v>1000000</v>
      </c>
    </row>
    <row r="10" spans="1:5" x14ac:dyDescent="0.25">
      <c r="A10" s="33">
        <v>44597</v>
      </c>
      <c r="B10" s="31">
        <f>D10-C10</f>
        <v>928000</v>
      </c>
      <c r="C10" s="30">
        <v>72000</v>
      </c>
      <c r="D10" s="31">
        <v>1000000</v>
      </c>
    </row>
    <row r="11" spans="1:5" x14ac:dyDescent="0.25">
      <c r="A11" s="34" t="s">
        <v>107</v>
      </c>
      <c r="B11" s="31">
        <f>SUM(B2:B10)</f>
        <v>4937520</v>
      </c>
      <c r="C11" s="31">
        <v>2340000</v>
      </c>
      <c r="D11" s="37" t="s">
        <v>109</v>
      </c>
      <c r="E11" s="7"/>
    </row>
    <row r="12" spans="1:5" x14ac:dyDescent="0.25">
      <c r="A12" s="35" t="s">
        <v>108</v>
      </c>
      <c r="B12" s="36">
        <f>B11-C11</f>
        <v>2597520</v>
      </c>
      <c r="C12" s="30"/>
      <c r="D12" s="31"/>
    </row>
    <row r="14" spans="1:5" x14ac:dyDescent="0.25">
      <c r="A14" s="33">
        <v>44611</v>
      </c>
      <c r="B14" s="31">
        <f>D14-C14</f>
        <v>842000</v>
      </c>
      <c r="C14" s="30">
        <v>158000</v>
      </c>
      <c r="D14" s="31">
        <v>1000000</v>
      </c>
    </row>
    <row r="15" spans="1:5" x14ac:dyDescent="0.25">
      <c r="B15" s="44">
        <f>SUM(B12:B14)</f>
        <v>3439520</v>
      </c>
    </row>
    <row r="16" spans="1:5" x14ac:dyDescent="0.25">
      <c r="A16" t="s">
        <v>155</v>
      </c>
      <c r="C16" s="44">
        <v>294600</v>
      </c>
    </row>
    <row r="17" spans="1:4" x14ac:dyDescent="0.25">
      <c r="A17" t="s">
        <v>156</v>
      </c>
      <c r="B17" s="39"/>
      <c r="C17" s="45">
        <v>144920</v>
      </c>
    </row>
    <row r="19" spans="1:4" x14ac:dyDescent="0.25">
      <c r="A19" t="s">
        <v>157</v>
      </c>
      <c r="B19" s="45">
        <f>B15-C16-C17</f>
        <v>3000000</v>
      </c>
    </row>
    <row r="21" spans="1:4" x14ac:dyDescent="0.25">
      <c r="A21" s="33">
        <v>44688</v>
      </c>
      <c r="B21" s="27">
        <f>D21-C21</f>
        <v>157940</v>
      </c>
      <c r="C21" s="30">
        <v>642060</v>
      </c>
      <c r="D21" s="31">
        <v>800000</v>
      </c>
    </row>
    <row r="22" spans="1:4" x14ac:dyDescent="0.25">
      <c r="A22" s="33">
        <v>44709</v>
      </c>
      <c r="B22" s="27">
        <f>D22-C22</f>
        <v>582000</v>
      </c>
      <c r="C22" s="30">
        <v>218000</v>
      </c>
      <c r="D22" s="31">
        <v>800000</v>
      </c>
    </row>
    <row r="23" spans="1:4" x14ac:dyDescent="0.25">
      <c r="A23" t="s">
        <v>107</v>
      </c>
      <c r="B23" s="4">
        <f>SUM(B21:B22)</f>
        <v>739940</v>
      </c>
    </row>
    <row r="24" spans="1:4" x14ac:dyDescent="0.25">
      <c r="A24" t="s">
        <v>107</v>
      </c>
      <c r="B24" s="39">
        <f>B19+B23</f>
        <v>3739940</v>
      </c>
    </row>
    <row r="25" spans="1:4" x14ac:dyDescent="0.25">
      <c r="A25" t="s">
        <v>313</v>
      </c>
      <c r="B25" s="9">
        <v>44751</v>
      </c>
      <c r="D25" s="39">
        <v>90000</v>
      </c>
    </row>
    <row r="26" spans="1:4" x14ac:dyDescent="0.25">
      <c r="A26" t="s">
        <v>35</v>
      </c>
      <c r="B26" s="39">
        <f>B24-D25</f>
        <v>3649940</v>
      </c>
    </row>
    <row r="29" spans="1:4" x14ac:dyDescent="0.25">
      <c r="A29" s="9">
        <v>44778</v>
      </c>
      <c r="B29" s="39">
        <v>216000</v>
      </c>
    </row>
    <row r="30" spans="1:4" x14ac:dyDescent="0.25">
      <c r="A30" s="9">
        <v>44795</v>
      </c>
      <c r="B30" s="39">
        <v>200000</v>
      </c>
    </row>
    <row r="32" spans="1:4" x14ac:dyDescent="0.25">
      <c r="B32" s="39">
        <f>SUM(B26:B30)</f>
        <v>4065940</v>
      </c>
    </row>
    <row r="34" spans="1:5" x14ac:dyDescent="0.25">
      <c r="A34" t="s">
        <v>409</v>
      </c>
      <c r="B34" s="39">
        <v>124900</v>
      </c>
    </row>
    <row r="36" spans="1:5" x14ac:dyDescent="0.25">
      <c r="A36" t="s">
        <v>65</v>
      </c>
      <c r="B36" s="39">
        <f>B32-B34</f>
        <v>3941040</v>
      </c>
    </row>
    <row r="38" spans="1:5" x14ac:dyDescent="0.25">
      <c r="A38" t="s">
        <v>391</v>
      </c>
      <c r="B38" s="61">
        <v>187200</v>
      </c>
    </row>
    <row r="39" spans="1:5" x14ac:dyDescent="0.25">
      <c r="A39" t="s">
        <v>408</v>
      </c>
      <c r="B39" s="61">
        <f>600000-314000</f>
        <v>286000</v>
      </c>
    </row>
    <row r="41" spans="1:5" x14ac:dyDescent="0.25">
      <c r="A41" t="s">
        <v>410</v>
      </c>
      <c r="B41" s="39">
        <f>SUM(B36:B39)</f>
        <v>4414240</v>
      </c>
    </row>
    <row r="44" spans="1:5" ht="33.75" x14ac:dyDescent="0.5">
      <c r="A44" s="156" t="s">
        <v>606</v>
      </c>
      <c r="B44" s="156"/>
      <c r="C44" s="156"/>
      <c r="D44" s="156"/>
      <c r="E44" s="156"/>
    </row>
  </sheetData>
  <mergeCells count="1">
    <mergeCell ref="A44:E44"/>
  </mergeCells>
  <pageMargins left="0.7" right="0.7" top="0.75" bottom="0.75" header="0.3" footer="0.3"/>
  <pageSetup paperSize="9" orientation="portrait" horizontalDpi="360" verticalDpi="36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440DA-6F26-42AC-9760-F28939CE33EC}">
  <dimension ref="A3:D7"/>
  <sheetViews>
    <sheetView workbookViewId="0">
      <selection activeCell="E24" sqref="E24"/>
    </sheetView>
  </sheetViews>
  <sheetFormatPr baseColWidth="10" defaultRowHeight="15" x14ac:dyDescent="0.25"/>
  <cols>
    <col min="1" max="1" width="17.5703125" bestFit="1" customWidth="1"/>
    <col min="2" max="2" width="32.28515625" bestFit="1" customWidth="1"/>
    <col min="3" max="3" width="28.85546875" bestFit="1" customWidth="1"/>
    <col min="4" max="4" width="27.7109375" bestFit="1" customWidth="1"/>
  </cols>
  <sheetData>
    <row r="3" spans="1:4" x14ac:dyDescent="0.25">
      <c r="A3" s="81" t="s">
        <v>465</v>
      </c>
      <c r="B3" t="s">
        <v>464</v>
      </c>
      <c r="C3" t="s">
        <v>470</v>
      </c>
      <c r="D3" t="s">
        <v>463</v>
      </c>
    </row>
    <row r="4" spans="1:4" x14ac:dyDescent="0.25">
      <c r="A4" s="80" t="s">
        <v>467</v>
      </c>
      <c r="B4">
        <v>2598660</v>
      </c>
      <c r="C4">
        <v>1</v>
      </c>
      <c r="D4">
        <v>1018900</v>
      </c>
    </row>
    <row r="5" spans="1:4" x14ac:dyDescent="0.25">
      <c r="A5" s="80" t="s">
        <v>468</v>
      </c>
      <c r="B5">
        <v>4963700</v>
      </c>
      <c r="C5">
        <v>2</v>
      </c>
      <c r="D5">
        <v>1567500</v>
      </c>
    </row>
    <row r="6" spans="1:4" x14ac:dyDescent="0.25">
      <c r="A6" s="80" t="s">
        <v>469</v>
      </c>
      <c r="B6">
        <v>2087800</v>
      </c>
      <c r="C6">
        <v>4</v>
      </c>
      <c r="D6">
        <v>687000</v>
      </c>
    </row>
    <row r="7" spans="1:4" x14ac:dyDescent="0.25">
      <c r="A7" s="80" t="s">
        <v>466</v>
      </c>
      <c r="B7">
        <v>9650160</v>
      </c>
      <c r="C7">
        <v>7</v>
      </c>
      <c r="D7">
        <v>3273400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F68B3-D43D-4578-ACB6-34B685367358}">
  <dimension ref="B1:C4"/>
  <sheetViews>
    <sheetView workbookViewId="0">
      <selection activeCell="M21" sqref="M21"/>
    </sheetView>
  </sheetViews>
  <sheetFormatPr baseColWidth="10" defaultRowHeight="15" x14ac:dyDescent="0.25"/>
  <cols>
    <col min="2" max="2" width="19.28515625" customWidth="1"/>
    <col min="3" max="3" width="23.85546875" customWidth="1"/>
  </cols>
  <sheetData>
    <row r="1" spans="2:3" ht="20.25" customHeight="1" x14ac:dyDescent="0.25"/>
    <row r="2" spans="2:3" ht="15.75" customHeight="1" x14ac:dyDescent="0.25">
      <c r="B2" s="75" t="s">
        <v>432</v>
      </c>
      <c r="C2" s="56">
        <v>4130000</v>
      </c>
    </row>
    <row r="3" spans="2:3" x14ac:dyDescent="0.25">
      <c r="B3" s="75" t="s">
        <v>433</v>
      </c>
      <c r="C3" s="56">
        <v>1355200</v>
      </c>
    </row>
    <row r="4" spans="2:3" x14ac:dyDescent="0.25">
      <c r="B4" s="48" t="s">
        <v>27</v>
      </c>
      <c r="C4" s="56">
        <v>687000</v>
      </c>
    </row>
  </sheetData>
  <pageMargins left="0.70866141732283472" right="0.70866141732283472" top="0.74803149606299213" bottom="0.74803149606299213" header="0.31496062992125984" footer="0.31496062992125984"/>
  <pageSetup paperSize="9" orientation="landscape" horizontalDpi="360" verticalDpi="360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E210-6151-482E-9657-B33EAB591358}">
  <sheetPr>
    <tabColor theme="4" tint="-0.249977111117893"/>
  </sheetPr>
  <dimension ref="A1:M59"/>
  <sheetViews>
    <sheetView workbookViewId="0">
      <selection activeCell="K26" sqref="K26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4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170</v>
      </c>
      <c r="C2" s="122"/>
      <c r="D2" s="122"/>
      <c r="F2" s="7" t="s">
        <v>19</v>
      </c>
      <c r="H2" s="9">
        <v>44662</v>
      </c>
    </row>
    <row r="3" spans="1:13" x14ac:dyDescent="0.25">
      <c r="A3" s="7" t="s">
        <v>20</v>
      </c>
      <c r="B3" s="122" t="s">
        <v>171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172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/>
      <c r="C6" s="122"/>
      <c r="J6" s="39">
        <f>B9-H9-H25</f>
        <v>699160</v>
      </c>
    </row>
    <row r="9" spans="1:13" x14ac:dyDescent="0.25">
      <c r="A9" s="7" t="s">
        <v>25</v>
      </c>
      <c r="B9" s="126">
        <v>2500000</v>
      </c>
      <c r="C9" s="126"/>
      <c r="D9" s="126"/>
      <c r="E9" s="7" t="s">
        <v>26</v>
      </c>
      <c r="F9" s="7"/>
      <c r="H9" s="10">
        <f>(B9-H25)*0.6</f>
        <v>1048740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44664</v>
      </c>
      <c r="B14" s="124">
        <v>2409</v>
      </c>
      <c r="C14" s="124"/>
      <c r="D14" s="124"/>
      <c r="E14" s="124" t="s">
        <v>74</v>
      </c>
      <c r="F14" s="124"/>
      <c r="G14" s="125">
        <v>105600</v>
      </c>
      <c r="H14" s="125"/>
      <c r="L14" s="39"/>
    </row>
    <row r="15" spans="1:13" x14ac:dyDescent="0.25">
      <c r="A15" s="17"/>
      <c r="B15" s="124"/>
      <c r="C15" s="124"/>
      <c r="D15" s="124"/>
      <c r="E15" s="124" t="s">
        <v>118</v>
      </c>
      <c r="F15" s="124"/>
      <c r="G15" s="125">
        <v>6000</v>
      </c>
      <c r="H15" s="125"/>
      <c r="L15" s="39"/>
    </row>
    <row r="16" spans="1:13" x14ac:dyDescent="0.25">
      <c r="A16" s="17">
        <v>44669</v>
      </c>
      <c r="B16" s="124">
        <v>2416</v>
      </c>
      <c r="C16" s="124"/>
      <c r="D16" s="124"/>
      <c r="E16" s="124" t="s">
        <v>74</v>
      </c>
      <c r="F16" s="124"/>
      <c r="G16" s="125">
        <v>471000</v>
      </c>
      <c r="H16" s="125"/>
      <c r="L16" s="4"/>
      <c r="M16" s="4"/>
    </row>
    <row r="17" spans="1:9" x14ac:dyDescent="0.25">
      <c r="A17" s="17">
        <v>44670</v>
      </c>
      <c r="B17" s="124"/>
      <c r="C17" s="124"/>
      <c r="D17" s="124"/>
      <c r="E17" s="124" t="s">
        <v>184</v>
      </c>
      <c r="F17" s="124"/>
      <c r="G17" s="125">
        <v>10000</v>
      </c>
      <c r="H17" s="125"/>
    </row>
    <row r="18" spans="1:9" x14ac:dyDescent="0.25">
      <c r="A18" s="17">
        <v>44671</v>
      </c>
      <c r="B18" s="124"/>
      <c r="C18" s="124"/>
      <c r="D18" s="124"/>
      <c r="E18" s="124" t="s">
        <v>61</v>
      </c>
      <c r="F18" s="124"/>
      <c r="G18" s="125">
        <v>5000</v>
      </c>
      <c r="H18" s="125"/>
    </row>
    <row r="19" spans="1:9" x14ac:dyDescent="0.25">
      <c r="A19" s="17">
        <v>44671</v>
      </c>
      <c r="B19" s="124"/>
      <c r="C19" s="124"/>
      <c r="D19" s="124"/>
      <c r="E19" s="124" t="s">
        <v>154</v>
      </c>
      <c r="F19" s="124"/>
      <c r="G19" s="125">
        <v>140000</v>
      </c>
      <c r="H19" s="125"/>
    </row>
    <row r="20" spans="1:9" x14ac:dyDescent="0.25">
      <c r="A20" s="17">
        <v>44791</v>
      </c>
      <c r="B20" s="124"/>
      <c r="C20" s="124"/>
      <c r="D20" s="124"/>
      <c r="E20" s="124" t="s">
        <v>364</v>
      </c>
      <c r="F20" s="124"/>
      <c r="G20" s="125">
        <v>14500</v>
      </c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752100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>
        <v>44662</v>
      </c>
      <c r="B30" s="137">
        <v>46</v>
      </c>
      <c r="C30" s="137"/>
      <c r="D30" s="137"/>
      <c r="E30" s="132">
        <v>1000000</v>
      </c>
      <c r="F30" s="132"/>
      <c r="G30" s="132">
        <f>B9-E34</f>
        <v>1000000</v>
      </c>
      <c r="H30" s="132"/>
    </row>
    <row r="31" spans="1:9" x14ac:dyDescent="0.25">
      <c r="A31" s="17">
        <v>44686</v>
      </c>
      <c r="B31" s="124">
        <v>47</v>
      </c>
      <c r="C31" s="124"/>
      <c r="D31" s="124"/>
      <c r="E31" s="131">
        <v>500000</v>
      </c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1500000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44666</v>
      </c>
      <c r="B39" s="124"/>
      <c r="C39" s="124"/>
      <c r="D39" s="124"/>
      <c r="E39" s="131">
        <v>538000</v>
      </c>
      <c r="F39" s="131"/>
      <c r="G39" s="138">
        <f>H9-E59</f>
        <v>44740</v>
      </c>
      <c r="H39" s="138"/>
    </row>
    <row r="40" spans="1:8" x14ac:dyDescent="0.25">
      <c r="A40" s="16">
        <v>44673</v>
      </c>
      <c r="B40" s="124"/>
      <c r="C40" s="124"/>
      <c r="D40" s="124"/>
      <c r="E40" s="131">
        <v>466000</v>
      </c>
      <c r="F40" s="131"/>
      <c r="G40" s="138">
        <f t="shared" ref="G40:G54" si="0">H10-E60</f>
        <v>0</v>
      </c>
      <c r="H40" s="138"/>
    </row>
    <row r="41" spans="1:8" x14ac:dyDescent="0.25">
      <c r="A41" s="15"/>
      <c r="B41" s="124"/>
      <c r="C41" s="124"/>
      <c r="D41" s="124"/>
      <c r="E41" s="131"/>
      <c r="F41" s="131"/>
      <c r="G41" s="138">
        <f t="shared" si="0"/>
        <v>0</v>
      </c>
      <c r="H41" s="138"/>
    </row>
    <row r="42" spans="1:8" x14ac:dyDescent="0.25">
      <c r="A42" s="15"/>
      <c r="B42" s="124"/>
      <c r="C42" s="124"/>
      <c r="D42" s="124"/>
      <c r="E42" s="131"/>
      <c r="F42" s="131"/>
      <c r="G42" s="138">
        <f t="shared" si="0"/>
        <v>0</v>
      </c>
      <c r="H42" s="138"/>
    </row>
    <row r="43" spans="1:8" x14ac:dyDescent="0.25">
      <c r="A43" s="15"/>
      <c r="B43" s="124"/>
      <c r="C43" s="124"/>
      <c r="D43" s="124"/>
      <c r="E43" s="131"/>
      <c r="F43" s="131"/>
      <c r="G43" s="138">
        <f t="shared" si="0"/>
        <v>0</v>
      </c>
      <c r="H43" s="138"/>
    </row>
    <row r="44" spans="1:8" x14ac:dyDescent="0.25">
      <c r="A44" s="15"/>
      <c r="B44" s="124"/>
      <c r="C44" s="124"/>
      <c r="D44" s="124"/>
      <c r="E44" s="131"/>
      <c r="F44" s="131"/>
      <c r="G44" s="138">
        <f t="shared" si="0"/>
        <v>0</v>
      </c>
      <c r="H44" s="138"/>
    </row>
    <row r="45" spans="1:8" x14ac:dyDescent="0.25">
      <c r="A45" s="15"/>
      <c r="B45" s="124"/>
      <c r="C45" s="124"/>
      <c r="D45" s="124"/>
      <c r="E45" s="131"/>
      <c r="F45" s="131"/>
      <c r="G45" s="138">
        <f t="shared" si="0"/>
        <v>0</v>
      </c>
      <c r="H45" s="138"/>
    </row>
    <row r="46" spans="1:8" x14ac:dyDescent="0.25">
      <c r="A46" s="15"/>
      <c r="B46" s="124"/>
      <c r="C46" s="124"/>
      <c r="D46" s="124"/>
      <c r="E46" s="131"/>
      <c r="F46" s="131"/>
      <c r="G46" s="138">
        <f t="shared" si="0"/>
        <v>0</v>
      </c>
      <c r="H46" s="138"/>
    </row>
    <row r="47" spans="1:8" x14ac:dyDescent="0.25">
      <c r="A47" s="15"/>
      <c r="B47" s="124"/>
      <c r="C47" s="124"/>
      <c r="D47" s="124"/>
      <c r="E47" s="131"/>
      <c r="F47" s="131"/>
      <c r="G47" s="138">
        <f t="shared" si="0"/>
        <v>0</v>
      </c>
      <c r="H47" s="138"/>
    </row>
    <row r="48" spans="1:8" x14ac:dyDescent="0.25">
      <c r="A48" s="15"/>
      <c r="B48" s="124"/>
      <c r="C48" s="124"/>
      <c r="D48" s="124"/>
      <c r="E48" s="131"/>
      <c r="F48" s="131"/>
      <c r="G48" s="138">
        <f t="shared" si="0"/>
        <v>0</v>
      </c>
      <c r="H48" s="138"/>
    </row>
    <row r="49" spans="1:8" x14ac:dyDescent="0.25">
      <c r="A49" s="15"/>
      <c r="B49" s="124"/>
      <c r="C49" s="124"/>
      <c r="D49" s="124"/>
      <c r="E49" s="131"/>
      <c r="F49" s="131"/>
      <c r="G49" s="138">
        <f t="shared" si="0"/>
        <v>0</v>
      </c>
      <c r="H49" s="138"/>
    </row>
    <row r="50" spans="1:8" x14ac:dyDescent="0.25">
      <c r="A50" s="15"/>
      <c r="B50" s="124"/>
      <c r="C50" s="124"/>
      <c r="D50" s="124"/>
      <c r="E50" s="131"/>
      <c r="F50" s="131"/>
      <c r="G50" s="138">
        <f t="shared" si="0"/>
        <v>0</v>
      </c>
      <c r="H50" s="138"/>
    </row>
    <row r="51" spans="1:8" x14ac:dyDescent="0.25">
      <c r="A51" s="15"/>
      <c r="B51" s="124"/>
      <c r="C51" s="124"/>
      <c r="D51" s="124"/>
      <c r="E51" s="131"/>
      <c r="F51" s="131"/>
      <c r="G51" s="138">
        <f t="shared" si="0"/>
        <v>0</v>
      </c>
      <c r="H51" s="138"/>
    </row>
    <row r="52" spans="1:8" x14ac:dyDescent="0.25">
      <c r="A52" s="15"/>
      <c r="B52" s="124"/>
      <c r="C52" s="124"/>
      <c r="D52" s="124"/>
      <c r="E52" s="131"/>
      <c r="F52" s="131"/>
      <c r="G52" s="138">
        <f t="shared" si="0"/>
        <v>0</v>
      </c>
      <c r="H52" s="138"/>
    </row>
    <row r="53" spans="1:8" x14ac:dyDescent="0.25">
      <c r="A53" s="15"/>
      <c r="B53" s="124"/>
      <c r="C53" s="124"/>
      <c r="D53" s="124"/>
      <c r="E53" s="131"/>
      <c r="F53" s="131"/>
      <c r="G53" s="138">
        <f t="shared" si="0"/>
        <v>0</v>
      </c>
      <c r="H53" s="138"/>
    </row>
    <row r="54" spans="1:8" x14ac:dyDescent="0.25">
      <c r="A54" s="15"/>
      <c r="B54" s="124"/>
      <c r="C54" s="124"/>
      <c r="D54" s="124"/>
      <c r="E54" s="131"/>
      <c r="F54" s="131"/>
      <c r="G54" s="138">
        <f t="shared" si="0"/>
        <v>0</v>
      </c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/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1004000</v>
      </c>
      <c r="F59" s="142"/>
      <c r="G59" s="138">
        <f>H9-E59</f>
        <v>44740</v>
      </c>
      <c r="H59" s="138"/>
    </row>
  </sheetData>
  <mergeCells count="131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</mergeCells>
  <pageMargins left="0.7" right="0.7" top="0.75" bottom="0.75" header="0.3" footer="0.3"/>
  <pageSetup paperSize="9" orientation="portrait" horizontalDpi="0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7758D-F2C4-4CB1-9864-C43FEA5E6BF7}">
  <sheetPr>
    <tabColor theme="5" tint="-0.249977111117893"/>
  </sheetPr>
  <dimension ref="A1:M59"/>
  <sheetViews>
    <sheetView workbookViewId="0">
      <selection activeCell="F25" sqref="F25:G25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27.85546875" customWidth="1"/>
    <col min="7" max="7" width="7.7109375" customWidth="1"/>
    <col min="8" max="8" width="18.140625" customWidth="1"/>
    <col min="9" max="9" width="12.5703125" bestFit="1" customWidth="1"/>
    <col min="10" max="10" width="14.5703125" bestFit="1" customWidth="1"/>
    <col min="11" max="11" width="17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138</v>
      </c>
      <c r="C2" s="122"/>
      <c r="D2" s="122"/>
      <c r="F2" s="7" t="s">
        <v>19</v>
      </c>
      <c r="H2" s="9"/>
    </row>
    <row r="3" spans="1:13" x14ac:dyDescent="0.25">
      <c r="A3" s="7" t="s">
        <v>20</v>
      </c>
      <c r="B3" s="122" t="s">
        <v>139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140</v>
      </c>
      <c r="C4" s="122"/>
      <c r="D4" s="122"/>
    </row>
    <row r="5" spans="1:13" x14ac:dyDescent="0.25">
      <c r="A5" s="7" t="s">
        <v>23</v>
      </c>
      <c r="B5" s="122" t="s">
        <v>114</v>
      </c>
      <c r="C5" s="122"/>
    </row>
    <row r="6" spans="1:13" x14ac:dyDescent="0.25">
      <c r="A6" s="7" t="s">
        <v>24</v>
      </c>
      <c r="B6" s="123">
        <v>3002244564</v>
      </c>
      <c r="C6" s="122"/>
    </row>
    <row r="9" spans="1:13" x14ac:dyDescent="0.25">
      <c r="A9" s="7" t="s">
        <v>25</v>
      </c>
      <c r="B9" s="126">
        <v>3000000</v>
      </c>
      <c r="C9" s="126"/>
      <c r="D9" s="126"/>
      <c r="E9" s="7" t="s">
        <v>26</v>
      </c>
      <c r="F9" s="7"/>
      <c r="H9" s="10">
        <f>(B9-H25)*0.6</f>
        <v>1501560</v>
      </c>
      <c r="J9" s="39">
        <f>B9-H9-H25</f>
        <v>1001040</v>
      </c>
      <c r="K9" s="39"/>
    </row>
    <row r="10" spans="1:13" x14ac:dyDescent="0.25">
      <c r="J10" s="39"/>
    </row>
    <row r="11" spans="1:13" ht="15.75" thickBot="1" x14ac:dyDescent="0.3">
      <c r="B11" s="1"/>
      <c r="C11" s="1"/>
      <c r="D11" s="1"/>
      <c r="E11" s="1"/>
      <c r="F11" s="1"/>
      <c r="G11" s="5"/>
      <c r="H11" s="1"/>
      <c r="J11" s="39"/>
      <c r="K11" s="39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44638</v>
      </c>
      <c r="B14" s="124">
        <v>2351</v>
      </c>
      <c r="C14" s="124"/>
      <c r="D14" s="124"/>
      <c r="E14" s="157" t="s">
        <v>141</v>
      </c>
      <c r="F14" s="124"/>
      <c r="G14" s="125">
        <v>15000</v>
      </c>
      <c r="H14" s="125"/>
      <c r="L14" s="39"/>
    </row>
    <row r="15" spans="1:13" x14ac:dyDescent="0.25">
      <c r="A15" s="17">
        <v>44639</v>
      </c>
      <c r="B15" s="124"/>
      <c r="C15" s="124"/>
      <c r="D15" s="124"/>
      <c r="E15" s="124" t="s">
        <v>61</v>
      </c>
      <c r="F15" s="124"/>
      <c r="G15" s="125">
        <v>6000</v>
      </c>
      <c r="H15" s="125"/>
      <c r="L15" s="39"/>
    </row>
    <row r="16" spans="1:13" x14ac:dyDescent="0.25">
      <c r="A16" s="17">
        <v>44642</v>
      </c>
      <c r="B16" s="124">
        <v>2355</v>
      </c>
      <c r="C16" s="124"/>
      <c r="D16" s="124"/>
      <c r="E16" s="124" t="s">
        <v>74</v>
      </c>
      <c r="F16" s="124"/>
      <c r="G16" s="125">
        <v>380400</v>
      </c>
      <c r="H16" s="125"/>
      <c r="L16" s="4"/>
      <c r="M16" s="4"/>
    </row>
    <row r="17" spans="1:9" x14ac:dyDescent="0.25">
      <c r="A17" s="17">
        <v>44643</v>
      </c>
      <c r="B17" s="124"/>
      <c r="C17" s="124"/>
      <c r="D17" s="124"/>
      <c r="E17" s="124" t="s">
        <v>61</v>
      </c>
      <c r="F17" s="124"/>
      <c r="G17" s="125">
        <v>6000</v>
      </c>
      <c r="H17" s="125"/>
    </row>
    <row r="18" spans="1:9" x14ac:dyDescent="0.25">
      <c r="A18" s="17">
        <v>44645</v>
      </c>
      <c r="B18" s="124">
        <v>2653</v>
      </c>
      <c r="C18" s="124"/>
      <c r="D18" s="124"/>
      <c r="E18" s="124" t="s">
        <v>74</v>
      </c>
      <c r="F18" s="124"/>
      <c r="G18" s="125">
        <v>60000</v>
      </c>
      <c r="H18" s="125"/>
    </row>
    <row r="19" spans="1:9" x14ac:dyDescent="0.25">
      <c r="A19" s="17">
        <v>44646</v>
      </c>
      <c r="B19" s="124"/>
      <c r="C19" s="124"/>
      <c r="D19" s="124"/>
      <c r="E19" s="124" t="s">
        <v>154</v>
      </c>
      <c r="F19" s="124"/>
      <c r="G19" s="125">
        <v>30000</v>
      </c>
      <c r="H19" s="125"/>
    </row>
    <row r="20" spans="1:9" x14ac:dyDescent="0.25">
      <c r="A20" s="17"/>
      <c r="B20" s="124"/>
      <c r="C20" s="124"/>
      <c r="D20" s="124"/>
      <c r="E20" s="124"/>
      <c r="F20" s="124"/>
      <c r="G20" s="125"/>
      <c r="H20" s="125"/>
    </row>
    <row r="21" spans="1:9" x14ac:dyDescent="0.25">
      <c r="A21" s="17"/>
      <c r="B21" s="124"/>
      <c r="C21" s="124"/>
      <c r="D21" s="124"/>
      <c r="E21" s="124"/>
      <c r="F21" s="124"/>
      <c r="G21" s="125"/>
      <c r="H21" s="125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497400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>
        <v>44638</v>
      </c>
      <c r="B30" s="137" t="s">
        <v>142</v>
      </c>
      <c r="C30" s="137"/>
      <c r="D30" s="137"/>
      <c r="E30" s="132">
        <v>1000000</v>
      </c>
      <c r="F30" s="132"/>
      <c r="G30" s="132"/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1000000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44639</v>
      </c>
      <c r="B39" s="124"/>
      <c r="C39" s="124"/>
      <c r="D39" s="124"/>
      <c r="E39" s="131">
        <v>427000</v>
      </c>
      <c r="F39" s="131"/>
      <c r="G39" s="138">
        <f>H9-E59</f>
        <v>1074560</v>
      </c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427000</v>
      </c>
      <c r="F59" s="142"/>
      <c r="G59" s="138">
        <f>H13-E59</f>
        <v>-427000</v>
      </c>
      <c r="H59" s="138"/>
    </row>
  </sheetData>
  <mergeCells count="131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</mergeCells>
  <pageMargins left="0.7" right="0.7" top="0.75" bottom="0.75" header="0.3" footer="0.3"/>
  <pageSetup paperSize="9" orientation="portrait" horizontalDpi="0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5B44-7751-4BFE-B7E0-E25A3CC03DD6}">
  <sheetPr>
    <tabColor theme="4" tint="-0.249977111117893"/>
  </sheetPr>
  <dimension ref="A1:M59"/>
  <sheetViews>
    <sheetView workbookViewId="0">
      <selection activeCell="L56" sqref="L56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129</v>
      </c>
      <c r="C2" s="122"/>
      <c r="D2" s="122"/>
      <c r="F2" s="7" t="s">
        <v>19</v>
      </c>
      <c r="H2" s="9">
        <v>44631</v>
      </c>
    </row>
    <row r="3" spans="1:13" x14ac:dyDescent="0.25">
      <c r="A3" s="7" t="s">
        <v>20</v>
      </c>
      <c r="B3" s="122" t="s">
        <v>145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130</v>
      </c>
      <c r="C4" s="122"/>
      <c r="D4" s="122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3">
        <v>3125763022</v>
      </c>
      <c r="C6" s="122"/>
    </row>
    <row r="8" spans="1:13" x14ac:dyDescent="0.25">
      <c r="J8" s="39">
        <f>B9-H9-H25</f>
        <v>900040</v>
      </c>
    </row>
    <row r="9" spans="1:13" x14ac:dyDescent="0.25">
      <c r="A9" s="7" t="s">
        <v>25</v>
      </c>
      <c r="B9" s="126">
        <v>3000000</v>
      </c>
      <c r="C9" s="126"/>
      <c r="D9" s="126"/>
      <c r="E9" s="7" t="s">
        <v>26</v>
      </c>
      <c r="F9" s="7"/>
      <c r="H9" s="10">
        <f>(B9-H25)*0.6</f>
        <v>1350060</v>
      </c>
      <c r="L9" s="39"/>
    </row>
    <row r="10" spans="1:13" x14ac:dyDescent="0.25">
      <c r="K10" s="39"/>
    </row>
    <row r="11" spans="1:13" ht="15.75" thickBot="1" x14ac:dyDescent="0.3">
      <c r="B11" s="1"/>
      <c r="C11" s="1"/>
      <c r="D11" s="1"/>
      <c r="E11" s="1"/>
      <c r="F11" s="1"/>
      <c r="G11" s="5"/>
      <c r="H11" s="1"/>
      <c r="L11" s="39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K13" s="39"/>
      <c r="L13" s="39"/>
    </row>
    <row r="14" spans="1:13" x14ac:dyDescent="0.25">
      <c r="A14" s="3">
        <v>44634</v>
      </c>
      <c r="B14" s="124"/>
      <c r="C14" s="124"/>
      <c r="D14" s="124"/>
      <c r="E14" s="124" t="s">
        <v>131</v>
      </c>
      <c r="F14" s="124"/>
      <c r="G14" s="125">
        <v>1500</v>
      </c>
      <c r="H14" s="125"/>
      <c r="L14" s="39"/>
    </row>
    <row r="15" spans="1:13" x14ac:dyDescent="0.25">
      <c r="A15" s="3">
        <v>44634</v>
      </c>
      <c r="B15" s="124"/>
      <c r="C15" s="124"/>
      <c r="D15" s="124"/>
      <c r="E15" s="124" t="s">
        <v>118</v>
      </c>
      <c r="F15" s="124"/>
      <c r="G15" s="125">
        <v>5000</v>
      </c>
      <c r="H15" s="125"/>
      <c r="K15" s="39"/>
      <c r="L15" s="39"/>
    </row>
    <row r="16" spans="1:13" x14ac:dyDescent="0.25">
      <c r="A16" s="17">
        <v>44635</v>
      </c>
      <c r="B16" s="124"/>
      <c r="C16" s="124"/>
      <c r="D16" s="124"/>
      <c r="E16" s="124" t="s">
        <v>61</v>
      </c>
      <c r="F16" s="124"/>
      <c r="G16" s="125">
        <v>6000</v>
      </c>
      <c r="H16" s="125"/>
      <c r="L16" s="4"/>
      <c r="M16" s="4"/>
    </row>
    <row r="17" spans="1:11" x14ac:dyDescent="0.25">
      <c r="A17" s="17"/>
      <c r="B17" s="124"/>
      <c r="C17" s="124"/>
      <c r="D17" s="124"/>
      <c r="E17" s="124" t="s">
        <v>118</v>
      </c>
      <c r="F17" s="124"/>
      <c r="G17" s="125">
        <v>5000</v>
      </c>
      <c r="H17" s="125"/>
    </row>
    <row r="18" spans="1:11" x14ac:dyDescent="0.25">
      <c r="A18" s="17">
        <v>44634</v>
      </c>
      <c r="B18" s="124">
        <v>2346</v>
      </c>
      <c r="C18" s="124"/>
      <c r="D18" s="124"/>
      <c r="E18" s="124" t="s">
        <v>74</v>
      </c>
      <c r="F18" s="124"/>
      <c r="G18" s="125">
        <v>238400</v>
      </c>
      <c r="H18" s="125"/>
      <c r="K18" s="39"/>
    </row>
    <row r="19" spans="1:11" x14ac:dyDescent="0.25">
      <c r="A19" s="17">
        <v>44634</v>
      </c>
      <c r="B19" s="124"/>
      <c r="C19" s="124"/>
      <c r="D19" s="124"/>
      <c r="E19" s="124" t="s">
        <v>132</v>
      </c>
      <c r="F19" s="124"/>
      <c r="G19" s="125">
        <v>30000</v>
      </c>
      <c r="H19" s="125"/>
    </row>
    <row r="20" spans="1:11" x14ac:dyDescent="0.25">
      <c r="A20" s="3">
        <v>44638</v>
      </c>
      <c r="B20" s="124">
        <v>2352</v>
      </c>
      <c r="C20" s="124"/>
      <c r="D20" s="124"/>
      <c r="E20" s="124" t="s">
        <v>74</v>
      </c>
      <c r="F20" s="124"/>
      <c r="G20" s="125">
        <v>464000</v>
      </c>
      <c r="H20" s="125"/>
    </row>
    <row r="21" spans="1:11" x14ac:dyDescent="0.25">
      <c r="A21" s="17"/>
      <c r="B21" s="124"/>
      <c r="C21" s="124"/>
      <c r="D21" s="124"/>
      <c r="E21" s="124"/>
      <c r="F21" s="124"/>
      <c r="G21" s="125"/>
      <c r="H21" s="125"/>
      <c r="I21" s="4"/>
      <c r="K21" s="39"/>
    </row>
    <row r="22" spans="1:11" x14ac:dyDescent="0.25">
      <c r="A22" s="17"/>
      <c r="B22" s="124"/>
      <c r="C22" s="124"/>
      <c r="D22" s="124"/>
      <c r="E22" s="124"/>
      <c r="F22" s="124"/>
      <c r="G22" s="131"/>
      <c r="H22" s="131"/>
    </row>
    <row r="23" spans="1:11" x14ac:dyDescent="0.25">
      <c r="A23" s="17"/>
      <c r="B23" s="124"/>
      <c r="C23" s="124"/>
      <c r="D23" s="124"/>
      <c r="E23" s="124"/>
      <c r="F23" s="124"/>
      <c r="G23" s="125"/>
      <c r="H23" s="125"/>
    </row>
    <row r="24" spans="1:11" x14ac:dyDescent="0.25">
      <c r="A24" s="17"/>
      <c r="B24" s="124"/>
      <c r="C24" s="124"/>
      <c r="D24" s="124"/>
      <c r="E24" s="124"/>
      <c r="F24" s="124"/>
      <c r="G24" s="131"/>
      <c r="H24" s="131"/>
    </row>
    <row r="25" spans="1:11" ht="15.75" thickBot="1" x14ac:dyDescent="0.3">
      <c r="A25" s="3"/>
      <c r="F25" s="133" t="s">
        <v>32</v>
      </c>
      <c r="G25" s="133"/>
      <c r="H25" s="12">
        <f>SUM(G14:H24)</f>
        <v>749900</v>
      </c>
    </row>
    <row r="27" spans="1:11" ht="15.75" thickBot="1" x14ac:dyDescent="0.3"/>
    <row r="28" spans="1:11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11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11" x14ac:dyDescent="0.25">
      <c r="A30" s="38"/>
      <c r="B30" s="137"/>
      <c r="C30" s="137"/>
      <c r="D30" s="137"/>
      <c r="E30" s="132"/>
      <c r="F30" s="132"/>
      <c r="G30" s="132"/>
      <c r="H30" s="132"/>
    </row>
    <row r="31" spans="1:11" x14ac:dyDescent="0.25">
      <c r="A31" s="17"/>
      <c r="B31" s="124"/>
      <c r="C31" s="124"/>
      <c r="D31" s="124"/>
      <c r="E31" s="131"/>
      <c r="F31" s="131"/>
      <c r="G31" s="132"/>
      <c r="H31" s="132"/>
    </row>
    <row r="32" spans="1:11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44632</v>
      </c>
      <c r="B39" s="124"/>
      <c r="C39" s="124"/>
      <c r="D39" s="124"/>
      <c r="E39" s="131">
        <v>1000000</v>
      </c>
      <c r="F39" s="131"/>
      <c r="G39" s="138">
        <f>H9-E59</f>
        <v>0</v>
      </c>
      <c r="H39" s="138"/>
    </row>
    <row r="40" spans="1:8" x14ac:dyDescent="0.25">
      <c r="A40" s="16">
        <v>44639</v>
      </c>
      <c r="B40" s="124"/>
      <c r="C40" s="124"/>
      <c r="D40" s="124"/>
      <c r="E40" s="131">
        <v>350060</v>
      </c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1350060</v>
      </c>
      <c r="F59" s="142"/>
      <c r="G59" s="138">
        <f>H13-E59</f>
        <v>-1350060</v>
      </c>
      <c r="H59" s="138"/>
    </row>
  </sheetData>
  <mergeCells count="131"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A1:I1"/>
    <mergeCell ref="B2:D2"/>
    <mergeCell ref="B3:D3"/>
    <mergeCell ref="B4:D4"/>
    <mergeCell ref="B5:C5"/>
    <mergeCell ref="B6:C6"/>
    <mergeCell ref="B15:D15"/>
    <mergeCell ref="E15:F15"/>
    <mergeCell ref="G15:H15"/>
  </mergeCells>
  <pageMargins left="0.7" right="0.7" top="0.75" bottom="0.75" header="0.3" footer="0.3"/>
  <pageSetup paperSize="9" orientation="portrait" horizontalDpi="0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4">
    <tabColor theme="9" tint="-0.249977111117893"/>
  </sheetPr>
  <dimension ref="A1:M62"/>
  <sheetViews>
    <sheetView topLeftCell="A13" workbookViewId="0">
      <selection activeCell="K22" sqref="K22"/>
    </sheetView>
  </sheetViews>
  <sheetFormatPr baseColWidth="10" defaultRowHeight="15" x14ac:dyDescent="0.25"/>
  <cols>
    <col min="1" max="1" width="23" customWidth="1"/>
    <col min="2" max="2" width="9.42578125" customWidth="1"/>
    <col min="3" max="3" width="2.140625" customWidth="1"/>
    <col min="4" max="4" width="12" customWidth="1"/>
    <col min="6" max="6" width="11.42578125" customWidth="1"/>
    <col min="7" max="7" width="7.7109375" customWidth="1"/>
    <col min="8" max="8" width="18.140625" customWidth="1"/>
    <col min="12" max="12" width="14.140625" bestFit="1" customWidth="1"/>
    <col min="13" max="13" width="15.140625" bestFit="1" customWidth="1"/>
  </cols>
  <sheetData>
    <row r="1" spans="1:9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9" x14ac:dyDescent="0.25">
      <c r="A2" s="7" t="s">
        <v>18</v>
      </c>
      <c r="B2" s="122" t="s">
        <v>17</v>
      </c>
      <c r="C2" s="122"/>
      <c r="D2" s="122"/>
      <c r="F2" s="7" t="s">
        <v>19</v>
      </c>
      <c r="H2" s="9"/>
    </row>
    <row r="3" spans="1:9" x14ac:dyDescent="0.25">
      <c r="A3" s="7" t="s">
        <v>20</v>
      </c>
      <c r="B3" s="122"/>
      <c r="C3" s="122"/>
      <c r="D3" s="122"/>
      <c r="F3" s="7" t="s">
        <v>21</v>
      </c>
    </row>
    <row r="4" spans="1:9" x14ac:dyDescent="0.25">
      <c r="A4" s="7" t="s">
        <v>22</v>
      </c>
    </row>
    <row r="5" spans="1:9" x14ac:dyDescent="0.25">
      <c r="A5" s="7" t="s">
        <v>23</v>
      </c>
      <c r="B5" s="122"/>
      <c r="C5" s="122"/>
    </row>
    <row r="6" spans="1:9" x14ac:dyDescent="0.25">
      <c r="A6" s="7" t="s">
        <v>24</v>
      </c>
      <c r="B6" s="122"/>
      <c r="C6" s="122"/>
    </row>
    <row r="9" spans="1:9" x14ac:dyDescent="0.25">
      <c r="A9" s="7" t="s">
        <v>25</v>
      </c>
      <c r="B9" s="126">
        <v>12500000</v>
      </c>
      <c r="C9" s="126"/>
      <c r="D9" s="126"/>
      <c r="E9" s="7" t="s">
        <v>26</v>
      </c>
      <c r="F9" s="7"/>
      <c r="H9" s="10">
        <f>(B9-H28)*0.6</f>
        <v>7020060.5999999996</v>
      </c>
    </row>
    <row r="11" spans="1:9" ht="15.75" thickBot="1" x14ac:dyDescent="0.3">
      <c r="B11" s="1"/>
      <c r="C11" s="1"/>
      <c r="D11" s="1"/>
      <c r="E11" s="1"/>
      <c r="F11" s="1"/>
      <c r="G11" s="5"/>
      <c r="H11" s="1"/>
    </row>
    <row r="12" spans="1:9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9" x14ac:dyDescent="0.25">
      <c r="A13" s="11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</row>
    <row r="14" spans="1:9" x14ac:dyDescent="0.25">
      <c r="A14" s="17" t="s">
        <v>39</v>
      </c>
      <c r="B14" s="124"/>
      <c r="C14" s="124"/>
      <c r="D14" s="124"/>
      <c r="E14" s="124"/>
      <c r="F14" s="124"/>
      <c r="G14" s="131">
        <v>118000</v>
      </c>
      <c r="H14" s="131"/>
    </row>
    <row r="15" spans="1:9" x14ac:dyDescent="0.25">
      <c r="A15" s="17">
        <v>44441</v>
      </c>
      <c r="B15" s="124" t="s">
        <v>52</v>
      </c>
      <c r="C15" s="124"/>
      <c r="D15" s="124"/>
      <c r="E15" s="146" t="s">
        <v>53</v>
      </c>
      <c r="F15" s="146"/>
      <c r="G15" s="131">
        <f>24000+77000</f>
        <v>101000</v>
      </c>
      <c r="H15" s="131"/>
    </row>
    <row r="16" spans="1:9" x14ac:dyDescent="0.25">
      <c r="A16" s="17">
        <v>44398</v>
      </c>
      <c r="B16" s="124">
        <v>66717</v>
      </c>
      <c r="C16" s="124"/>
      <c r="D16" s="124"/>
      <c r="E16" s="124" t="s">
        <v>54</v>
      </c>
      <c r="F16" s="124"/>
      <c r="G16" s="131">
        <v>110000</v>
      </c>
      <c r="H16" s="131"/>
    </row>
    <row r="17" spans="1:13" x14ac:dyDescent="0.25">
      <c r="A17" s="17">
        <v>44398</v>
      </c>
      <c r="B17" s="124">
        <v>61650</v>
      </c>
      <c r="C17" s="124"/>
      <c r="D17" s="124"/>
      <c r="E17" s="124"/>
      <c r="F17" s="124"/>
      <c r="G17" s="131">
        <v>17200</v>
      </c>
      <c r="H17" s="131"/>
      <c r="L17" s="4"/>
      <c r="M17" s="4"/>
    </row>
    <row r="18" spans="1:13" x14ac:dyDescent="0.25">
      <c r="A18" s="17">
        <v>44442</v>
      </c>
      <c r="B18" s="124">
        <v>4311</v>
      </c>
      <c r="C18" s="124"/>
      <c r="D18" s="124"/>
      <c r="E18" s="124"/>
      <c r="F18" s="124"/>
      <c r="G18" s="131">
        <v>22000</v>
      </c>
      <c r="H18" s="131"/>
    </row>
    <row r="19" spans="1:13" x14ac:dyDescent="0.25">
      <c r="A19" s="17"/>
      <c r="B19" s="124">
        <v>1820</v>
      </c>
      <c r="C19" s="124"/>
      <c r="D19" s="124"/>
      <c r="E19" s="124"/>
      <c r="F19" s="124"/>
      <c r="G19" s="131">
        <v>83499</v>
      </c>
      <c r="H19" s="131"/>
    </row>
    <row r="20" spans="1:13" x14ac:dyDescent="0.25">
      <c r="A20" s="17"/>
      <c r="B20" s="124">
        <v>4318</v>
      </c>
      <c r="C20" s="124"/>
      <c r="D20" s="124"/>
      <c r="E20" s="124" t="s">
        <v>55</v>
      </c>
      <c r="F20" s="124"/>
      <c r="G20" s="131">
        <v>87800</v>
      </c>
      <c r="H20" s="131"/>
    </row>
    <row r="21" spans="1:13" x14ac:dyDescent="0.25">
      <c r="A21" s="17"/>
      <c r="B21" s="124"/>
      <c r="C21" s="124"/>
      <c r="D21" s="124"/>
      <c r="E21" s="124"/>
      <c r="F21" s="124"/>
      <c r="G21" s="131">
        <v>38400</v>
      </c>
      <c r="H21" s="131"/>
    </row>
    <row r="22" spans="1:13" x14ac:dyDescent="0.25">
      <c r="A22" s="17"/>
      <c r="B22" s="124">
        <v>4285</v>
      </c>
      <c r="C22" s="124"/>
      <c r="D22" s="124"/>
      <c r="E22" s="124"/>
      <c r="F22" s="124"/>
      <c r="G22" s="131">
        <v>185000</v>
      </c>
      <c r="H22" s="131"/>
    </row>
    <row r="23" spans="1:13" x14ac:dyDescent="0.25">
      <c r="A23" s="17">
        <v>44540</v>
      </c>
      <c r="B23" s="124"/>
      <c r="C23" s="124"/>
      <c r="D23" s="124"/>
      <c r="E23" s="124"/>
      <c r="F23" s="124"/>
      <c r="G23" s="131">
        <v>37000</v>
      </c>
      <c r="H23" s="131"/>
    </row>
    <row r="24" spans="1:13" x14ac:dyDescent="0.25">
      <c r="A24" s="17">
        <v>44540</v>
      </c>
      <c r="B24" s="124">
        <v>2097</v>
      </c>
      <c r="C24" s="124"/>
      <c r="D24" s="124"/>
      <c r="E24" s="124"/>
      <c r="F24" s="124"/>
      <c r="G24" s="131">
        <v>909000</v>
      </c>
      <c r="H24" s="131"/>
    </row>
    <row r="25" spans="1:13" x14ac:dyDescent="0.25">
      <c r="A25" s="26">
        <v>44595</v>
      </c>
      <c r="B25" s="158">
        <v>59174</v>
      </c>
      <c r="C25" s="158"/>
      <c r="D25" s="158"/>
      <c r="E25" s="158" t="s">
        <v>100</v>
      </c>
      <c r="F25" s="158"/>
      <c r="G25" s="159">
        <v>30100</v>
      </c>
      <c r="H25" s="159"/>
    </row>
    <row r="26" spans="1:13" x14ac:dyDescent="0.25">
      <c r="A26" s="26">
        <v>44594</v>
      </c>
      <c r="B26" s="158">
        <v>59101</v>
      </c>
      <c r="C26" s="158"/>
      <c r="D26" s="158"/>
      <c r="E26" s="158" t="s">
        <v>100</v>
      </c>
      <c r="F26" s="158"/>
      <c r="G26" s="159">
        <v>41800</v>
      </c>
      <c r="H26" s="159"/>
    </row>
    <row r="27" spans="1:13" x14ac:dyDescent="0.25">
      <c r="A27" s="26">
        <v>44601</v>
      </c>
      <c r="B27" s="158">
        <v>59452</v>
      </c>
      <c r="C27" s="158"/>
      <c r="D27" s="158"/>
      <c r="E27" s="158" t="s">
        <v>101</v>
      </c>
      <c r="F27" s="158"/>
      <c r="G27" s="159">
        <v>10600</v>
      </c>
      <c r="H27" s="159"/>
    </row>
    <row r="28" spans="1:13" ht="15.75" thickBot="1" x14ac:dyDescent="0.3">
      <c r="A28" s="3"/>
      <c r="F28" s="133" t="s">
        <v>32</v>
      </c>
      <c r="G28" s="133"/>
      <c r="H28" s="12">
        <f>SUM(G14:H23)</f>
        <v>799899</v>
      </c>
    </row>
    <row r="30" spans="1:13" ht="15.75" thickBot="1" x14ac:dyDescent="0.3"/>
    <row r="31" spans="1:13" ht="19.5" thickBot="1" x14ac:dyDescent="0.35">
      <c r="A31" s="127" t="s">
        <v>10</v>
      </c>
      <c r="B31" s="128"/>
      <c r="C31" s="128"/>
      <c r="D31" s="128"/>
      <c r="E31" s="128"/>
      <c r="F31" s="128"/>
      <c r="G31" s="128"/>
      <c r="H31" s="129"/>
    </row>
    <row r="32" spans="1:13" ht="15" customHeight="1" thickBot="1" x14ac:dyDescent="0.3">
      <c r="A32" s="13" t="s">
        <v>0</v>
      </c>
      <c r="B32" s="134" t="s">
        <v>33</v>
      </c>
      <c r="C32" s="134"/>
      <c r="D32" s="134"/>
      <c r="E32" s="135" t="s">
        <v>34</v>
      </c>
      <c r="F32" s="135"/>
      <c r="G32" s="135" t="s">
        <v>35</v>
      </c>
      <c r="H32" s="136"/>
    </row>
    <row r="33" spans="1:8" x14ac:dyDescent="0.25">
      <c r="A33" s="14"/>
      <c r="B33" s="137"/>
      <c r="C33" s="137"/>
      <c r="D33" s="137"/>
      <c r="E33" s="132"/>
      <c r="F33" s="132"/>
      <c r="G33" s="132"/>
      <c r="H33" s="132"/>
    </row>
    <row r="34" spans="1:8" x14ac:dyDescent="0.25">
      <c r="A34" s="17">
        <v>44534</v>
      </c>
      <c r="B34" s="124"/>
      <c r="C34" s="124"/>
      <c r="D34" s="124"/>
      <c r="E34" s="131">
        <v>1000000</v>
      </c>
      <c r="F34" s="131"/>
      <c r="G34" s="132">
        <f>B10-E38</f>
        <v>0</v>
      </c>
      <c r="H34" s="132"/>
    </row>
    <row r="35" spans="1:8" x14ac:dyDescent="0.25">
      <c r="A35" s="15"/>
      <c r="B35" s="124"/>
      <c r="C35" s="124"/>
      <c r="D35" s="124"/>
      <c r="E35" s="131"/>
      <c r="F35" s="131"/>
      <c r="G35" s="132">
        <f>B11-E39</f>
        <v>0</v>
      </c>
      <c r="H35" s="132"/>
    </row>
    <row r="36" spans="1:8" ht="15.75" thickBot="1" x14ac:dyDescent="0.3">
      <c r="A36" s="15"/>
      <c r="B36" s="124"/>
      <c r="C36" s="124"/>
      <c r="D36" s="124"/>
      <c r="E36" s="139"/>
      <c r="F36" s="139"/>
      <c r="G36" s="132">
        <f>B12-E40</f>
        <v>0</v>
      </c>
      <c r="H36" s="132"/>
    </row>
    <row r="37" spans="1:8" ht="15.75" thickBot="1" x14ac:dyDescent="0.3">
      <c r="A37" s="140" t="s">
        <v>36</v>
      </c>
      <c r="B37" s="140"/>
      <c r="C37" s="140"/>
      <c r="D37" s="140"/>
      <c r="E37" s="141">
        <f>SUM(E33:F36)</f>
        <v>1000000</v>
      </c>
      <c r="F37" s="142"/>
      <c r="G37" s="141"/>
      <c r="H37" s="143"/>
    </row>
    <row r="39" spans="1:8" ht="15.75" thickBot="1" x14ac:dyDescent="0.3"/>
    <row r="40" spans="1:8" ht="19.5" thickBot="1" x14ac:dyDescent="0.35">
      <c r="A40" s="127" t="s">
        <v>37</v>
      </c>
      <c r="B40" s="128"/>
      <c r="C40" s="128"/>
      <c r="D40" s="128"/>
      <c r="E40" s="128"/>
      <c r="F40" s="128"/>
      <c r="G40" s="128"/>
      <c r="H40" s="129"/>
    </row>
    <row r="41" spans="1:8" ht="15.75" thickBot="1" x14ac:dyDescent="0.3">
      <c r="A41" s="13" t="s">
        <v>0</v>
      </c>
      <c r="B41" s="134" t="s">
        <v>33</v>
      </c>
      <c r="C41" s="134"/>
      <c r="D41" s="134"/>
      <c r="E41" s="135" t="s">
        <v>38</v>
      </c>
      <c r="F41" s="135"/>
      <c r="G41" s="135" t="s">
        <v>35</v>
      </c>
      <c r="H41" s="136"/>
    </row>
    <row r="42" spans="1:8" x14ac:dyDescent="0.25">
      <c r="A42" s="16" t="s">
        <v>41</v>
      </c>
      <c r="B42" s="124"/>
      <c r="C42" s="124"/>
      <c r="D42" s="124"/>
      <c r="E42" s="131">
        <v>500000</v>
      </c>
      <c r="F42" s="131"/>
      <c r="G42" s="138"/>
      <c r="H42" s="138"/>
    </row>
    <row r="43" spans="1:8" x14ac:dyDescent="0.25">
      <c r="A43" s="16" t="s">
        <v>42</v>
      </c>
      <c r="B43" s="124"/>
      <c r="C43" s="124"/>
      <c r="D43" s="124"/>
      <c r="E43" s="131">
        <v>500000</v>
      </c>
      <c r="F43" s="131"/>
      <c r="G43" s="138"/>
      <c r="H43" s="138"/>
    </row>
    <row r="44" spans="1:8" x14ac:dyDescent="0.25">
      <c r="A44" s="15" t="s">
        <v>40</v>
      </c>
      <c r="B44" s="124"/>
      <c r="C44" s="124"/>
      <c r="D44" s="124"/>
      <c r="E44" s="131">
        <v>500000</v>
      </c>
      <c r="F44" s="131"/>
      <c r="G44" s="138"/>
      <c r="H44" s="138"/>
    </row>
    <row r="45" spans="1:8" x14ac:dyDescent="0.25">
      <c r="A45" s="15" t="s">
        <v>43</v>
      </c>
      <c r="B45" s="124"/>
      <c r="C45" s="124"/>
      <c r="D45" s="124"/>
      <c r="E45" s="131">
        <v>500000</v>
      </c>
      <c r="F45" s="131"/>
      <c r="G45" s="138"/>
      <c r="H45" s="138"/>
    </row>
    <row r="46" spans="1:8" x14ac:dyDescent="0.25">
      <c r="A46" s="15" t="s">
        <v>44</v>
      </c>
      <c r="B46" s="124"/>
      <c r="C46" s="124"/>
      <c r="D46" s="124"/>
      <c r="E46" s="131">
        <v>500000</v>
      </c>
      <c r="F46" s="131"/>
      <c r="G46" s="138"/>
      <c r="H46" s="138"/>
    </row>
    <row r="47" spans="1:8" x14ac:dyDescent="0.25">
      <c r="A47" s="15" t="s">
        <v>45</v>
      </c>
      <c r="B47" s="124"/>
      <c r="C47" s="124"/>
      <c r="D47" s="124"/>
      <c r="E47" s="131">
        <v>500000</v>
      </c>
      <c r="F47" s="131"/>
      <c r="G47" s="138"/>
      <c r="H47" s="138"/>
    </row>
    <row r="48" spans="1:8" x14ac:dyDescent="0.25">
      <c r="A48" s="15" t="s">
        <v>46</v>
      </c>
      <c r="B48" s="124"/>
      <c r="C48" s="124"/>
      <c r="D48" s="124"/>
      <c r="E48" s="131">
        <v>500000</v>
      </c>
      <c r="F48" s="131"/>
      <c r="G48" s="138"/>
      <c r="H48" s="138"/>
    </row>
    <row r="49" spans="1:8" x14ac:dyDescent="0.25">
      <c r="A49" s="15" t="s">
        <v>47</v>
      </c>
      <c r="B49" s="124"/>
      <c r="C49" s="124"/>
      <c r="D49" s="124"/>
      <c r="E49" s="131">
        <v>500000</v>
      </c>
      <c r="F49" s="131"/>
      <c r="G49" s="138"/>
      <c r="H49" s="138"/>
    </row>
    <row r="50" spans="1:8" x14ac:dyDescent="0.25">
      <c r="A50" s="15" t="s">
        <v>48</v>
      </c>
      <c r="B50" s="124"/>
      <c r="C50" s="124"/>
      <c r="D50" s="124"/>
      <c r="E50" s="131">
        <v>500000</v>
      </c>
      <c r="F50" s="131"/>
      <c r="G50" s="138"/>
      <c r="H50" s="138"/>
    </row>
    <row r="51" spans="1:8" x14ac:dyDescent="0.25">
      <c r="A51" s="15" t="s">
        <v>49</v>
      </c>
      <c r="B51" s="124"/>
      <c r="C51" s="124"/>
      <c r="D51" s="124"/>
      <c r="E51" s="131">
        <v>500000</v>
      </c>
      <c r="F51" s="131"/>
      <c r="G51" s="138"/>
      <c r="H51" s="138"/>
    </row>
    <row r="52" spans="1:8" x14ac:dyDescent="0.25">
      <c r="A52" s="15" t="s">
        <v>50</v>
      </c>
      <c r="B52" s="124"/>
      <c r="C52" s="124"/>
      <c r="D52" s="124"/>
      <c r="E52" s="131">
        <v>500000</v>
      </c>
      <c r="F52" s="131"/>
      <c r="G52" s="138"/>
      <c r="H52" s="138"/>
    </row>
    <row r="53" spans="1:8" x14ac:dyDescent="0.25">
      <c r="A53" s="15" t="s">
        <v>51</v>
      </c>
      <c r="B53" s="124"/>
      <c r="C53" s="124"/>
      <c r="D53" s="124"/>
      <c r="E53" s="131">
        <v>500000</v>
      </c>
      <c r="F53" s="131"/>
      <c r="G53" s="138"/>
      <c r="H53" s="138"/>
    </row>
    <row r="54" spans="1:8" x14ac:dyDescent="0.25">
      <c r="A54" s="15" t="s">
        <v>58</v>
      </c>
      <c r="B54" s="124"/>
      <c r="C54" s="124"/>
      <c r="D54" s="124"/>
      <c r="E54" s="131">
        <v>604000</v>
      </c>
      <c r="F54" s="131"/>
      <c r="G54" s="138"/>
      <c r="H54" s="138"/>
    </row>
    <row r="55" spans="1:8" x14ac:dyDescent="0.25">
      <c r="A55" s="15" t="s">
        <v>59</v>
      </c>
      <c r="B55" s="124"/>
      <c r="C55" s="124"/>
      <c r="D55" s="124"/>
      <c r="E55" s="131">
        <v>545000</v>
      </c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x14ac:dyDescent="0.25">
      <c r="A60" s="15"/>
      <c r="B60" s="124"/>
      <c r="C60" s="124"/>
      <c r="D60" s="124"/>
      <c r="E60" s="131"/>
      <c r="F60" s="131"/>
      <c r="G60" s="138"/>
      <c r="H60" s="138"/>
    </row>
    <row r="61" spans="1:8" ht="15.75" thickBot="1" x14ac:dyDescent="0.3">
      <c r="A61" s="15"/>
      <c r="B61" s="124"/>
      <c r="C61" s="124"/>
      <c r="D61" s="124"/>
      <c r="E61" s="131"/>
      <c r="F61" s="131"/>
      <c r="G61" s="138">
        <f>H12-E61</f>
        <v>0</v>
      </c>
      <c r="H61" s="138"/>
    </row>
    <row r="62" spans="1:8" ht="15.75" thickBot="1" x14ac:dyDescent="0.3">
      <c r="A62" s="140" t="s">
        <v>36</v>
      </c>
      <c r="B62" s="140"/>
      <c r="C62" s="140"/>
      <c r="D62" s="140"/>
      <c r="E62" s="141">
        <f>SUM(E42:F61)</f>
        <v>7149000</v>
      </c>
      <c r="F62" s="142"/>
      <c r="G62" s="138">
        <f>H13-E62</f>
        <v>-7149000</v>
      </c>
      <c r="H62" s="138"/>
    </row>
  </sheetData>
  <mergeCells count="139">
    <mergeCell ref="B9:D9"/>
    <mergeCell ref="B19:D19"/>
    <mergeCell ref="E19:F19"/>
    <mergeCell ref="G19:H19"/>
    <mergeCell ref="B20:D20"/>
    <mergeCell ref="E20:F20"/>
    <mergeCell ref="G20:H20"/>
    <mergeCell ref="A1:I1"/>
    <mergeCell ref="B2:D2"/>
    <mergeCell ref="B3:D3"/>
    <mergeCell ref="B5:C5"/>
    <mergeCell ref="B6:C6"/>
    <mergeCell ref="A12:H12"/>
    <mergeCell ref="B13:D13"/>
    <mergeCell ref="E13:F13"/>
    <mergeCell ref="G13:H13"/>
    <mergeCell ref="B14:D14"/>
    <mergeCell ref="E14:F14"/>
    <mergeCell ref="G14:H14"/>
    <mergeCell ref="B15:D15"/>
    <mergeCell ref="E15:F15"/>
    <mergeCell ref="G15:H15"/>
    <mergeCell ref="B16:D16"/>
    <mergeCell ref="E16:F16"/>
    <mergeCell ref="G16:H16"/>
    <mergeCell ref="B32:D32"/>
    <mergeCell ref="E32:F32"/>
    <mergeCell ref="G32:H32"/>
    <mergeCell ref="B17:D17"/>
    <mergeCell ref="E17:F17"/>
    <mergeCell ref="G17:H17"/>
    <mergeCell ref="B18:D18"/>
    <mergeCell ref="E18:F18"/>
    <mergeCell ref="G18:H18"/>
    <mergeCell ref="B21:D21"/>
    <mergeCell ref="B22:D22"/>
    <mergeCell ref="E21:F21"/>
    <mergeCell ref="E22:F22"/>
    <mergeCell ref="G21:H21"/>
    <mergeCell ref="G22:H22"/>
    <mergeCell ref="B24:D24"/>
    <mergeCell ref="B23:D23"/>
    <mergeCell ref="E23:F23"/>
    <mergeCell ref="G23:H23"/>
    <mergeCell ref="F28:G28"/>
    <mergeCell ref="A31:H31"/>
    <mergeCell ref="B27:D27"/>
    <mergeCell ref="E24:F24"/>
    <mergeCell ref="E27:F27"/>
    <mergeCell ref="G24:H24"/>
    <mergeCell ref="G27:H27"/>
    <mergeCell ref="B33:D33"/>
    <mergeCell ref="E33:F33"/>
    <mergeCell ref="G33:H33"/>
    <mergeCell ref="B34:D34"/>
    <mergeCell ref="E34:F34"/>
    <mergeCell ref="G34:H34"/>
    <mergeCell ref="B25:D25"/>
    <mergeCell ref="B26:D26"/>
    <mergeCell ref="E25:F25"/>
    <mergeCell ref="E26:F26"/>
    <mergeCell ref="G25:H25"/>
    <mergeCell ref="G26:H26"/>
    <mergeCell ref="B35:D35"/>
    <mergeCell ref="E35:F35"/>
    <mergeCell ref="G35:H35"/>
    <mergeCell ref="B36:D36"/>
    <mergeCell ref="E36:F36"/>
    <mergeCell ref="G36:H36"/>
    <mergeCell ref="G52:H52"/>
    <mergeCell ref="A37:D37"/>
    <mergeCell ref="E37:F37"/>
    <mergeCell ref="G37:H37"/>
    <mergeCell ref="A40:H40"/>
    <mergeCell ref="B41:D41"/>
    <mergeCell ref="E41:F41"/>
    <mergeCell ref="G41:H41"/>
    <mergeCell ref="G46:H46"/>
    <mergeCell ref="B47:D47"/>
    <mergeCell ref="E47:F47"/>
    <mergeCell ref="G47:H47"/>
    <mergeCell ref="B48:D48"/>
    <mergeCell ref="E48:F48"/>
    <mergeCell ref="G48:H48"/>
    <mergeCell ref="A62:D62"/>
    <mergeCell ref="E62:F62"/>
    <mergeCell ref="G62:H62"/>
    <mergeCell ref="B42:D42"/>
    <mergeCell ref="E42:F42"/>
    <mergeCell ref="G42:H42"/>
    <mergeCell ref="B43:D43"/>
    <mergeCell ref="E43:F43"/>
    <mergeCell ref="G43:H43"/>
    <mergeCell ref="B49:D49"/>
    <mergeCell ref="B53:D53"/>
    <mergeCell ref="E53:F53"/>
    <mergeCell ref="G53:H53"/>
    <mergeCell ref="B61:D61"/>
    <mergeCell ref="E61:F61"/>
    <mergeCell ref="G61:H61"/>
    <mergeCell ref="B44:D44"/>
    <mergeCell ref="E44:F44"/>
    <mergeCell ref="G44:H44"/>
    <mergeCell ref="B45:D45"/>
    <mergeCell ref="E45:F45"/>
    <mergeCell ref="G45:H45"/>
    <mergeCell ref="B46:D46"/>
    <mergeCell ref="E46:F46"/>
    <mergeCell ref="B54:D54"/>
    <mergeCell ref="E54:F54"/>
    <mergeCell ref="G54:H54"/>
    <mergeCell ref="E49:F49"/>
    <mergeCell ref="G49:H49"/>
    <mergeCell ref="B50:D50"/>
    <mergeCell ref="E50:F50"/>
    <mergeCell ref="G50:H50"/>
    <mergeCell ref="B51:D51"/>
    <mergeCell ref="E51:F51"/>
    <mergeCell ref="G51:H51"/>
    <mergeCell ref="B52:D52"/>
    <mergeCell ref="E52:F52"/>
    <mergeCell ref="B58:D58"/>
    <mergeCell ref="B59:D59"/>
    <mergeCell ref="B60:D60"/>
    <mergeCell ref="E58:F58"/>
    <mergeCell ref="E59:F59"/>
    <mergeCell ref="E60:F60"/>
    <mergeCell ref="G58:H58"/>
    <mergeCell ref="G59:H59"/>
    <mergeCell ref="G60:H60"/>
    <mergeCell ref="B55:D55"/>
    <mergeCell ref="B56:D56"/>
    <mergeCell ref="B57:D57"/>
    <mergeCell ref="E55:F55"/>
    <mergeCell ref="E56:F56"/>
    <mergeCell ref="E57:F57"/>
    <mergeCell ref="G55:H55"/>
    <mergeCell ref="G56:H56"/>
    <mergeCell ref="G57:H57"/>
  </mergeCells>
  <pageMargins left="0.7" right="0.7" top="0.75" bottom="0.75" header="0.3" footer="0.3"/>
  <pageSetup paperSize="9" orientation="portrait" horizontalDpi="0" verticalDpi="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</sheetPr>
  <dimension ref="A1:M59"/>
  <sheetViews>
    <sheetView workbookViewId="0">
      <selection activeCell="M38" sqref="M38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4.5703125" bestFit="1" customWidth="1"/>
    <col min="12" max="12" width="14.1406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106</v>
      </c>
      <c r="C2" s="122"/>
      <c r="D2" s="122"/>
      <c r="F2" s="7" t="s">
        <v>19</v>
      </c>
      <c r="H2" s="9">
        <v>44565</v>
      </c>
    </row>
    <row r="3" spans="1:13" x14ac:dyDescent="0.25">
      <c r="A3" s="7" t="s">
        <v>20</v>
      </c>
      <c r="B3" s="122" t="s">
        <v>105</v>
      </c>
      <c r="C3" s="122"/>
      <c r="D3" s="122"/>
      <c r="F3" s="7" t="s">
        <v>21</v>
      </c>
      <c r="H3" s="9">
        <v>44596</v>
      </c>
    </row>
    <row r="4" spans="1:13" x14ac:dyDescent="0.25">
      <c r="A4" s="7" t="s">
        <v>22</v>
      </c>
      <c r="B4" s="120" t="s">
        <v>70</v>
      </c>
      <c r="C4" s="120"/>
      <c r="D4" s="120"/>
    </row>
    <row r="5" spans="1:13" x14ac:dyDescent="0.25">
      <c r="A5" s="7" t="s">
        <v>23</v>
      </c>
      <c r="B5" s="122"/>
      <c r="C5" s="122"/>
    </row>
    <row r="6" spans="1:13" x14ac:dyDescent="0.25">
      <c r="A6" s="7" t="s">
        <v>24</v>
      </c>
      <c r="B6" s="122"/>
      <c r="C6" s="122"/>
      <c r="J6" s="39">
        <f>B9-H9-H25</f>
        <v>1560000</v>
      </c>
    </row>
    <row r="9" spans="1:13" x14ac:dyDescent="0.25">
      <c r="A9" s="7" t="s">
        <v>25</v>
      </c>
      <c r="B9" s="126">
        <v>5000000</v>
      </c>
      <c r="C9" s="126"/>
      <c r="D9" s="126"/>
      <c r="E9" s="7" t="s">
        <v>26</v>
      </c>
      <c r="F9" s="7"/>
      <c r="H9" s="10">
        <f>(B9-H25)*0.6</f>
        <v>2340000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</row>
    <row r="14" spans="1:13" x14ac:dyDescent="0.25">
      <c r="A14" s="3">
        <v>44565</v>
      </c>
      <c r="B14" s="124"/>
      <c r="C14" s="124"/>
      <c r="D14" s="124"/>
      <c r="E14" s="124" t="s">
        <v>61</v>
      </c>
      <c r="F14" s="124"/>
      <c r="G14" s="131">
        <v>40000</v>
      </c>
      <c r="H14" s="131"/>
    </row>
    <row r="15" spans="1:13" x14ac:dyDescent="0.25">
      <c r="A15" s="17">
        <v>44579</v>
      </c>
      <c r="B15" s="124">
        <v>2</v>
      </c>
      <c r="C15" s="124"/>
      <c r="D15" s="124"/>
      <c r="E15" s="124" t="s">
        <v>60</v>
      </c>
      <c r="F15" s="124"/>
      <c r="G15" s="131">
        <v>20000</v>
      </c>
      <c r="H15" s="131"/>
    </row>
    <row r="16" spans="1:13" x14ac:dyDescent="0.25">
      <c r="A16" s="17">
        <v>44579</v>
      </c>
      <c r="B16" s="124">
        <v>8</v>
      </c>
      <c r="C16" s="124"/>
      <c r="D16" s="124"/>
      <c r="E16" s="124" t="s">
        <v>73</v>
      </c>
      <c r="F16" s="124"/>
      <c r="G16" s="131">
        <v>20000</v>
      </c>
      <c r="H16" s="131"/>
      <c r="L16" s="4"/>
      <c r="M16" s="4"/>
    </row>
    <row r="17" spans="1:9" x14ac:dyDescent="0.25">
      <c r="A17" s="17">
        <v>44579</v>
      </c>
      <c r="B17" s="124"/>
      <c r="C17" s="124"/>
      <c r="D17" s="124"/>
      <c r="E17" s="124" t="s">
        <v>85</v>
      </c>
      <c r="F17" s="124"/>
      <c r="G17" s="131">
        <v>9000</v>
      </c>
      <c r="H17" s="131"/>
    </row>
    <row r="18" spans="1:9" x14ac:dyDescent="0.25">
      <c r="A18" s="17">
        <v>44572</v>
      </c>
      <c r="B18" s="124">
        <v>2266</v>
      </c>
      <c r="C18" s="124"/>
      <c r="D18" s="124"/>
      <c r="E18" s="124" t="s">
        <v>74</v>
      </c>
      <c r="F18" s="124"/>
      <c r="G18" s="131">
        <v>737000</v>
      </c>
      <c r="H18" s="131"/>
    </row>
    <row r="19" spans="1:9" x14ac:dyDescent="0.25">
      <c r="A19" s="20"/>
      <c r="B19" s="160"/>
      <c r="C19" s="160"/>
      <c r="D19" s="160"/>
      <c r="E19" s="160" t="s">
        <v>88</v>
      </c>
      <c r="F19" s="160"/>
      <c r="G19" s="161">
        <v>200000</v>
      </c>
      <c r="H19" s="161"/>
    </row>
    <row r="20" spans="1:9" x14ac:dyDescent="0.25">
      <c r="A20" s="17">
        <v>44589</v>
      </c>
      <c r="B20" s="124"/>
      <c r="C20" s="124"/>
      <c r="D20" s="124"/>
      <c r="E20" s="124" t="s">
        <v>95</v>
      </c>
      <c r="F20" s="124"/>
      <c r="G20" s="131">
        <v>70000</v>
      </c>
      <c r="H20" s="131"/>
    </row>
    <row r="21" spans="1:9" x14ac:dyDescent="0.25">
      <c r="A21" s="17">
        <v>44595</v>
      </c>
      <c r="B21" s="124"/>
      <c r="C21" s="124"/>
      <c r="D21" s="124"/>
      <c r="E21" s="124" t="s">
        <v>98</v>
      </c>
      <c r="F21" s="124"/>
      <c r="G21" s="131">
        <v>4000</v>
      </c>
      <c r="H21" s="131"/>
      <c r="I21" s="4"/>
    </row>
    <row r="22" spans="1:9" x14ac:dyDescent="0.25">
      <c r="A22" s="17"/>
      <c r="B22" s="124"/>
      <c r="C22" s="124"/>
      <c r="D22" s="124"/>
      <c r="E22" s="124"/>
      <c r="F22" s="124"/>
      <c r="G22" s="131"/>
      <c r="H22" s="131"/>
    </row>
    <row r="23" spans="1:9" x14ac:dyDescent="0.25">
      <c r="A23" s="17"/>
      <c r="B23" s="124"/>
      <c r="C23" s="124"/>
      <c r="D23" s="124"/>
      <c r="E23" s="124"/>
      <c r="F23" s="124"/>
      <c r="G23" s="131"/>
      <c r="H23" s="131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SUM(G14:H22)</f>
        <v>1100000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14"/>
      <c r="B30" s="137"/>
      <c r="C30" s="137"/>
      <c r="D30" s="137"/>
      <c r="E30" s="132"/>
      <c r="F30" s="132"/>
      <c r="G30" s="132"/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/>
      <c r="B39" s="124"/>
      <c r="C39" s="124"/>
      <c r="D39" s="124"/>
      <c r="E39" s="131"/>
      <c r="F39" s="131"/>
      <c r="G39" s="138"/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0</v>
      </c>
      <c r="F59" s="142"/>
      <c r="G59" s="138">
        <f>H13-E59</f>
        <v>0</v>
      </c>
      <c r="H59" s="138"/>
    </row>
  </sheetData>
  <mergeCells count="131">
    <mergeCell ref="A12:H12"/>
    <mergeCell ref="B13:D13"/>
    <mergeCell ref="E13:F13"/>
    <mergeCell ref="G13:H13"/>
    <mergeCell ref="G14:H14"/>
    <mergeCell ref="A1:I1"/>
    <mergeCell ref="B2:D2"/>
    <mergeCell ref="B3:D3"/>
    <mergeCell ref="B5:C5"/>
    <mergeCell ref="B6:C6"/>
    <mergeCell ref="B9:D9"/>
    <mergeCell ref="B4:D4"/>
    <mergeCell ref="B16:D16"/>
    <mergeCell ref="E16:F16"/>
    <mergeCell ref="G16:H16"/>
    <mergeCell ref="B17:D17"/>
    <mergeCell ref="E17:F17"/>
    <mergeCell ref="G17:H17"/>
    <mergeCell ref="B15:D15"/>
    <mergeCell ref="E15:F15"/>
    <mergeCell ref="G15:H15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24:D24"/>
    <mergeCell ref="E24:F24"/>
    <mergeCell ref="G24:H24"/>
    <mergeCell ref="F25:G25"/>
    <mergeCell ref="A28:H28"/>
    <mergeCell ref="B29:D29"/>
    <mergeCell ref="E29:F29"/>
    <mergeCell ref="G29:H29"/>
    <mergeCell ref="B22:D22"/>
    <mergeCell ref="E22:F22"/>
    <mergeCell ref="G22:H22"/>
    <mergeCell ref="B23:D23"/>
    <mergeCell ref="E23:F23"/>
    <mergeCell ref="G23:H23"/>
    <mergeCell ref="B32:D32"/>
    <mergeCell ref="E32:F32"/>
    <mergeCell ref="G32:H32"/>
    <mergeCell ref="B33:D33"/>
    <mergeCell ref="E33:F33"/>
    <mergeCell ref="G33:H33"/>
    <mergeCell ref="B30:D30"/>
    <mergeCell ref="E30:F30"/>
    <mergeCell ref="G30:H30"/>
    <mergeCell ref="B31:D31"/>
    <mergeCell ref="E31:F31"/>
    <mergeCell ref="G31:H31"/>
    <mergeCell ref="B39:D39"/>
    <mergeCell ref="E39:F39"/>
    <mergeCell ref="G39:H39"/>
    <mergeCell ref="B40:D40"/>
    <mergeCell ref="E40:F40"/>
    <mergeCell ref="G40:H40"/>
    <mergeCell ref="A34:D34"/>
    <mergeCell ref="E34:F34"/>
    <mergeCell ref="G34:H34"/>
    <mergeCell ref="A37:H37"/>
    <mergeCell ref="B38:D38"/>
    <mergeCell ref="E38:F38"/>
    <mergeCell ref="G38:H38"/>
    <mergeCell ref="B43:D43"/>
    <mergeCell ref="E43:F43"/>
    <mergeCell ref="G43:H43"/>
    <mergeCell ref="B44:D44"/>
    <mergeCell ref="E44:F44"/>
    <mergeCell ref="G44:H44"/>
    <mergeCell ref="B41:D41"/>
    <mergeCell ref="E41:F41"/>
    <mergeCell ref="G41:H41"/>
    <mergeCell ref="B42:D42"/>
    <mergeCell ref="E42:F42"/>
    <mergeCell ref="G42:H42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E51:F51"/>
    <mergeCell ref="G51:H51"/>
    <mergeCell ref="B52:D52"/>
    <mergeCell ref="E52:F52"/>
    <mergeCell ref="G52:H52"/>
    <mergeCell ref="B49:D49"/>
    <mergeCell ref="E49:F49"/>
    <mergeCell ref="G49:H49"/>
    <mergeCell ref="B50:D50"/>
    <mergeCell ref="E50:F50"/>
    <mergeCell ref="G50:H50"/>
    <mergeCell ref="A59:D59"/>
    <mergeCell ref="E59:F59"/>
    <mergeCell ref="G59:H59"/>
    <mergeCell ref="B14:D14"/>
    <mergeCell ref="E14:F14"/>
    <mergeCell ref="B57:D57"/>
    <mergeCell ref="E57:F57"/>
    <mergeCell ref="G57:H57"/>
    <mergeCell ref="B58:D58"/>
    <mergeCell ref="E58:F58"/>
    <mergeCell ref="G58:H58"/>
    <mergeCell ref="B55:D55"/>
    <mergeCell ref="E55:F55"/>
    <mergeCell ref="G55:H55"/>
    <mergeCell ref="B56:D56"/>
    <mergeCell ref="E56:F56"/>
    <mergeCell ref="G56:H56"/>
    <mergeCell ref="B53:D53"/>
    <mergeCell ref="E53:F53"/>
    <mergeCell ref="G53:H53"/>
    <mergeCell ref="B54:D54"/>
    <mergeCell ref="E54:F54"/>
    <mergeCell ref="G54:H54"/>
    <mergeCell ref="B51:D51"/>
  </mergeCells>
  <pageMargins left="0.7" right="0.7" top="0.75" bottom="0.75" header="0.3" footer="0.3"/>
  <pageSetup paperSize="9" orientation="portrait" horizontalDpi="0" verticalDpi="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1" tint="0.14999847407452621"/>
  </sheetPr>
  <dimension ref="A1:M61"/>
  <sheetViews>
    <sheetView workbookViewId="0">
      <selection activeCell="L17" sqref="L17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7" max="7" width="7.7109375" customWidth="1"/>
    <col min="8" max="8" width="18.140625" customWidth="1"/>
    <col min="10" max="10" width="13" bestFit="1" customWidth="1"/>
    <col min="11" max="12" width="14.140625" bestFit="1" customWidth="1"/>
    <col min="13" max="13" width="15.140625" bestFit="1" customWidth="1"/>
  </cols>
  <sheetData>
    <row r="1" spans="1:10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0" x14ac:dyDescent="0.25">
      <c r="A2" s="7" t="s">
        <v>18</v>
      </c>
      <c r="B2" s="122" t="s">
        <v>67</v>
      </c>
      <c r="C2" s="122"/>
      <c r="D2" s="122"/>
      <c r="F2" s="7" t="s">
        <v>19</v>
      </c>
      <c r="H2" s="9">
        <v>44566</v>
      </c>
    </row>
    <row r="3" spans="1:10" x14ac:dyDescent="0.25">
      <c r="A3" s="7" t="s">
        <v>20</v>
      </c>
      <c r="B3" s="122" t="s">
        <v>62</v>
      </c>
      <c r="C3" s="122"/>
      <c r="D3" s="122"/>
      <c r="F3" s="7" t="s">
        <v>21</v>
      </c>
      <c r="H3" s="9">
        <v>44583</v>
      </c>
    </row>
    <row r="4" spans="1:10" x14ac:dyDescent="0.25">
      <c r="A4" s="7" t="s">
        <v>22</v>
      </c>
      <c r="B4" s="120" t="s">
        <v>63</v>
      </c>
      <c r="C4" s="120"/>
      <c r="D4" s="120"/>
    </row>
    <row r="5" spans="1:10" x14ac:dyDescent="0.25">
      <c r="A5" s="7" t="s">
        <v>23</v>
      </c>
      <c r="B5" s="162" t="s">
        <v>64</v>
      </c>
      <c r="C5" s="120"/>
      <c r="D5" s="120"/>
    </row>
    <row r="6" spans="1:10" x14ac:dyDescent="0.25">
      <c r="A6" s="7" t="s">
        <v>68</v>
      </c>
      <c r="B6" s="162"/>
      <c r="C6" s="162"/>
      <c r="D6" s="162"/>
    </row>
    <row r="7" spans="1:10" x14ac:dyDescent="0.25">
      <c r="A7" s="7" t="s">
        <v>24</v>
      </c>
      <c r="B7" s="122">
        <v>3103490509</v>
      </c>
      <c r="C7" s="122"/>
      <c r="D7" s="122"/>
      <c r="J7" s="39">
        <f>B10-H10-H27</f>
        <v>522800</v>
      </c>
    </row>
    <row r="10" spans="1:10" x14ac:dyDescent="0.25">
      <c r="A10" s="7" t="s">
        <v>25</v>
      </c>
      <c r="B10" s="126">
        <v>1700000</v>
      </c>
      <c r="C10" s="126"/>
      <c r="D10" s="126"/>
      <c r="E10" s="7" t="s">
        <v>26</v>
      </c>
      <c r="F10" s="7"/>
      <c r="H10" s="10">
        <f>(B10-H27)*0.6</f>
        <v>784200</v>
      </c>
    </row>
    <row r="12" spans="1:10" ht="15.75" thickBot="1" x14ac:dyDescent="0.3">
      <c r="B12" s="1"/>
      <c r="C12" s="1"/>
      <c r="D12" s="1"/>
      <c r="E12" s="1"/>
      <c r="F12" s="1"/>
      <c r="G12" s="5"/>
      <c r="H12" s="1"/>
    </row>
    <row r="13" spans="1:10" ht="19.5" thickBot="1" x14ac:dyDescent="0.35">
      <c r="A13" s="127" t="s">
        <v>27</v>
      </c>
      <c r="B13" s="128"/>
      <c r="C13" s="128"/>
      <c r="D13" s="128"/>
      <c r="E13" s="128"/>
      <c r="F13" s="128"/>
      <c r="G13" s="128"/>
      <c r="H13" s="129"/>
    </row>
    <row r="14" spans="1:10" x14ac:dyDescent="0.25">
      <c r="A14" s="11" t="s">
        <v>28</v>
      </c>
      <c r="B14" s="130" t="s">
        <v>29</v>
      </c>
      <c r="C14" s="130"/>
      <c r="D14" s="130"/>
      <c r="E14" s="130" t="s">
        <v>30</v>
      </c>
      <c r="F14" s="130"/>
      <c r="G14" s="130" t="s">
        <v>31</v>
      </c>
      <c r="H14" s="130"/>
    </row>
    <row r="15" spans="1:10" x14ac:dyDescent="0.25">
      <c r="A15" s="3">
        <v>44568</v>
      </c>
      <c r="B15" s="124">
        <v>2178</v>
      </c>
      <c r="C15" s="124"/>
      <c r="D15" s="124"/>
      <c r="E15" s="124" t="s">
        <v>71</v>
      </c>
      <c r="F15" s="124"/>
      <c r="G15" s="131">
        <v>74000</v>
      </c>
      <c r="H15" s="131"/>
    </row>
    <row r="16" spans="1:10" x14ac:dyDescent="0.25">
      <c r="A16" s="17">
        <v>44574</v>
      </c>
      <c r="B16" s="124">
        <v>2195</v>
      </c>
      <c r="C16" s="124"/>
      <c r="D16" s="124"/>
      <c r="E16" s="124" t="s">
        <v>72</v>
      </c>
      <c r="F16" s="124"/>
      <c r="G16" s="131">
        <v>36000</v>
      </c>
      <c r="H16" s="131"/>
    </row>
    <row r="17" spans="1:13" x14ac:dyDescent="0.25">
      <c r="A17" s="17">
        <v>44579</v>
      </c>
      <c r="B17" s="124">
        <v>2205</v>
      </c>
      <c r="C17" s="124"/>
      <c r="D17" s="124"/>
      <c r="E17" s="124" t="s">
        <v>74</v>
      </c>
      <c r="F17" s="124"/>
      <c r="G17" s="131">
        <v>277000</v>
      </c>
      <c r="H17" s="131"/>
    </row>
    <row r="18" spans="1:13" x14ac:dyDescent="0.25">
      <c r="A18" s="17">
        <v>44580</v>
      </c>
      <c r="B18" s="124"/>
      <c r="C18" s="124"/>
      <c r="D18" s="124"/>
      <c r="E18" s="124" t="s">
        <v>75</v>
      </c>
      <c r="F18" s="124"/>
      <c r="G18" s="131">
        <v>6000</v>
      </c>
      <c r="H18" s="131"/>
      <c r="L18" s="4"/>
      <c r="M18" s="4"/>
    </row>
    <row r="19" spans="1:13" x14ac:dyDescent="0.25">
      <c r="A19" s="17"/>
      <c r="B19" s="124"/>
      <c r="C19" s="124"/>
      <c r="D19" s="124"/>
      <c r="E19" s="124"/>
      <c r="F19" s="124"/>
      <c r="G19" s="131"/>
      <c r="H19" s="131"/>
    </row>
    <row r="20" spans="1:13" x14ac:dyDescent="0.25">
      <c r="A20" s="17"/>
      <c r="B20" s="124"/>
      <c r="C20" s="124"/>
      <c r="D20" s="124"/>
      <c r="E20" s="124"/>
      <c r="F20" s="124"/>
      <c r="G20" s="131"/>
      <c r="H20" s="131"/>
    </row>
    <row r="21" spans="1:13" x14ac:dyDescent="0.25">
      <c r="A21" s="17"/>
      <c r="B21" s="124"/>
      <c r="C21" s="124"/>
      <c r="D21" s="124"/>
      <c r="E21" s="124"/>
      <c r="F21" s="124"/>
      <c r="G21" s="131"/>
      <c r="H21" s="131"/>
    </row>
    <row r="22" spans="1:13" x14ac:dyDescent="0.25">
      <c r="A22" s="17"/>
      <c r="B22" s="124"/>
      <c r="C22" s="124"/>
      <c r="D22" s="124"/>
      <c r="E22" s="124"/>
      <c r="F22" s="124"/>
      <c r="G22" s="131"/>
      <c r="H22" s="131"/>
    </row>
    <row r="23" spans="1:13" x14ac:dyDescent="0.25">
      <c r="A23" s="17"/>
      <c r="B23" s="124"/>
      <c r="C23" s="124"/>
      <c r="D23" s="124"/>
      <c r="E23" s="124"/>
      <c r="F23" s="124"/>
      <c r="G23" s="131"/>
      <c r="H23" s="131"/>
      <c r="K23" s="4"/>
    </row>
    <row r="24" spans="1:13" x14ac:dyDescent="0.25">
      <c r="A24" s="17"/>
      <c r="B24" s="124"/>
      <c r="C24" s="124"/>
      <c r="D24" s="124"/>
      <c r="E24" s="124"/>
      <c r="F24" s="124"/>
      <c r="G24" s="131"/>
      <c r="H24" s="131"/>
      <c r="K24" s="4"/>
    </row>
    <row r="25" spans="1:13" x14ac:dyDescent="0.25">
      <c r="A25" s="17"/>
      <c r="B25" s="124"/>
      <c r="C25" s="124"/>
      <c r="D25" s="124"/>
      <c r="E25" s="124"/>
      <c r="F25" s="124"/>
      <c r="G25" s="131"/>
      <c r="H25" s="131"/>
    </row>
    <row r="26" spans="1:13" x14ac:dyDescent="0.25">
      <c r="A26" s="17"/>
      <c r="B26" s="124"/>
      <c r="C26" s="124"/>
      <c r="D26" s="124"/>
      <c r="E26" s="124"/>
      <c r="F26" s="124"/>
      <c r="G26" s="131"/>
      <c r="H26" s="131"/>
    </row>
    <row r="27" spans="1:13" ht="15.75" thickBot="1" x14ac:dyDescent="0.3">
      <c r="A27" s="3"/>
      <c r="F27" s="133" t="s">
        <v>32</v>
      </c>
      <c r="G27" s="133"/>
      <c r="H27" s="12">
        <f>SUM(G15:H24)</f>
        <v>393000</v>
      </c>
    </row>
    <row r="29" spans="1:13" ht="15.75" thickBot="1" x14ac:dyDescent="0.3"/>
    <row r="30" spans="1:13" ht="19.5" thickBot="1" x14ac:dyDescent="0.35">
      <c r="A30" s="127" t="s">
        <v>10</v>
      </c>
      <c r="B30" s="128"/>
      <c r="C30" s="128"/>
      <c r="D30" s="128"/>
      <c r="E30" s="128"/>
      <c r="F30" s="128"/>
      <c r="G30" s="128"/>
      <c r="H30" s="129"/>
    </row>
    <row r="31" spans="1:13" ht="15" customHeight="1" thickBot="1" x14ac:dyDescent="0.3">
      <c r="A31" s="13" t="s">
        <v>0</v>
      </c>
      <c r="B31" s="134" t="s">
        <v>33</v>
      </c>
      <c r="C31" s="134"/>
      <c r="D31" s="134"/>
      <c r="E31" s="135" t="s">
        <v>34</v>
      </c>
      <c r="F31" s="135"/>
      <c r="G31" s="135" t="s">
        <v>35</v>
      </c>
      <c r="H31" s="136"/>
    </row>
    <row r="32" spans="1:13" x14ac:dyDescent="0.25">
      <c r="A32" s="14"/>
      <c r="B32" s="137"/>
      <c r="C32" s="137"/>
      <c r="D32" s="137"/>
      <c r="E32" s="132">
        <v>300000</v>
      </c>
      <c r="F32" s="132"/>
      <c r="G32" s="132"/>
      <c r="H32" s="132"/>
    </row>
    <row r="33" spans="1:8" x14ac:dyDescent="0.25">
      <c r="A33" s="17">
        <v>44574</v>
      </c>
      <c r="B33" s="124"/>
      <c r="C33" s="124"/>
      <c r="D33" s="124"/>
      <c r="E33" s="131">
        <v>550000</v>
      </c>
      <c r="F33" s="131"/>
      <c r="G33" s="132"/>
      <c r="H33" s="132"/>
    </row>
    <row r="34" spans="1:8" x14ac:dyDescent="0.25">
      <c r="A34" s="17">
        <v>44583</v>
      </c>
      <c r="B34" s="124"/>
      <c r="C34" s="124"/>
      <c r="D34" s="124"/>
      <c r="E34" s="131">
        <v>850000</v>
      </c>
      <c r="F34" s="131"/>
      <c r="G34" s="132"/>
      <c r="H34" s="132"/>
    </row>
    <row r="35" spans="1:8" ht="15.75" thickBot="1" x14ac:dyDescent="0.3">
      <c r="A35" s="15"/>
      <c r="B35" s="124"/>
      <c r="C35" s="124"/>
      <c r="D35" s="124"/>
      <c r="E35" s="139"/>
      <c r="F35" s="139"/>
      <c r="G35" s="132"/>
      <c r="H35" s="132"/>
    </row>
    <row r="36" spans="1:8" ht="15.75" thickBot="1" x14ac:dyDescent="0.3">
      <c r="A36" s="140" t="s">
        <v>36</v>
      </c>
      <c r="B36" s="140"/>
      <c r="C36" s="140"/>
      <c r="D36" s="140"/>
      <c r="E36" s="141">
        <f>SUM(E32:F35)</f>
        <v>1700000</v>
      </c>
      <c r="F36" s="142"/>
      <c r="G36" s="141"/>
      <c r="H36" s="143"/>
    </row>
    <row r="38" spans="1:8" ht="15.75" thickBot="1" x14ac:dyDescent="0.3"/>
    <row r="39" spans="1:8" ht="19.5" thickBot="1" x14ac:dyDescent="0.35">
      <c r="A39" s="127" t="s">
        <v>37</v>
      </c>
      <c r="B39" s="128"/>
      <c r="C39" s="128"/>
      <c r="D39" s="128"/>
      <c r="E39" s="128"/>
      <c r="F39" s="128"/>
      <c r="G39" s="128"/>
      <c r="H39" s="129"/>
    </row>
    <row r="40" spans="1:8" ht="15.75" thickBot="1" x14ac:dyDescent="0.3">
      <c r="A40" s="13" t="s">
        <v>0</v>
      </c>
      <c r="B40" s="134" t="s">
        <v>33</v>
      </c>
      <c r="C40" s="134"/>
      <c r="D40" s="134"/>
      <c r="E40" s="135" t="s">
        <v>38</v>
      </c>
      <c r="F40" s="135"/>
      <c r="G40" s="135" t="s">
        <v>35</v>
      </c>
      <c r="H40" s="136"/>
    </row>
    <row r="41" spans="1:8" x14ac:dyDescent="0.25">
      <c r="A41" s="16"/>
      <c r="B41" s="124"/>
      <c r="C41" s="124"/>
      <c r="D41" s="124"/>
      <c r="E41" s="131"/>
      <c r="F41" s="131"/>
      <c r="G41" s="138"/>
      <c r="H41" s="138"/>
    </row>
    <row r="42" spans="1:8" x14ac:dyDescent="0.25">
      <c r="A42" s="16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x14ac:dyDescent="0.25">
      <c r="A58" s="15"/>
      <c r="B58" s="124"/>
      <c r="C58" s="124"/>
      <c r="D58" s="124"/>
      <c r="E58" s="131"/>
      <c r="F58" s="131"/>
      <c r="G58" s="138"/>
      <c r="H58" s="138"/>
    </row>
    <row r="59" spans="1:8" x14ac:dyDescent="0.25">
      <c r="A59" s="15"/>
      <c r="B59" s="124"/>
      <c r="C59" s="124"/>
      <c r="D59" s="124"/>
      <c r="E59" s="131"/>
      <c r="F59" s="131"/>
      <c r="G59" s="138"/>
      <c r="H59" s="138"/>
    </row>
    <row r="60" spans="1:8" ht="15.75" thickBot="1" x14ac:dyDescent="0.3">
      <c r="A60" s="15"/>
      <c r="B60" s="124"/>
      <c r="C60" s="124"/>
      <c r="D60" s="124"/>
      <c r="E60" s="131"/>
      <c r="F60" s="131"/>
      <c r="G60" s="138">
        <f>H13-E60</f>
        <v>0</v>
      </c>
      <c r="H60" s="138"/>
    </row>
    <row r="61" spans="1:8" ht="15.75" thickBot="1" x14ac:dyDescent="0.3">
      <c r="A61" s="140" t="s">
        <v>36</v>
      </c>
      <c r="B61" s="140"/>
      <c r="C61" s="140"/>
      <c r="D61" s="140"/>
      <c r="E61" s="141">
        <f>SUM(E41:F60)</f>
        <v>0</v>
      </c>
      <c r="F61" s="142"/>
      <c r="G61" s="138">
        <f>H14-E61</f>
        <v>0</v>
      </c>
      <c r="H61" s="138"/>
    </row>
  </sheetData>
  <mergeCells count="135">
    <mergeCell ref="A61:D61"/>
    <mergeCell ref="E61:F61"/>
    <mergeCell ref="G61:H61"/>
    <mergeCell ref="B4:D4"/>
    <mergeCell ref="B5:D5"/>
    <mergeCell ref="B7:D7"/>
    <mergeCell ref="B6:D6"/>
    <mergeCell ref="B59:D59"/>
    <mergeCell ref="E59:F59"/>
    <mergeCell ref="G59:H59"/>
    <mergeCell ref="B60:D60"/>
    <mergeCell ref="E60:F60"/>
    <mergeCell ref="G60:H60"/>
    <mergeCell ref="B57:D57"/>
    <mergeCell ref="E57:F57"/>
    <mergeCell ref="G57:H57"/>
    <mergeCell ref="B58:D58"/>
    <mergeCell ref="E58:F58"/>
    <mergeCell ref="G58:H58"/>
    <mergeCell ref="B55:D55"/>
    <mergeCell ref="E55:F55"/>
    <mergeCell ref="G55:H55"/>
    <mergeCell ref="B56:D56"/>
    <mergeCell ref="E56:F56"/>
    <mergeCell ref="G56:H56"/>
    <mergeCell ref="B53:D53"/>
    <mergeCell ref="E53:F53"/>
    <mergeCell ref="G53:H53"/>
    <mergeCell ref="B54:D54"/>
    <mergeCell ref="E54:F54"/>
    <mergeCell ref="G54:H54"/>
    <mergeCell ref="B51:D51"/>
    <mergeCell ref="E51:F51"/>
    <mergeCell ref="G51:H51"/>
    <mergeCell ref="B52:D52"/>
    <mergeCell ref="E52:F52"/>
    <mergeCell ref="G52:H52"/>
    <mergeCell ref="B49:D49"/>
    <mergeCell ref="E49:F49"/>
    <mergeCell ref="G49:H49"/>
    <mergeCell ref="B50:D50"/>
    <mergeCell ref="E50:F50"/>
    <mergeCell ref="G50:H50"/>
    <mergeCell ref="B47:D47"/>
    <mergeCell ref="E47:F47"/>
    <mergeCell ref="G47:H47"/>
    <mergeCell ref="B48:D48"/>
    <mergeCell ref="E48:F48"/>
    <mergeCell ref="G48:H48"/>
    <mergeCell ref="B45:D45"/>
    <mergeCell ref="E45:F45"/>
    <mergeCell ref="G45:H45"/>
    <mergeCell ref="B46:D46"/>
    <mergeCell ref="E46:F46"/>
    <mergeCell ref="G46:H46"/>
    <mergeCell ref="B43:D43"/>
    <mergeCell ref="E43:F43"/>
    <mergeCell ref="G43:H43"/>
    <mergeCell ref="B44:D44"/>
    <mergeCell ref="E44:F44"/>
    <mergeCell ref="G44:H44"/>
    <mergeCell ref="B41:D41"/>
    <mergeCell ref="E41:F41"/>
    <mergeCell ref="G41:H41"/>
    <mergeCell ref="B42:D42"/>
    <mergeCell ref="E42:F42"/>
    <mergeCell ref="G42:H42"/>
    <mergeCell ref="A36:D36"/>
    <mergeCell ref="E36:F36"/>
    <mergeCell ref="G36:H36"/>
    <mergeCell ref="A39:H39"/>
    <mergeCell ref="B40:D40"/>
    <mergeCell ref="E40:F40"/>
    <mergeCell ref="G40:H40"/>
    <mergeCell ref="B34:D34"/>
    <mergeCell ref="E34:F34"/>
    <mergeCell ref="G34:H34"/>
    <mergeCell ref="B35:D35"/>
    <mergeCell ref="E35:F35"/>
    <mergeCell ref="G35:H35"/>
    <mergeCell ref="B32:D32"/>
    <mergeCell ref="E32:F32"/>
    <mergeCell ref="G32:H32"/>
    <mergeCell ref="B33:D33"/>
    <mergeCell ref="E33:F33"/>
    <mergeCell ref="G33:H33"/>
    <mergeCell ref="B26:D26"/>
    <mergeCell ref="E26:F26"/>
    <mergeCell ref="G26:H26"/>
    <mergeCell ref="F27:G27"/>
    <mergeCell ref="A30:H30"/>
    <mergeCell ref="B31:D31"/>
    <mergeCell ref="E31:F31"/>
    <mergeCell ref="G31:H31"/>
    <mergeCell ref="B24:D24"/>
    <mergeCell ref="E24:F24"/>
    <mergeCell ref="G24:H24"/>
    <mergeCell ref="B25:D25"/>
    <mergeCell ref="E25:F25"/>
    <mergeCell ref="G25:H25"/>
    <mergeCell ref="B22:D22"/>
    <mergeCell ref="E22:F22"/>
    <mergeCell ref="G22:H22"/>
    <mergeCell ref="B23:D23"/>
    <mergeCell ref="E23:F23"/>
    <mergeCell ref="G23:H23"/>
    <mergeCell ref="B20:D20"/>
    <mergeCell ref="E20:F20"/>
    <mergeCell ref="G20:H20"/>
    <mergeCell ref="B21:D21"/>
    <mergeCell ref="E21:F21"/>
    <mergeCell ref="G21:H21"/>
    <mergeCell ref="B18:D18"/>
    <mergeCell ref="E18:F18"/>
    <mergeCell ref="G18:H18"/>
    <mergeCell ref="B19:D19"/>
    <mergeCell ref="E19:F19"/>
    <mergeCell ref="G19:H19"/>
    <mergeCell ref="B16:D16"/>
    <mergeCell ref="E16:F16"/>
    <mergeCell ref="G16:H16"/>
    <mergeCell ref="B17:D17"/>
    <mergeCell ref="E17:F17"/>
    <mergeCell ref="G17:H17"/>
    <mergeCell ref="A13:H13"/>
    <mergeCell ref="B14:D14"/>
    <mergeCell ref="E14:F14"/>
    <mergeCell ref="G14:H14"/>
    <mergeCell ref="B15:D15"/>
    <mergeCell ref="E15:F15"/>
    <mergeCell ref="G15:H15"/>
    <mergeCell ref="A1:I1"/>
    <mergeCell ref="B2:D2"/>
    <mergeCell ref="B3:D3"/>
    <mergeCell ref="B10:D10"/>
  </mergeCells>
  <hyperlinks>
    <hyperlink ref="B5" r:id="rId1" xr:uid="{00000000-0004-0000-0300-000000000000}"/>
  </hyperlinks>
  <pageMargins left="0.7" right="0.7" top="0.75" bottom="0.75" header="0.3" footer="0.3"/>
  <pageSetup paperSize="9" orientation="portrait" horizontalDpi="0" verticalDpi="0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3"/>
  <dimension ref="A1:A2"/>
  <sheetViews>
    <sheetView workbookViewId="0">
      <selection activeCell="L25" sqref="L25"/>
    </sheetView>
  </sheetViews>
  <sheetFormatPr baseColWidth="10" defaultRowHeight="15" x14ac:dyDescent="0.25"/>
  <cols>
    <col min="1" max="1" width="17.7109375" customWidth="1"/>
  </cols>
  <sheetData>
    <row r="1" spans="1:1" x14ac:dyDescent="0.25">
      <c r="A1" s="6" t="s">
        <v>15</v>
      </c>
    </row>
    <row r="2" spans="1:1" x14ac:dyDescent="0.25">
      <c r="A2" s="8" t="s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7BE9B-0D18-4590-9F50-6371C1521216}">
  <sheetPr>
    <tabColor theme="4" tint="-0.249977111117893"/>
  </sheetPr>
  <dimension ref="A1:M59"/>
  <sheetViews>
    <sheetView workbookViewId="0">
      <selection activeCell="M13" sqref="M13"/>
    </sheetView>
  </sheetViews>
  <sheetFormatPr baseColWidth="10" defaultRowHeight="15" x14ac:dyDescent="0.25"/>
  <cols>
    <col min="1" max="1" width="19.7109375" customWidth="1"/>
    <col min="2" max="2" width="9.42578125" customWidth="1"/>
    <col min="3" max="3" width="2.140625" customWidth="1"/>
    <col min="4" max="4" width="12" customWidth="1"/>
    <col min="6" max="6" width="16.5703125" customWidth="1"/>
    <col min="7" max="7" width="7.7109375" customWidth="1"/>
    <col min="8" max="8" width="18.140625" customWidth="1"/>
    <col min="9" max="9" width="12.5703125" bestFit="1" customWidth="1"/>
    <col min="10" max="10" width="14.5703125" bestFit="1" customWidth="1"/>
    <col min="12" max="12" width="14.5703125" bestFit="1" customWidth="1"/>
    <col min="13" max="13" width="15.140625" bestFit="1" customWidth="1"/>
  </cols>
  <sheetData>
    <row r="1" spans="1:13" ht="28.5" x14ac:dyDescent="0.45">
      <c r="A1" s="121" t="s">
        <v>12</v>
      </c>
      <c r="B1" s="121"/>
      <c r="C1" s="121"/>
      <c r="D1" s="121"/>
      <c r="E1" s="121"/>
      <c r="F1" s="121"/>
      <c r="G1" s="121"/>
      <c r="H1" s="121"/>
      <c r="I1" s="121"/>
    </row>
    <row r="2" spans="1:13" x14ac:dyDescent="0.25">
      <c r="A2" s="7" t="s">
        <v>18</v>
      </c>
      <c r="B2" s="122" t="s">
        <v>111</v>
      </c>
      <c r="C2" s="122"/>
      <c r="D2" s="122"/>
      <c r="F2" s="7" t="s">
        <v>19</v>
      </c>
      <c r="H2" s="9">
        <v>44616</v>
      </c>
    </row>
    <row r="3" spans="1:13" x14ac:dyDescent="0.25">
      <c r="A3" s="7" t="s">
        <v>20</v>
      </c>
      <c r="B3" s="122" t="s">
        <v>112</v>
      </c>
      <c r="C3" s="122"/>
      <c r="D3" s="122"/>
      <c r="F3" s="7" t="s">
        <v>21</v>
      </c>
      <c r="H3" s="9"/>
    </row>
    <row r="4" spans="1:13" x14ac:dyDescent="0.25">
      <c r="A4" s="7" t="s">
        <v>22</v>
      </c>
      <c r="B4" s="122" t="s">
        <v>113</v>
      </c>
      <c r="C4" s="122"/>
      <c r="D4" s="122"/>
      <c r="J4" s="39">
        <f>B9-H9</f>
        <v>2208160</v>
      </c>
    </row>
    <row r="5" spans="1:13" x14ac:dyDescent="0.25">
      <c r="A5" s="7" t="s">
        <v>23</v>
      </c>
      <c r="B5" s="122" t="s">
        <v>114</v>
      </c>
      <c r="C5" s="122"/>
    </row>
    <row r="6" spans="1:13" x14ac:dyDescent="0.25">
      <c r="A6" s="7" t="s">
        <v>24</v>
      </c>
      <c r="B6" s="123">
        <v>3104118477</v>
      </c>
      <c r="C6" s="122"/>
    </row>
    <row r="9" spans="1:13" x14ac:dyDescent="0.25">
      <c r="A9" s="7" t="s">
        <v>25</v>
      </c>
      <c r="B9" s="126">
        <v>4000000</v>
      </c>
      <c r="C9" s="126"/>
      <c r="D9" s="126"/>
      <c r="E9" s="7" t="s">
        <v>26</v>
      </c>
      <c r="F9" s="7"/>
      <c r="H9" s="10">
        <f>(B9-H25)*0.6</f>
        <v>1791840</v>
      </c>
    </row>
    <row r="10" spans="1:13" x14ac:dyDescent="0.25">
      <c r="L10" s="39">
        <f>B9-H9-H25</f>
        <v>1194560</v>
      </c>
    </row>
    <row r="11" spans="1:13" ht="15.75" thickBot="1" x14ac:dyDescent="0.3">
      <c r="B11" s="1"/>
      <c r="C11" s="1"/>
      <c r="D11" s="1"/>
      <c r="E11" s="1"/>
      <c r="F11" s="1"/>
      <c r="G11" s="5"/>
      <c r="H11" s="1"/>
    </row>
    <row r="12" spans="1:13" ht="19.5" thickBot="1" x14ac:dyDescent="0.35">
      <c r="A12" s="127" t="s">
        <v>27</v>
      </c>
      <c r="B12" s="128"/>
      <c r="C12" s="128"/>
      <c r="D12" s="128"/>
      <c r="E12" s="128"/>
      <c r="F12" s="128"/>
      <c r="G12" s="128"/>
      <c r="H12" s="129"/>
    </row>
    <row r="13" spans="1:13" x14ac:dyDescent="0.25">
      <c r="A13" s="18" t="s">
        <v>28</v>
      </c>
      <c r="B13" s="130" t="s">
        <v>29</v>
      </c>
      <c r="C13" s="130"/>
      <c r="D13" s="130"/>
      <c r="E13" s="130" t="s">
        <v>30</v>
      </c>
      <c r="F13" s="130"/>
      <c r="G13" s="130" t="s">
        <v>31</v>
      </c>
      <c r="H13" s="130"/>
      <c r="L13" s="39"/>
    </row>
    <row r="14" spans="1:13" x14ac:dyDescent="0.25">
      <c r="A14" s="3">
        <v>44617</v>
      </c>
      <c r="B14" s="124"/>
      <c r="C14" s="124"/>
      <c r="D14" s="124"/>
      <c r="E14" s="124" t="s">
        <v>61</v>
      </c>
      <c r="F14" s="124"/>
      <c r="G14" s="125">
        <v>5000</v>
      </c>
      <c r="H14" s="125"/>
      <c r="L14" s="39"/>
    </row>
    <row r="15" spans="1:13" x14ac:dyDescent="0.25">
      <c r="A15" s="17" t="s">
        <v>116</v>
      </c>
      <c r="B15" s="124"/>
      <c r="C15" s="124"/>
      <c r="D15" s="124"/>
      <c r="E15" s="124" t="s">
        <v>117</v>
      </c>
      <c r="F15" s="124"/>
      <c r="G15" s="125">
        <v>10000</v>
      </c>
      <c r="H15" s="125"/>
      <c r="L15" s="39"/>
    </row>
    <row r="16" spans="1:13" x14ac:dyDescent="0.25">
      <c r="A16" s="17">
        <v>44801</v>
      </c>
      <c r="B16" s="124"/>
      <c r="C16" s="124"/>
      <c r="D16" s="124"/>
      <c r="E16" s="124" t="s">
        <v>118</v>
      </c>
      <c r="F16" s="124"/>
      <c r="G16" s="125">
        <v>6000</v>
      </c>
      <c r="H16" s="125"/>
      <c r="L16" s="4"/>
      <c r="M16" s="4"/>
    </row>
    <row r="17" spans="1:9" x14ac:dyDescent="0.25">
      <c r="A17" s="17">
        <v>44801</v>
      </c>
      <c r="B17" s="124"/>
      <c r="C17" s="124"/>
      <c r="D17" s="124"/>
      <c r="E17" s="124" t="s">
        <v>118</v>
      </c>
      <c r="F17" s="124"/>
      <c r="G17" s="125">
        <v>6000</v>
      </c>
      <c r="H17" s="125"/>
    </row>
    <row r="18" spans="1:9" x14ac:dyDescent="0.25">
      <c r="A18" s="17">
        <v>44621</v>
      </c>
      <c r="B18" s="124"/>
      <c r="C18" s="124"/>
      <c r="D18" s="124"/>
      <c r="E18" s="124" t="s">
        <v>118</v>
      </c>
      <c r="F18" s="124"/>
      <c r="G18" s="125">
        <v>6000</v>
      </c>
      <c r="H18" s="125"/>
    </row>
    <row r="19" spans="1:9" x14ac:dyDescent="0.25">
      <c r="A19" s="17">
        <v>44616</v>
      </c>
      <c r="B19" s="124">
        <v>2300</v>
      </c>
      <c r="C19" s="124"/>
      <c r="D19" s="124"/>
      <c r="E19" s="124" t="s">
        <v>74</v>
      </c>
      <c r="F19" s="124"/>
      <c r="G19" s="125">
        <v>940000</v>
      </c>
      <c r="H19" s="125"/>
    </row>
    <row r="20" spans="1:9" x14ac:dyDescent="0.25">
      <c r="A20" s="17">
        <v>44616</v>
      </c>
      <c r="B20" s="124">
        <v>2301</v>
      </c>
      <c r="C20" s="124"/>
      <c r="D20" s="124"/>
      <c r="E20" s="124" t="s">
        <v>74</v>
      </c>
      <c r="F20" s="124"/>
      <c r="G20" s="125">
        <v>30000</v>
      </c>
      <c r="H20" s="125"/>
    </row>
    <row r="21" spans="1:9" x14ac:dyDescent="0.25">
      <c r="A21" s="17">
        <v>44623</v>
      </c>
      <c r="B21" s="124"/>
      <c r="C21" s="124"/>
      <c r="D21" s="124"/>
      <c r="E21" s="124" t="s">
        <v>126</v>
      </c>
      <c r="F21" s="124"/>
      <c r="G21" s="125">
        <v>600</v>
      </c>
      <c r="H21" s="125"/>
      <c r="I21" s="4"/>
    </row>
    <row r="22" spans="1:9" x14ac:dyDescent="0.25">
      <c r="A22" s="17">
        <v>44623</v>
      </c>
      <c r="B22" s="124"/>
      <c r="C22" s="124"/>
      <c r="D22" s="124"/>
      <c r="E22" s="124" t="s">
        <v>117</v>
      </c>
      <c r="F22" s="124"/>
      <c r="G22" s="131">
        <v>10000</v>
      </c>
      <c r="H22" s="131"/>
    </row>
    <row r="23" spans="1:9" x14ac:dyDescent="0.25">
      <c r="A23" s="17"/>
      <c r="B23" s="124"/>
      <c r="C23" s="124"/>
      <c r="D23" s="124"/>
      <c r="E23" s="124"/>
      <c r="F23" s="124"/>
      <c r="G23" s="125"/>
      <c r="H23" s="125"/>
    </row>
    <row r="24" spans="1:9" x14ac:dyDescent="0.25">
      <c r="A24" s="17"/>
      <c r="B24" s="124"/>
      <c r="C24" s="124"/>
      <c r="D24" s="124"/>
      <c r="E24" s="124"/>
      <c r="F24" s="124"/>
      <c r="G24" s="131"/>
      <c r="H24" s="131"/>
    </row>
    <row r="25" spans="1:9" ht="15.75" thickBot="1" x14ac:dyDescent="0.3">
      <c r="A25" s="3"/>
      <c r="F25" s="133" t="s">
        <v>32</v>
      </c>
      <c r="G25" s="133"/>
      <c r="H25" s="12">
        <f>SUM(G14:H24)</f>
        <v>1013600</v>
      </c>
    </row>
    <row r="27" spans="1:9" ht="15.75" thickBot="1" x14ac:dyDescent="0.3"/>
    <row r="28" spans="1:9" ht="19.5" thickBot="1" x14ac:dyDescent="0.35">
      <c r="A28" s="127" t="s">
        <v>10</v>
      </c>
      <c r="B28" s="128"/>
      <c r="C28" s="128"/>
      <c r="D28" s="128"/>
      <c r="E28" s="128"/>
      <c r="F28" s="128"/>
      <c r="G28" s="128"/>
      <c r="H28" s="129"/>
    </row>
    <row r="29" spans="1:9" ht="15" customHeight="1" thickBot="1" x14ac:dyDescent="0.3">
      <c r="A29" s="13" t="s">
        <v>0</v>
      </c>
      <c r="B29" s="134" t="s">
        <v>33</v>
      </c>
      <c r="C29" s="134"/>
      <c r="D29" s="134"/>
      <c r="E29" s="135" t="s">
        <v>34</v>
      </c>
      <c r="F29" s="135"/>
      <c r="G29" s="135" t="s">
        <v>35</v>
      </c>
      <c r="H29" s="136"/>
    </row>
    <row r="30" spans="1:9" x14ac:dyDescent="0.25">
      <c r="A30" s="38">
        <v>44616</v>
      </c>
      <c r="B30" s="137" t="s">
        <v>115</v>
      </c>
      <c r="C30" s="137"/>
      <c r="D30" s="137"/>
      <c r="E30" s="132">
        <v>2000000</v>
      </c>
      <c r="F30" s="132"/>
      <c r="G30" s="132">
        <f>B9-E34</f>
        <v>2000000</v>
      </c>
      <c r="H30" s="132"/>
    </row>
    <row r="31" spans="1:9" x14ac:dyDescent="0.25">
      <c r="A31" s="17"/>
      <c r="B31" s="124"/>
      <c r="C31" s="124"/>
      <c r="D31" s="124"/>
      <c r="E31" s="131"/>
      <c r="F31" s="131"/>
      <c r="G31" s="132"/>
      <c r="H31" s="132"/>
    </row>
    <row r="32" spans="1:9" x14ac:dyDescent="0.25">
      <c r="A32" s="15"/>
      <c r="B32" s="124"/>
      <c r="C32" s="124"/>
      <c r="D32" s="124"/>
      <c r="E32" s="131"/>
      <c r="F32" s="131"/>
      <c r="G32" s="132"/>
      <c r="H32" s="132"/>
    </row>
    <row r="33" spans="1:8" ht="15.75" thickBot="1" x14ac:dyDescent="0.3">
      <c r="A33" s="15"/>
      <c r="B33" s="124"/>
      <c r="C33" s="124"/>
      <c r="D33" s="124"/>
      <c r="E33" s="139"/>
      <c r="F33" s="139"/>
      <c r="G33" s="132"/>
      <c r="H33" s="132"/>
    </row>
    <row r="34" spans="1:8" ht="15.75" thickBot="1" x14ac:dyDescent="0.3">
      <c r="A34" s="140" t="s">
        <v>36</v>
      </c>
      <c r="B34" s="140"/>
      <c r="C34" s="140"/>
      <c r="D34" s="140"/>
      <c r="E34" s="141">
        <f>SUM(E30:F33)</f>
        <v>2000000</v>
      </c>
      <c r="F34" s="142"/>
      <c r="G34" s="141"/>
      <c r="H34" s="143"/>
    </row>
    <row r="36" spans="1:8" ht="15.75" thickBot="1" x14ac:dyDescent="0.3"/>
    <row r="37" spans="1:8" ht="19.5" thickBot="1" x14ac:dyDescent="0.35">
      <c r="A37" s="127" t="s">
        <v>37</v>
      </c>
      <c r="B37" s="128"/>
      <c r="C37" s="128"/>
      <c r="D37" s="128"/>
      <c r="E37" s="128"/>
      <c r="F37" s="128"/>
      <c r="G37" s="128"/>
      <c r="H37" s="129"/>
    </row>
    <row r="38" spans="1:8" ht="15.75" thickBot="1" x14ac:dyDescent="0.3">
      <c r="A38" s="13" t="s">
        <v>0</v>
      </c>
      <c r="B38" s="134" t="s">
        <v>33</v>
      </c>
      <c r="C38" s="134"/>
      <c r="D38" s="134"/>
      <c r="E38" s="135" t="s">
        <v>38</v>
      </c>
      <c r="F38" s="135"/>
      <c r="G38" s="135" t="s">
        <v>35</v>
      </c>
      <c r="H38" s="136"/>
    </row>
    <row r="39" spans="1:8" x14ac:dyDescent="0.25">
      <c r="A39" s="16">
        <v>44618</v>
      </c>
      <c r="B39" s="124"/>
      <c r="C39" s="124"/>
      <c r="D39" s="124"/>
      <c r="E39" s="131">
        <v>1000000</v>
      </c>
      <c r="F39" s="131"/>
      <c r="G39" s="138">
        <f>H9-E59</f>
        <v>791840</v>
      </c>
      <c r="H39" s="138"/>
    </row>
    <row r="40" spans="1:8" x14ac:dyDescent="0.25">
      <c r="A40" s="16"/>
      <c r="B40" s="124"/>
      <c r="C40" s="124"/>
      <c r="D40" s="124"/>
      <c r="E40" s="131"/>
      <c r="F40" s="131"/>
      <c r="G40" s="138"/>
      <c r="H40" s="138"/>
    </row>
    <row r="41" spans="1:8" x14ac:dyDescent="0.25">
      <c r="A41" s="15"/>
      <c r="B41" s="124"/>
      <c r="C41" s="124"/>
      <c r="D41" s="124"/>
      <c r="E41" s="131"/>
      <c r="F41" s="131"/>
      <c r="G41" s="138"/>
      <c r="H41" s="138"/>
    </row>
    <row r="42" spans="1:8" x14ac:dyDescent="0.25">
      <c r="A42" s="15"/>
      <c r="B42" s="124"/>
      <c r="C42" s="124"/>
      <c r="D42" s="124"/>
      <c r="E42" s="131"/>
      <c r="F42" s="131"/>
      <c r="G42" s="138"/>
      <c r="H42" s="138"/>
    </row>
    <row r="43" spans="1:8" x14ac:dyDescent="0.25">
      <c r="A43" s="15"/>
      <c r="B43" s="124"/>
      <c r="C43" s="124"/>
      <c r="D43" s="124"/>
      <c r="E43" s="131"/>
      <c r="F43" s="131"/>
      <c r="G43" s="138"/>
      <c r="H43" s="138"/>
    </row>
    <row r="44" spans="1:8" x14ac:dyDescent="0.25">
      <c r="A44" s="15"/>
      <c r="B44" s="124"/>
      <c r="C44" s="124"/>
      <c r="D44" s="124"/>
      <c r="E44" s="131"/>
      <c r="F44" s="131"/>
      <c r="G44" s="138"/>
      <c r="H44" s="138"/>
    </row>
    <row r="45" spans="1:8" x14ac:dyDescent="0.25">
      <c r="A45" s="15"/>
      <c r="B45" s="124"/>
      <c r="C45" s="124"/>
      <c r="D45" s="124"/>
      <c r="E45" s="131"/>
      <c r="F45" s="131"/>
      <c r="G45" s="138"/>
      <c r="H45" s="138"/>
    </row>
    <row r="46" spans="1:8" x14ac:dyDescent="0.25">
      <c r="A46" s="15"/>
      <c r="B46" s="124"/>
      <c r="C46" s="124"/>
      <c r="D46" s="124"/>
      <c r="E46" s="131"/>
      <c r="F46" s="131"/>
      <c r="G46" s="138"/>
      <c r="H46" s="138"/>
    </row>
    <row r="47" spans="1:8" x14ac:dyDescent="0.25">
      <c r="A47" s="15"/>
      <c r="B47" s="124"/>
      <c r="C47" s="124"/>
      <c r="D47" s="124"/>
      <c r="E47" s="131"/>
      <c r="F47" s="131"/>
      <c r="G47" s="138"/>
      <c r="H47" s="138"/>
    </row>
    <row r="48" spans="1:8" x14ac:dyDescent="0.25">
      <c r="A48" s="15"/>
      <c r="B48" s="124"/>
      <c r="C48" s="124"/>
      <c r="D48" s="124"/>
      <c r="E48" s="131"/>
      <c r="F48" s="131"/>
      <c r="G48" s="138"/>
      <c r="H48" s="138"/>
    </row>
    <row r="49" spans="1:8" x14ac:dyDescent="0.25">
      <c r="A49" s="15"/>
      <c r="B49" s="124"/>
      <c r="C49" s="124"/>
      <c r="D49" s="124"/>
      <c r="E49" s="131"/>
      <c r="F49" s="131"/>
      <c r="G49" s="138"/>
      <c r="H49" s="138"/>
    </row>
    <row r="50" spans="1:8" x14ac:dyDescent="0.25">
      <c r="A50" s="15"/>
      <c r="B50" s="124"/>
      <c r="C50" s="124"/>
      <c r="D50" s="124"/>
      <c r="E50" s="131"/>
      <c r="F50" s="131"/>
      <c r="G50" s="138"/>
      <c r="H50" s="138"/>
    </row>
    <row r="51" spans="1:8" x14ac:dyDescent="0.25">
      <c r="A51" s="15"/>
      <c r="B51" s="124"/>
      <c r="C51" s="124"/>
      <c r="D51" s="124"/>
      <c r="E51" s="131"/>
      <c r="F51" s="131"/>
      <c r="G51" s="138"/>
      <c r="H51" s="138"/>
    </row>
    <row r="52" spans="1:8" x14ac:dyDescent="0.25">
      <c r="A52" s="15"/>
      <c r="B52" s="124"/>
      <c r="C52" s="124"/>
      <c r="D52" s="124"/>
      <c r="E52" s="131"/>
      <c r="F52" s="131"/>
      <c r="G52" s="138"/>
      <c r="H52" s="138"/>
    </row>
    <row r="53" spans="1:8" x14ac:dyDescent="0.25">
      <c r="A53" s="15"/>
      <c r="B53" s="124"/>
      <c r="C53" s="124"/>
      <c r="D53" s="124"/>
      <c r="E53" s="131"/>
      <c r="F53" s="131"/>
      <c r="G53" s="138"/>
      <c r="H53" s="138"/>
    </row>
    <row r="54" spans="1:8" x14ac:dyDescent="0.25">
      <c r="A54" s="15"/>
      <c r="B54" s="124"/>
      <c r="C54" s="124"/>
      <c r="D54" s="124"/>
      <c r="E54" s="131"/>
      <c r="F54" s="131"/>
      <c r="G54" s="138"/>
      <c r="H54" s="138"/>
    </row>
    <row r="55" spans="1:8" x14ac:dyDescent="0.25">
      <c r="A55" s="15"/>
      <c r="B55" s="124"/>
      <c r="C55" s="124"/>
      <c r="D55" s="124"/>
      <c r="E55" s="131"/>
      <c r="F55" s="131"/>
      <c r="G55" s="138"/>
      <c r="H55" s="138"/>
    </row>
    <row r="56" spans="1:8" x14ac:dyDescent="0.25">
      <c r="A56" s="15"/>
      <c r="B56" s="124"/>
      <c r="C56" s="124"/>
      <c r="D56" s="124"/>
      <c r="E56" s="131"/>
      <c r="F56" s="131"/>
      <c r="G56" s="138"/>
      <c r="H56" s="138"/>
    </row>
    <row r="57" spans="1:8" x14ac:dyDescent="0.25">
      <c r="A57" s="15"/>
      <c r="B57" s="124"/>
      <c r="C57" s="124"/>
      <c r="D57" s="124"/>
      <c r="E57" s="131"/>
      <c r="F57" s="131"/>
      <c r="G57" s="138"/>
      <c r="H57" s="138"/>
    </row>
    <row r="58" spans="1:8" ht="15.75" thickBot="1" x14ac:dyDescent="0.3">
      <c r="A58" s="15"/>
      <c r="B58" s="124"/>
      <c r="C58" s="124"/>
      <c r="D58" s="124"/>
      <c r="E58" s="131"/>
      <c r="F58" s="131"/>
      <c r="G58" s="138">
        <f>H12-E58</f>
        <v>0</v>
      </c>
      <c r="H58" s="138"/>
    </row>
    <row r="59" spans="1:8" ht="15.75" thickBot="1" x14ac:dyDescent="0.3">
      <c r="A59" s="140" t="s">
        <v>36</v>
      </c>
      <c r="B59" s="140"/>
      <c r="C59" s="140"/>
      <c r="D59" s="140"/>
      <c r="E59" s="141">
        <f>SUM(E39:F58)</f>
        <v>1000000</v>
      </c>
      <c r="F59" s="142"/>
      <c r="G59" s="138">
        <f>H13-E59</f>
        <v>-1000000</v>
      </c>
      <c r="H59" s="138"/>
    </row>
  </sheetData>
  <mergeCells count="131">
    <mergeCell ref="A1:I1"/>
    <mergeCell ref="B2:D2"/>
    <mergeCell ref="B3:D3"/>
    <mergeCell ref="B4:D4"/>
    <mergeCell ref="B5:C5"/>
    <mergeCell ref="B6:C6"/>
    <mergeCell ref="B15:D15"/>
    <mergeCell ref="E15:F15"/>
    <mergeCell ref="G15:H15"/>
    <mergeCell ref="B16:D16"/>
    <mergeCell ref="E16:F16"/>
    <mergeCell ref="G16:H16"/>
    <mergeCell ref="B9:D9"/>
    <mergeCell ref="A12:H12"/>
    <mergeCell ref="B13:D13"/>
    <mergeCell ref="E13:F13"/>
    <mergeCell ref="G13:H13"/>
    <mergeCell ref="B14:D14"/>
    <mergeCell ref="E14:F14"/>
    <mergeCell ref="G14:H14"/>
    <mergeCell ref="B19:D19"/>
    <mergeCell ref="E19:F19"/>
    <mergeCell ref="G19:H19"/>
    <mergeCell ref="B20:D20"/>
    <mergeCell ref="E20:F20"/>
    <mergeCell ref="G20:H20"/>
    <mergeCell ref="B17:D17"/>
    <mergeCell ref="E17:F17"/>
    <mergeCell ref="G17:H17"/>
    <mergeCell ref="B18:D18"/>
    <mergeCell ref="E18:F18"/>
    <mergeCell ref="G18:H18"/>
    <mergeCell ref="B23:D23"/>
    <mergeCell ref="E23:F23"/>
    <mergeCell ref="G23:H23"/>
    <mergeCell ref="B24:D24"/>
    <mergeCell ref="E24:F24"/>
    <mergeCell ref="G24:H24"/>
    <mergeCell ref="B21:D21"/>
    <mergeCell ref="E21:F21"/>
    <mergeCell ref="G21:H21"/>
    <mergeCell ref="B22:D22"/>
    <mergeCell ref="E22:F22"/>
    <mergeCell ref="G22:H22"/>
    <mergeCell ref="B31:D31"/>
    <mergeCell ref="E31:F31"/>
    <mergeCell ref="G31:H31"/>
    <mergeCell ref="B32:D32"/>
    <mergeCell ref="E32:F32"/>
    <mergeCell ref="G32:H32"/>
    <mergeCell ref="F25:G25"/>
    <mergeCell ref="A28:H28"/>
    <mergeCell ref="B29:D29"/>
    <mergeCell ref="E29:F29"/>
    <mergeCell ref="G29:H29"/>
    <mergeCell ref="B30:D30"/>
    <mergeCell ref="E30:F30"/>
    <mergeCell ref="G30:H30"/>
    <mergeCell ref="A37:H37"/>
    <mergeCell ref="B38:D38"/>
    <mergeCell ref="E38:F38"/>
    <mergeCell ref="G38:H38"/>
    <mergeCell ref="B39:D39"/>
    <mergeCell ref="E39:F39"/>
    <mergeCell ref="G39:H39"/>
    <mergeCell ref="B33:D33"/>
    <mergeCell ref="E33:F33"/>
    <mergeCell ref="G33:H33"/>
    <mergeCell ref="A34:D34"/>
    <mergeCell ref="E34:F34"/>
    <mergeCell ref="G34:H34"/>
    <mergeCell ref="B42:D42"/>
    <mergeCell ref="E42:F42"/>
    <mergeCell ref="G42:H42"/>
    <mergeCell ref="B43:D43"/>
    <mergeCell ref="E43:F43"/>
    <mergeCell ref="G43:H43"/>
    <mergeCell ref="B40:D40"/>
    <mergeCell ref="E40:F40"/>
    <mergeCell ref="G40:H40"/>
    <mergeCell ref="B41:D41"/>
    <mergeCell ref="E41:F41"/>
    <mergeCell ref="G41:H41"/>
    <mergeCell ref="B46:D46"/>
    <mergeCell ref="E46:F46"/>
    <mergeCell ref="G46:H46"/>
    <mergeCell ref="B47:D47"/>
    <mergeCell ref="E47:F47"/>
    <mergeCell ref="G47:H47"/>
    <mergeCell ref="B44:D44"/>
    <mergeCell ref="E44:F44"/>
    <mergeCell ref="G44:H44"/>
    <mergeCell ref="B45:D45"/>
    <mergeCell ref="E45:F45"/>
    <mergeCell ref="G45:H45"/>
    <mergeCell ref="B50:D50"/>
    <mergeCell ref="E50:F50"/>
    <mergeCell ref="G50:H50"/>
    <mergeCell ref="B51:D51"/>
    <mergeCell ref="E51:F51"/>
    <mergeCell ref="G51:H51"/>
    <mergeCell ref="B48:D48"/>
    <mergeCell ref="E48:F48"/>
    <mergeCell ref="G48:H48"/>
    <mergeCell ref="B49:D49"/>
    <mergeCell ref="E49:F49"/>
    <mergeCell ref="G49:H49"/>
    <mergeCell ref="B54:D54"/>
    <mergeCell ref="E54:F54"/>
    <mergeCell ref="G54:H54"/>
    <mergeCell ref="B55:D55"/>
    <mergeCell ref="E55:F55"/>
    <mergeCell ref="G55:H55"/>
    <mergeCell ref="B52:D52"/>
    <mergeCell ref="E52:F52"/>
    <mergeCell ref="G52:H52"/>
    <mergeCell ref="B53:D53"/>
    <mergeCell ref="E53:F53"/>
    <mergeCell ref="G53:H53"/>
    <mergeCell ref="B58:D58"/>
    <mergeCell ref="E58:F58"/>
    <mergeCell ref="G58:H58"/>
    <mergeCell ref="A59:D59"/>
    <mergeCell ref="E59:F59"/>
    <mergeCell ref="G59:H59"/>
    <mergeCell ref="B56:D56"/>
    <mergeCell ref="E56:F56"/>
    <mergeCell ref="G56:H56"/>
    <mergeCell ref="B57:D57"/>
    <mergeCell ref="E57:F57"/>
    <mergeCell ref="G57:H57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31</vt:i4>
      </vt:variant>
    </vt:vector>
  </HeadingPairs>
  <TitlesOfParts>
    <vt:vector size="31" baseType="lpstr">
      <vt:lpstr>MASILLA</vt:lpstr>
      <vt:lpstr>RESUMEN ENERO-SEPT</vt:lpstr>
      <vt:lpstr>RESUMEN2022</vt:lpstr>
      <vt:lpstr>REGISTRO 2023</vt:lpstr>
      <vt:lpstr>VARICHEM</vt:lpstr>
      <vt:lpstr>LANDROVER</vt:lpstr>
      <vt:lpstr>CARRO</vt:lpstr>
      <vt:lpstr>ESTADISTICAS</vt:lpstr>
      <vt:lpstr>Hoja8</vt:lpstr>
      <vt:lpstr>CHANA</vt:lpstr>
      <vt:lpstr>LOGAN NEGRO</vt:lpstr>
      <vt:lpstr>BUSETA TMGOLF</vt:lpstr>
      <vt:lpstr>WILLYS</vt:lpstr>
      <vt:lpstr>BUSETA CITROEN</vt:lpstr>
      <vt:lpstr>PAGOS</vt:lpstr>
      <vt:lpstr>JAC</vt:lpstr>
      <vt:lpstr>SWICK- CITROEN</vt:lpstr>
      <vt:lpstr>RENAULT CLIO</vt:lpstr>
      <vt:lpstr>METALCARGO NKR</vt:lpstr>
      <vt:lpstr>TOYOTA</vt:lpstr>
      <vt:lpstr>ADELANTOS</vt:lpstr>
      <vt:lpstr>Hoja4</vt:lpstr>
      <vt:lpstr>Hoja1</vt:lpstr>
      <vt:lpstr>LAND ROVER</vt:lpstr>
      <vt:lpstr>BUSETA NEGRA</vt:lpstr>
      <vt:lpstr>TWINGO (2)</vt:lpstr>
      <vt:lpstr>CARRO VERDE</vt:lpstr>
      <vt:lpstr>CAMION ROJO</vt:lpstr>
      <vt:lpstr>LOGAN</vt:lpstr>
      <vt:lpstr>DETALLES</vt:lpstr>
      <vt:lpstr>KENWORTH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MultiFrenos de la Sabana</cp:lastModifiedBy>
  <cp:lastPrinted>2022-12-17T19:03:34Z</cp:lastPrinted>
  <dcterms:created xsi:type="dcterms:W3CDTF">2021-12-01T14:32:39Z</dcterms:created>
  <dcterms:modified xsi:type="dcterms:W3CDTF">2023-03-25T19:10:04Z</dcterms:modified>
</cp:coreProperties>
</file>