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ksandrkudrasov/Desktop/Drive/СБЕР КЕЙС/"/>
    </mc:Choice>
  </mc:AlternateContent>
  <xr:revisionPtr revIDLastSave="0" documentId="13_ncr:1_{8946C5E4-5415-384A-B06C-0DE08D0FA14E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Результаты" sheetId="1" r:id="rId1"/>
    <sheet name="Анализ результатов" sheetId="4" r:id="rId2"/>
    <sheet name="Внешние данные" sheetId="19" r:id="rId3"/>
    <sheet name="Рейсы" sheetId="5" r:id="rId4"/>
    <sheet name="Данные по авиапарку" sheetId="3" r:id="rId5"/>
    <sheet name="Оптимизация рейсов" sheetId="6" r:id="rId6"/>
    <sheet name="Без инициатив" sheetId="15" r:id="rId7"/>
    <sheet name="Циклы" sheetId="12" r:id="rId8"/>
    <sheet name="Изначальные данные" sheetId="17" r:id="rId9"/>
  </sheets>
  <definedNames>
    <definedName name="depreciation_rate">'Данные по авиапарку'!$P$21</definedName>
    <definedName name="eb_mult">'Внешние данные'!$C$47</definedName>
    <definedName name="eb_std">'Внешние данные'!$C$48</definedName>
    <definedName name="fuel_pric">'Данные по авиапарку'!$I$21</definedName>
    <definedName name="fuel_price">'Данные по авиапарку'!$I$21</definedName>
    <definedName name="fuel_price2">'Данные по авиапарку'!$I$21</definedName>
    <definedName name="inf_2020">'Внешние данные'!$F$3</definedName>
    <definedName name="inf_usa">'Данные по авиапарку'!$N$21</definedName>
    <definedName name="Lising_a_year">'Данные по авиапарку'!$H$14</definedName>
    <definedName name="Lising_pay">'Данные по авиапарку'!$G$14</definedName>
    <definedName name="Loss_flights">Рейсы!#REF!</definedName>
    <definedName name="maintanance_hour320">'Данные по авиапарку'!$J$23</definedName>
    <definedName name="maintanance_hour330">'Данные по авиапарку'!$J$24</definedName>
    <definedName name="maintanance_hour330neo">'Данные по авиапарку'!$J$25</definedName>
    <definedName name="mult_19_21">'Внешние данные'!$H$2</definedName>
    <definedName name="mult_1921">'Внешние данные'!$H$2</definedName>
    <definedName name="plane_tax">'Внешние данные'!$D$3</definedName>
    <definedName name="price_2021">'Внешние данные'!$E$103</definedName>
    <definedName name="profit_flights" localSheetId="6">'Изначальные данные'!#REF!</definedName>
    <definedName name="profit_flights" localSheetId="8">'Изначальные данные'!#REF!</definedName>
    <definedName name="profit_flights" localSheetId="7">#REF!</definedName>
    <definedName name="profit_flights">Рейсы!#REF!</definedName>
    <definedName name="profit_int" localSheetId="6">'Изначальные данные'!#REF!</definedName>
    <definedName name="profit_int" localSheetId="8">'Изначальные данные'!#REF!</definedName>
    <definedName name="profit_int" localSheetId="7">#REF!</definedName>
    <definedName name="profit_int">Рейсы!#REF!</definedName>
    <definedName name="profit_inter" localSheetId="6">'Изначальные данные'!#REF!</definedName>
    <definedName name="profit_inter" localSheetId="8">'Изначальные данные'!#REF!</definedName>
    <definedName name="profit_inter" localSheetId="7">#REF!</definedName>
    <definedName name="profit_inter">Рейсы!#REF!</definedName>
    <definedName name="profit_ru" localSheetId="6">'Изначальные данные'!#REF!</definedName>
    <definedName name="profit_ru" localSheetId="8">'Изначальные данные'!#REF!</definedName>
    <definedName name="profit_ru" localSheetId="7">#REF!</definedName>
    <definedName name="profit_ru">Рейсы!#REF!</definedName>
    <definedName name="solver_adj" localSheetId="0">Результаты!#REF!</definedName>
    <definedName name="solver_cvg" localSheetId="6">0.0001</definedName>
    <definedName name="solver_cvg" localSheetId="0">0.0001</definedName>
    <definedName name="solver_drv" localSheetId="6">1</definedName>
    <definedName name="solver_drv" localSheetId="0">1</definedName>
    <definedName name="solver_eng" localSheetId="6">1</definedName>
    <definedName name="solver_eng" localSheetId="0">1</definedName>
    <definedName name="solver_itr" localSheetId="6">2147483647</definedName>
    <definedName name="solver_itr" localSheetId="0">2147483647</definedName>
    <definedName name="solver_lin" localSheetId="6">2</definedName>
    <definedName name="solver_lin" localSheetId="0">2</definedName>
    <definedName name="solver_mip" localSheetId="6">2147483647</definedName>
    <definedName name="solver_mip" localSheetId="0">2147483647</definedName>
    <definedName name="solver_mni" localSheetId="6">30</definedName>
    <definedName name="solver_mni" localSheetId="0">30</definedName>
    <definedName name="solver_mrt" localSheetId="6">0.075</definedName>
    <definedName name="solver_mrt" localSheetId="0">0.075</definedName>
    <definedName name="solver_msl" localSheetId="6">2</definedName>
    <definedName name="solver_msl" localSheetId="0">2</definedName>
    <definedName name="solver_neg" localSheetId="6">1</definedName>
    <definedName name="solver_neg" localSheetId="0">1</definedName>
    <definedName name="solver_nod" localSheetId="6">2147483647</definedName>
    <definedName name="solver_nod" localSheetId="0">2147483647</definedName>
    <definedName name="solver_num" localSheetId="6">0</definedName>
    <definedName name="solver_num" localSheetId="0">0</definedName>
    <definedName name="solver_opt" localSheetId="0">Результаты!#REF!</definedName>
    <definedName name="solver_pre" localSheetId="6">0.000001</definedName>
    <definedName name="solver_pre" localSheetId="0">0.000001</definedName>
    <definedName name="solver_rbv" localSheetId="6">1</definedName>
    <definedName name="solver_rbv" localSheetId="0">1</definedName>
    <definedName name="solver_rlx" localSheetId="6">2</definedName>
    <definedName name="solver_rlx" localSheetId="0">2</definedName>
    <definedName name="solver_rsd" localSheetId="6">0</definedName>
    <definedName name="solver_rsd" localSheetId="0">0</definedName>
    <definedName name="solver_scl" localSheetId="6">1</definedName>
    <definedName name="solver_scl" localSheetId="0">1</definedName>
    <definedName name="solver_sho" localSheetId="6">2</definedName>
    <definedName name="solver_sho" localSheetId="0">2</definedName>
    <definedName name="solver_ssz" localSheetId="6">100</definedName>
    <definedName name="solver_ssz" localSheetId="0">100</definedName>
    <definedName name="solver_tim" localSheetId="6">2147483647</definedName>
    <definedName name="solver_tim" localSheetId="0">2147483647</definedName>
    <definedName name="solver_tol" localSheetId="6">0.01</definedName>
    <definedName name="solver_tol" localSheetId="0">0.01</definedName>
    <definedName name="solver_typ" localSheetId="6">3</definedName>
    <definedName name="solver_typ" localSheetId="0">3</definedName>
    <definedName name="solver_val" localSheetId="6">0</definedName>
    <definedName name="solver_val" localSheetId="0">0</definedName>
    <definedName name="solver_ver" localSheetId="6">2</definedName>
    <definedName name="solver_ver" localSheetId="0">2</definedName>
    <definedName name="spend_intrnational" localSheetId="7">#REF!</definedName>
    <definedName name="spend_intrnational">#REF!</definedName>
    <definedName name="spend_rus" localSheetId="7">#REF!</definedName>
    <definedName name="spend_rus">#REF!</definedName>
    <definedName name="tax">'Внешние данные'!$D$2</definedName>
    <definedName name="usd">'Внешние данные'!$C$17</definedName>
    <definedName name="usd_dynamics">'Внешние данные'!$B$3</definedName>
    <definedName name="usd_inf">'Внешние данные'!$H$3</definedName>
    <definedName name="внутр_рейсы" localSheetId="6">'Изначальные данные'!$C$30</definedName>
    <definedName name="внутр_рейсы" localSheetId="8">'Изначальные данные'!$C$30</definedName>
    <definedName name="внутр_рейсы" localSheetId="7">#REF!</definedName>
    <definedName name="внутр_рейсы">Рейсы!$B$47</definedName>
    <definedName name="зп" localSheetId="6">'Изначальные данные'!#REF!</definedName>
    <definedName name="зп" localSheetId="8">'Изначальные данные'!#REF!</definedName>
    <definedName name="зп" localSheetId="7">#REF!</definedName>
    <definedName name="зп">Рейсы!#REF!</definedName>
    <definedName name="зп_int" localSheetId="6">'Изначальные данные'!#REF!</definedName>
    <definedName name="зп_int" localSheetId="8">'Изначальные данные'!#REF!</definedName>
    <definedName name="зп_int" localSheetId="7">#REF!</definedName>
    <definedName name="зп_int">Рейсы!#REF!</definedName>
    <definedName name="зп_ru" localSheetId="6">'Изначальные данные'!#REF!</definedName>
    <definedName name="зп_ru" localSheetId="8">'Изначальные данные'!#REF!</definedName>
    <definedName name="зп_ru" localSheetId="7">#REF!</definedName>
    <definedName name="зп_ru">Рейсы!#REF!</definedName>
    <definedName name="изм_рынка" localSheetId="6">#REF!</definedName>
    <definedName name="изм_рынка" localSheetId="8">#REF!</definedName>
    <definedName name="изм_рынка">'Анализ результатов'!$L$1</definedName>
    <definedName name="международ_рейсы" localSheetId="6">'Изначальные данные'!$C$31</definedName>
    <definedName name="международ_рейсы" localSheetId="8">'Изначальные данные'!$C$31</definedName>
    <definedName name="международ_рейсы" localSheetId="7">#REF!</definedName>
    <definedName name="международ_рейсы">Рейсы!$B$48</definedName>
    <definedName name="новые_рейсы" localSheetId="6">'Изначальные данные'!$C$32</definedName>
    <definedName name="новые_рейсы" localSheetId="8">'Изначальные данные'!$C$32</definedName>
    <definedName name="новые_рейсы" localSheetId="7">#REF!</definedName>
    <definedName name="новые_рейсы">Рейсы!$B$49</definedName>
    <definedName name="прогноз_рост">'Внешние данные'!$B$2</definedName>
    <definedName name="расход_топлива" localSheetId="6">'Изначальные данные'!#REF!</definedName>
    <definedName name="расход_топлива" localSheetId="8">'Изначальные данные'!#REF!</definedName>
    <definedName name="расход_топлива" localSheetId="7">#REF!</definedName>
    <definedName name="расход_топлива">Рейсы!#REF!</definedName>
    <definedName name="цена_топлива">Результаты!#REF!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6" roundtripDataSignature="AMtx7mjrLAgN4ro8i/dezRSJJH7a+seBTg=="/>
    </ext>
  </extLst>
</workbook>
</file>

<file path=xl/calcChain.xml><?xml version="1.0" encoding="utf-8"?>
<calcChain xmlns="http://schemas.openxmlformats.org/spreadsheetml/2006/main">
  <c r="I14" i="1" l="1"/>
  <c r="I13" i="1"/>
  <c r="M12" i="1"/>
  <c r="C43" i="1"/>
  <c r="E19" i="1" l="1"/>
  <c r="E14" i="1"/>
  <c r="E13" i="1"/>
  <c r="E12" i="1"/>
  <c r="F12" i="1"/>
  <c r="C37" i="1"/>
  <c r="L50" i="17" l="1"/>
  <c r="K16" i="3"/>
  <c r="P7" i="1"/>
  <c r="O7" i="1"/>
  <c r="L7" i="1"/>
  <c r="M7" i="1"/>
  <c r="N7" i="1"/>
  <c r="K7" i="1"/>
  <c r="D32" i="15"/>
  <c r="D30" i="15"/>
  <c r="D16" i="15"/>
  <c r="C43" i="4"/>
  <c r="D43" i="4"/>
  <c r="E43" i="4"/>
  <c r="F43" i="4"/>
  <c r="G43" i="4"/>
  <c r="H43" i="4"/>
  <c r="C42" i="4"/>
  <c r="D42" i="4"/>
  <c r="E42" i="4"/>
  <c r="F42" i="4"/>
  <c r="G42" i="4"/>
  <c r="H42" i="4"/>
  <c r="B43" i="4"/>
  <c r="B42" i="4"/>
  <c r="C19" i="1"/>
  <c r="E33" i="4"/>
  <c r="F33" i="4"/>
  <c r="G33" i="4"/>
  <c r="H33" i="4"/>
  <c r="D33" i="4"/>
  <c r="C33" i="4"/>
  <c r="C35" i="4"/>
  <c r="B35" i="4"/>
  <c r="C40" i="4"/>
  <c r="D40" i="4"/>
  <c r="E40" i="4"/>
  <c r="F40" i="4"/>
  <c r="G40" i="4"/>
  <c r="H40" i="4"/>
  <c r="H36" i="4" s="1"/>
  <c r="B40" i="4"/>
  <c r="C34" i="4"/>
  <c r="D34" i="4"/>
  <c r="E34" i="4"/>
  <c r="F34" i="4"/>
  <c r="G34" i="4"/>
  <c r="H34" i="4"/>
  <c r="B34" i="4"/>
  <c r="B38" i="4"/>
  <c r="C38" i="4"/>
  <c r="D38" i="4"/>
  <c r="E38" i="4"/>
  <c r="F38" i="4"/>
  <c r="G38" i="4"/>
  <c r="H38" i="4"/>
  <c r="B39" i="4"/>
  <c r="C39" i="4"/>
  <c r="D39" i="4"/>
  <c r="E39" i="4"/>
  <c r="F39" i="4"/>
  <c r="G39" i="4"/>
  <c r="H39" i="4"/>
  <c r="C32" i="4"/>
  <c r="D32" i="4"/>
  <c r="E32" i="4"/>
  <c r="F32" i="4"/>
  <c r="G32" i="4"/>
  <c r="H32" i="4"/>
  <c r="B32" i="4"/>
  <c r="C31" i="4"/>
  <c r="D31" i="4"/>
  <c r="E31" i="4"/>
  <c r="F31" i="4"/>
  <c r="G31" i="4"/>
  <c r="H31" i="4"/>
  <c r="B31" i="4"/>
  <c r="E7" i="1"/>
  <c r="F7" i="1"/>
  <c r="J23" i="3"/>
  <c r="I25" i="3" s="1"/>
  <c r="C54" i="19"/>
  <c r="J24" i="3" s="1"/>
  <c r="C47" i="5"/>
  <c r="G137" i="19"/>
  <c r="H6" i="1" s="1"/>
  <c r="F137" i="19"/>
  <c r="G7" i="1" s="1"/>
  <c r="E137" i="19"/>
  <c r="F6" i="1" s="1"/>
  <c r="D137" i="19"/>
  <c r="C137" i="19"/>
  <c r="D7" i="1" s="1"/>
  <c r="E103" i="19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" i="5"/>
  <c r="P4" i="5" s="1"/>
  <c r="H5" i="5"/>
  <c r="H6" i="5"/>
  <c r="H7" i="5"/>
  <c r="P7" i="5" s="1"/>
  <c r="H8" i="5"/>
  <c r="H9" i="5"/>
  <c r="H10" i="5"/>
  <c r="H11" i="5"/>
  <c r="H12" i="5"/>
  <c r="H13" i="5"/>
  <c r="H14" i="5"/>
  <c r="H15" i="5"/>
  <c r="H16" i="5"/>
  <c r="P16" i="5" s="1"/>
  <c r="H17" i="5"/>
  <c r="H18" i="5"/>
  <c r="H19" i="5"/>
  <c r="P19" i="5" s="1"/>
  <c r="H20" i="5"/>
  <c r="H3" i="5"/>
  <c r="H2" i="5"/>
  <c r="J8" i="5"/>
  <c r="J9" i="5"/>
  <c r="J10" i="5"/>
  <c r="J11" i="5"/>
  <c r="J12" i="5"/>
  <c r="J13" i="5"/>
  <c r="P13" i="5" s="1"/>
  <c r="J14" i="5"/>
  <c r="J15" i="5"/>
  <c r="J16" i="5"/>
  <c r="J17" i="5"/>
  <c r="J18" i="5"/>
  <c r="J19" i="5"/>
  <c r="J20" i="5"/>
  <c r="J21" i="5"/>
  <c r="P21" i="5" s="1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P2" i="5"/>
  <c r="E108" i="19"/>
  <c r="E107" i="19"/>
  <c r="E106" i="19"/>
  <c r="E105" i="19"/>
  <c r="E104" i="19"/>
  <c r="I88" i="19"/>
  <c r="I89" i="19"/>
  <c r="I87" i="19"/>
  <c r="H88" i="19"/>
  <c r="H89" i="19"/>
  <c r="H87" i="19"/>
  <c r="E88" i="19"/>
  <c r="E89" i="19"/>
  <c r="E87" i="19"/>
  <c r="F87" i="19"/>
  <c r="F88" i="19"/>
  <c r="F89" i="19"/>
  <c r="C88" i="19"/>
  <c r="C89" i="19"/>
  <c r="C87" i="19"/>
  <c r="B88" i="19"/>
  <c r="B89" i="19"/>
  <c r="B87" i="19"/>
  <c r="L82" i="19"/>
  <c r="C90" i="19" s="1"/>
  <c r="G72" i="19"/>
  <c r="F72" i="19"/>
  <c r="G71" i="19"/>
  <c r="F71" i="19"/>
  <c r="C72" i="19"/>
  <c r="B72" i="19"/>
  <c r="C71" i="19"/>
  <c r="B71" i="19"/>
  <c r="D24" i="19"/>
  <c r="E24" i="19"/>
  <c r="F24" i="19"/>
  <c r="G24" i="19"/>
  <c r="H24" i="19"/>
  <c r="E42" i="19"/>
  <c r="C45" i="19" s="1"/>
  <c r="C48" i="19" s="1"/>
  <c r="D59" i="17"/>
  <c r="C25" i="12"/>
  <c r="C43" i="12" s="1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I36" i="17"/>
  <c r="L36" i="17"/>
  <c r="I37" i="17"/>
  <c r="L37" i="17"/>
  <c r="N38" i="17"/>
  <c r="R38" i="17" s="1"/>
  <c r="N39" i="17"/>
  <c r="Q39" i="17" s="1"/>
  <c r="P39" i="17" s="1"/>
  <c r="L40" i="17"/>
  <c r="N40" i="17"/>
  <c r="Q40" i="17" s="1"/>
  <c r="P40" i="17" s="1"/>
  <c r="L41" i="17"/>
  <c r="G58" i="17" s="1"/>
  <c r="N41" i="17"/>
  <c r="Q41" i="17" s="1"/>
  <c r="I42" i="17"/>
  <c r="L42" i="17"/>
  <c r="I43" i="17"/>
  <c r="L43" i="17"/>
  <c r="I44" i="17"/>
  <c r="L44" i="17"/>
  <c r="I45" i="17"/>
  <c r="L45" i="17"/>
  <c r="L46" i="17"/>
  <c r="N46" i="17"/>
  <c r="Q46" i="17" s="1"/>
  <c r="L47" i="17"/>
  <c r="N47" i="17"/>
  <c r="Q47" i="17" s="1"/>
  <c r="H48" i="17"/>
  <c r="L49" i="17"/>
  <c r="J57" i="17"/>
  <c r="K57" i="17"/>
  <c r="J58" i="17"/>
  <c r="K58" i="17"/>
  <c r="D17" i="19"/>
  <c r="D18" i="19" s="1"/>
  <c r="E17" i="19"/>
  <c r="E18" i="19" s="1"/>
  <c r="F17" i="19"/>
  <c r="F18" i="19" s="1"/>
  <c r="G17" i="19"/>
  <c r="G18" i="19" s="1"/>
  <c r="H17" i="19"/>
  <c r="H18" i="19" s="1"/>
  <c r="D37" i="19"/>
  <c r="E37" i="19"/>
  <c r="F37" i="19"/>
  <c r="G37" i="19"/>
  <c r="H37" i="19"/>
  <c r="D14" i="19"/>
  <c r="E14" i="19"/>
  <c r="F14" i="19"/>
  <c r="G14" i="19"/>
  <c r="H14" i="19"/>
  <c r="H2" i="19"/>
  <c r="C30" i="1"/>
  <c r="C32" i="1"/>
  <c r="O2" i="17"/>
  <c r="V2" i="17"/>
  <c r="W2" i="17"/>
  <c r="X2" i="17"/>
  <c r="O3" i="17"/>
  <c r="V3" i="17"/>
  <c r="W3" i="17"/>
  <c r="X3" i="17"/>
  <c r="O4" i="17"/>
  <c r="V4" i="17"/>
  <c r="W4" i="17"/>
  <c r="X4" i="17"/>
  <c r="O5" i="17"/>
  <c r="V5" i="17"/>
  <c r="W5" i="17"/>
  <c r="X5" i="17"/>
  <c r="O6" i="17"/>
  <c r="V6" i="17"/>
  <c r="W6" i="17"/>
  <c r="X6" i="17"/>
  <c r="O7" i="17"/>
  <c r="V7" i="17"/>
  <c r="W7" i="17"/>
  <c r="X7" i="17"/>
  <c r="O8" i="17"/>
  <c r="V8" i="17"/>
  <c r="W8" i="17"/>
  <c r="X8" i="17"/>
  <c r="O9" i="17"/>
  <c r="V9" i="17"/>
  <c r="W9" i="17"/>
  <c r="X9" i="17"/>
  <c r="O10" i="17"/>
  <c r="V10" i="17"/>
  <c r="W10" i="17"/>
  <c r="X10" i="17"/>
  <c r="O11" i="17"/>
  <c r="V11" i="17"/>
  <c r="W11" i="17"/>
  <c r="X11" i="17"/>
  <c r="O12" i="17"/>
  <c r="V12" i="17"/>
  <c r="W12" i="17"/>
  <c r="X12" i="17"/>
  <c r="O13" i="17"/>
  <c r="V13" i="17"/>
  <c r="W13" i="17"/>
  <c r="X13" i="17"/>
  <c r="O14" i="17"/>
  <c r="V14" i="17"/>
  <c r="W14" i="17"/>
  <c r="X14" i="17"/>
  <c r="O15" i="17"/>
  <c r="V15" i="17"/>
  <c r="W15" i="17"/>
  <c r="X15" i="17"/>
  <c r="O16" i="17"/>
  <c r="V16" i="17"/>
  <c r="W16" i="17"/>
  <c r="X16" i="17"/>
  <c r="O17" i="17"/>
  <c r="V17" i="17"/>
  <c r="W17" i="17"/>
  <c r="X17" i="17"/>
  <c r="O18" i="17"/>
  <c r="V18" i="17"/>
  <c r="W18" i="17"/>
  <c r="X18" i="17"/>
  <c r="O19" i="17"/>
  <c r="V19" i="17"/>
  <c r="W19" i="17"/>
  <c r="X19" i="17"/>
  <c r="O20" i="17"/>
  <c r="V20" i="17"/>
  <c r="W20" i="17"/>
  <c r="X20" i="17"/>
  <c r="O21" i="17"/>
  <c r="V21" i="17"/>
  <c r="W21" i="17"/>
  <c r="X21" i="17"/>
  <c r="O22" i="17"/>
  <c r="V22" i="17"/>
  <c r="W22" i="17"/>
  <c r="X22" i="17"/>
  <c r="O23" i="17"/>
  <c r="V23" i="17"/>
  <c r="W23" i="17"/>
  <c r="X23" i="17"/>
  <c r="O24" i="17"/>
  <c r="V24" i="17"/>
  <c r="W24" i="17"/>
  <c r="X24" i="17"/>
  <c r="O25" i="17"/>
  <c r="V25" i="17"/>
  <c r="W25" i="17"/>
  <c r="X25" i="17"/>
  <c r="O26" i="17"/>
  <c r="V26" i="17"/>
  <c r="W26" i="17"/>
  <c r="X26" i="17"/>
  <c r="O27" i="17"/>
  <c r="V27" i="17"/>
  <c r="W27" i="17"/>
  <c r="X27" i="17"/>
  <c r="D5" i="15"/>
  <c r="E5" i="15"/>
  <c r="F5" i="15"/>
  <c r="G5" i="15"/>
  <c r="H5" i="15"/>
  <c r="D9" i="15"/>
  <c r="D10" i="15" s="1"/>
  <c r="E9" i="15"/>
  <c r="E10" i="15" s="1"/>
  <c r="F9" i="15"/>
  <c r="F10" i="15" s="1"/>
  <c r="G9" i="15"/>
  <c r="G10" i="15" s="1"/>
  <c r="H9" i="15"/>
  <c r="H10" i="15" s="1"/>
  <c r="D12" i="15"/>
  <c r="E12" i="15"/>
  <c r="F12" i="15"/>
  <c r="G12" i="15"/>
  <c r="H12" i="15"/>
  <c r="P15" i="5"/>
  <c r="W15" i="5"/>
  <c r="X15" i="5"/>
  <c r="Y15" i="5"/>
  <c r="W16" i="5"/>
  <c r="X16" i="5"/>
  <c r="Y16" i="5"/>
  <c r="W19" i="5"/>
  <c r="X19" i="5"/>
  <c r="Y19" i="5"/>
  <c r="W20" i="5"/>
  <c r="X20" i="5"/>
  <c r="Y20" i="5"/>
  <c r="W21" i="5"/>
  <c r="X21" i="5"/>
  <c r="Y21" i="5"/>
  <c r="F12" i="5"/>
  <c r="W12" i="5" s="1"/>
  <c r="F18" i="5"/>
  <c r="W18" i="5" s="1"/>
  <c r="F9" i="5"/>
  <c r="Y9" i="5" s="1"/>
  <c r="F8" i="5"/>
  <c r="W8" i="5" s="1"/>
  <c r="F10" i="5"/>
  <c r="W10" i="5" s="1"/>
  <c r="Y11" i="5"/>
  <c r="F17" i="5"/>
  <c r="P17" i="5" s="1"/>
  <c r="K9" i="3"/>
  <c r="K8" i="3"/>
  <c r="K5" i="3"/>
  <c r="K4" i="3"/>
  <c r="W11" i="5"/>
  <c r="X11" i="5"/>
  <c r="P3" i="5"/>
  <c r="W3" i="5"/>
  <c r="X3" i="5"/>
  <c r="Y3" i="5"/>
  <c r="P5" i="5"/>
  <c r="W5" i="5"/>
  <c r="X5" i="5"/>
  <c r="Y5" i="5"/>
  <c r="P6" i="5"/>
  <c r="W6" i="5"/>
  <c r="X6" i="5"/>
  <c r="Y6" i="5"/>
  <c r="W13" i="5"/>
  <c r="X13" i="5"/>
  <c r="Y13" i="5"/>
  <c r="W4" i="5"/>
  <c r="X4" i="5"/>
  <c r="Y4" i="5"/>
  <c r="W7" i="5"/>
  <c r="X7" i="5"/>
  <c r="Y7" i="5"/>
  <c r="L2" i="12"/>
  <c r="L3" i="12"/>
  <c r="L4" i="12"/>
  <c r="L5" i="12"/>
  <c r="L6" i="12"/>
  <c r="L7" i="12"/>
  <c r="L8" i="12"/>
  <c r="L9" i="12"/>
  <c r="L10" i="12"/>
  <c r="L11" i="12"/>
  <c r="D36" i="4" l="1"/>
  <c r="C36" i="4"/>
  <c r="F36" i="4"/>
  <c r="G36" i="4"/>
  <c r="E36" i="4"/>
  <c r="I24" i="3"/>
  <c r="I23" i="3"/>
  <c r="G6" i="1"/>
  <c r="D6" i="1"/>
  <c r="H7" i="1"/>
  <c r="E6" i="1"/>
  <c r="P20" i="5"/>
  <c r="B93" i="19"/>
  <c r="E94" i="19"/>
  <c r="E93" i="19"/>
  <c r="F73" i="19"/>
  <c r="H94" i="19"/>
  <c r="H93" i="19"/>
  <c r="I90" i="19"/>
  <c r="B94" i="19"/>
  <c r="E90" i="19"/>
  <c r="E95" i="19" s="1"/>
  <c r="F90" i="19"/>
  <c r="B90" i="19"/>
  <c r="B95" i="19" s="1"/>
  <c r="H90" i="19"/>
  <c r="H95" i="19" s="1"/>
  <c r="B73" i="19"/>
  <c r="C44" i="19"/>
  <c r="C47" i="19" s="1"/>
  <c r="H17" i="12"/>
  <c r="C27" i="12" s="1"/>
  <c r="C44" i="12" s="1"/>
  <c r="H18" i="12"/>
  <c r="C24" i="12" s="1"/>
  <c r="C37" i="12" s="1"/>
  <c r="C42" i="12"/>
  <c r="C30" i="12"/>
  <c r="C46" i="12" s="1"/>
  <c r="C36" i="12"/>
  <c r="H19" i="12"/>
  <c r="H15" i="12"/>
  <c r="C31" i="17"/>
  <c r="D18" i="15" s="1"/>
  <c r="R41" i="17"/>
  <c r="S41" i="17" s="1"/>
  <c r="T41" i="17" s="1"/>
  <c r="U41" i="17" s="1"/>
  <c r="V41" i="17" s="1"/>
  <c r="P41" i="17"/>
  <c r="E31" i="17"/>
  <c r="D24" i="15" s="1"/>
  <c r="D23" i="15" s="1"/>
  <c r="K59" i="17"/>
  <c r="E57" i="17"/>
  <c r="D31" i="17"/>
  <c r="R39" i="17"/>
  <c r="P47" i="17"/>
  <c r="R47" i="17"/>
  <c r="S47" i="17" s="1"/>
  <c r="T47" i="17" s="1"/>
  <c r="U47" i="17" s="1"/>
  <c r="V47" i="17" s="1"/>
  <c r="E30" i="17"/>
  <c r="D30" i="17"/>
  <c r="F58" i="17"/>
  <c r="D57" i="17"/>
  <c r="C30" i="17"/>
  <c r="G17" i="15" s="1"/>
  <c r="D58" i="17"/>
  <c r="S38" i="17"/>
  <c r="T38" i="17" s="1"/>
  <c r="U38" i="17" s="1"/>
  <c r="I58" i="17"/>
  <c r="E58" i="17"/>
  <c r="H58" i="17"/>
  <c r="H18" i="15"/>
  <c r="F31" i="17"/>
  <c r="F30" i="17"/>
  <c r="I48" i="17"/>
  <c r="P46" i="17"/>
  <c r="R46" i="17"/>
  <c r="S46" i="17" s="1"/>
  <c r="T46" i="17" s="1"/>
  <c r="U46" i="17" s="1"/>
  <c r="V46" i="17" s="1"/>
  <c r="Q38" i="17"/>
  <c r="H59" i="17"/>
  <c r="I59" i="17"/>
  <c r="I57" i="17"/>
  <c r="G59" i="17"/>
  <c r="G57" i="17"/>
  <c r="F59" i="17"/>
  <c r="F57" i="17"/>
  <c r="E59" i="17"/>
  <c r="R40" i="17"/>
  <c r="S40" i="17" s="1"/>
  <c r="T40" i="17" s="1"/>
  <c r="U40" i="17" s="1"/>
  <c r="V40" i="17" s="1"/>
  <c r="S39" i="17"/>
  <c r="H57" i="17"/>
  <c r="G24" i="15"/>
  <c r="G23" i="15" s="1"/>
  <c r="C18" i="15"/>
  <c r="C7" i="1" s="1"/>
  <c r="F18" i="15"/>
  <c r="E18" i="15"/>
  <c r="G18" i="15"/>
  <c r="X17" i="5"/>
  <c r="Y17" i="5"/>
  <c r="W17" i="5"/>
  <c r="P9" i="5"/>
  <c r="K13" i="3"/>
  <c r="P18" i="5"/>
  <c r="F14" i="5"/>
  <c r="P14" i="5" s="1"/>
  <c r="P10" i="5"/>
  <c r="Y12" i="5"/>
  <c r="Y18" i="5"/>
  <c r="Y10" i="5"/>
  <c r="X18" i="5"/>
  <c r="X10" i="5"/>
  <c r="K11" i="3"/>
  <c r="X12" i="5"/>
  <c r="P12" i="5"/>
  <c r="W9" i="5"/>
  <c r="X9" i="5"/>
  <c r="X8" i="5"/>
  <c r="P8" i="5"/>
  <c r="K10" i="3"/>
  <c r="Y8" i="5"/>
  <c r="P11" i="5"/>
  <c r="C28" i="12" l="1"/>
  <c r="C45" i="12" s="1"/>
  <c r="C29" i="12"/>
  <c r="C40" i="12" s="1"/>
  <c r="C26" i="12"/>
  <c r="H16" i="12"/>
  <c r="C32" i="12" s="1"/>
  <c r="C23" i="12"/>
  <c r="C22" i="15"/>
  <c r="C13" i="1" s="1"/>
  <c r="C24" i="15"/>
  <c r="F24" i="15"/>
  <c r="F23" i="15" s="1"/>
  <c r="F17" i="15"/>
  <c r="E24" i="15"/>
  <c r="E23" i="15" s="1"/>
  <c r="H24" i="15"/>
  <c r="H23" i="15" s="1"/>
  <c r="E17" i="15"/>
  <c r="E16" i="15" s="1"/>
  <c r="C17" i="15"/>
  <c r="C6" i="1" s="1"/>
  <c r="H17" i="15"/>
  <c r="H16" i="15" s="1"/>
  <c r="F22" i="15"/>
  <c r="E21" i="15"/>
  <c r="D17" i="15"/>
  <c r="D35" i="15" s="1"/>
  <c r="D22" i="15"/>
  <c r="H22" i="15"/>
  <c r="G21" i="15"/>
  <c r="G20" i="15" s="1"/>
  <c r="C21" i="15"/>
  <c r="G22" i="15"/>
  <c r="H21" i="15"/>
  <c r="F21" i="15"/>
  <c r="E22" i="15"/>
  <c r="D21" i="15"/>
  <c r="Q48" i="17"/>
  <c r="P38" i="17"/>
  <c r="P48" i="17" s="1"/>
  <c r="P50" i="17" s="1"/>
  <c r="R48" i="17"/>
  <c r="V38" i="17"/>
  <c r="T39" i="17"/>
  <c r="S48" i="17"/>
  <c r="C12" i="1"/>
  <c r="C23" i="15"/>
  <c r="C14" i="1" s="1"/>
  <c r="G16" i="15"/>
  <c r="F16" i="15"/>
  <c r="F35" i="15" s="1"/>
  <c r="X14" i="5"/>
  <c r="Y14" i="5"/>
  <c r="B47" i="5"/>
  <c r="W14" i="5"/>
  <c r="K12" i="3"/>
  <c r="G23" i="3" s="1"/>
  <c r="D23" i="3" l="1"/>
  <c r="C23" i="3"/>
  <c r="H23" i="3"/>
  <c r="F23" i="3"/>
  <c r="E23" i="3"/>
  <c r="C16" i="15"/>
  <c r="C38" i="12"/>
  <c r="C33" i="12"/>
  <c r="C41" i="12" s="1"/>
  <c r="C35" i="12"/>
  <c r="C47" i="12"/>
  <c r="C34" i="12"/>
  <c r="C39" i="12"/>
  <c r="F20" i="15"/>
  <c r="H20" i="15"/>
  <c r="H35" i="15"/>
  <c r="E20" i="15"/>
  <c r="G33" i="15"/>
  <c r="G37" i="15" s="1"/>
  <c r="D20" i="15"/>
  <c r="D33" i="15" s="1"/>
  <c r="D39" i="15" s="1"/>
  <c r="H33" i="15"/>
  <c r="H37" i="15" s="1"/>
  <c r="U39" i="17"/>
  <c r="T48" i="17"/>
  <c r="R50" i="17"/>
  <c r="R49" i="17"/>
  <c r="S50" i="17"/>
  <c r="S49" i="17"/>
  <c r="Q50" i="17"/>
  <c r="Q51" i="17" s="1"/>
  <c r="Q49" i="17"/>
  <c r="Q53" i="17" s="1"/>
  <c r="F33" i="15"/>
  <c r="F39" i="15" s="1"/>
  <c r="E33" i="15"/>
  <c r="E37" i="15" s="1"/>
  <c r="G35" i="15"/>
  <c r="C4" i="1"/>
  <c r="E35" i="15"/>
  <c r="C20" i="15"/>
  <c r="C11" i="1" s="1"/>
  <c r="C35" i="15"/>
  <c r="C29" i="1" s="1"/>
  <c r="K33" i="6"/>
  <c r="F37" i="5" s="1"/>
  <c r="Y37" i="5" s="1"/>
  <c r="K32" i="6"/>
  <c r="K31" i="6"/>
  <c r="F35" i="5" s="1"/>
  <c r="Y35" i="5" s="1"/>
  <c r="K30" i="6"/>
  <c r="K29" i="6"/>
  <c r="K28" i="6"/>
  <c r="F32" i="5" s="1"/>
  <c r="K27" i="6"/>
  <c r="F31" i="5" s="1"/>
  <c r="Y31" i="5" s="1"/>
  <c r="K26" i="6"/>
  <c r="F30" i="5" s="1"/>
  <c r="Y30" i="5" s="1"/>
  <c r="K25" i="6"/>
  <c r="F29" i="5" s="1"/>
  <c r="Y29" i="5" s="1"/>
  <c r="K24" i="6"/>
  <c r="F28" i="5" s="1"/>
  <c r="K23" i="6"/>
  <c r="F27" i="5" s="1"/>
  <c r="Y27" i="5" s="1"/>
  <c r="K22" i="6"/>
  <c r="K21" i="6"/>
  <c r="K20" i="6"/>
  <c r="F24" i="5" s="1"/>
  <c r="Y24" i="5" s="1"/>
  <c r="K19" i="6"/>
  <c r="F23" i="5" s="1"/>
  <c r="Y23" i="5" s="1"/>
  <c r="K18" i="6"/>
  <c r="F22" i="5" s="1"/>
  <c r="K12" i="6"/>
  <c r="K11" i="6"/>
  <c r="K10" i="6"/>
  <c r="K9" i="6"/>
  <c r="K8" i="6"/>
  <c r="K7" i="6"/>
  <c r="K6" i="6"/>
  <c r="K5" i="6"/>
  <c r="K4" i="6"/>
  <c r="K3" i="6"/>
  <c r="Y43" i="5"/>
  <c r="X43" i="5"/>
  <c r="W43" i="5"/>
  <c r="Y42" i="5"/>
  <c r="X42" i="5"/>
  <c r="W42" i="5"/>
  <c r="Y41" i="5"/>
  <c r="X41" i="5"/>
  <c r="W41" i="5"/>
  <c r="Y40" i="5"/>
  <c r="X40" i="5"/>
  <c r="W40" i="5"/>
  <c r="Y39" i="5"/>
  <c r="X39" i="5"/>
  <c r="W39" i="5"/>
  <c r="Y38" i="5"/>
  <c r="X38" i="5"/>
  <c r="W38" i="5"/>
  <c r="N37" i="5"/>
  <c r="M37" i="5"/>
  <c r="Y36" i="5"/>
  <c r="X36" i="5"/>
  <c r="W36" i="5"/>
  <c r="N35" i="5"/>
  <c r="M35" i="5"/>
  <c r="N34" i="5"/>
  <c r="M34" i="5"/>
  <c r="F34" i="5"/>
  <c r="Y34" i="5" s="1"/>
  <c r="N33" i="5"/>
  <c r="M33" i="5"/>
  <c r="F33" i="5"/>
  <c r="Y33" i="5" s="1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F26" i="5"/>
  <c r="Y26" i="5" s="1"/>
  <c r="N25" i="5"/>
  <c r="M25" i="5"/>
  <c r="F25" i="5"/>
  <c r="N24" i="5"/>
  <c r="M24" i="5"/>
  <c r="N23" i="5"/>
  <c r="M23" i="5"/>
  <c r="N22" i="5"/>
  <c r="M22" i="5"/>
  <c r="X2" i="5"/>
  <c r="E47" i="5" s="1"/>
  <c r="J59" i="17"/>
  <c r="K15" i="3"/>
  <c r="G14" i="3"/>
  <c r="M13" i="3"/>
  <c r="P13" i="3" s="1"/>
  <c r="M12" i="3"/>
  <c r="P12" i="3" s="1"/>
  <c r="H11" i="3"/>
  <c r="H10" i="3"/>
  <c r="H9" i="3"/>
  <c r="H8" i="3"/>
  <c r="M7" i="3"/>
  <c r="P7" i="3" s="1"/>
  <c r="O7" i="3" s="1"/>
  <c r="M6" i="3"/>
  <c r="M5" i="3"/>
  <c r="P5" i="3" s="1"/>
  <c r="O5" i="3" s="1"/>
  <c r="M4" i="3"/>
  <c r="P4" i="3" s="1"/>
  <c r="H3" i="3"/>
  <c r="H2" i="3"/>
  <c r="C55" i="19" l="1"/>
  <c r="J25" i="3" s="1"/>
  <c r="D60" i="17" s="1"/>
  <c r="D61" i="17" s="1"/>
  <c r="C27" i="15" s="1"/>
  <c r="P6" i="3"/>
  <c r="O6" i="3" s="1"/>
  <c r="G39" i="15"/>
  <c r="H39" i="15"/>
  <c r="D37" i="15"/>
  <c r="R51" i="17"/>
  <c r="S51" i="17"/>
  <c r="F37" i="15"/>
  <c r="T50" i="17"/>
  <c r="T51" i="17" s="1"/>
  <c r="T49" i="17"/>
  <c r="V39" i="17"/>
  <c r="V48" i="17" s="1"/>
  <c r="U48" i="17"/>
  <c r="E39" i="15"/>
  <c r="C33" i="15"/>
  <c r="I60" i="17"/>
  <c r="I61" i="17" s="1"/>
  <c r="Y32" i="5"/>
  <c r="K7" i="3"/>
  <c r="Y25" i="5"/>
  <c r="K3" i="3"/>
  <c r="Y28" i="5"/>
  <c r="K6" i="3"/>
  <c r="Y22" i="5"/>
  <c r="K2" i="3"/>
  <c r="X28" i="5"/>
  <c r="X30" i="5"/>
  <c r="W22" i="5"/>
  <c r="W27" i="5"/>
  <c r="X27" i="5"/>
  <c r="W23" i="5"/>
  <c r="W35" i="5"/>
  <c r="W37" i="5"/>
  <c r="C49" i="5"/>
  <c r="X37" i="5"/>
  <c r="X26" i="5"/>
  <c r="W34" i="5"/>
  <c r="E49" i="5"/>
  <c r="W31" i="5"/>
  <c r="X35" i="5"/>
  <c r="W26" i="5"/>
  <c r="X22" i="5"/>
  <c r="W28" i="5"/>
  <c r="W30" i="5"/>
  <c r="X34" i="5"/>
  <c r="D49" i="5"/>
  <c r="H14" i="3"/>
  <c r="Q7" i="3"/>
  <c r="R7" i="3" s="1"/>
  <c r="S7" i="3" s="1"/>
  <c r="T7" i="3" s="1"/>
  <c r="U7" i="3" s="1"/>
  <c r="R5" i="3"/>
  <c r="S5" i="3" s="1"/>
  <c r="T5" i="3" s="1"/>
  <c r="U5" i="3" s="1"/>
  <c r="Q5" i="3"/>
  <c r="O12" i="3"/>
  <c r="Q12" i="3"/>
  <c r="R12" i="3" s="1"/>
  <c r="S12" i="3" s="1"/>
  <c r="T12" i="3" s="1"/>
  <c r="U12" i="3" s="1"/>
  <c r="Q13" i="3"/>
  <c r="R13" i="3" s="1"/>
  <c r="S13" i="3" s="1"/>
  <c r="T13" i="3" s="1"/>
  <c r="U13" i="3" s="1"/>
  <c r="O13" i="3"/>
  <c r="Q4" i="3"/>
  <c r="R4" i="3"/>
  <c r="S4" i="3" s="1"/>
  <c r="Y2" i="5"/>
  <c r="X23" i="5"/>
  <c r="W24" i="5"/>
  <c r="X31" i="5"/>
  <c r="W32" i="5"/>
  <c r="X24" i="5"/>
  <c r="W25" i="5"/>
  <c r="X32" i="5"/>
  <c r="W33" i="5"/>
  <c r="X25" i="5"/>
  <c r="X33" i="5"/>
  <c r="W29" i="5"/>
  <c r="W2" i="5"/>
  <c r="X29" i="5"/>
  <c r="G60" i="17" l="1"/>
  <c r="G61" i="17" s="1"/>
  <c r="F60" i="17"/>
  <c r="F61" i="17" s="1"/>
  <c r="H60" i="17"/>
  <c r="H61" i="17" s="1"/>
  <c r="Q6" i="3"/>
  <c r="R6" i="3" s="1"/>
  <c r="S6" i="3" s="1"/>
  <c r="T6" i="3" s="1"/>
  <c r="U6" i="3" s="1"/>
  <c r="E60" i="17"/>
  <c r="E61" i="17" s="1"/>
  <c r="G25" i="19"/>
  <c r="G26" i="19" s="1"/>
  <c r="D33" i="19"/>
  <c r="G33" i="19"/>
  <c r="H25" i="19"/>
  <c r="H26" i="19" s="1"/>
  <c r="E33" i="19"/>
  <c r="D25" i="19"/>
  <c r="D26" i="19" s="1"/>
  <c r="E25" i="19"/>
  <c r="E26" i="19" s="1"/>
  <c r="F33" i="19"/>
  <c r="H33" i="19"/>
  <c r="F25" i="19"/>
  <c r="F26" i="19" s="1"/>
  <c r="E17" i="1"/>
  <c r="D17" i="1"/>
  <c r="F17" i="1"/>
  <c r="H17" i="1"/>
  <c r="C17" i="1"/>
  <c r="G17" i="1"/>
  <c r="H25" i="3"/>
  <c r="G25" i="3"/>
  <c r="E25" i="3"/>
  <c r="F25" i="3"/>
  <c r="C25" i="3"/>
  <c r="D25" i="3"/>
  <c r="D48" i="5"/>
  <c r="H24" i="3"/>
  <c r="F24" i="3"/>
  <c r="F26" i="3" s="1"/>
  <c r="D24" i="3"/>
  <c r="D26" i="3" s="1"/>
  <c r="G24" i="3"/>
  <c r="G26" i="3" s="1"/>
  <c r="E24" i="3"/>
  <c r="C24" i="3"/>
  <c r="C26" i="3" s="1"/>
  <c r="C28" i="1"/>
  <c r="C39" i="15"/>
  <c r="C33" i="1" s="1"/>
  <c r="V50" i="17"/>
  <c r="V49" i="17"/>
  <c r="U49" i="17"/>
  <c r="U50" i="17"/>
  <c r="U51" i="17" s="1"/>
  <c r="C37" i="15"/>
  <c r="C31" i="1" s="1"/>
  <c r="C34" i="15"/>
  <c r="H34" i="15"/>
  <c r="E34" i="15"/>
  <c r="F34" i="15"/>
  <c r="D34" i="15"/>
  <c r="G34" i="15"/>
  <c r="E48" i="5"/>
  <c r="P30" i="5"/>
  <c r="C48" i="5"/>
  <c r="P33" i="5"/>
  <c r="P34" i="5"/>
  <c r="P35" i="5"/>
  <c r="P31" i="5"/>
  <c r="P25" i="5"/>
  <c r="P26" i="5"/>
  <c r="P27" i="5"/>
  <c r="P29" i="5"/>
  <c r="P23" i="5"/>
  <c r="P38" i="5"/>
  <c r="P41" i="5"/>
  <c r="P22" i="5"/>
  <c r="P42" i="5"/>
  <c r="P24" i="5"/>
  <c r="P32" i="5"/>
  <c r="P40" i="5"/>
  <c r="P36" i="5"/>
  <c r="O4" i="3"/>
  <c r="O14" i="3" s="1"/>
  <c r="P14" i="3"/>
  <c r="R14" i="3"/>
  <c r="E20" i="1" s="1"/>
  <c r="P39" i="5"/>
  <c r="P28" i="5"/>
  <c r="P43" i="5"/>
  <c r="P37" i="5"/>
  <c r="H26" i="3" l="1"/>
  <c r="Q14" i="3"/>
  <c r="D20" i="1" s="1"/>
  <c r="E26" i="3"/>
  <c r="G19" i="1"/>
  <c r="D29" i="19"/>
  <c r="C22" i="1" s="1"/>
  <c r="H14" i="1"/>
  <c r="F14" i="1"/>
  <c r="D14" i="1"/>
  <c r="G14" i="1"/>
  <c r="V51" i="17"/>
  <c r="Q54" i="17" s="1"/>
  <c r="C35" i="1"/>
  <c r="C39" i="1" s="1"/>
  <c r="C45" i="15"/>
  <c r="F36" i="15"/>
  <c r="F40" i="15"/>
  <c r="F45" i="15"/>
  <c r="G36" i="15"/>
  <c r="G45" i="15"/>
  <c r="G40" i="15"/>
  <c r="D36" i="15"/>
  <c r="D40" i="15"/>
  <c r="D45" i="15"/>
  <c r="E45" i="15"/>
  <c r="E36" i="15"/>
  <c r="E40" i="15"/>
  <c r="H40" i="15"/>
  <c r="H45" i="15"/>
  <c r="H36" i="15"/>
  <c r="C40" i="15"/>
  <c r="C34" i="1" s="1"/>
  <c r="B48" i="5"/>
  <c r="D47" i="5"/>
  <c r="G12" i="1"/>
  <c r="Q15" i="3"/>
  <c r="D18" i="1" s="1"/>
  <c r="Q16" i="3"/>
  <c r="B49" i="5"/>
  <c r="G13" i="1"/>
  <c r="S14" i="3"/>
  <c r="F20" i="1" s="1"/>
  <c r="T4" i="3"/>
  <c r="P15" i="3"/>
  <c r="P16" i="3"/>
  <c r="R16" i="3"/>
  <c r="R15" i="3"/>
  <c r="E18" i="1" s="1"/>
  <c r="O16" i="3"/>
  <c r="F19" i="1" l="1"/>
  <c r="H19" i="1"/>
  <c r="E16" i="1"/>
  <c r="D19" i="1"/>
  <c r="D16" i="1" s="1"/>
  <c r="C38" i="1"/>
  <c r="F13" i="1"/>
  <c r="H13" i="1"/>
  <c r="D13" i="1"/>
  <c r="E11" i="1"/>
  <c r="G11" i="1"/>
  <c r="D12" i="1"/>
  <c r="H12" i="1"/>
  <c r="E4" i="1"/>
  <c r="L4" i="1" s="1"/>
  <c r="R17" i="3"/>
  <c r="Q17" i="3"/>
  <c r="P17" i="3"/>
  <c r="T14" i="3"/>
  <c r="G20" i="1" s="1"/>
  <c r="U4" i="3"/>
  <c r="U14" i="3" s="1"/>
  <c r="H20" i="1" s="1"/>
  <c r="S15" i="3"/>
  <c r="F18" i="1" s="1"/>
  <c r="S16" i="3"/>
  <c r="S17" i="3" s="1"/>
  <c r="P19" i="3"/>
  <c r="F16" i="1" l="1"/>
  <c r="D4" i="1"/>
  <c r="D29" i="1" s="1"/>
  <c r="E24" i="1"/>
  <c r="E23" i="1" s="1"/>
  <c r="E35" i="4" s="1"/>
  <c r="F11" i="1"/>
  <c r="H4" i="1"/>
  <c r="O4" i="1" s="1"/>
  <c r="E28" i="1"/>
  <c r="H11" i="1"/>
  <c r="D11" i="1"/>
  <c r="G4" i="1"/>
  <c r="N4" i="1" s="1"/>
  <c r="F4" i="1"/>
  <c r="M4" i="1" s="1"/>
  <c r="E29" i="1"/>
  <c r="U15" i="3"/>
  <c r="H18" i="1" s="1"/>
  <c r="H16" i="1" s="1"/>
  <c r="U16" i="3"/>
  <c r="T15" i="3"/>
  <c r="G18" i="1" s="1"/>
  <c r="G16" i="1" s="1"/>
  <c r="T16" i="3"/>
  <c r="T17" i="3" s="1"/>
  <c r="D28" i="1" l="1"/>
  <c r="D24" i="1"/>
  <c r="D23" i="1" s="1"/>
  <c r="D35" i="4" s="1"/>
  <c r="H24" i="1"/>
  <c r="H23" i="1" s="1"/>
  <c r="F24" i="1"/>
  <c r="F23" i="1" s="1"/>
  <c r="F35" i="4" s="1"/>
  <c r="G24" i="1"/>
  <c r="E9" i="1"/>
  <c r="E38" i="1" s="1"/>
  <c r="F29" i="1"/>
  <c r="H29" i="1"/>
  <c r="G29" i="1"/>
  <c r="E35" i="1"/>
  <c r="E33" i="1"/>
  <c r="H28" i="1"/>
  <c r="E31" i="1"/>
  <c r="G28" i="1"/>
  <c r="F28" i="1"/>
  <c r="F33" i="1" s="1"/>
  <c r="E26" i="1"/>
  <c r="E37" i="1" s="1"/>
  <c r="U17" i="3"/>
  <c r="P20" i="3" s="1"/>
  <c r="L6" i="1" l="1"/>
  <c r="H26" i="1"/>
  <c r="H37" i="1" s="1"/>
  <c r="H35" i="4"/>
  <c r="D9" i="1"/>
  <c r="D38" i="1" s="1"/>
  <c r="D33" i="1"/>
  <c r="D35" i="1"/>
  <c r="D30" i="1" s="1"/>
  <c r="E39" i="1"/>
  <c r="H9" i="1"/>
  <c r="H38" i="1" s="1"/>
  <c r="F9" i="1"/>
  <c r="F38" i="1" s="1"/>
  <c r="E34" i="1"/>
  <c r="G35" i="1"/>
  <c r="G39" i="1" s="1"/>
  <c r="G33" i="1"/>
  <c r="D31" i="1"/>
  <c r="H31" i="1"/>
  <c r="H33" i="1"/>
  <c r="H35" i="1"/>
  <c r="H39" i="1" s="1"/>
  <c r="G31" i="1"/>
  <c r="F31" i="1"/>
  <c r="F35" i="1"/>
  <c r="F30" i="1" s="1"/>
  <c r="D26" i="1"/>
  <c r="D37" i="1" s="1"/>
  <c r="F26" i="1"/>
  <c r="F37" i="1" s="1"/>
  <c r="G23" i="1"/>
  <c r="G35" i="4" s="1"/>
  <c r="M6" i="1" l="1"/>
  <c r="K6" i="1"/>
  <c r="O6" i="1"/>
  <c r="E30" i="1"/>
  <c r="G9" i="1"/>
  <c r="G38" i="1" s="1"/>
  <c r="C41" i="1" s="1"/>
  <c r="G34" i="1"/>
  <c r="H34" i="1"/>
  <c r="F34" i="1"/>
  <c r="H30" i="1"/>
  <c r="D34" i="1"/>
  <c r="D39" i="1"/>
  <c r="G30" i="1"/>
  <c r="F39" i="1"/>
  <c r="G26" i="1"/>
  <c r="G37" i="1" s="1"/>
  <c r="I37" i="1" s="1"/>
  <c r="C46" i="1" l="1"/>
  <c r="N6" i="1"/>
  <c r="P6" i="1" s="1"/>
  <c r="P8" i="1" s="1"/>
  <c r="K3" i="1"/>
  <c r="C42" i="1"/>
  <c r="I3" i="4"/>
  <c r="C44" i="1" l="1"/>
  <c r="F25" i="15" l="1"/>
  <c r="H25" i="15"/>
  <c r="D25" i="15"/>
  <c r="G25" i="15"/>
  <c r="C25" i="15"/>
  <c r="E25" i="15"/>
  <c r="E28" i="15"/>
  <c r="E29" i="15" s="1"/>
  <c r="F27" i="15"/>
  <c r="H27" i="15"/>
  <c r="C28" i="15"/>
  <c r="D28" i="15"/>
  <c r="D29" i="15" s="1"/>
  <c r="G27" i="15"/>
  <c r="F28" i="15"/>
  <c r="F29" i="15" s="1"/>
  <c r="D27" i="15"/>
  <c r="E27" i="15"/>
  <c r="C29" i="15" l="1"/>
  <c r="C20" i="1" s="1"/>
  <c r="D26" i="15"/>
  <c r="G28" i="15"/>
  <c r="G29" i="15" s="1"/>
  <c r="C26" i="15"/>
  <c r="E26" i="15"/>
  <c r="C16" i="1" l="1"/>
  <c r="C30" i="15"/>
  <c r="C24" i="1" s="1"/>
  <c r="C18" i="1"/>
  <c r="D31" i="15"/>
  <c r="E30" i="15"/>
  <c r="H28" i="15"/>
  <c r="H29" i="15" s="1"/>
  <c r="F26" i="15"/>
  <c r="D19" i="15" l="1"/>
  <c r="D44" i="15" s="1"/>
  <c r="D43" i="15"/>
  <c r="C31" i="15"/>
  <c r="E31" i="15"/>
  <c r="E19" i="15" s="1"/>
  <c r="E44" i="15" s="1"/>
  <c r="F30" i="15"/>
  <c r="H26" i="15"/>
  <c r="G26" i="15"/>
  <c r="D44" i="1" l="1"/>
  <c r="C32" i="15"/>
  <c r="C26" i="1" s="1"/>
  <c r="C19" i="15"/>
  <c r="C9" i="1" s="1"/>
  <c r="C23" i="1"/>
  <c r="C43" i="15"/>
  <c r="E32" i="15"/>
  <c r="E43" i="15" s="1"/>
  <c r="H30" i="15"/>
  <c r="F31" i="15"/>
  <c r="F19" i="15" s="1"/>
  <c r="F44" i="15" s="1"/>
  <c r="G30" i="15"/>
  <c r="C44" i="15" l="1"/>
  <c r="F32" i="15"/>
  <c r="F43" i="15" s="1"/>
  <c r="H31" i="15"/>
  <c r="H19" i="15" s="1"/>
  <c r="H44" i="15" s="1"/>
  <c r="G31" i="15"/>
  <c r="G19" i="15" s="1"/>
  <c r="G44" i="15" s="1"/>
  <c r="C47" i="15" l="1"/>
  <c r="G32" i="15"/>
  <c r="G43" i="15" s="1"/>
  <c r="H32" i="15"/>
  <c r="H43" i="15" s="1"/>
  <c r="C49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7" authorId="0" shapeId="0" xr:uid="{95FF9D22-469A-B342-AF7B-4E133D58B8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тут тоже границу убери
</t>
        </r>
      </text>
    </comment>
  </commentList>
</comments>
</file>

<file path=xl/sharedStrings.xml><?xml version="1.0" encoding="utf-8"?>
<sst xmlns="http://schemas.openxmlformats.org/spreadsheetml/2006/main" count="726" uniqueCount="319">
  <si>
    <t>Прогнозируемый рост компании</t>
  </si>
  <si>
    <t>Рост доллара к рублю</t>
  </si>
  <si>
    <t>EBITDA Multiple</t>
  </si>
  <si>
    <t>EBITDA Multiple std</t>
  </si>
  <si>
    <t>Налог на прибыль</t>
  </si>
  <si>
    <t>Налог на самолет</t>
  </si>
  <si>
    <t>Год</t>
  </si>
  <si>
    <t>Год владения</t>
  </si>
  <si>
    <t>-</t>
  </si>
  <si>
    <t>Срок до погашения, лет</t>
  </si>
  <si>
    <t>Доходность, % годовых</t>
  </si>
  <si>
    <t>Форвардные ставки</t>
  </si>
  <si>
    <t>USD/ RUB</t>
  </si>
  <si>
    <t>Курс доллара</t>
  </si>
  <si>
    <t>инфляция США</t>
  </si>
  <si>
    <t>Цена топлива</t>
  </si>
  <si>
    <t>Данные в млрд рублей, если не указано иное</t>
  </si>
  <si>
    <t>Cash flows</t>
  </si>
  <si>
    <t>Выручка от полетов</t>
  </si>
  <si>
    <t>Внутренние рейсы</t>
  </si>
  <si>
    <t>Международные рейсы</t>
  </si>
  <si>
    <t>Траты</t>
  </si>
  <si>
    <t>Траты на полеты:</t>
  </si>
  <si>
    <t>Топливо</t>
  </si>
  <si>
    <t>Сборы</t>
  </si>
  <si>
    <t>ФОТ</t>
  </si>
  <si>
    <t>Зп</t>
  </si>
  <si>
    <t>Лизинг</t>
  </si>
  <si>
    <t>Обесценивание активов</t>
  </si>
  <si>
    <t>Обслуживание самолетов</t>
  </si>
  <si>
    <t>Стоимость авиапарка</t>
  </si>
  <si>
    <t>Налоги на авиапарк</t>
  </si>
  <si>
    <t>Прибыль до налогов на прибыль</t>
  </si>
  <si>
    <t>Налоги на прибыль</t>
  </si>
  <si>
    <t>Прибыль</t>
  </si>
  <si>
    <t>Показатели</t>
  </si>
  <si>
    <t>EBITDA</t>
  </si>
  <si>
    <t>Цена компании через EBITDA</t>
  </si>
  <si>
    <t>Отношение ФОТа к выручке</t>
  </si>
  <si>
    <t>Рост компании в год</t>
  </si>
  <si>
    <t>EBITDA Margin</t>
  </si>
  <si>
    <t>wacc</t>
  </si>
  <si>
    <t>TV</t>
  </si>
  <si>
    <t>TV/Company price</t>
  </si>
  <si>
    <t>PV</t>
  </si>
  <si>
    <t>Затраты</t>
  </si>
  <si>
    <t>Цена компании</t>
  </si>
  <si>
    <t>NPV</t>
  </si>
  <si>
    <t>Investment</t>
  </si>
  <si>
    <t>Returns on investment</t>
  </si>
  <si>
    <t>Returns on investment std</t>
  </si>
  <si>
    <t>Shape ratio</t>
  </si>
  <si>
    <t>Аэрофлот</t>
  </si>
  <si>
    <t>Ютэир</t>
  </si>
  <si>
    <t xml:space="preserve">победа </t>
  </si>
  <si>
    <t>EV/EBITDA</t>
  </si>
  <si>
    <t>MEAN</t>
  </si>
  <si>
    <t>STD</t>
  </si>
  <si>
    <t>№</t>
  </si>
  <si>
    <t>Марка</t>
  </si>
  <si>
    <t>Фюзеляж</t>
  </si>
  <si>
    <t>Возраст</t>
  </si>
  <si>
    <t xml:space="preserve">Условный # ВС </t>
  </si>
  <si>
    <t xml:space="preserve">Форма владени </t>
  </si>
  <si>
    <t>Стоимость лизинга в год, RUB</t>
  </si>
  <si>
    <t>Cтоимость лизинга в год, $</t>
  </si>
  <si>
    <t xml:space="preserve">Кол-во кресел эконом класса </t>
  </si>
  <si>
    <t xml:space="preserve">Кол-во кресел бизнес класса </t>
  </si>
  <si>
    <t>В воздухе в год, часов</t>
  </si>
  <si>
    <t>Цена нового в $</t>
  </si>
  <si>
    <t>Цена нового в рублях на 27.12.21</t>
  </si>
  <si>
    <t xml:space="preserve">Aerobus 330neo </t>
  </si>
  <si>
    <t xml:space="preserve">ШФ </t>
  </si>
  <si>
    <t xml:space="preserve">Лизинг </t>
  </si>
  <si>
    <t xml:space="preserve">ожидаются в 2023 </t>
  </si>
  <si>
    <t xml:space="preserve">- </t>
  </si>
  <si>
    <t xml:space="preserve">Aerobus 330 </t>
  </si>
  <si>
    <t xml:space="preserve">В собственности </t>
  </si>
  <si>
    <t xml:space="preserve">Aerobus 320 </t>
  </si>
  <si>
    <t xml:space="preserve">УФ </t>
  </si>
  <si>
    <t>Суммарная стоимость лизинга</t>
  </si>
  <si>
    <t>Sum</t>
  </si>
  <si>
    <t>Изменение</t>
  </si>
  <si>
    <t>Sum PV</t>
  </si>
  <si>
    <t>Не больше чем</t>
  </si>
  <si>
    <t>Изменение PV</t>
  </si>
  <si>
    <t xml:space="preserve">Обесценивание за 5 лет </t>
  </si>
  <si>
    <t>Обесценивание за 5 лет (PV)</t>
  </si>
  <si>
    <t>Depreciation rate</t>
  </si>
  <si>
    <t>Средняя цена обслуживания самолета, $/час, 2021 г</t>
  </si>
  <si>
    <t>Средняя цена обслуживания самолета, $/час, 2000 г</t>
  </si>
  <si>
    <t>Инфляция США 2000-2021</t>
  </si>
  <si>
    <t>Обслуживание авиапарка</t>
  </si>
  <si>
    <t>Итого, $</t>
  </si>
  <si>
    <t>Итого, RUB</t>
  </si>
  <si>
    <t>Среднегодовой рост рынка авиаперевозок</t>
  </si>
  <si>
    <t xml:space="preserve">Направление </t>
  </si>
  <si>
    <t xml:space="preserve">ВС </t>
  </si>
  <si>
    <t xml:space="preserve">Средняя длительно сть рейса, часов </t>
  </si>
  <si>
    <t xml:space="preserve">Кол-во рейсов в год (в одну сторону) </t>
  </si>
  <si>
    <t xml:space="preserve">Ср. стоимость билета эконом 2019 </t>
  </si>
  <si>
    <t>Ср. стоимость билета эконом 2021</t>
  </si>
  <si>
    <t>Ср. стоимость билета БК, 2019</t>
  </si>
  <si>
    <t>Ср. стоимость билета БК, 2021</t>
  </si>
  <si>
    <t xml:space="preserve">Кол-во кресел эконом </t>
  </si>
  <si>
    <t xml:space="preserve">Кол-во кресел БК </t>
  </si>
  <si>
    <t xml:space="preserve">Загрузка эконом </t>
  </si>
  <si>
    <t xml:space="preserve">Загрузка БК </t>
  </si>
  <si>
    <t xml:space="preserve">Доп. выручка, руб </t>
  </si>
  <si>
    <t>Сумма по направлениям</t>
  </si>
  <si>
    <t xml:space="preserve">Аэропортовые сборы за рейс </t>
  </si>
  <si>
    <t xml:space="preserve">Средняя ставка пилота в час </t>
  </si>
  <si>
    <t xml:space="preserve">Количество пилотов на рейс </t>
  </si>
  <si>
    <t xml:space="preserve">Средняя ставка стюардов в час </t>
  </si>
  <si>
    <t xml:space="preserve">Количество стюардов на рейс </t>
  </si>
  <si>
    <t>Расход керосина, кг/час</t>
  </si>
  <si>
    <t>Итого топлива</t>
  </si>
  <si>
    <t xml:space="preserve">Москва - Санкт-Петербург </t>
  </si>
  <si>
    <t xml:space="preserve">А320 </t>
  </si>
  <si>
    <t xml:space="preserve">Москва- Минеральные воды </t>
  </si>
  <si>
    <t xml:space="preserve">Москва - Сочи </t>
  </si>
  <si>
    <t xml:space="preserve">Москва - Краснодар </t>
  </si>
  <si>
    <t xml:space="preserve">Москва - Новосибирск </t>
  </si>
  <si>
    <t xml:space="preserve">Москва - Красноярск </t>
  </si>
  <si>
    <t xml:space="preserve">Москва- Уфа </t>
  </si>
  <si>
    <t xml:space="preserve">Москва - Екатеринбург </t>
  </si>
  <si>
    <t>Москва - Махачкала</t>
  </si>
  <si>
    <t>A320</t>
  </si>
  <si>
    <t xml:space="preserve">Москва - Саратов </t>
  </si>
  <si>
    <t xml:space="preserve">Москва - Калиниград </t>
  </si>
  <si>
    <t>Москва - Симферополь</t>
  </si>
  <si>
    <t>Новосибирск - Красноярск</t>
  </si>
  <si>
    <t>Минеральные воды - Екатеринбург</t>
  </si>
  <si>
    <t>Санкт-Петербург - Сочи</t>
  </si>
  <si>
    <t>Калининград - Санкт-Петербург</t>
  </si>
  <si>
    <t>Международные авиаперевозки</t>
  </si>
  <si>
    <t xml:space="preserve">Москва - Варадеро </t>
  </si>
  <si>
    <t xml:space="preserve">Москва - Пунтакана </t>
  </si>
  <si>
    <t xml:space="preserve">Москва - Гавана </t>
  </si>
  <si>
    <t xml:space="preserve">Москва - Мале </t>
  </si>
  <si>
    <t xml:space="preserve">Москва - Сингапур </t>
  </si>
  <si>
    <t xml:space="preserve">Моска - Дубай </t>
  </si>
  <si>
    <t xml:space="preserve">Моска - Доха </t>
  </si>
  <si>
    <t xml:space="preserve">Москва - Шри-Ланка </t>
  </si>
  <si>
    <t xml:space="preserve">Москва - Паттайя </t>
  </si>
  <si>
    <t xml:space="preserve">Моква - Пхукет </t>
  </si>
  <si>
    <t xml:space="preserve">Москва - Хургада </t>
  </si>
  <si>
    <t xml:space="preserve">Москва - Шарм эль Шейх </t>
  </si>
  <si>
    <t xml:space="preserve">Москва - Анталья </t>
  </si>
  <si>
    <t xml:space="preserve">Москва - Белек </t>
  </si>
  <si>
    <t>Москва - Тиват</t>
  </si>
  <si>
    <t xml:space="preserve">Москва - Бодрум </t>
  </si>
  <si>
    <t>С 2023</t>
  </si>
  <si>
    <t>Москва - Анталья</t>
  </si>
  <si>
    <t>Aerobus 330neo</t>
  </si>
  <si>
    <t>Москва - Паттайя</t>
  </si>
  <si>
    <t>Моква - Пхукет</t>
  </si>
  <si>
    <t>Москва - Бургас</t>
  </si>
  <si>
    <t>Москва - Париж</t>
  </si>
  <si>
    <t>Москва - Прага</t>
  </si>
  <si>
    <t>Израсходовано керосина</t>
  </si>
  <si>
    <t>ЗП</t>
  </si>
  <si>
    <t>Маршрут</t>
  </si>
  <si>
    <t>кол-ов рейсов(в одну сторону)</t>
  </si>
  <si>
    <t>кол-во мест эконом</t>
  </si>
  <si>
    <t>кол-во мест бизнес</t>
  </si>
  <si>
    <t>цена эконом</t>
  </si>
  <si>
    <t>цена бизнес</t>
  </si>
  <si>
    <t>загруженность эконома старая</t>
  </si>
  <si>
    <t>загруженность бизнес старая</t>
  </si>
  <si>
    <t>новая загруженность эконома</t>
  </si>
  <si>
    <t>новая загруженность бизнес</t>
  </si>
  <si>
    <t>оптимальное количество рейсов</t>
  </si>
  <si>
    <t>Москва - Санкт-Петербург</t>
  </si>
  <si>
    <t>Москва- Минеральные воды</t>
  </si>
  <si>
    <t>Москва - Сочи</t>
  </si>
  <si>
    <t>Москва - Краснодар</t>
  </si>
  <si>
    <t>Москва - Новосибирск</t>
  </si>
  <si>
    <t>Москва - Красноярск</t>
  </si>
  <si>
    <t>Москва- Уфа</t>
  </si>
  <si>
    <t>Москва - Екатеринбург</t>
  </si>
  <si>
    <t>Москва - Саратов</t>
  </si>
  <si>
    <t>Москва - Калиниград</t>
  </si>
  <si>
    <t>Москва - Варадеро</t>
  </si>
  <si>
    <t>Москва - Пунтакана</t>
  </si>
  <si>
    <t>Москва - Гавана</t>
  </si>
  <si>
    <t>Москва - Мале</t>
  </si>
  <si>
    <t>Москва - Сингапур</t>
  </si>
  <si>
    <t>Моска - Дубай</t>
  </si>
  <si>
    <t>Моска - Доха</t>
  </si>
  <si>
    <t>Москва - Шри-Ланка</t>
  </si>
  <si>
    <t>Москва - Паттайя</t>
  </si>
  <si>
    <t>Москва - Хургада</t>
  </si>
  <si>
    <t>Москва - Белек</t>
  </si>
  <si>
    <t>Москва - Кемер</t>
  </si>
  <si>
    <t>Москва - Бодрум</t>
  </si>
  <si>
    <t>Ребро 1, маршрут</t>
  </si>
  <si>
    <t>Ребро 1, рейсы</t>
  </si>
  <si>
    <t>Ребро 2, маршрут</t>
  </si>
  <si>
    <t>Ребро 2, рейсы</t>
  </si>
  <si>
    <t>Ребро 3, маршрут</t>
  </si>
  <si>
    <t>Ребро 3, рейсы</t>
  </si>
  <si>
    <t>Москва -
Санкт-Петербург -
Сочи</t>
  </si>
  <si>
    <t>Москва -
Калининград -
Санкт-Петербург</t>
  </si>
  <si>
    <t>Москва - 
Новосибирск -
Красноярск</t>
  </si>
  <si>
    <t>Москва - 
Минеральные воды -
Екатеринбург</t>
  </si>
  <si>
    <t>Взято по средней цене из гугла</t>
  </si>
  <si>
    <t>В цикле</t>
  </si>
  <si>
    <t xml:space="preserve">Москва - Кемер </t>
  </si>
  <si>
    <t>Краснодар - Уфа</t>
  </si>
  <si>
    <t>Москва - 
Краснодар -
Уфа</t>
  </si>
  <si>
    <t>Москва - Уфа</t>
  </si>
  <si>
    <t>Процентные ставки РФ из облигаций ЦБ на конец 2021</t>
  </si>
  <si>
    <t>a320, ч. в воздухе</t>
  </si>
  <si>
    <t>a330, ч. в воздухе</t>
  </si>
  <si>
    <t>a330neo, ч. в воздухе</t>
  </si>
  <si>
    <t>Объем контракта</t>
  </si>
  <si>
    <t>Сумма контракта</t>
  </si>
  <si>
    <t>Курс доллара предполагаемый</t>
  </si>
  <si>
    <t>Ставка дисконтирования 2020</t>
  </si>
  <si>
    <t>Ставка дисконтирования 2021</t>
  </si>
  <si>
    <t>При среднегодовом падении рынка на 8,6% NPV = 0.</t>
  </si>
  <si>
    <t xml:space="preserve">ФОТ </t>
  </si>
  <si>
    <t>Выручка</t>
  </si>
  <si>
    <t>Всего:</t>
  </si>
  <si>
    <t>Лизинг, млн $</t>
  </si>
  <si>
    <t>Долларовые активы, млн $</t>
  </si>
  <si>
    <t>Убытки</t>
  </si>
  <si>
    <t>Расходы на авиапарк:</t>
  </si>
  <si>
    <t>FX форвард</t>
  </si>
  <si>
    <t>Прибыль до налога на прибыль</t>
  </si>
  <si>
    <t>Хеджирование:</t>
  </si>
  <si>
    <t>Обесценивание самолетов</t>
  </si>
  <si>
    <t>Внутренние авиаперевозки</t>
  </si>
  <si>
    <t>Изначальные данные по авиапарку</t>
  </si>
  <si>
    <t>Изначальные данные по рейсам</t>
  </si>
  <si>
    <t>Initial data</t>
  </si>
  <si>
    <t>Cycles added</t>
  </si>
  <si>
    <t>New data</t>
  </si>
  <si>
    <t>Предположения кейса</t>
  </si>
  <si>
    <t>Ставка дисконтирования на 2 года в 2019</t>
  </si>
  <si>
    <t>Мультипликатор дисконтирования 2019-2021</t>
  </si>
  <si>
    <t>Налоги</t>
  </si>
  <si>
    <t>Дисконтирование прошлых денежных потоков</t>
  </si>
  <si>
    <t>Суммарная стоимость FX контракта</t>
  </si>
  <si>
    <t>Бескупонная доходность США</t>
  </si>
  <si>
    <t>Бескупонная доходность РФ</t>
  </si>
  <si>
    <t>Форвардный курс</t>
  </si>
  <si>
    <t>USD/RUB на конец 2021</t>
  </si>
  <si>
    <t>Данные о EV/EBITDA компаний-конкурентов на 2019 год</t>
  </si>
  <si>
    <t>Компания</t>
  </si>
  <si>
    <t>Год владения компанией</t>
  </si>
  <si>
    <t>Цена топлива в будущем, расчитанная с использованием ставок дисконтирования исходя из цены на конец 2021 г.</t>
  </si>
  <si>
    <t>Срок до погашения облигаций, лет</t>
  </si>
  <si>
    <t>Хеджирование валютных рисков посредством заключения FX контрактов на 5 лет для оплаты лизинга</t>
  </si>
  <si>
    <t>Расчет мультипликатора EV/EBITDA</t>
  </si>
  <si>
    <t>Мультипликатор дисконтирования США 2000-2021</t>
  </si>
  <si>
    <t>(расчетная)</t>
  </si>
  <si>
    <t>Полет в салоне экономического класса самолета, в расчете на 1000 км пути</t>
  </si>
  <si>
    <t>Средняя цена</t>
  </si>
  <si>
    <t>Месяц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</si>
  <si>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</si>
  <si>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</si>
  <si>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</si>
  <si>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</si>
  <si>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</si>
  <si>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</si>
  <si>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</si>
  <si>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</si>
  <si>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</si>
  <si>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</si>
  <si>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</si>
  <si>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</si>
  <si>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</si>
  <si>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</si>
  <si>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</si>
  <si>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</si>
  <si>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</si>
  <si>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</si>
  <si>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</si>
  <si>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</si>
  <si>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</si>
  <si>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</si>
  <si>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</si>
  <si>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</si>
  <si>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</si>
  <si>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</si>
  <si>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</si>
  <si>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</si>
  <si>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</si>
  <si>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</si>
  <si>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</si>
  <si>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</si>
  <si>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</si>
  <si>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</si>
  <si>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</si>
  <si>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Дата</t>
  </si>
  <si>
    <t>Mean</t>
  </si>
  <si>
    <t>Std</t>
  </si>
  <si>
    <t>Полет в салоне экономического класса самолета, в расчете на 1000 км пути (РосСтат)</t>
  </si>
  <si>
    <t>Всего</t>
  </si>
  <si>
    <t>За равный период (апрель - ноябрь)</t>
  </si>
  <si>
    <t>Апрель-ноябрь (учет СВО)</t>
  </si>
  <si>
    <t>Январь-ноябрь (равные периоды, учет сезонности)</t>
  </si>
  <si>
    <t>Усреднение месячных данных РосСтата</t>
  </si>
  <si>
    <t>Предсказания с помощью модели ARIMA</t>
  </si>
  <si>
    <t>Погрешность предсказания</t>
  </si>
  <si>
    <t>Мультипликатор цены билета 2019 г</t>
  </si>
  <si>
    <t>Мультипликатор цены билета 2021 г</t>
  </si>
  <si>
    <t>Мультипликатор</t>
  </si>
  <si>
    <t>Средняя цена обслуживания самолета, $/час</t>
  </si>
  <si>
    <t>Средняя цена обслуживания самолета, RUB/летный час</t>
  </si>
  <si>
    <t>Другое (Сборы, ФОТ, налог на самолеты)</t>
  </si>
  <si>
    <t>Новые рейсы</t>
  </si>
  <si>
    <t>PV выручки новое</t>
  </si>
  <si>
    <t>PV выручки старое</t>
  </si>
  <si>
    <t>Итого</t>
  </si>
  <si>
    <t>Изм</t>
  </si>
  <si>
    <t>В среднем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</si>
</sst>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* #,##0.00\ &quot;RUB&quot;_-;\-* #,##0.00\ &quot;RUB&quot;_-;_-* &quot;-&quot;??\ &quot;RUB&quot;_-;_-@_-"/>
    <numFmt numFmtId="43" formatCode="_-* #,##0.00_-;\-* #,##0.00_-;_-* &quot;-&quot;??_-;_-@_-"/>
    <numFmt numFmtId="164" formatCode="0.0"/>
    <numFmt numFmtId="165" formatCode="#,##0.00\ &quot;RUB&quot;"/>
    <numFmt numFmtId="166" formatCode="##0.##,,,"/>
    <numFmt numFmtId="167" formatCode="#,##0\ &quot;RUB&quot;"/>
    <numFmt numFmtId="168" formatCode="0.0%"/>
    <numFmt numFmtId="169" formatCode="_-[$$-C09]* #,##0_-;\-[$$-C09]* #,##0_-;_-[$$-C09]* &quot;-&quot;??_-;_-@"/>
    <numFmt numFmtId="170" formatCode="_-[$$-C09]* #,##0.00_-;\-[$$-C09]* #,##0.00_-;_-[$$-C09]* &quot;-&quot;??_-;_-@"/>
    <numFmt numFmtId="171" formatCode="_-[$$-4809]* #,##0.00_-;\-[$$-4809]* #,##0.00_-;_-[$$-4809]* &quot;-&quot;??_-;_-@"/>
    <numFmt numFmtId="172" formatCode="_-[$$-2009]* #,##0.00_-;\-[$$-2009]* #,##0.00_-;_-[$$-2009]* &quot;-&quot;??_-;_-@"/>
    <numFmt numFmtId="173" formatCode="_-* #,##0.00\ &quot;RUB&quot;_-;\-* #,##0.00\ &quot;RUB&quot;_-;_-* &quot;-&quot;??\ &quot;RUB&quot;_-;_-@"/>
    <numFmt numFmtId="174" formatCode="_-* #,##0_-;\-* #,##0_-;_-* &quot;-&quot;??_-;_-@"/>
    <numFmt numFmtId="175" formatCode="_-[$$-2009]* #,##0_-;\-[$$-2009]* #,##0_-;_-[$$-2009]* &quot;-&quot;??_-;_-@_-"/>
    <numFmt numFmtId="176" formatCode="##0.###,,,"/>
    <numFmt numFmtId="177" formatCode="_-* #,##0\ &quot;RUB&quot;_-;\-* #,##0\ &quot;RUB&quot;_-;_-* &quot;-&quot;??\ &quot;RUB&quot;_-;_-@_-"/>
    <numFmt numFmtId="178" formatCode="_-* #,##0\ &quot;RUB&quot;_-;\-* #,##0\ &quot;RUB&quot;_-;_-* &quot;-&quot;??\ &quot;RUB&quot;_-;_-@"/>
  </numFmts>
  <fonts count="2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B2E33"/>
      <name val="Times New Roman"/>
      <family val="1"/>
    </font>
    <font>
      <sz val="14"/>
      <color rgb="FF333D47"/>
      <name val="Times New Roman"/>
      <family val="1"/>
    </font>
    <font>
      <sz val="12"/>
      <name val="Calibri"/>
      <family val="2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202124"/>
      <name val="Times New Roman"/>
      <family val="1"/>
    </font>
    <font>
      <sz val="14"/>
      <color rgb="FF444444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4"/>
      <color rgb="FF000000"/>
      <name val="Times New Roman"/>
      <family val="1"/>
    </font>
    <font>
      <sz val="10"/>
      <color rgb="FF333D47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name val="Times New Roman"/>
      <family val="1"/>
    </font>
    <font>
      <sz val="14"/>
      <color rgb="FF59595C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A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6" fillId="0" borderId="29"/>
    <xf numFmtId="44" fontId="6" fillId="0" borderId="29" applyFont="0" applyFill="0" applyBorder="0" applyAlignment="0" applyProtection="0"/>
    <xf numFmtId="43" fontId="6" fillId="0" borderId="29" applyFont="0" applyFill="0" applyBorder="0" applyAlignment="0" applyProtection="0"/>
    <xf numFmtId="9" fontId="6" fillId="0" borderId="29" applyFont="0" applyFill="0" applyBorder="0" applyAlignment="0" applyProtection="0"/>
    <xf numFmtId="0" fontId="18" fillId="0" borderId="29"/>
    <xf numFmtId="0" fontId="13" fillId="0" borderId="29"/>
    <xf numFmtId="9" fontId="24" fillId="0" borderId="0" applyFont="0" applyFill="0" applyBorder="0" applyAlignment="0" applyProtection="0"/>
    <xf numFmtId="0" fontId="3" fillId="0" borderId="29"/>
    <xf numFmtId="44" fontId="27" fillId="0" borderId="0" applyFont="0" applyFill="0" applyBorder="0" applyAlignment="0" applyProtection="0"/>
  </cellStyleXfs>
  <cellXfs count="763">
    <xf numFmtId="0" fontId="0" fillId="0" borderId="0" xfId="0"/>
    <xf numFmtId="0" fontId="7" fillId="0" borderId="1" xfId="0" applyFont="1" applyBorder="1" applyAlignment="1">
      <alignment wrapText="1"/>
    </xf>
    <xf numFmtId="0" fontId="7" fillId="0" borderId="0" xfId="0" applyFont="1"/>
    <xf numFmtId="0" fontId="7" fillId="0" borderId="3" xfId="0" applyFont="1" applyBorder="1" applyAlignment="1">
      <alignment wrapText="1"/>
    </xf>
    <xf numFmtId="9" fontId="7" fillId="0" borderId="0" xfId="0" applyNumberFormat="1" applyFont="1"/>
    <xf numFmtId="0" fontId="7" fillId="0" borderId="0" xfId="0" applyFont="1" applyAlignment="1">
      <alignment wrapText="1"/>
    </xf>
    <xf numFmtId="2" fontId="7" fillId="0" borderId="4" xfId="0" applyNumberFormat="1" applyFont="1" applyBorder="1"/>
    <xf numFmtId="0" fontId="7" fillId="0" borderId="3" xfId="0" applyFont="1" applyBorder="1"/>
    <xf numFmtId="10" fontId="7" fillId="0" borderId="4" xfId="0" applyNumberFormat="1" applyFont="1" applyBorder="1"/>
    <xf numFmtId="0" fontId="7" fillId="0" borderId="5" xfId="0" applyFont="1" applyBorder="1" applyAlignment="1">
      <alignment wrapText="1"/>
    </xf>
    <xf numFmtId="9" fontId="7" fillId="0" borderId="6" xfId="0" applyNumberFormat="1" applyFont="1" applyBorder="1"/>
    <xf numFmtId="0" fontId="10" fillId="0" borderId="1" xfId="0" applyFont="1" applyBorder="1"/>
    <xf numFmtId="0" fontId="10" fillId="0" borderId="8" xfId="0" applyFont="1" applyBorder="1"/>
    <xf numFmtId="0" fontId="10" fillId="0" borderId="2" xfId="0" applyFont="1" applyBorder="1"/>
    <xf numFmtId="0" fontId="7" fillId="0" borderId="10" xfId="0" applyFont="1" applyBorder="1"/>
    <xf numFmtId="0" fontId="10" fillId="0" borderId="10" xfId="0" applyFont="1" applyBorder="1"/>
    <xf numFmtId="0" fontId="10" fillId="0" borderId="4" xfId="0" applyFont="1" applyBorder="1"/>
    <xf numFmtId="0" fontId="9" fillId="0" borderId="3" xfId="0" applyFont="1" applyBorder="1"/>
    <xf numFmtId="0" fontId="9" fillId="0" borderId="10" xfId="0" applyFont="1" applyBorder="1"/>
    <xf numFmtId="0" fontId="7" fillId="0" borderId="4" xfId="0" applyFont="1" applyBorder="1"/>
    <xf numFmtId="9" fontId="9" fillId="0" borderId="10" xfId="0" applyNumberFormat="1" applyFont="1" applyBorder="1"/>
    <xf numFmtId="10" fontId="9" fillId="0" borderId="10" xfId="0" applyNumberFormat="1" applyFont="1" applyBorder="1"/>
    <xf numFmtId="10" fontId="7" fillId="0" borderId="10" xfId="0" applyNumberFormat="1" applyFont="1" applyBorder="1"/>
    <xf numFmtId="0" fontId="7" fillId="0" borderId="5" xfId="0" applyFont="1" applyBorder="1"/>
    <xf numFmtId="9" fontId="7" fillId="0" borderId="12" xfId="0" applyNumberFormat="1" applyFont="1" applyBorder="1"/>
    <xf numFmtId="10" fontId="7" fillId="0" borderId="12" xfId="0" applyNumberFormat="1" applyFont="1" applyBorder="1"/>
    <xf numFmtId="10" fontId="7" fillId="0" borderId="6" xfId="0" applyNumberFormat="1" applyFont="1" applyBorder="1"/>
    <xf numFmtId="0" fontId="10" fillId="0" borderId="0" xfId="0" applyFont="1"/>
    <xf numFmtId="165" fontId="7" fillId="0" borderId="0" xfId="0" applyNumberFormat="1" applyFont="1"/>
    <xf numFmtId="165" fontId="10" fillId="0" borderId="0" xfId="0" applyNumberFormat="1" applyFont="1"/>
    <xf numFmtId="0" fontId="7" fillId="0" borderId="14" xfId="0" applyFont="1" applyBorder="1"/>
    <xf numFmtId="0" fontId="7" fillId="0" borderId="8" xfId="0" applyFont="1" applyBorder="1"/>
    <xf numFmtId="0" fontId="7" fillId="0" borderId="2" xfId="0" applyFont="1" applyBorder="1"/>
    <xf numFmtId="2" fontId="7" fillId="0" borderId="10" xfId="0" applyNumberFormat="1" applyFont="1" applyBorder="1"/>
    <xf numFmtId="0" fontId="7" fillId="0" borderId="18" xfId="0" applyFont="1" applyBorder="1"/>
    <xf numFmtId="0" fontId="7" fillId="0" borderId="12" xfId="0" applyFont="1" applyBorder="1"/>
    <xf numFmtId="166" fontId="7" fillId="0" borderId="12" xfId="0" applyNumberFormat="1" applyFont="1" applyBorder="1"/>
    <xf numFmtId="166" fontId="7" fillId="0" borderId="6" xfId="0" applyNumberFormat="1" applyFont="1" applyBorder="1"/>
    <xf numFmtId="166" fontId="7" fillId="0" borderId="8" xfId="0" applyNumberFormat="1" applyFont="1" applyBorder="1"/>
    <xf numFmtId="166" fontId="7" fillId="0" borderId="2" xfId="0" applyNumberFormat="1" applyFont="1" applyBorder="1"/>
    <xf numFmtId="166" fontId="7" fillId="0" borderId="10" xfId="0" applyNumberFormat="1" applyFont="1" applyBorder="1"/>
    <xf numFmtId="166" fontId="7" fillId="0" borderId="4" xfId="0" applyNumberFormat="1" applyFont="1" applyBorder="1"/>
    <xf numFmtId="167" fontId="7" fillId="0" borderId="0" xfId="0" applyNumberFormat="1" applyFont="1"/>
    <xf numFmtId="166" fontId="7" fillId="0" borderId="0" xfId="0" applyNumberFormat="1" applyFont="1"/>
    <xf numFmtId="168" fontId="7" fillId="0" borderId="4" xfId="0" applyNumberFormat="1" applyFont="1" applyBorder="1"/>
    <xf numFmtId="0" fontId="7" fillId="0" borderId="0" xfId="0" applyFont="1" applyAlignment="1">
      <alignment vertical="center" textRotation="90"/>
    </xf>
    <xf numFmtId="168" fontId="7" fillId="0" borderId="0" xfId="0" applyNumberFormat="1" applyFont="1"/>
    <xf numFmtId="10" fontId="10" fillId="0" borderId="0" xfId="0" applyNumberFormat="1" applyFont="1"/>
    <xf numFmtId="0" fontId="12" fillId="0" borderId="0" xfId="0" applyFont="1"/>
    <xf numFmtId="167" fontId="12" fillId="0" borderId="0" xfId="0" applyNumberFormat="1" applyFont="1"/>
    <xf numFmtId="0" fontId="8" fillId="0" borderId="0" xfId="0" applyFont="1"/>
    <xf numFmtId="0" fontId="7" fillId="0" borderId="8" xfId="0" applyFont="1" applyBorder="1" applyAlignment="1">
      <alignment wrapText="1"/>
    </xf>
    <xf numFmtId="0" fontId="10" fillId="0" borderId="3" xfId="0" applyFont="1" applyBorder="1"/>
    <xf numFmtId="167" fontId="10" fillId="0" borderId="10" xfId="0" applyNumberFormat="1" applyFont="1" applyBorder="1"/>
    <xf numFmtId="169" fontId="10" fillId="0" borderId="10" xfId="0" applyNumberFormat="1" applyFont="1" applyBorder="1"/>
    <xf numFmtId="1" fontId="7" fillId="0" borderId="10" xfId="0" applyNumberFormat="1" applyFont="1" applyBorder="1"/>
    <xf numFmtId="0" fontId="7" fillId="0" borderId="27" xfId="0" applyFont="1" applyBorder="1" applyAlignment="1">
      <alignment horizontal="center" vertical="center" textRotation="90"/>
    </xf>
    <xf numFmtId="165" fontId="10" fillId="0" borderId="10" xfId="0" applyNumberFormat="1" applyFont="1" applyBorder="1"/>
    <xf numFmtId="169" fontId="7" fillId="0" borderId="10" xfId="0" applyNumberFormat="1" applyFont="1" applyBorder="1"/>
    <xf numFmtId="167" fontId="7" fillId="0" borderId="27" xfId="0" applyNumberFormat="1" applyFont="1" applyBorder="1" applyAlignment="1">
      <alignment horizontal="center" vertical="center"/>
    </xf>
    <xf numFmtId="167" fontId="7" fillId="0" borderId="10" xfId="0" applyNumberFormat="1" applyFont="1" applyBorder="1"/>
    <xf numFmtId="167" fontId="7" fillId="0" borderId="4" xfId="0" applyNumberFormat="1" applyFont="1" applyBorder="1"/>
    <xf numFmtId="170" fontId="7" fillId="0" borderId="10" xfId="0" applyNumberFormat="1" applyFont="1" applyBorder="1"/>
    <xf numFmtId="0" fontId="10" fillId="0" borderId="5" xfId="0" applyFont="1" applyBorder="1"/>
    <xf numFmtId="0" fontId="10" fillId="0" borderId="12" xfId="0" applyFont="1" applyBorder="1"/>
    <xf numFmtId="165" fontId="10" fillId="0" borderId="12" xfId="0" applyNumberFormat="1" applyFont="1" applyBorder="1"/>
    <xf numFmtId="1" fontId="7" fillId="0" borderId="12" xfId="0" applyNumberFormat="1" applyFont="1" applyBorder="1"/>
    <xf numFmtId="169" fontId="7" fillId="0" borderId="12" xfId="0" applyNumberFormat="1" applyFont="1" applyBorder="1"/>
    <xf numFmtId="167" fontId="7" fillId="0" borderId="6" xfId="0" applyNumberFormat="1" applyFont="1" applyBorder="1"/>
    <xf numFmtId="167" fontId="7" fillId="0" borderId="12" xfId="0" applyNumberFormat="1" applyFont="1" applyBorder="1"/>
    <xf numFmtId="0" fontId="7" fillId="0" borderId="22" xfId="0" applyFont="1" applyBorder="1"/>
    <xf numFmtId="167" fontId="7" fillId="0" borderId="22" xfId="0" applyNumberFormat="1" applyFont="1" applyBorder="1"/>
    <xf numFmtId="0" fontId="7" fillId="0" borderId="32" xfId="0" applyFont="1" applyBorder="1"/>
    <xf numFmtId="0" fontId="7" fillId="0" borderId="20" xfId="0" applyFont="1" applyBorder="1"/>
    <xf numFmtId="0" fontId="7" fillId="0" borderId="34" xfId="0" applyFont="1" applyBorder="1"/>
    <xf numFmtId="0" fontId="14" fillId="0" borderId="0" xfId="0" applyFont="1" applyAlignment="1">
      <alignment horizontal="center"/>
    </xf>
    <xf numFmtId="1" fontId="7" fillId="0" borderId="0" xfId="0" applyNumberFormat="1" applyFont="1"/>
    <xf numFmtId="0" fontId="15" fillId="0" borderId="0" xfId="0" applyFont="1"/>
    <xf numFmtId="165" fontId="10" fillId="0" borderId="8" xfId="0" applyNumberFormat="1" applyFont="1" applyBorder="1"/>
    <xf numFmtId="165" fontId="7" fillId="2" borderId="8" xfId="0" applyNumberFormat="1" applyFont="1" applyFill="1" applyBorder="1"/>
    <xf numFmtId="3" fontId="10" fillId="0" borderId="8" xfId="0" applyNumberFormat="1" applyFont="1" applyBorder="1"/>
    <xf numFmtId="167" fontId="7" fillId="0" borderId="8" xfId="0" applyNumberFormat="1" applyFont="1" applyBorder="1"/>
    <xf numFmtId="174" fontId="10" fillId="0" borderId="10" xfId="0" applyNumberFormat="1" applyFont="1" applyBorder="1"/>
    <xf numFmtId="167" fontId="10" fillId="0" borderId="31" xfId="0" applyNumberFormat="1" applyFont="1" applyBorder="1"/>
    <xf numFmtId="167" fontId="10" fillId="0" borderId="27" xfId="0" applyNumberFormat="1" applyFont="1" applyBorder="1"/>
    <xf numFmtId="165" fontId="7" fillId="2" borderId="10" xfId="0" applyNumberFormat="1" applyFont="1" applyFill="1" applyBorder="1"/>
    <xf numFmtId="3" fontId="10" fillId="0" borderId="10" xfId="0" applyNumberFormat="1" applyFont="1" applyBorder="1"/>
    <xf numFmtId="174" fontId="10" fillId="0" borderId="12" xfId="0" applyNumberFormat="1" applyFont="1" applyBorder="1"/>
    <xf numFmtId="167" fontId="10" fillId="0" borderId="37" xfId="0" applyNumberFormat="1" applyFont="1" applyBorder="1"/>
    <xf numFmtId="167" fontId="10" fillId="0" borderId="12" xfId="0" applyNumberFormat="1" applyFont="1" applyBorder="1"/>
    <xf numFmtId="165" fontId="7" fillId="2" borderId="12" xfId="0" applyNumberFormat="1" applyFont="1" applyFill="1" applyBorder="1"/>
    <xf numFmtId="3" fontId="10" fillId="0" borderId="12" xfId="0" applyNumberFormat="1" applyFont="1" applyBorder="1"/>
    <xf numFmtId="167" fontId="10" fillId="0" borderId="21" xfId="0" applyNumberFormat="1" applyFont="1" applyBorder="1"/>
    <xf numFmtId="1" fontId="10" fillId="0" borderId="8" xfId="0" applyNumberFormat="1" applyFont="1" applyBorder="1"/>
    <xf numFmtId="9" fontId="10" fillId="0" borderId="10" xfId="0" applyNumberFormat="1" applyFont="1" applyBorder="1"/>
    <xf numFmtId="1" fontId="10" fillId="0" borderId="10" xfId="0" applyNumberFormat="1" applyFont="1" applyBorder="1"/>
    <xf numFmtId="9" fontId="10" fillId="0" borderId="12" xfId="0" applyNumberFormat="1" applyFont="1" applyBorder="1"/>
    <xf numFmtId="1" fontId="10" fillId="0" borderId="12" xfId="0" applyNumberFormat="1" applyFont="1" applyBorder="1"/>
    <xf numFmtId="0" fontId="10" fillId="0" borderId="8" xfId="0" applyFont="1" applyBorder="1" applyAlignment="1">
      <alignment horizontal="right"/>
    </xf>
    <xf numFmtId="167" fontId="10" fillId="0" borderId="38" xfId="0" applyNumberFormat="1" applyFont="1" applyBorder="1" applyAlignment="1">
      <alignment horizontal="right"/>
    </xf>
    <xf numFmtId="167" fontId="10" fillId="0" borderId="30" xfId="0" applyNumberFormat="1" applyFont="1" applyBorder="1" applyAlignment="1">
      <alignment horizontal="right"/>
    </xf>
    <xf numFmtId="9" fontId="10" fillId="0" borderId="8" xfId="0" applyNumberFormat="1" applyFont="1" applyBorder="1" applyAlignment="1">
      <alignment horizontal="right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167" fontId="10" fillId="0" borderId="31" xfId="0" applyNumberFormat="1" applyFont="1" applyBorder="1" applyAlignment="1">
      <alignment horizontal="right"/>
    </xf>
    <xf numFmtId="167" fontId="10" fillId="0" borderId="27" xfId="0" applyNumberFormat="1" applyFont="1" applyBorder="1" applyAlignment="1">
      <alignment horizontal="right"/>
    </xf>
    <xf numFmtId="9" fontId="10" fillId="0" borderId="10" xfId="0" applyNumberFormat="1" applyFont="1" applyBorder="1" applyAlignment="1">
      <alignment horizontal="right"/>
    </xf>
    <xf numFmtId="0" fontId="10" fillId="0" borderId="26" xfId="0" applyFont="1" applyBorder="1" applyAlignment="1">
      <alignment horizontal="left"/>
    </xf>
    <xf numFmtId="0" fontId="10" fillId="0" borderId="26" xfId="0" applyFont="1" applyBorder="1" applyAlignment="1">
      <alignment horizontal="right"/>
    </xf>
    <xf numFmtId="167" fontId="10" fillId="0" borderId="39" xfId="0" applyNumberFormat="1" applyFont="1" applyBorder="1" applyAlignment="1">
      <alignment horizontal="right"/>
    </xf>
    <xf numFmtId="167" fontId="10" fillId="0" borderId="40" xfId="0" applyNumberFormat="1" applyFont="1" applyBorder="1" applyAlignment="1">
      <alignment horizontal="right"/>
    </xf>
    <xf numFmtId="9" fontId="10" fillId="0" borderId="26" xfId="0" applyNumberFormat="1" applyFont="1" applyBorder="1" applyAlignment="1">
      <alignment horizontal="right"/>
    </xf>
    <xf numFmtId="165" fontId="7" fillId="2" borderId="26" xfId="0" applyNumberFormat="1" applyFont="1" applyFill="1" applyBorder="1"/>
    <xf numFmtId="3" fontId="10" fillId="0" borderId="26" xfId="0" applyNumberFormat="1" applyFont="1" applyBorder="1"/>
    <xf numFmtId="165" fontId="10" fillId="0" borderId="26" xfId="0" applyNumberFormat="1" applyFont="1" applyBorder="1"/>
    <xf numFmtId="1" fontId="10" fillId="0" borderId="26" xfId="0" applyNumberFormat="1" applyFont="1" applyBorder="1"/>
    <xf numFmtId="0" fontId="7" fillId="0" borderId="26" xfId="0" applyFont="1" applyBorder="1"/>
    <xf numFmtId="167" fontId="7" fillId="0" borderId="26" xfId="0" applyNumberFormat="1" applyFont="1" applyBorder="1"/>
    <xf numFmtId="0" fontId="7" fillId="0" borderId="2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right"/>
    </xf>
    <xf numFmtId="0" fontId="7" fillId="0" borderId="22" xfId="0" applyFont="1" applyBorder="1" applyAlignment="1">
      <alignment wrapText="1"/>
    </xf>
    <xf numFmtId="165" fontId="10" fillId="0" borderId="8" xfId="0" applyNumberFormat="1" applyFont="1" applyBorder="1" applyAlignment="1">
      <alignment horizontal="right"/>
    </xf>
    <xf numFmtId="165" fontId="10" fillId="0" borderId="10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0" fontId="17" fillId="0" borderId="46" xfId="5" applyFont="1" applyBorder="1"/>
    <xf numFmtId="0" fontId="21" fillId="0" borderId="29" xfId="5" applyFont="1"/>
    <xf numFmtId="0" fontId="17" fillId="0" borderId="46" xfId="5" applyFont="1" applyBorder="1" applyAlignment="1">
      <alignment horizontal="right"/>
    </xf>
    <xf numFmtId="0" fontId="21" fillId="0" borderId="29" xfId="5" applyFont="1" applyAlignment="1">
      <alignment wrapText="1"/>
    </xf>
    <xf numFmtId="0" fontId="17" fillId="0" borderId="46" xfId="5" applyFont="1" applyBorder="1" applyAlignment="1">
      <alignment wrapText="1"/>
    </xf>
    <xf numFmtId="0" fontId="17" fillId="0" borderId="29" xfId="5" applyFont="1"/>
    <xf numFmtId="0" fontId="17" fillId="8" borderId="29" xfId="5" applyFont="1" applyFill="1"/>
    <xf numFmtId="0" fontId="17" fillId="5" borderId="29" xfId="5" applyFont="1" applyFill="1"/>
    <xf numFmtId="0" fontId="17" fillId="6" borderId="29" xfId="5" applyFont="1" applyFill="1"/>
    <xf numFmtId="0" fontId="17" fillId="4" borderId="29" xfId="5" applyFont="1" applyFill="1"/>
    <xf numFmtId="0" fontId="17" fillId="9" borderId="29" xfId="5" applyFont="1" applyFill="1"/>
    <xf numFmtId="0" fontId="17" fillId="0" borderId="29" xfId="5" applyFont="1" applyAlignment="1">
      <alignment horizontal="right"/>
    </xf>
    <xf numFmtId="0" fontId="17" fillId="0" borderId="42" xfId="5" applyFont="1" applyBorder="1" applyAlignment="1">
      <alignment horizontal="right"/>
    </xf>
    <xf numFmtId="0" fontId="17" fillId="0" borderId="43" xfId="5" applyFont="1" applyBorder="1" applyAlignment="1">
      <alignment horizontal="right"/>
    </xf>
    <xf numFmtId="0" fontId="17" fillId="0" borderId="43" xfId="5" applyFont="1" applyBorder="1"/>
    <xf numFmtId="0" fontId="17" fillId="0" borderId="45" xfId="5" applyFont="1" applyBorder="1" applyAlignment="1">
      <alignment horizontal="right"/>
    </xf>
    <xf numFmtId="0" fontId="17" fillId="0" borderId="58" xfId="5" applyFont="1" applyBorder="1" applyAlignment="1">
      <alignment horizontal="right"/>
    </xf>
    <xf numFmtId="0" fontId="17" fillId="0" borderId="59" xfId="5" applyFont="1" applyBorder="1" applyAlignment="1">
      <alignment horizontal="right"/>
    </xf>
    <xf numFmtId="0" fontId="17" fillId="0" borderId="59" xfId="5" applyFont="1" applyBorder="1"/>
    <xf numFmtId="0" fontId="17" fillId="0" borderId="58" xfId="5" applyFont="1" applyBorder="1"/>
    <xf numFmtId="0" fontId="17" fillId="0" borderId="64" xfId="5" applyFont="1" applyBorder="1"/>
    <xf numFmtId="0" fontId="17" fillId="0" borderId="48" xfId="5" applyFont="1" applyBorder="1"/>
    <xf numFmtId="0" fontId="17" fillId="0" borderId="49" xfId="5" applyFont="1" applyBorder="1"/>
    <xf numFmtId="0" fontId="17" fillId="0" borderId="42" xfId="5" applyFont="1" applyBorder="1"/>
    <xf numFmtId="0" fontId="17" fillId="9" borderId="43" xfId="5" applyFont="1" applyFill="1" applyBorder="1"/>
    <xf numFmtId="0" fontId="17" fillId="0" borderId="45" xfId="5" applyFont="1" applyBorder="1"/>
    <xf numFmtId="0" fontId="17" fillId="9" borderId="46" xfId="5" applyFont="1" applyFill="1" applyBorder="1"/>
    <xf numFmtId="0" fontId="17" fillId="9" borderId="59" xfId="5" applyFont="1" applyFill="1" applyBorder="1"/>
    <xf numFmtId="0" fontId="17" fillId="0" borderId="48" xfId="5" applyFont="1" applyBorder="1" applyAlignment="1">
      <alignment horizontal="right"/>
    </xf>
    <xf numFmtId="0" fontId="17" fillId="0" borderId="49" xfId="5" applyFont="1" applyBorder="1" applyAlignment="1">
      <alignment horizontal="right"/>
    </xf>
    <xf numFmtId="0" fontId="17" fillId="10" borderId="49" xfId="5" applyFont="1" applyFill="1" applyBorder="1" applyAlignment="1">
      <alignment horizontal="right"/>
    </xf>
    <xf numFmtId="0" fontId="17" fillId="0" borderId="48" xfId="5" applyFont="1" applyBorder="1" applyAlignment="1">
      <alignment wrapText="1"/>
    </xf>
    <xf numFmtId="0" fontId="17" fillId="0" borderId="49" xfId="5" applyFont="1" applyBorder="1" applyAlignment="1">
      <alignment wrapText="1"/>
    </xf>
    <xf numFmtId="0" fontId="10" fillId="0" borderId="26" xfId="0" applyFont="1" applyBorder="1"/>
    <xf numFmtId="9" fontId="10" fillId="0" borderId="22" xfId="0" applyNumberFormat="1" applyFont="1" applyBorder="1"/>
    <xf numFmtId="0" fontId="10" fillId="0" borderId="22" xfId="0" applyFont="1" applyBorder="1"/>
    <xf numFmtId="174" fontId="10" fillId="0" borderId="22" xfId="0" applyNumberFormat="1" applyFont="1" applyBorder="1"/>
    <xf numFmtId="167" fontId="10" fillId="0" borderId="34" xfId="0" applyNumberFormat="1" applyFont="1" applyBorder="1"/>
    <xf numFmtId="167" fontId="10" fillId="0" borderId="22" xfId="0" applyNumberFormat="1" applyFont="1" applyBorder="1"/>
    <xf numFmtId="0" fontId="10" fillId="0" borderId="50" xfId="0" applyFont="1" applyBorder="1" applyAlignment="1">
      <alignment horizontal="right"/>
    </xf>
    <xf numFmtId="0" fontId="10" fillId="0" borderId="50" xfId="0" applyFont="1" applyBorder="1" applyAlignment="1">
      <alignment horizontal="left"/>
    </xf>
    <xf numFmtId="165" fontId="7" fillId="2" borderId="22" xfId="0" applyNumberFormat="1" applyFont="1" applyFill="1" applyBorder="1"/>
    <xf numFmtId="3" fontId="10" fillId="0" borderId="22" xfId="0" applyNumberFormat="1" applyFont="1" applyBorder="1"/>
    <xf numFmtId="165" fontId="10" fillId="0" borderId="22" xfId="0" applyNumberFormat="1" applyFont="1" applyBorder="1"/>
    <xf numFmtId="1" fontId="7" fillId="0" borderId="22" xfId="0" applyNumberFormat="1" applyFont="1" applyBorder="1"/>
    <xf numFmtId="0" fontId="7" fillId="0" borderId="29" xfId="0" applyFont="1" applyBorder="1"/>
    <xf numFmtId="1" fontId="10" fillId="0" borderId="22" xfId="0" applyNumberFormat="1" applyFont="1" applyBorder="1"/>
    <xf numFmtId="0" fontId="10" fillId="0" borderId="46" xfId="0" applyFont="1" applyBorder="1"/>
    <xf numFmtId="174" fontId="10" fillId="0" borderId="46" xfId="0" applyNumberFormat="1" applyFont="1" applyBorder="1"/>
    <xf numFmtId="167" fontId="10" fillId="0" borderId="46" xfId="0" applyNumberFormat="1" applyFont="1" applyBorder="1"/>
    <xf numFmtId="167" fontId="7" fillId="0" borderId="46" xfId="0" applyNumberFormat="1" applyFont="1" applyBorder="1"/>
    <xf numFmtId="0" fontId="7" fillId="0" borderId="46" xfId="0" applyFont="1" applyBorder="1"/>
    <xf numFmtId="9" fontId="10" fillId="0" borderId="46" xfId="0" applyNumberFormat="1" applyFont="1" applyBorder="1"/>
    <xf numFmtId="9" fontId="7" fillId="0" borderId="46" xfId="0" applyNumberFormat="1" applyFont="1" applyBorder="1"/>
    <xf numFmtId="165" fontId="10" fillId="0" borderId="46" xfId="0" applyNumberFormat="1" applyFont="1" applyBorder="1"/>
    <xf numFmtId="165" fontId="7" fillId="2" borderId="46" xfId="0" applyNumberFormat="1" applyFont="1" applyFill="1" applyBorder="1"/>
    <xf numFmtId="3" fontId="10" fillId="0" borderId="46" xfId="0" applyNumberFormat="1" applyFont="1" applyBorder="1"/>
    <xf numFmtId="1" fontId="7" fillId="0" borderId="46" xfId="0" applyNumberFormat="1" applyFont="1" applyBorder="1"/>
    <xf numFmtId="0" fontId="10" fillId="0" borderId="46" xfId="0" applyFont="1" applyBorder="1" applyAlignment="1">
      <alignment horizontal="right"/>
    </xf>
    <xf numFmtId="0" fontId="10" fillId="0" borderId="46" xfId="0" applyFont="1" applyBorder="1" applyAlignment="1">
      <alignment horizontal="left"/>
    </xf>
    <xf numFmtId="167" fontId="10" fillId="0" borderId="46" xfId="0" applyNumberFormat="1" applyFont="1" applyBorder="1" applyAlignment="1">
      <alignment horizontal="right"/>
    </xf>
    <xf numFmtId="9" fontId="10" fillId="0" borderId="46" xfId="0" applyNumberFormat="1" applyFont="1" applyBorder="1" applyAlignment="1">
      <alignment horizontal="right"/>
    </xf>
    <xf numFmtId="0" fontId="10" fillId="0" borderId="59" xfId="0" applyFont="1" applyBorder="1"/>
    <xf numFmtId="174" fontId="10" fillId="0" borderId="59" xfId="0" applyNumberFormat="1" applyFont="1" applyBorder="1"/>
    <xf numFmtId="167" fontId="10" fillId="0" borderId="59" xfId="0" applyNumberFormat="1" applyFont="1" applyBorder="1"/>
    <xf numFmtId="9" fontId="10" fillId="0" borderId="59" xfId="0" applyNumberFormat="1" applyFont="1" applyBorder="1"/>
    <xf numFmtId="165" fontId="10" fillId="0" borderId="59" xfId="0" applyNumberFormat="1" applyFont="1" applyBorder="1"/>
    <xf numFmtId="165" fontId="7" fillId="2" borderId="59" xfId="0" applyNumberFormat="1" applyFont="1" applyFill="1" applyBorder="1"/>
    <xf numFmtId="3" fontId="10" fillId="0" borderId="59" xfId="0" applyNumberFormat="1" applyFont="1" applyBorder="1"/>
    <xf numFmtId="1" fontId="10" fillId="0" borderId="59" xfId="0" applyNumberFormat="1" applyFont="1" applyBorder="1"/>
    <xf numFmtId="0" fontId="7" fillId="0" borderId="59" xfId="0" applyFont="1" applyBorder="1"/>
    <xf numFmtId="1" fontId="7" fillId="0" borderId="59" xfId="0" applyNumberFormat="1" applyFont="1" applyBorder="1"/>
    <xf numFmtId="167" fontId="7" fillId="0" borderId="59" xfId="0" applyNumberFormat="1" applyFont="1" applyBorder="1"/>
    <xf numFmtId="0" fontId="10" fillId="0" borderId="49" xfId="0" applyFont="1" applyBorder="1"/>
    <xf numFmtId="174" fontId="10" fillId="0" borderId="49" xfId="0" applyNumberFormat="1" applyFont="1" applyBorder="1"/>
    <xf numFmtId="167" fontId="10" fillId="0" borderId="49" xfId="0" applyNumberFormat="1" applyFont="1" applyBorder="1"/>
    <xf numFmtId="167" fontId="7" fillId="0" borderId="49" xfId="0" applyNumberFormat="1" applyFont="1" applyBorder="1"/>
    <xf numFmtId="0" fontId="7" fillId="0" borderId="49" xfId="0" applyFont="1" applyBorder="1"/>
    <xf numFmtId="9" fontId="10" fillId="0" borderId="49" xfId="0" applyNumberFormat="1" applyFont="1" applyBorder="1"/>
    <xf numFmtId="9" fontId="7" fillId="0" borderId="49" xfId="0" applyNumberFormat="1" applyFont="1" applyBorder="1"/>
    <xf numFmtId="165" fontId="10" fillId="0" borderId="49" xfId="0" applyNumberFormat="1" applyFont="1" applyBorder="1"/>
    <xf numFmtId="165" fontId="7" fillId="2" borderId="49" xfId="0" applyNumberFormat="1" applyFont="1" applyFill="1" applyBorder="1"/>
    <xf numFmtId="3" fontId="10" fillId="0" borderId="49" xfId="0" applyNumberFormat="1" applyFont="1" applyBorder="1"/>
    <xf numFmtId="1" fontId="7" fillId="0" borderId="49" xfId="0" applyNumberFormat="1" applyFont="1" applyBorder="1"/>
    <xf numFmtId="167" fontId="7" fillId="0" borderId="48" xfId="0" applyNumberFormat="1" applyFont="1" applyBorder="1"/>
    <xf numFmtId="167" fontId="7" fillId="0" borderId="45" xfId="0" applyNumberFormat="1" applyFont="1" applyBorder="1"/>
    <xf numFmtId="0" fontId="10" fillId="0" borderId="43" xfId="0" applyFont="1" applyBorder="1" applyAlignment="1">
      <alignment horizontal="right"/>
    </xf>
    <xf numFmtId="0" fontId="10" fillId="0" borderId="43" xfId="0" applyFont="1" applyBorder="1" applyAlignment="1">
      <alignment horizontal="left"/>
    </xf>
    <xf numFmtId="167" fontId="10" fillId="0" borderId="43" xfId="0" applyNumberFormat="1" applyFont="1" applyBorder="1" applyAlignment="1">
      <alignment horizontal="right"/>
    </xf>
    <xf numFmtId="9" fontId="10" fillId="0" borderId="43" xfId="0" applyNumberFormat="1" applyFont="1" applyBorder="1" applyAlignment="1">
      <alignment horizontal="right"/>
    </xf>
    <xf numFmtId="165" fontId="10" fillId="0" borderId="43" xfId="0" applyNumberFormat="1" applyFont="1" applyBorder="1"/>
    <xf numFmtId="165" fontId="7" fillId="2" borderId="43" xfId="0" applyNumberFormat="1" applyFont="1" applyFill="1" applyBorder="1"/>
    <xf numFmtId="3" fontId="10" fillId="0" borderId="43" xfId="0" applyNumberFormat="1" applyFont="1" applyBorder="1"/>
    <xf numFmtId="0" fontId="10" fillId="0" borderId="43" xfId="0" applyFont="1" applyBorder="1"/>
    <xf numFmtId="0" fontId="7" fillId="0" borderId="43" xfId="0" applyFont="1" applyBorder="1"/>
    <xf numFmtId="1" fontId="7" fillId="0" borderId="43" xfId="0" applyNumberFormat="1" applyFont="1" applyBorder="1"/>
    <xf numFmtId="167" fontId="7" fillId="0" borderId="43" xfId="0" applyNumberFormat="1" applyFont="1" applyBorder="1"/>
    <xf numFmtId="167" fontId="7" fillId="0" borderId="42" xfId="0" applyNumberFormat="1" applyFont="1" applyBorder="1"/>
    <xf numFmtId="167" fontId="7" fillId="0" borderId="58" xfId="0" applyNumberFormat="1" applyFont="1" applyBorder="1"/>
    <xf numFmtId="167" fontId="7" fillId="0" borderId="69" xfId="0" applyNumberFormat="1" applyFont="1" applyBorder="1"/>
    <xf numFmtId="167" fontId="7" fillId="0" borderId="70" xfId="0" applyNumberFormat="1" applyFont="1" applyBorder="1"/>
    <xf numFmtId="167" fontId="7" fillId="0" borderId="72" xfId="0" applyNumberFormat="1" applyFont="1" applyBorder="1"/>
    <xf numFmtId="167" fontId="7" fillId="0" borderId="73" xfId="0" applyNumberFormat="1" applyFont="1" applyBorder="1"/>
    <xf numFmtId="167" fontId="7" fillId="0" borderId="74" xfId="0" applyNumberFormat="1" applyFont="1" applyBorder="1"/>
    <xf numFmtId="167" fontId="10" fillId="0" borderId="50" xfId="0" applyNumberFormat="1" applyFont="1" applyBorder="1" applyAlignment="1">
      <alignment horizontal="right"/>
    </xf>
    <xf numFmtId="9" fontId="10" fillId="0" borderId="50" xfId="0" applyNumberFormat="1" applyFont="1" applyBorder="1" applyAlignment="1">
      <alignment horizontal="right"/>
    </xf>
    <xf numFmtId="165" fontId="10" fillId="0" borderId="50" xfId="0" applyNumberFormat="1" applyFont="1" applyBorder="1" applyAlignment="1">
      <alignment horizontal="right"/>
    </xf>
    <xf numFmtId="165" fontId="7" fillId="2" borderId="50" xfId="0" applyNumberFormat="1" applyFont="1" applyFill="1" applyBorder="1"/>
    <xf numFmtId="3" fontId="10" fillId="0" borderId="50" xfId="0" applyNumberFormat="1" applyFont="1" applyBorder="1"/>
    <xf numFmtId="165" fontId="10" fillId="0" borderId="50" xfId="0" applyNumberFormat="1" applyFont="1" applyBorder="1"/>
    <xf numFmtId="1" fontId="10" fillId="0" borderId="50" xfId="0" applyNumberFormat="1" applyFont="1" applyBorder="1"/>
    <xf numFmtId="0" fontId="7" fillId="0" borderId="50" xfId="0" applyFont="1" applyBorder="1"/>
    <xf numFmtId="167" fontId="7" fillId="0" borderId="50" xfId="0" applyNumberFormat="1" applyFont="1" applyBorder="1"/>
    <xf numFmtId="167" fontId="7" fillId="0" borderId="75" xfId="0" applyNumberFormat="1" applyFont="1" applyBorder="1"/>
    <xf numFmtId="0" fontId="7" fillId="0" borderId="66" xfId="0" applyFont="1" applyBorder="1" applyAlignment="1">
      <alignment textRotation="90" wrapText="1"/>
    </xf>
    <xf numFmtId="0" fontId="10" fillId="0" borderId="61" xfId="0" applyFont="1" applyBorder="1"/>
    <xf numFmtId="0" fontId="10" fillId="0" borderId="52" xfId="0" applyFont="1" applyBorder="1"/>
    <xf numFmtId="0" fontId="7" fillId="0" borderId="52" xfId="0" applyFont="1" applyBorder="1"/>
    <xf numFmtId="0" fontId="10" fillId="0" borderId="82" xfId="0" applyFont="1" applyBorder="1" applyAlignment="1">
      <alignment wrapText="1"/>
    </xf>
    <xf numFmtId="0" fontId="10" fillId="0" borderId="83" xfId="0" applyFont="1" applyBorder="1" applyAlignment="1">
      <alignment wrapText="1"/>
    </xf>
    <xf numFmtId="0" fontId="10" fillId="0" borderId="84" xfId="0" applyFont="1" applyBorder="1" applyAlignment="1">
      <alignment wrapText="1"/>
    </xf>
    <xf numFmtId="0" fontId="10" fillId="0" borderId="85" xfId="0" applyFont="1" applyBorder="1" applyAlignment="1">
      <alignment wrapText="1"/>
    </xf>
    <xf numFmtId="0" fontId="7" fillId="0" borderId="83" xfId="0" applyFont="1" applyBorder="1" applyAlignment="1">
      <alignment wrapText="1"/>
    </xf>
    <xf numFmtId="0" fontId="7" fillId="0" borderId="86" xfId="0" applyFont="1" applyBorder="1" applyAlignment="1">
      <alignment wrapText="1"/>
    </xf>
    <xf numFmtId="0" fontId="7" fillId="0" borderId="40" xfId="0" applyFont="1" applyBorder="1"/>
    <xf numFmtId="9" fontId="7" fillId="0" borderId="75" xfId="0" applyNumberFormat="1" applyFont="1" applyBorder="1"/>
    <xf numFmtId="0" fontId="7" fillId="0" borderId="96" xfId="0" applyFont="1" applyBorder="1"/>
    <xf numFmtId="0" fontId="7" fillId="0" borderId="97" xfId="0" applyFont="1" applyBorder="1"/>
    <xf numFmtId="0" fontId="7" fillId="0" borderId="98" xfId="0" applyFont="1" applyBorder="1"/>
    <xf numFmtId="0" fontId="7" fillId="0" borderId="100" xfId="0" applyFont="1" applyBorder="1" applyAlignment="1">
      <alignment wrapText="1"/>
    </xf>
    <xf numFmtId="2" fontId="7" fillId="0" borderId="101" xfId="0" applyNumberFormat="1" applyFont="1" applyBorder="1"/>
    <xf numFmtId="167" fontId="7" fillId="0" borderId="54" xfId="0" applyNumberFormat="1" applyFont="1" applyBorder="1"/>
    <xf numFmtId="167" fontId="7" fillId="0" borderId="87" xfId="0" applyNumberFormat="1" applyFont="1" applyBorder="1"/>
    <xf numFmtId="165" fontId="7" fillId="0" borderId="69" xfId="0" applyNumberFormat="1" applyFont="1" applyBorder="1"/>
    <xf numFmtId="165" fontId="7" fillId="0" borderId="31" xfId="0" applyNumberFormat="1" applyFont="1" applyBorder="1"/>
    <xf numFmtId="167" fontId="7" fillId="0" borderId="31" xfId="0" applyNumberFormat="1" applyFont="1" applyBorder="1"/>
    <xf numFmtId="167" fontId="7" fillId="0" borderId="37" xfId="0" applyNumberFormat="1" applyFont="1" applyBorder="1"/>
    <xf numFmtId="0" fontId="7" fillId="0" borderId="70" xfId="0" applyFont="1" applyBorder="1"/>
    <xf numFmtId="0" fontId="7" fillId="0" borderId="91" xfId="0" applyFont="1" applyBorder="1"/>
    <xf numFmtId="0" fontId="10" fillId="0" borderId="25" xfId="0" applyFont="1" applyBorder="1"/>
    <xf numFmtId="169" fontId="10" fillId="0" borderId="22" xfId="0" applyNumberFormat="1" applyFont="1" applyBorder="1"/>
    <xf numFmtId="0" fontId="7" fillId="0" borderId="21" xfId="0" applyFont="1" applyBorder="1" applyAlignment="1">
      <alignment horizontal="center" vertical="center" textRotation="90"/>
    </xf>
    <xf numFmtId="0" fontId="7" fillId="0" borderId="69" xfId="0" applyFont="1" applyBorder="1"/>
    <xf numFmtId="49" fontId="7" fillId="0" borderId="82" xfId="0" applyNumberFormat="1" applyFont="1" applyBorder="1" applyAlignment="1">
      <alignment wrapText="1"/>
    </xf>
    <xf numFmtId="49" fontId="7" fillId="0" borderId="83" xfId="0" applyNumberFormat="1" applyFont="1" applyBorder="1" applyAlignment="1">
      <alignment wrapText="1"/>
    </xf>
    <xf numFmtId="49" fontId="10" fillId="0" borderId="83" xfId="0" applyNumberFormat="1" applyFont="1" applyBorder="1" applyAlignment="1">
      <alignment wrapText="1"/>
    </xf>
    <xf numFmtId="0" fontId="7" fillId="0" borderId="83" xfId="0" applyFont="1" applyBorder="1" applyAlignment="1">
      <alignment horizontal="center" wrapText="1"/>
    </xf>
    <xf numFmtId="0" fontId="7" fillId="0" borderId="105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7" fillId="0" borderId="85" xfId="0" applyFont="1" applyBorder="1" applyAlignment="1">
      <alignment wrapText="1"/>
    </xf>
    <xf numFmtId="169" fontId="10" fillId="0" borderId="26" xfId="0" applyNumberFormat="1" applyFont="1" applyBorder="1"/>
    <xf numFmtId="167" fontId="7" fillId="0" borderId="83" xfId="0" applyNumberFormat="1" applyFont="1" applyBorder="1"/>
    <xf numFmtId="169" fontId="7" fillId="0" borderId="86" xfId="0" applyNumberFormat="1" applyFont="1" applyBorder="1"/>
    <xf numFmtId="0" fontId="7" fillId="0" borderId="82" xfId="0" applyFont="1" applyBorder="1"/>
    <xf numFmtId="0" fontId="7" fillId="0" borderId="86" xfId="0" applyFont="1" applyBorder="1"/>
    <xf numFmtId="166" fontId="7" fillId="0" borderId="46" xfId="0" applyNumberFormat="1" applyFont="1" applyBorder="1"/>
    <xf numFmtId="1" fontId="7" fillId="0" borderId="21" xfId="0" applyNumberFormat="1" applyFont="1" applyBorder="1"/>
    <xf numFmtId="1" fontId="10" fillId="0" borderId="34" xfId="0" applyNumberFormat="1" applyFont="1" applyBorder="1"/>
    <xf numFmtId="1" fontId="7" fillId="0" borderId="27" xfId="0" applyNumberFormat="1" applyFont="1" applyBorder="1"/>
    <xf numFmtId="1" fontId="10" fillId="0" borderId="31" xfId="0" applyNumberFormat="1" applyFont="1" applyBorder="1"/>
    <xf numFmtId="0" fontId="0" fillId="0" borderId="29" xfId="6" applyFont="1"/>
    <xf numFmtId="0" fontId="7" fillId="0" borderId="29" xfId="6" applyFont="1"/>
    <xf numFmtId="9" fontId="7" fillId="0" borderId="29" xfId="6" applyNumberFormat="1" applyFont="1"/>
    <xf numFmtId="167" fontId="7" fillId="0" borderId="29" xfId="6" applyNumberFormat="1" applyFont="1"/>
    <xf numFmtId="0" fontId="8" fillId="0" borderId="29" xfId="6" applyFont="1"/>
    <xf numFmtId="0" fontId="10" fillId="0" borderId="29" xfId="6" applyFont="1"/>
    <xf numFmtId="167" fontId="12" fillId="0" borderId="29" xfId="6" applyNumberFormat="1" applyFont="1"/>
    <xf numFmtId="0" fontId="12" fillId="0" borderId="29" xfId="6" applyFont="1"/>
    <xf numFmtId="0" fontId="7" fillId="0" borderId="29" xfId="6" applyFont="1" applyAlignment="1">
      <alignment vertical="center" textRotation="90"/>
    </xf>
    <xf numFmtId="10" fontId="10" fillId="0" borderId="29" xfId="6" applyNumberFormat="1" applyFont="1"/>
    <xf numFmtId="168" fontId="7" fillId="0" borderId="29" xfId="6" applyNumberFormat="1" applyFont="1"/>
    <xf numFmtId="165" fontId="10" fillId="0" borderId="29" xfId="6" applyNumberFormat="1" applyFont="1"/>
    <xf numFmtId="0" fontId="7" fillId="0" borderId="5" xfId="6" applyFont="1" applyBorder="1"/>
    <xf numFmtId="0" fontId="7" fillId="0" borderId="3" xfId="6" applyFont="1" applyBorder="1"/>
    <xf numFmtId="166" fontId="7" fillId="0" borderId="29" xfId="6" applyNumberFormat="1" applyFont="1"/>
    <xf numFmtId="166" fontId="7" fillId="0" borderId="2" xfId="6" applyNumberFormat="1" applyFont="1" applyBorder="1"/>
    <xf numFmtId="166" fontId="7" fillId="0" borderId="28" xfId="6" applyNumberFormat="1" applyFont="1" applyBorder="1"/>
    <xf numFmtId="0" fontId="7" fillId="0" borderId="19" xfId="6" applyFont="1" applyBorder="1"/>
    <xf numFmtId="166" fontId="7" fillId="0" borderId="6" xfId="6" applyNumberFormat="1" applyFont="1" applyBorder="1"/>
    <xf numFmtId="166" fontId="7" fillId="0" borderId="12" xfId="6" applyNumberFormat="1" applyFont="1" applyBorder="1"/>
    <xf numFmtId="0" fontId="7" fillId="0" borderId="12" xfId="6" applyFont="1" applyBorder="1"/>
    <xf numFmtId="166" fontId="7" fillId="0" borderId="4" xfId="6" applyNumberFormat="1" applyFont="1" applyBorder="1"/>
    <xf numFmtId="166" fontId="7" fillId="0" borderId="10" xfId="6" applyNumberFormat="1" applyFont="1" applyBorder="1"/>
    <xf numFmtId="0" fontId="7" fillId="0" borderId="10" xfId="6" applyFont="1" applyBorder="1"/>
    <xf numFmtId="166" fontId="7" fillId="0" borderId="8" xfId="6" applyNumberFormat="1" applyFont="1" applyBorder="1"/>
    <xf numFmtId="0" fontId="7" fillId="0" borderId="8" xfId="6" applyFont="1" applyBorder="1"/>
    <xf numFmtId="9" fontId="7" fillId="0" borderId="75" xfId="6" applyNumberFormat="1" applyFont="1" applyBorder="1"/>
    <xf numFmtId="9" fontId="7" fillId="0" borderId="50" xfId="6" applyNumberFormat="1" applyFont="1" applyBorder="1"/>
    <xf numFmtId="0" fontId="7" fillId="0" borderId="98" xfId="6" applyFont="1" applyBorder="1"/>
    <xf numFmtId="166" fontId="7" fillId="0" borderId="70" xfId="6" applyNumberFormat="1" applyFont="1" applyBorder="1"/>
    <xf numFmtId="0" fontId="7" fillId="0" borderId="95" xfId="6" applyFont="1" applyBorder="1"/>
    <xf numFmtId="9" fontId="7" fillId="0" borderId="70" xfId="6" applyNumberFormat="1" applyFont="1" applyBorder="1"/>
    <xf numFmtId="9" fontId="7" fillId="0" borderId="10" xfId="6" applyNumberFormat="1" applyFont="1" applyBorder="1"/>
    <xf numFmtId="167" fontId="7" fillId="0" borderId="10" xfId="6" applyNumberFormat="1" applyFont="1" applyBorder="1" applyAlignment="1">
      <alignment horizontal="center" vertical="center"/>
    </xf>
    <xf numFmtId="166" fontId="7" fillId="0" borderId="87" xfId="6" applyNumberFormat="1" applyFont="1" applyBorder="1"/>
    <xf numFmtId="166" fontId="7" fillId="0" borderId="54" xfId="6" applyNumberFormat="1" applyFont="1" applyBorder="1"/>
    <xf numFmtId="0" fontId="7" fillId="0" borderId="97" xfId="6" applyFont="1" applyBorder="1"/>
    <xf numFmtId="166" fontId="7" fillId="0" borderId="74" xfId="6" applyNumberFormat="1" applyFont="1" applyBorder="1"/>
    <xf numFmtId="166" fontId="7" fillId="0" borderId="26" xfId="6" applyNumberFormat="1" applyFont="1" applyBorder="1"/>
    <xf numFmtId="0" fontId="7" fillId="0" borderId="96" xfId="6" applyFont="1" applyBorder="1"/>
    <xf numFmtId="166" fontId="7" fillId="0" borderId="93" xfId="6" applyNumberFormat="1" applyFont="1" applyBorder="1"/>
    <xf numFmtId="166" fontId="7" fillId="0" borderId="24" xfId="6" applyNumberFormat="1" applyFont="1" applyBorder="1"/>
    <xf numFmtId="0" fontId="7" fillId="0" borderId="53" xfId="6" applyFont="1" applyBorder="1"/>
    <xf numFmtId="166" fontId="7" fillId="0" borderId="72" xfId="6" applyNumberFormat="1" applyFont="1" applyBorder="1"/>
    <xf numFmtId="0" fontId="7" fillId="0" borderId="92" xfId="6" applyFont="1" applyBorder="1"/>
    <xf numFmtId="166" fontId="7" fillId="0" borderId="73" xfId="6" applyNumberFormat="1" applyFont="1" applyBorder="1"/>
    <xf numFmtId="0" fontId="7" fillId="0" borderId="94" xfId="6" applyFont="1" applyBorder="1"/>
    <xf numFmtId="166" fontId="7" fillId="0" borderId="69" xfId="6" applyNumberFormat="1" applyFont="1" applyBorder="1"/>
    <xf numFmtId="166" fontId="7" fillId="0" borderId="22" xfId="6" applyNumberFormat="1" applyFont="1" applyBorder="1"/>
    <xf numFmtId="0" fontId="7" fillId="0" borderId="91" xfId="6" applyFont="1" applyBorder="1" applyAlignment="1">
      <alignment horizontal="left"/>
    </xf>
    <xf numFmtId="0" fontId="7" fillId="0" borderId="92" xfId="6" applyFont="1" applyBorder="1" applyAlignment="1">
      <alignment horizontal="left"/>
    </xf>
    <xf numFmtId="0" fontId="7" fillId="0" borderId="95" xfId="6" applyFont="1" applyBorder="1" applyAlignment="1">
      <alignment horizontal="left"/>
    </xf>
    <xf numFmtId="0" fontId="7" fillId="0" borderId="94" xfId="6" applyFont="1" applyBorder="1" applyAlignment="1">
      <alignment horizontal="left"/>
    </xf>
    <xf numFmtId="166" fontId="7" fillId="0" borderId="90" xfId="6" applyNumberFormat="1" applyFont="1" applyBorder="1"/>
    <xf numFmtId="0" fontId="7" fillId="0" borderId="89" xfId="6" applyFont="1" applyBorder="1"/>
    <xf numFmtId="164" fontId="7" fillId="0" borderId="20" xfId="6" applyNumberFormat="1" applyFont="1" applyBorder="1"/>
    <xf numFmtId="10" fontId="7" fillId="0" borderId="6" xfId="6" applyNumberFormat="1" applyFont="1" applyBorder="1"/>
    <xf numFmtId="10" fontId="7" fillId="0" borderId="12" xfId="6" applyNumberFormat="1" applyFont="1" applyBorder="1"/>
    <xf numFmtId="0" fontId="7" fillId="0" borderId="18" xfId="6" applyFont="1" applyBorder="1"/>
    <xf numFmtId="2" fontId="7" fillId="0" borderId="4" xfId="6" applyNumberFormat="1" applyFont="1" applyBorder="1"/>
    <xf numFmtId="2" fontId="7" fillId="0" borderId="10" xfId="6" applyNumberFormat="1" applyFont="1" applyBorder="1"/>
    <xf numFmtId="0" fontId="7" fillId="0" borderId="16" xfId="6" applyFont="1" applyBorder="1"/>
    <xf numFmtId="0" fontId="7" fillId="0" borderId="2" xfId="6" applyFont="1" applyBorder="1"/>
    <xf numFmtId="0" fontId="7" fillId="0" borderId="14" xfId="6" applyFont="1" applyBorder="1"/>
    <xf numFmtId="165" fontId="7" fillId="0" borderId="29" xfId="6" applyNumberFormat="1" applyFont="1"/>
    <xf numFmtId="9" fontId="7" fillId="0" borderId="12" xfId="6" applyNumberFormat="1" applyFont="1" applyBorder="1"/>
    <xf numFmtId="10" fontId="7" fillId="0" borderId="4" xfId="6" applyNumberFormat="1" applyFont="1" applyBorder="1"/>
    <xf numFmtId="10" fontId="7" fillId="0" borderId="10" xfId="6" applyNumberFormat="1" applyFont="1" applyBorder="1"/>
    <xf numFmtId="10" fontId="9" fillId="0" borderId="10" xfId="6" applyNumberFormat="1" applyFont="1" applyBorder="1"/>
    <xf numFmtId="9" fontId="9" fillId="0" borderId="10" xfId="6" applyNumberFormat="1" applyFont="1" applyBorder="1"/>
    <xf numFmtId="0" fontId="9" fillId="0" borderId="3" xfId="6" applyFont="1" applyBorder="1"/>
    <xf numFmtId="0" fontId="7" fillId="0" borderId="4" xfId="6" applyFont="1" applyBorder="1"/>
    <xf numFmtId="0" fontId="9" fillId="0" borderId="10" xfId="6" applyFont="1" applyBorder="1"/>
    <xf numFmtId="0" fontId="10" fillId="0" borderId="4" xfId="6" applyFont="1" applyBorder="1"/>
    <xf numFmtId="0" fontId="10" fillId="0" borderId="10" xfId="6" applyFont="1" applyBorder="1"/>
    <xf numFmtId="0" fontId="10" fillId="0" borderId="2" xfId="6" applyFont="1" applyBorder="1"/>
    <xf numFmtId="0" fontId="10" fillId="0" borderId="8" xfId="6" applyFont="1" applyBorder="1"/>
    <xf numFmtId="0" fontId="10" fillId="0" borderId="1" xfId="6" applyFont="1" applyBorder="1"/>
    <xf numFmtId="0" fontId="7" fillId="0" borderId="29" xfId="6" applyFont="1" applyAlignment="1">
      <alignment wrapText="1"/>
    </xf>
    <xf numFmtId="1" fontId="7" fillId="0" borderId="29" xfId="6" applyNumberFormat="1" applyFont="1"/>
    <xf numFmtId="173" fontId="7" fillId="0" borderId="6" xfId="6" applyNumberFormat="1" applyFont="1" applyBorder="1"/>
    <xf numFmtId="173" fontId="7" fillId="0" borderId="12" xfId="6" applyNumberFormat="1" applyFont="1" applyBorder="1"/>
    <xf numFmtId="173" fontId="7" fillId="0" borderId="23" xfId="6" applyNumberFormat="1" applyFont="1" applyBorder="1"/>
    <xf numFmtId="0" fontId="7" fillId="0" borderId="37" xfId="6" applyFont="1" applyBorder="1"/>
    <xf numFmtId="172" fontId="7" fillId="0" borderId="4" xfId="6" applyNumberFormat="1" applyFont="1" applyBorder="1"/>
    <xf numFmtId="172" fontId="7" fillId="0" borderId="10" xfId="6" applyNumberFormat="1" applyFont="1" applyBorder="1"/>
    <xf numFmtId="172" fontId="7" fillId="0" borderId="27" xfId="6" applyNumberFormat="1" applyFont="1" applyBorder="1"/>
    <xf numFmtId="0" fontId="7" fillId="0" borderId="31" xfId="6" applyFont="1" applyBorder="1"/>
    <xf numFmtId="0" fontId="14" fillId="0" borderId="29" xfId="6" applyFont="1" applyAlignment="1">
      <alignment horizontal="center"/>
    </xf>
    <xf numFmtId="171" fontId="7" fillId="0" borderId="36" xfId="6" applyNumberFormat="1" applyFont="1" applyBorder="1"/>
    <xf numFmtId="2" fontId="10" fillId="0" borderId="31" xfId="6" applyNumberFormat="1" applyFont="1" applyBorder="1"/>
    <xf numFmtId="2" fontId="10" fillId="0" borderId="10" xfId="6" applyNumberFormat="1" applyFont="1" applyBorder="1"/>
    <xf numFmtId="2" fontId="7" fillId="0" borderId="27" xfId="6" applyNumberFormat="1" applyFont="1" applyBorder="1"/>
    <xf numFmtId="171" fontId="7" fillId="0" borderId="35" xfId="6" applyNumberFormat="1" applyFont="1" applyBorder="1"/>
    <xf numFmtId="2" fontId="7" fillId="0" borderId="101" xfId="6" applyNumberFormat="1" applyFont="1" applyBorder="1"/>
    <xf numFmtId="171" fontId="7" fillId="0" borderId="16" xfId="6" applyNumberFormat="1" applyFont="1" applyBorder="1"/>
    <xf numFmtId="2" fontId="7" fillId="0" borderId="22" xfId="6" applyNumberFormat="1" applyFont="1" applyBorder="1"/>
    <xf numFmtId="2" fontId="7" fillId="0" borderId="21" xfId="6" applyNumberFormat="1" applyFont="1" applyBorder="1"/>
    <xf numFmtId="0" fontId="7" fillId="0" borderId="34" xfId="6" applyFont="1" applyBorder="1"/>
    <xf numFmtId="0" fontId="7" fillId="0" borderId="100" xfId="6" applyFont="1" applyBorder="1" applyAlignment="1">
      <alignment wrapText="1"/>
    </xf>
    <xf numFmtId="0" fontId="7" fillId="0" borderId="99" xfId="6" applyFont="1" applyBorder="1" applyAlignment="1">
      <alignment wrapText="1"/>
    </xf>
    <xf numFmtId="0" fontId="7" fillId="0" borderId="33" xfId="6" applyFont="1" applyBorder="1" applyAlignment="1">
      <alignment wrapText="1"/>
    </xf>
    <xf numFmtId="0" fontId="7" fillId="0" borderId="28" xfId="6" applyFont="1" applyBorder="1"/>
    <xf numFmtId="0" fontId="7" fillId="0" borderId="20" xfId="6" applyFont="1" applyBorder="1"/>
    <xf numFmtId="0" fontId="7" fillId="0" borderId="32" xfId="6" applyFont="1" applyBorder="1"/>
    <xf numFmtId="165" fontId="7" fillId="0" borderId="69" xfId="6" applyNumberFormat="1" applyFont="1" applyBorder="1"/>
    <xf numFmtId="167" fontId="7" fillId="0" borderId="87" xfId="6" applyNumberFormat="1" applyFont="1" applyBorder="1"/>
    <xf numFmtId="167" fontId="7" fillId="0" borderId="75" xfId="6" applyNumberFormat="1" applyFont="1" applyBorder="1"/>
    <xf numFmtId="167" fontId="7" fillId="0" borderId="50" xfId="6" applyNumberFormat="1" applyFont="1" applyBorder="1"/>
    <xf numFmtId="0" fontId="7" fillId="0" borderId="50" xfId="6" applyFont="1" applyBorder="1"/>
    <xf numFmtId="167" fontId="7" fillId="0" borderId="54" xfId="6" applyNumberFormat="1" applyFont="1" applyBorder="1"/>
    <xf numFmtId="167" fontId="7" fillId="0" borderId="74" xfId="6" applyNumberFormat="1" applyFont="1" applyBorder="1"/>
    <xf numFmtId="167" fontId="7" fillId="0" borderId="26" xfId="6" applyNumberFormat="1" applyFont="1" applyBorder="1"/>
    <xf numFmtId="0" fontId="7" fillId="0" borderId="40" xfId="6" applyFont="1" applyBorder="1"/>
    <xf numFmtId="0" fontId="7" fillId="0" borderId="86" xfId="6" applyFont="1" applyBorder="1"/>
    <xf numFmtId="0" fontId="7" fillId="0" borderId="82" xfId="6" applyFont="1" applyBorder="1"/>
    <xf numFmtId="167" fontId="7" fillId="0" borderId="69" xfId="6" applyNumberFormat="1" applyFont="1" applyBorder="1"/>
    <xf numFmtId="167" fontId="7" fillId="0" borderId="22" xfId="6" applyNumberFormat="1" applyFont="1" applyBorder="1"/>
    <xf numFmtId="0" fontId="7" fillId="0" borderId="91" xfId="6" applyFont="1" applyBorder="1"/>
    <xf numFmtId="169" fontId="7" fillId="0" borderId="86" xfId="6" applyNumberFormat="1" applyFont="1" applyBorder="1"/>
    <xf numFmtId="167" fontId="7" fillId="0" borderId="83" xfId="6" applyNumberFormat="1" applyFont="1" applyBorder="1"/>
    <xf numFmtId="0" fontId="7" fillId="0" borderId="82" xfId="6" applyFont="1" applyBorder="1" applyAlignment="1">
      <alignment wrapText="1"/>
    </xf>
    <xf numFmtId="167" fontId="7" fillId="0" borderId="72" xfId="6" applyNumberFormat="1" applyFont="1" applyBorder="1"/>
    <xf numFmtId="167" fontId="7" fillId="0" borderId="12" xfId="6" applyNumberFormat="1" applyFont="1" applyBorder="1"/>
    <xf numFmtId="167" fontId="7" fillId="0" borderId="27" xfId="6" applyNumberFormat="1" applyFont="1" applyBorder="1" applyAlignment="1">
      <alignment horizontal="center" vertical="center"/>
    </xf>
    <xf numFmtId="167" fontId="7" fillId="0" borderId="37" xfId="6" applyNumberFormat="1" applyFont="1" applyBorder="1"/>
    <xf numFmtId="169" fontId="7" fillId="0" borderId="12" xfId="6" applyNumberFormat="1" applyFont="1" applyBorder="1"/>
    <xf numFmtId="1" fontId="7" fillId="0" borderId="10" xfId="6" applyNumberFormat="1" applyFont="1" applyBorder="1"/>
    <xf numFmtId="0" fontId="10" fillId="0" borderId="12" xfId="6" applyFont="1" applyBorder="1"/>
    <xf numFmtId="169" fontId="10" fillId="0" borderId="26" xfId="6" applyNumberFormat="1" applyFont="1" applyBorder="1"/>
    <xf numFmtId="165" fontId="10" fillId="0" borderId="26" xfId="6" applyNumberFormat="1" applyFont="1" applyBorder="1"/>
    <xf numFmtId="0" fontId="10" fillId="0" borderId="26" xfId="6" applyFont="1" applyBorder="1"/>
    <xf numFmtId="167" fontId="7" fillId="0" borderId="70" xfId="6" applyNumberFormat="1" applyFont="1" applyBorder="1"/>
    <xf numFmtId="167" fontId="7" fillId="0" borderId="10" xfId="6" applyNumberFormat="1" applyFont="1" applyBorder="1"/>
    <xf numFmtId="167" fontId="7" fillId="0" borderId="31" xfId="6" applyNumberFormat="1" applyFont="1" applyBorder="1"/>
    <xf numFmtId="169" fontId="7" fillId="0" borderId="10" xfId="6" applyNumberFormat="1" applyFont="1" applyBorder="1"/>
    <xf numFmtId="169" fontId="10" fillId="0" borderId="10" xfId="6" applyNumberFormat="1" applyFont="1" applyBorder="1"/>
    <xf numFmtId="165" fontId="10" fillId="0" borderId="10" xfId="6" applyNumberFormat="1" applyFont="1" applyBorder="1"/>
    <xf numFmtId="165" fontId="7" fillId="0" borderId="31" xfId="6" applyNumberFormat="1" applyFont="1" applyBorder="1"/>
    <xf numFmtId="170" fontId="7" fillId="0" borderId="10" xfId="6" applyNumberFormat="1" applyFont="1" applyBorder="1"/>
    <xf numFmtId="167" fontId="10" fillId="0" borderId="10" xfId="6" applyNumberFormat="1" applyFont="1" applyBorder="1"/>
    <xf numFmtId="0" fontId="7" fillId="0" borderId="70" xfId="6" applyFont="1" applyBorder="1"/>
    <xf numFmtId="0" fontId="7" fillId="0" borderId="27" xfId="6" applyFont="1" applyBorder="1" applyAlignment="1">
      <alignment horizontal="center" vertical="center" textRotation="90"/>
    </xf>
    <xf numFmtId="0" fontId="7" fillId="0" borderId="69" xfId="6" applyFont="1" applyBorder="1"/>
    <xf numFmtId="0" fontId="7" fillId="0" borderId="22" xfId="6" applyFont="1" applyBorder="1"/>
    <xf numFmtId="0" fontId="7" fillId="0" borderId="21" xfId="6" applyFont="1" applyBorder="1" applyAlignment="1">
      <alignment horizontal="center" vertical="center" textRotation="90"/>
    </xf>
    <xf numFmtId="1" fontId="7" fillId="0" borderId="22" xfId="6" applyNumberFormat="1" applyFont="1" applyBorder="1"/>
    <xf numFmtId="0" fontId="10" fillId="0" borderId="22" xfId="6" applyFont="1" applyBorder="1"/>
    <xf numFmtId="169" fontId="10" fillId="0" borderId="22" xfId="6" applyNumberFormat="1" applyFont="1" applyBorder="1"/>
    <xf numFmtId="167" fontId="10" fillId="0" borderId="22" xfId="6" applyNumberFormat="1" applyFont="1" applyBorder="1"/>
    <xf numFmtId="0" fontId="7" fillId="0" borderId="86" xfId="6" applyFont="1" applyBorder="1" applyAlignment="1">
      <alignment wrapText="1"/>
    </xf>
    <xf numFmtId="0" fontId="7" fillId="0" borderId="83" xfId="6" applyFont="1" applyBorder="1" applyAlignment="1">
      <alignment wrapText="1"/>
    </xf>
    <xf numFmtId="0" fontId="7" fillId="0" borderId="85" xfId="6" applyFont="1" applyBorder="1" applyAlignment="1">
      <alignment wrapText="1"/>
    </xf>
    <xf numFmtId="0" fontId="7" fillId="0" borderId="105" xfId="6" applyFont="1" applyBorder="1" applyAlignment="1">
      <alignment wrapText="1"/>
    </xf>
    <xf numFmtId="0" fontId="7" fillId="0" borderId="83" xfId="6" applyFont="1" applyBorder="1" applyAlignment="1">
      <alignment horizontal="center" wrapText="1"/>
    </xf>
    <xf numFmtId="49" fontId="10" fillId="0" borderId="83" xfId="6" applyNumberFormat="1" applyFont="1" applyBorder="1" applyAlignment="1">
      <alignment wrapText="1"/>
    </xf>
    <xf numFmtId="49" fontId="7" fillId="0" borderId="83" xfId="6" applyNumberFormat="1" applyFont="1" applyBorder="1" applyAlignment="1">
      <alignment wrapText="1"/>
    </xf>
    <xf numFmtId="167" fontId="7" fillId="0" borderId="6" xfId="6" applyNumberFormat="1" applyFont="1" applyBorder="1"/>
    <xf numFmtId="167" fontId="7" fillId="0" borderId="4" xfId="6" applyNumberFormat="1" applyFont="1" applyBorder="1"/>
    <xf numFmtId="0" fontId="7" fillId="0" borderId="2" xfId="6" applyFont="1" applyBorder="1" applyAlignment="1">
      <alignment wrapText="1"/>
    </xf>
    <xf numFmtId="0" fontId="7" fillId="0" borderId="8" xfId="6" applyFont="1" applyBorder="1" applyAlignment="1">
      <alignment wrapText="1"/>
    </xf>
    <xf numFmtId="1" fontId="7" fillId="0" borderId="50" xfId="6" applyNumberFormat="1" applyFont="1" applyBorder="1"/>
    <xf numFmtId="1" fontId="10" fillId="0" borderId="50" xfId="6" applyNumberFormat="1" applyFont="1" applyBorder="1"/>
    <xf numFmtId="165" fontId="10" fillId="0" borderId="50" xfId="6" applyNumberFormat="1" applyFont="1" applyBorder="1"/>
    <xf numFmtId="3" fontId="10" fillId="0" borderId="50" xfId="6" applyNumberFormat="1" applyFont="1" applyBorder="1"/>
    <xf numFmtId="165" fontId="7" fillId="2" borderId="43" xfId="6" applyNumberFormat="1" applyFont="1" applyFill="1" applyBorder="1"/>
    <xf numFmtId="3" fontId="22" fillId="0" borderId="43" xfId="6" applyNumberFormat="1" applyFont="1" applyBorder="1"/>
    <xf numFmtId="9" fontId="22" fillId="0" borderId="43" xfId="6" applyNumberFormat="1" applyFont="1" applyBorder="1"/>
    <xf numFmtId="0" fontId="22" fillId="0" borderId="43" xfId="6" applyFont="1" applyBorder="1"/>
    <xf numFmtId="1" fontId="10" fillId="0" borderId="10" xfId="6" applyNumberFormat="1" applyFont="1" applyBorder="1"/>
    <xf numFmtId="3" fontId="10" fillId="0" borderId="10" xfId="6" applyNumberFormat="1" applyFont="1" applyBorder="1"/>
    <xf numFmtId="165" fontId="7" fillId="2" borderId="46" xfId="6" applyNumberFormat="1" applyFont="1" applyFill="1" applyBorder="1"/>
    <xf numFmtId="3" fontId="22" fillId="0" borderId="46" xfId="6" applyNumberFormat="1" applyFont="1" applyBorder="1"/>
    <xf numFmtId="9" fontId="22" fillId="0" borderId="46" xfId="6" applyNumberFormat="1" applyFont="1" applyBorder="1"/>
    <xf numFmtId="0" fontId="22" fillId="0" borderId="46" xfId="6" applyFont="1" applyBorder="1"/>
    <xf numFmtId="1" fontId="10" fillId="0" borderId="22" xfId="6" applyNumberFormat="1" applyFont="1" applyBorder="1"/>
    <xf numFmtId="165" fontId="10" fillId="0" borderId="22" xfId="6" applyNumberFormat="1" applyFont="1" applyBorder="1"/>
    <xf numFmtId="3" fontId="10" fillId="0" borderId="22" xfId="6" applyNumberFormat="1" applyFont="1" applyBorder="1"/>
    <xf numFmtId="167" fontId="7" fillId="0" borderId="58" xfId="6" applyNumberFormat="1" applyFont="1" applyBorder="1"/>
    <xf numFmtId="167" fontId="7" fillId="0" borderId="59" xfId="6" applyNumberFormat="1" applyFont="1" applyBorder="1"/>
    <xf numFmtId="1" fontId="7" fillId="0" borderId="59" xfId="6" applyNumberFormat="1" applyFont="1" applyBorder="1"/>
    <xf numFmtId="0" fontId="7" fillId="0" borderId="59" xfId="6" applyFont="1" applyBorder="1"/>
    <xf numFmtId="1" fontId="10" fillId="0" borderId="59" xfId="6" applyNumberFormat="1" applyFont="1" applyBorder="1"/>
    <xf numFmtId="165" fontId="10" fillId="0" borderId="59" xfId="6" applyNumberFormat="1" applyFont="1" applyBorder="1"/>
    <xf numFmtId="3" fontId="10" fillId="0" borderId="59" xfId="6" applyNumberFormat="1" applyFont="1" applyBorder="1"/>
    <xf numFmtId="167" fontId="7" fillId="0" borderId="45" xfId="6" applyNumberFormat="1" applyFont="1" applyBorder="1"/>
    <xf numFmtId="167" fontId="7" fillId="0" borderId="46" xfId="6" applyNumberFormat="1" applyFont="1" applyBorder="1"/>
    <xf numFmtId="1" fontId="7" fillId="0" borderId="46" xfId="6" applyNumberFormat="1" applyFont="1" applyBorder="1"/>
    <xf numFmtId="0" fontId="7" fillId="0" borderId="46" xfId="6" applyFont="1" applyBorder="1"/>
    <xf numFmtId="0" fontId="10" fillId="0" borderId="46" xfId="6" applyFont="1" applyBorder="1"/>
    <xf numFmtId="165" fontId="10" fillId="0" borderId="46" xfId="6" applyNumberFormat="1" applyFont="1" applyBorder="1"/>
    <xf numFmtId="3" fontId="10" fillId="0" borderId="46" xfId="6" applyNumberFormat="1" applyFont="1" applyBorder="1"/>
    <xf numFmtId="165" fontId="22" fillId="0" borderId="43" xfId="6" applyNumberFormat="1" applyFont="1" applyBorder="1"/>
    <xf numFmtId="0" fontId="23" fillId="0" borderId="43" xfId="6" applyFont="1" applyBorder="1"/>
    <xf numFmtId="0" fontId="22" fillId="0" borderId="44" xfId="6" applyFont="1" applyBorder="1"/>
    <xf numFmtId="165" fontId="22" fillId="0" borderId="46" xfId="6" applyNumberFormat="1" applyFont="1" applyBorder="1"/>
    <xf numFmtId="0" fontId="23" fillId="0" borderId="46" xfId="6" applyFont="1" applyBorder="1"/>
    <xf numFmtId="0" fontId="22" fillId="0" borderId="47" xfId="6" applyFont="1" applyBorder="1"/>
    <xf numFmtId="0" fontId="10" fillId="0" borderId="83" xfId="6" applyFont="1" applyBorder="1" applyAlignment="1">
      <alignment wrapText="1"/>
    </xf>
    <xf numFmtId="0" fontId="10" fillId="0" borderId="85" xfId="6" applyFont="1" applyBorder="1" applyAlignment="1">
      <alignment wrapText="1"/>
    </xf>
    <xf numFmtId="0" fontId="10" fillId="0" borderId="84" xfId="6" applyFont="1" applyBorder="1" applyAlignment="1">
      <alignment wrapText="1"/>
    </xf>
    <xf numFmtId="166" fontId="7" fillId="0" borderId="45" xfId="0" applyNumberFormat="1" applyFont="1" applyBorder="1"/>
    <xf numFmtId="0" fontId="7" fillId="0" borderId="30" xfId="0" applyFont="1" applyBorder="1"/>
    <xf numFmtId="0" fontId="7" fillId="0" borderId="27" xfId="0" applyFont="1" applyBorder="1"/>
    <xf numFmtId="0" fontId="7" fillId="0" borderId="23" xfId="0" applyFont="1" applyBorder="1"/>
    <xf numFmtId="0" fontId="7" fillId="0" borderId="27" xfId="0" applyFont="1" applyBorder="1" applyAlignment="1">
      <alignment wrapText="1"/>
    </xf>
    <xf numFmtId="0" fontId="12" fillId="0" borderId="19" xfId="0" applyFont="1" applyBorder="1"/>
    <xf numFmtId="0" fontId="7" fillId="0" borderId="30" xfId="6" applyFont="1" applyBorder="1"/>
    <xf numFmtId="0" fontId="7" fillId="0" borderId="27" xfId="6" applyFont="1" applyBorder="1"/>
    <xf numFmtId="0" fontId="7" fillId="0" borderId="23" xfId="6" applyFont="1" applyBorder="1"/>
    <xf numFmtId="166" fontId="7" fillId="0" borderId="46" xfId="6" applyNumberFormat="1" applyFont="1" applyBorder="1"/>
    <xf numFmtId="9" fontId="7" fillId="0" borderId="46" xfId="7" applyFont="1" applyBorder="1"/>
    <xf numFmtId="166" fontId="7" fillId="0" borderId="43" xfId="6" applyNumberFormat="1" applyFont="1" applyBorder="1"/>
    <xf numFmtId="166" fontId="7" fillId="0" borderId="86" xfId="6" applyNumberFormat="1" applyFont="1" applyBorder="1"/>
    <xf numFmtId="0" fontId="7" fillId="0" borderId="67" xfId="6" applyFont="1" applyBorder="1" applyAlignment="1">
      <alignment vertical="center" textRotation="90"/>
    </xf>
    <xf numFmtId="2" fontId="7" fillId="0" borderId="6" xfId="0" applyNumberFormat="1" applyFont="1" applyBorder="1"/>
    <xf numFmtId="176" fontId="12" fillId="0" borderId="28" xfId="0" applyNumberFormat="1" applyFont="1" applyBorder="1"/>
    <xf numFmtId="0" fontId="10" fillId="11" borderId="52" xfId="0" applyFont="1" applyFill="1" applyBorder="1"/>
    <xf numFmtId="0" fontId="7" fillId="11" borderId="52" xfId="0" applyFont="1" applyFill="1" applyBorder="1"/>
    <xf numFmtId="0" fontId="10" fillId="12" borderId="52" xfId="0" applyFont="1" applyFill="1" applyBorder="1" applyAlignment="1">
      <alignment horizontal="left"/>
    </xf>
    <xf numFmtId="0" fontId="10" fillId="12" borderId="76" xfId="0" applyFont="1" applyFill="1" applyBorder="1" applyAlignment="1">
      <alignment horizontal="left"/>
    </xf>
    <xf numFmtId="0" fontId="10" fillId="11" borderId="55" xfId="0" applyFont="1" applyFill="1" applyBorder="1"/>
    <xf numFmtId="0" fontId="10" fillId="11" borderId="21" xfId="0" applyFont="1" applyFill="1" applyBorder="1"/>
    <xf numFmtId="0" fontId="10" fillId="11" borderId="27" xfId="0" applyFont="1" applyFill="1" applyBorder="1"/>
    <xf numFmtId="0" fontId="10" fillId="12" borderId="27" xfId="0" applyFont="1" applyFill="1" applyBorder="1"/>
    <xf numFmtId="0" fontId="10" fillId="11" borderId="23" xfId="0" applyFont="1" applyFill="1" applyBorder="1"/>
    <xf numFmtId="0" fontId="10" fillId="12" borderId="30" xfId="0" applyFont="1" applyFill="1" applyBorder="1"/>
    <xf numFmtId="0" fontId="10" fillId="12" borderId="27" xfId="0" applyFont="1" applyFill="1" applyBorder="1" applyAlignment="1">
      <alignment horizontal="left"/>
    </xf>
    <xf numFmtId="0" fontId="10" fillId="12" borderId="40" xfId="0" applyFont="1" applyFill="1" applyBorder="1" applyAlignment="1">
      <alignment horizontal="left"/>
    </xf>
    <xf numFmtId="0" fontId="10" fillId="12" borderId="51" xfId="0" applyFont="1" applyFill="1" applyBorder="1" applyAlignment="1">
      <alignment horizontal="left"/>
    </xf>
    <xf numFmtId="166" fontId="7" fillId="0" borderId="46" xfId="6" applyNumberFormat="1" applyFont="1" applyBorder="1" applyAlignment="1">
      <alignment horizontal="right"/>
    </xf>
    <xf numFmtId="166" fontId="7" fillId="0" borderId="8" xfId="0" applyNumberFormat="1" applyFont="1" applyBorder="1" applyAlignment="1">
      <alignment horizontal="right"/>
    </xf>
    <xf numFmtId="166" fontId="7" fillId="0" borderId="112" xfId="6" applyNumberFormat="1" applyFont="1" applyBorder="1"/>
    <xf numFmtId="0" fontId="7" fillId="0" borderId="29" xfId="0" applyFont="1" applyBorder="1" applyAlignment="1">
      <alignment horizontal="center" vertical="center" textRotation="90"/>
    </xf>
    <xf numFmtId="166" fontId="7" fillId="0" borderId="29" xfId="0" applyNumberFormat="1" applyFont="1" applyBorder="1"/>
    <xf numFmtId="166" fontId="7" fillId="0" borderId="111" xfId="0" applyNumberFormat="1" applyFont="1" applyBorder="1"/>
    <xf numFmtId="0" fontId="7" fillId="11" borderId="29" xfId="0" applyFont="1" applyFill="1" applyBorder="1"/>
    <xf numFmtId="0" fontId="7" fillId="0" borderId="62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114" xfId="0" applyFont="1" applyBorder="1" applyAlignment="1">
      <alignment horizontal="center" vertical="center"/>
    </xf>
    <xf numFmtId="2" fontId="7" fillId="0" borderId="46" xfId="6" applyNumberFormat="1" applyFont="1" applyBorder="1"/>
    <xf numFmtId="166" fontId="0" fillId="0" borderId="46" xfId="0" applyNumberFormat="1" applyBorder="1"/>
    <xf numFmtId="166" fontId="5" fillId="0" borderId="46" xfId="0" applyNumberFormat="1" applyFont="1" applyBorder="1"/>
    <xf numFmtId="0" fontId="5" fillId="0" borderId="46" xfId="0" applyFont="1" applyBorder="1"/>
    <xf numFmtId="166" fontId="7" fillId="0" borderId="43" xfId="0" applyNumberFormat="1" applyFont="1" applyBorder="1"/>
    <xf numFmtId="166" fontId="7" fillId="0" borderId="42" xfId="0" applyNumberFormat="1" applyFont="1" applyBorder="1"/>
    <xf numFmtId="2" fontId="7" fillId="0" borderId="45" xfId="6" applyNumberFormat="1" applyFont="1" applyBorder="1"/>
    <xf numFmtId="0" fontId="5" fillId="0" borderId="45" xfId="0" applyFont="1" applyBorder="1"/>
    <xf numFmtId="166" fontId="7" fillId="0" borderId="112" xfId="0" applyNumberFormat="1" applyFont="1" applyBorder="1"/>
    <xf numFmtId="0" fontId="7" fillId="0" borderId="52" xfId="0" applyFont="1" applyBorder="1" applyAlignment="1">
      <alignment horizontal="left"/>
    </xf>
    <xf numFmtId="0" fontId="7" fillId="0" borderId="76" xfId="0" applyFont="1" applyBorder="1" applyAlignment="1">
      <alignment horizontal="left"/>
    </xf>
    <xf numFmtId="0" fontId="12" fillId="0" borderId="76" xfId="0" applyFont="1" applyBorder="1"/>
    <xf numFmtId="0" fontId="7" fillId="0" borderId="115" xfId="0" applyFont="1" applyBorder="1"/>
    <xf numFmtId="0" fontId="7" fillId="11" borderId="76" xfId="0" applyFont="1" applyFill="1" applyBorder="1"/>
    <xf numFmtId="166" fontId="7" fillId="0" borderId="116" xfId="0" applyNumberFormat="1" applyFont="1" applyBorder="1"/>
    <xf numFmtId="166" fontId="7" fillId="0" borderId="49" xfId="6" applyNumberFormat="1" applyFont="1" applyBorder="1"/>
    <xf numFmtId="166" fontId="7" fillId="0" borderId="49" xfId="0" applyNumberFormat="1" applyFont="1" applyBorder="1"/>
    <xf numFmtId="166" fontId="7" fillId="0" borderId="48" xfId="0" applyNumberFormat="1" applyFont="1" applyBorder="1"/>
    <xf numFmtId="9" fontId="7" fillId="0" borderId="45" xfId="0" applyNumberFormat="1" applyFont="1" applyBorder="1"/>
    <xf numFmtId="0" fontId="7" fillId="0" borderId="61" xfId="0" applyFont="1" applyBorder="1"/>
    <xf numFmtId="0" fontId="7" fillId="0" borderId="29" xfId="6" applyFont="1" applyAlignment="1">
      <alignment vertical="center" textRotation="90" wrapText="1"/>
    </xf>
    <xf numFmtId="0" fontId="7" fillId="0" borderId="30" xfId="6" applyFont="1" applyBorder="1" applyAlignment="1">
      <alignment wrapText="1"/>
    </xf>
    <xf numFmtId="0" fontId="7" fillId="0" borderId="27" xfId="6" applyFont="1" applyBorder="1" applyAlignment="1">
      <alignment wrapText="1"/>
    </xf>
    <xf numFmtId="49" fontId="7" fillId="0" borderId="85" xfId="6" applyNumberFormat="1" applyFont="1" applyBorder="1" applyAlignment="1">
      <alignment wrapText="1"/>
    </xf>
    <xf numFmtId="0" fontId="10" fillId="0" borderId="21" xfId="6" applyFont="1" applyBorder="1"/>
    <xf numFmtId="0" fontId="10" fillId="0" borderId="27" xfId="6" applyFont="1" applyBorder="1"/>
    <xf numFmtId="0" fontId="10" fillId="0" borderId="23" xfId="6" applyFont="1" applyBorder="1"/>
    <xf numFmtId="1" fontId="17" fillId="0" borderId="46" xfId="5" applyNumberFormat="1" applyFont="1" applyBorder="1" applyAlignment="1">
      <alignment horizontal="right"/>
    </xf>
    <xf numFmtId="0" fontId="8" fillId="0" borderId="29" xfId="5" applyFont="1" applyAlignment="1">
      <alignment vertical="center" textRotation="90"/>
    </xf>
    <xf numFmtId="0" fontId="17" fillId="0" borderId="52" xfId="5" applyFont="1" applyBorder="1" applyAlignment="1">
      <alignment wrapText="1"/>
    </xf>
    <xf numFmtId="0" fontId="17" fillId="3" borderId="52" xfId="5" applyFont="1" applyFill="1" applyBorder="1"/>
    <xf numFmtId="0" fontId="17" fillId="4" borderId="52" xfId="5" applyFont="1" applyFill="1" applyBorder="1"/>
    <xf numFmtId="0" fontId="17" fillId="5" borderId="52" xfId="5" applyFont="1" applyFill="1" applyBorder="1"/>
    <xf numFmtId="0" fontId="17" fillId="8" borderId="52" xfId="5" applyFont="1" applyFill="1" applyBorder="1"/>
    <xf numFmtId="0" fontId="17" fillId="6" borderId="52" xfId="5" applyFont="1" applyFill="1" applyBorder="1"/>
    <xf numFmtId="0" fontId="17" fillId="0" borderId="52" xfId="5" applyFont="1" applyBorder="1"/>
    <xf numFmtId="0" fontId="17" fillId="7" borderId="52" xfId="5" applyFont="1" applyFill="1" applyBorder="1"/>
    <xf numFmtId="0" fontId="17" fillId="0" borderId="61" xfId="5" applyFont="1" applyBorder="1" applyAlignment="1">
      <alignment wrapText="1"/>
    </xf>
    <xf numFmtId="0" fontId="17" fillId="7" borderId="76" xfId="5" applyFont="1" applyFill="1" applyBorder="1"/>
    <xf numFmtId="0" fontId="17" fillId="0" borderId="61" xfId="5" applyFont="1" applyBorder="1"/>
    <xf numFmtId="0" fontId="17" fillId="0" borderId="55" xfId="5" applyFont="1" applyBorder="1"/>
    <xf numFmtId="0" fontId="17" fillId="0" borderId="76" xfId="5" applyFont="1" applyBorder="1"/>
    <xf numFmtId="0" fontId="7" fillId="0" borderId="44" xfId="0" applyFont="1" applyBorder="1"/>
    <xf numFmtId="2" fontId="7" fillId="0" borderId="43" xfId="0" applyNumberFormat="1" applyFont="1" applyBorder="1" applyAlignment="1">
      <alignment horizontal="right"/>
    </xf>
    <xf numFmtId="2" fontId="7" fillId="0" borderId="43" xfId="0" applyNumberFormat="1" applyFont="1" applyBorder="1"/>
    <xf numFmtId="2" fontId="7" fillId="0" borderId="42" xfId="0" applyNumberFormat="1" applyFont="1" applyBorder="1"/>
    <xf numFmtId="164" fontId="8" fillId="0" borderId="87" xfId="0" applyNumberFormat="1" applyFont="1" applyBorder="1"/>
    <xf numFmtId="164" fontId="8" fillId="0" borderId="75" xfId="0" applyNumberFormat="1" applyFont="1" applyBorder="1"/>
    <xf numFmtId="164" fontId="7" fillId="0" borderId="43" xfId="0" applyNumberFormat="1" applyFont="1" applyBorder="1"/>
    <xf numFmtId="164" fontId="7" fillId="0" borderId="42" xfId="0" applyNumberFormat="1" applyFont="1" applyBorder="1"/>
    <xf numFmtId="0" fontId="7" fillId="0" borderId="76" xfId="0" applyFont="1" applyBorder="1"/>
    <xf numFmtId="0" fontId="8" fillId="0" borderId="56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7" fillId="0" borderId="25" xfId="0" applyFont="1" applyBorder="1" applyAlignment="1">
      <alignment wrapText="1"/>
    </xf>
    <xf numFmtId="9" fontId="7" fillId="0" borderId="124" xfId="0" applyNumberFormat="1" applyFont="1" applyBorder="1"/>
    <xf numFmtId="0" fontId="7" fillId="0" borderId="97" xfId="0" applyFont="1" applyBorder="1" applyAlignment="1">
      <alignment wrapText="1"/>
    </xf>
    <xf numFmtId="10" fontId="9" fillId="0" borderId="87" xfId="0" applyNumberFormat="1" applyFont="1" applyBorder="1"/>
    <xf numFmtId="0" fontId="7" fillId="0" borderId="95" xfId="0" applyFont="1" applyBorder="1" applyAlignment="1">
      <alignment wrapText="1"/>
    </xf>
    <xf numFmtId="10" fontId="7" fillId="0" borderId="70" xfId="0" applyNumberFormat="1" applyFont="1" applyBorder="1"/>
    <xf numFmtId="0" fontId="7" fillId="0" borderId="98" xfId="0" applyFont="1" applyBorder="1" applyAlignment="1">
      <alignment wrapText="1"/>
    </xf>
    <xf numFmtId="10" fontId="7" fillId="0" borderId="75" xfId="0" applyNumberFormat="1" applyFont="1" applyBorder="1"/>
    <xf numFmtId="0" fontId="7" fillId="0" borderId="91" xfId="0" applyFont="1" applyBorder="1" applyAlignment="1">
      <alignment wrapText="1"/>
    </xf>
    <xf numFmtId="9" fontId="7" fillId="0" borderId="69" xfId="0" applyNumberFormat="1" applyFont="1" applyBorder="1"/>
    <xf numFmtId="2" fontId="7" fillId="0" borderId="86" xfId="0" applyNumberFormat="1" applyFont="1" applyBorder="1"/>
    <xf numFmtId="0" fontId="7" fillId="0" borderId="16" xfId="0" applyFont="1" applyBorder="1" applyAlignment="1">
      <alignment wrapText="1"/>
    </xf>
    <xf numFmtId="2" fontId="26" fillId="0" borderId="42" xfId="0" applyNumberFormat="1" applyFont="1" applyBorder="1"/>
    <xf numFmtId="0" fontId="8" fillId="0" borderId="49" xfId="0" applyFont="1" applyBorder="1"/>
    <xf numFmtId="0" fontId="8" fillId="0" borderId="48" xfId="0" applyFont="1" applyBorder="1"/>
    <xf numFmtId="10" fontId="8" fillId="0" borderId="46" xfId="0" applyNumberFormat="1" applyFont="1" applyBorder="1"/>
    <xf numFmtId="10" fontId="8" fillId="0" borderId="45" xfId="0" applyNumberFormat="1" applyFont="1" applyBorder="1"/>
    <xf numFmtId="2" fontId="8" fillId="0" borderId="46" xfId="0" applyNumberFormat="1" applyFont="1" applyBorder="1"/>
    <xf numFmtId="2" fontId="8" fillId="0" borderId="45" xfId="0" applyNumberFormat="1" applyFont="1" applyBorder="1"/>
    <xf numFmtId="175" fontId="7" fillId="0" borderId="46" xfId="0" applyNumberFormat="1" applyFont="1" applyBorder="1"/>
    <xf numFmtId="175" fontId="7" fillId="0" borderId="45" xfId="0" applyNumberFormat="1" applyFont="1" applyBorder="1"/>
    <xf numFmtId="0" fontId="7" fillId="0" borderId="63" xfId="0" applyFont="1" applyBorder="1"/>
    <xf numFmtId="167" fontId="7" fillId="0" borderId="63" xfId="0" applyNumberFormat="1" applyFont="1" applyBorder="1"/>
    <xf numFmtId="0" fontId="7" fillId="0" borderId="48" xfId="0" applyFont="1" applyBorder="1"/>
    <xf numFmtId="0" fontId="7" fillId="0" borderId="57" xfId="0" applyFont="1" applyBorder="1" applyAlignment="1">
      <alignment horizontal="center"/>
    </xf>
    <xf numFmtId="0" fontId="7" fillId="0" borderId="58" xfId="0" applyFont="1" applyBorder="1"/>
    <xf numFmtId="164" fontId="7" fillId="0" borderId="48" xfId="0" applyNumberFormat="1" applyFont="1" applyBorder="1"/>
    <xf numFmtId="0" fontId="7" fillId="0" borderId="29" xfId="0" applyFont="1" applyBorder="1" applyAlignment="1">
      <alignment textRotation="90" wrapText="1"/>
    </xf>
    <xf numFmtId="0" fontId="7" fillId="0" borderId="125" xfId="0" applyFont="1" applyBorder="1" applyAlignment="1">
      <alignment wrapText="1"/>
    </xf>
    <xf numFmtId="171" fontId="7" fillId="0" borderId="126" xfId="0" applyNumberFormat="1" applyFont="1" applyBorder="1"/>
    <xf numFmtId="171" fontId="7" fillId="0" borderId="101" xfId="0" applyNumberFormat="1" applyFont="1" applyBorder="1"/>
    <xf numFmtId="0" fontId="7" fillId="0" borderId="129" xfId="0" applyFont="1" applyBorder="1"/>
    <xf numFmtId="0" fontId="7" fillId="0" borderId="117" xfId="0" applyFont="1" applyBorder="1"/>
    <xf numFmtId="0" fontId="7" fillId="0" borderId="109" xfId="0" applyFont="1" applyBorder="1"/>
    <xf numFmtId="0" fontId="7" fillId="0" borderId="106" xfId="0" applyFont="1" applyBorder="1"/>
    <xf numFmtId="0" fontId="7" fillId="0" borderId="125" xfId="0" applyFont="1" applyBorder="1" applyAlignment="1">
      <alignment vertical="center" wrapText="1"/>
    </xf>
    <xf numFmtId="2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132" xfId="0" applyFont="1" applyBorder="1"/>
    <xf numFmtId="2" fontId="8" fillId="0" borderId="132" xfId="0" applyNumberFormat="1" applyFont="1" applyBorder="1" applyAlignment="1">
      <alignment horizontal="right" vertical="center" indent="1"/>
    </xf>
    <xf numFmtId="0" fontId="7" fillId="0" borderId="133" xfId="0" applyFont="1" applyBorder="1"/>
    <xf numFmtId="0" fontId="7" fillId="11" borderId="49" xfId="0" applyFont="1" applyFill="1" applyBorder="1" applyAlignment="1">
      <alignment horizontal="center" vertical="center" wrapText="1"/>
    </xf>
    <xf numFmtId="0" fontId="7" fillId="11" borderId="48" xfId="0" applyFont="1" applyFill="1" applyBorder="1" applyAlignment="1">
      <alignment horizontal="center" vertical="center" wrapText="1"/>
    </xf>
    <xf numFmtId="2" fontId="7" fillId="11" borderId="43" xfId="0" applyNumberFormat="1" applyFont="1" applyFill="1" applyBorder="1" applyAlignment="1">
      <alignment horizontal="right"/>
    </xf>
    <xf numFmtId="2" fontId="7" fillId="11" borderId="42" xfId="0" applyNumberFormat="1" applyFont="1" applyFill="1" applyBorder="1" applyAlignment="1">
      <alignment horizontal="right"/>
    </xf>
    <xf numFmtId="168" fontId="7" fillId="0" borderId="0" xfId="7" applyNumberFormat="1" applyFont="1" applyAlignment="1"/>
    <xf numFmtId="168" fontId="7" fillId="0" borderId="46" xfId="7" applyNumberFormat="1" applyFont="1" applyBorder="1" applyAlignment="1"/>
    <xf numFmtId="4" fontId="0" fillId="0" borderId="0" xfId="0" applyNumberFormat="1"/>
    <xf numFmtId="2" fontId="28" fillId="0" borderId="0" xfId="0" applyNumberFormat="1" applyFont="1"/>
    <xf numFmtId="2" fontId="0" fillId="0" borderId="0" xfId="0" applyNumberFormat="1"/>
    <xf numFmtId="2" fontId="8" fillId="0" borderId="0" xfId="0" applyNumberFormat="1" applyFont="1"/>
    <xf numFmtId="0" fontId="2" fillId="0" borderId="0" xfId="0" applyFont="1"/>
    <xf numFmtId="2" fontId="8" fillId="16" borderId="0" xfId="0" applyNumberFormat="1" applyFont="1" applyFill="1"/>
    <xf numFmtId="0" fontId="0" fillId="18" borderId="0" xfId="0" applyFill="1"/>
    <xf numFmtId="4" fontId="2" fillId="0" borderId="0" xfId="0" applyNumberFormat="1" applyFont="1"/>
    <xf numFmtId="0" fontId="0" fillId="17" borderId="0" xfId="0" applyFill="1"/>
    <xf numFmtId="167" fontId="10" fillId="0" borderId="134" xfId="0" applyNumberFormat="1" applyFont="1" applyBorder="1"/>
    <xf numFmtId="167" fontId="10" fillId="0" borderId="43" xfId="0" applyNumberFormat="1" applyFont="1" applyBorder="1"/>
    <xf numFmtId="167" fontId="10" fillId="0" borderId="135" xfId="0" applyNumberFormat="1" applyFont="1" applyBorder="1"/>
    <xf numFmtId="0" fontId="28" fillId="0" borderId="0" xfId="0" applyFont="1"/>
    <xf numFmtId="177" fontId="7" fillId="0" borderId="126" xfId="9" applyNumberFormat="1" applyFont="1" applyBorder="1"/>
    <xf numFmtId="178" fontId="7" fillId="0" borderId="23" xfId="0" applyNumberFormat="1" applyFont="1" applyBorder="1"/>
    <xf numFmtId="0" fontId="1" fillId="0" borderId="0" xfId="0" applyFont="1"/>
    <xf numFmtId="9" fontId="7" fillId="0" borderId="0" xfId="7" applyFont="1"/>
    <xf numFmtId="44" fontId="7" fillId="0" borderId="0" xfId="9" applyFont="1"/>
    <xf numFmtId="0" fontId="7" fillId="15" borderId="61" xfId="0" applyFont="1" applyFill="1" applyBorder="1" applyAlignment="1">
      <alignment horizontal="center"/>
    </xf>
    <xf numFmtId="0" fontId="7" fillId="15" borderId="49" xfId="0" applyFont="1" applyFill="1" applyBorder="1" applyAlignment="1">
      <alignment horizontal="center"/>
    </xf>
    <xf numFmtId="0" fontId="7" fillId="15" borderId="48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77" xfId="0" applyFont="1" applyBorder="1" applyAlignment="1">
      <alignment horizontal="center" vertical="center" textRotation="90"/>
    </xf>
    <xf numFmtId="0" fontId="7" fillId="0" borderId="78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/>
    </xf>
    <xf numFmtId="0" fontId="7" fillId="0" borderId="117" xfId="0" applyFont="1" applyBorder="1" applyAlignment="1">
      <alignment horizontal="center" vertical="center" textRotation="90"/>
    </xf>
    <xf numFmtId="0" fontId="7" fillId="0" borderId="109" xfId="0" applyFont="1" applyBorder="1" applyAlignment="1">
      <alignment horizontal="center" vertical="center" textRotation="90"/>
    </xf>
    <xf numFmtId="0" fontId="7" fillId="0" borderId="106" xfId="0" applyFont="1" applyBorder="1" applyAlignment="1">
      <alignment horizontal="center" vertical="center" textRotation="90"/>
    </xf>
    <xf numFmtId="0" fontId="7" fillId="13" borderId="61" xfId="0" applyFont="1" applyFill="1" applyBorder="1" applyAlignment="1">
      <alignment horizontal="center" vertical="center"/>
    </xf>
    <xf numFmtId="0" fontId="7" fillId="13" borderId="49" xfId="0" applyFont="1" applyFill="1" applyBorder="1" applyAlignment="1">
      <alignment horizontal="center" vertical="center"/>
    </xf>
    <xf numFmtId="0" fontId="7" fillId="13" borderId="48" xfId="0" applyFont="1" applyFill="1" applyBorder="1" applyAlignment="1">
      <alignment horizontal="center" vertical="center"/>
    </xf>
    <xf numFmtId="0" fontId="7" fillId="14" borderId="61" xfId="0" applyFont="1" applyFill="1" applyBorder="1" applyAlignment="1">
      <alignment horizontal="center"/>
    </xf>
    <xf numFmtId="0" fontId="7" fillId="14" borderId="49" xfId="0" applyFont="1" applyFill="1" applyBorder="1" applyAlignment="1">
      <alignment horizontal="center"/>
    </xf>
    <xf numFmtId="0" fontId="7" fillId="14" borderId="48" xfId="0" applyFont="1" applyFill="1" applyBorder="1" applyAlignment="1">
      <alignment horizontal="center"/>
    </xf>
    <xf numFmtId="0" fontId="12" fillId="0" borderId="52" xfId="0" applyFont="1" applyBorder="1" applyAlignment="1">
      <alignment horizontal="left"/>
    </xf>
    <xf numFmtId="0" fontId="12" fillId="0" borderId="46" xfId="0" applyFont="1" applyBorder="1" applyAlignment="1">
      <alignment horizontal="left"/>
    </xf>
    <xf numFmtId="0" fontId="12" fillId="0" borderId="45" xfId="0" applyFont="1" applyBorder="1" applyAlignment="1">
      <alignment horizontal="left"/>
    </xf>
    <xf numFmtId="0" fontId="12" fillId="0" borderId="52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center"/>
    </xf>
    <xf numFmtId="0" fontId="0" fillId="0" borderId="46" xfId="0" applyBorder="1"/>
    <xf numFmtId="9" fontId="7" fillId="0" borderId="46" xfId="0" applyNumberFormat="1" applyFont="1" applyBorder="1" applyAlignment="1">
      <alignment horizontal="center"/>
    </xf>
    <xf numFmtId="0" fontId="7" fillId="0" borderId="122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7" fillId="0" borderId="105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8" fillId="0" borderId="66" xfId="0" applyFont="1" applyBorder="1" applyAlignment="1">
      <alignment horizontal="left"/>
    </xf>
    <xf numFmtId="0" fontId="8" fillId="0" borderId="120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115" xfId="0" applyFont="1" applyBorder="1" applyAlignment="1">
      <alignment horizontal="left"/>
    </xf>
    <xf numFmtId="0" fontId="8" fillId="0" borderId="88" xfId="0" applyFont="1" applyBorder="1" applyAlignment="1">
      <alignment horizontal="left"/>
    </xf>
    <xf numFmtId="0" fontId="8" fillId="0" borderId="121" xfId="0" applyFont="1" applyBorder="1" applyAlignment="1">
      <alignment horizontal="left"/>
    </xf>
    <xf numFmtId="0" fontId="8" fillId="0" borderId="105" xfId="0" applyFont="1" applyBorder="1" applyAlignment="1">
      <alignment horizontal="center"/>
    </xf>
    <xf numFmtId="0" fontId="7" fillId="0" borderId="13" xfId="0" applyFont="1" applyBorder="1" applyAlignment="1">
      <alignment horizontal="center" textRotation="90" wrapText="1"/>
    </xf>
    <xf numFmtId="0" fontId="7" fillId="0" borderId="15" xfId="0" applyFont="1" applyBorder="1" applyAlignment="1">
      <alignment horizontal="center" textRotation="90" wrapText="1"/>
    </xf>
    <xf numFmtId="0" fontId="7" fillId="0" borderId="17" xfId="0" applyFont="1" applyBorder="1" applyAlignment="1">
      <alignment horizont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77" xfId="0" applyFont="1" applyBorder="1" applyAlignment="1">
      <alignment horizontal="center" textRotation="90" wrapText="1"/>
    </xf>
    <xf numFmtId="0" fontId="7" fillId="0" borderId="78" xfId="0" applyFont="1" applyBorder="1" applyAlignment="1">
      <alignment horizontal="center" textRotation="90" wrapText="1"/>
    </xf>
    <xf numFmtId="0" fontId="7" fillId="0" borderId="79" xfId="0" applyFont="1" applyBorder="1" applyAlignment="1">
      <alignment horizontal="center" textRotation="90" wrapText="1"/>
    </xf>
    <xf numFmtId="0" fontId="7" fillId="0" borderId="130" xfId="0" applyFont="1" applyBorder="1" applyAlignment="1">
      <alignment horizontal="center"/>
    </xf>
    <xf numFmtId="0" fontId="7" fillId="0" borderId="13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44" xfId="0" applyFont="1" applyBorder="1" applyAlignment="1">
      <alignment horizontal="center"/>
    </xf>
    <xf numFmtId="0" fontId="11" fillId="0" borderId="78" xfId="0" applyFont="1" applyBorder="1"/>
    <xf numFmtId="0" fontId="11" fillId="0" borderId="80" xfId="0" applyFont="1" applyBorder="1"/>
    <xf numFmtId="0" fontId="7" fillId="0" borderId="81" xfId="0" applyFont="1" applyBorder="1" applyAlignment="1">
      <alignment horizontal="center" textRotation="90"/>
    </xf>
    <xf numFmtId="0" fontId="11" fillId="0" borderId="79" xfId="0" applyFont="1" applyBorder="1"/>
    <xf numFmtId="0" fontId="7" fillId="0" borderId="127" xfId="0" applyFont="1" applyBorder="1" applyAlignment="1">
      <alignment horizontal="center"/>
    </xf>
    <xf numFmtId="0" fontId="11" fillId="0" borderId="128" xfId="0" applyFont="1" applyBorder="1"/>
    <xf numFmtId="0" fontId="7" fillId="0" borderId="9" xfId="0" applyFont="1" applyBorder="1" applyAlignment="1">
      <alignment horizontal="center" textRotation="90" wrapText="1"/>
    </xf>
    <xf numFmtId="0" fontId="11" fillId="0" borderId="9" xfId="0" applyFont="1" applyBorder="1"/>
    <xf numFmtId="0" fontId="11" fillId="0" borderId="11" xfId="0" applyFont="1" applyBorder="1"/>
    <xf numFmtId="0" fontId="7" fillId="0" borderId="53" xfId="0" applyFont="1" applyBorder="1" applyAlignment="1">
      <alignment horizontal="center" vertical="center" textRotation="90"/>
    </xf>
    <xf numFmtId="0" fontId="11" fillId="0" borderId="53" xfId="0" applyFont="1" applyBorder="1"/>
    <xf numFmtId="0" fontId="11" fillId="0" borderId="71" xfId="0" applyFont="1" applyBorder="1"/>
    <xf numFmtId="0" fontId="7" fillId="0" borderId="29" xfId="0" applyFont="1" applyBorder="1" applyAlignment="1">
      <alignment horizontal="right" textRotation="90"/>
    </xf>
    <xf numFmtId="0" fontId="0" fillId="0" borderId="29" xfId="0" applyBorder="1"/>
    <xf numFmtId="0" fontId="7" fillId="0" borderId="102" xfId="0" applyFont="1" applyBorder="1" applyAlignment="1">
      <alignment horizontal="center"/>
    </xf>
    <xf numFmtId="0" fontId="11" fillId="0" borderId="56" xfId="0" applyFont="1" applyBorder="1"/>
    <xf numFmtId="0" fontId="7" fillId="0" borderId="103" xfId="0" applyFont="1" applyBorder="1" applyAlignment="1">
      <alignment horizontal="center"/>
    </xf>
    <xf numFmtId="0" fontId="11" fillId="0" borderId="21" xfId="0" applyFont="1" applyBorder="1"/>
    <xf numFmtId="9" fontId="7" fillId="0" borderId="104" xfId="0" applyNumberFormat="1" applyFont="1" applyBorder="1" applyAlignment="1">
      <alignment horizontal="center"/>
    </xf>
    <xf numFmtId="0" fontId="11" fillId="0" borderId="51" xfId="0" applyFont="1" applyBorder="1"/>
    <xf numFmtId="0" fontId="16" fillId="0" borderId="31" xfId="0" applyFont="1" applyBorder="1" applyAlignment="1">
      <alignment horizontal="center"/>
    </xf>
    <xf numFmtId="0" fontId="25" fillId="0" borderId="41" xfId="0" applyFont="1" applyBorder="1"/>
    <xf numFmtId="0" fontId="25" fillId="0" borderId="27" xfId="0" applyFont="1" applyBorder="1"/>
    <xf numFmtId="0" fontId="12" fillId="0" borderId="119" xfId="0" applyFont="1" applyBorder="1" applyAlignment="1">
      <alignment horizontal="center"/>
    </xf>
    <xf numFmtId="0" fontId="7" fillId="0" borderId="77" xfId="6" applyFont="1" applyBorder="1" applyAlignment="1">
      <alignment horizontal="center" vertical="center" textRotation="90"/>
    </xf>
    <xf numFmtId="0" fontId="7" fillId="0" borderId="78" xfId="6" applyFont="1" applyBorder="1" applyAlignment="1">
      <alignment horizontal="center" vertical="center" textRotation="90"/>
    </xf>
    <xf numFmtId="0" fontId="7" fillId="0" borderId="79" xfId="6" applyFont="1" applyBorder="1" applyAlignment="1">
      <alignment horizontal="center" vertical="center" textRotation="90"/>
    </xf>
    <xf numFmtId="0" fontId="7" fillId="0" borderId="88" xfId="6" applyFont="1" applyBorder="1" applyAlignment="1">
      <alignment horizontal="center" vertical="center"/>
    </xf>
    <xf numFmtId="0" fontId="7" fillId="0" borderId="7" xfId="6" applyFont="1" applyBorder="1" applyAlignment="1">
      <alignment horizontal="center" textRotation="90" wrapText="1"/>
    </xf>
    <xf numFmtId="0" fontId="11" fillId="0" borderId="9" xfId="6" applyFont="1" applyBorder="1"/>
    <xf numFmtId="0" fontId="11" fillId="0" borderId="11" xfId="6" applyFont="1" applyBorder="1"/>
    <xf numFmtId="0" fontId="7" fillId="0" borderId="13" xfId="6" applyFont="1" applyBorder="1" applyAlignment="1">
      <alignment horizontal="center" vertical="center" textRotation="90" wrapText="1"/>
    </xf>
    <xf numFmtId="0" fontId="11" fillId="0" borderId="15" xfId="6" applyFont="1" applyBorder="1"/>
    <xf numFmtId="0" fontId="11" fillId="0" borderId="17" xfId="6" applyFont="1" applyBorder="1"/>
    <xf numFmtId="0" fontId="7" fillId="0" borderId="7" xfId="6" applyFont="1" applyBorder="1" applyAlignment="1">
      <alignment horizontal="center" vertical="center" textRotation="90"/>
    </xf>
    <xf numFmtId="0" fontId="7" fillId="0" borderId="66" xfId="6" applyFont="1" applyBorder="1" applyAlignment="1">
      <alignment horizontal="center" vertical="center" textRotation="90"/>
    </xf>
    <xf numFmtId="0" fontId="11" fillId="0" borderId="67" xfId="6" applyFont="1" applyBorder="1"/>
    <xf numFmtId="0" fontId="11" fillId="0" borderId="68" xfId="6" applyFont="1" applyBorder="1"/>
    <xf numFmtId="0" fontId="8" fillId="0" borderId="77" xfId="5" applyFont="1" applyBorder="1" applyAlignment="1">
      <alignment horizontal="center" vertical="center" textRotation="90"/>
    </xf>
    <xf numFmtId="0" fontId="21" fillId="0" borderId="78" xfId="5" applyFont="1" applyBorder="1" applyAlignment="1">
      <alignment horizontal="center" vertical="center" textRotation="90"/>
    </xf>
    <xf numFmtId="0" fontId="21" fillId="0" borderId="79" xfId="5" applyFont="1" applyBorder="1" applyAlignment="1">
      <alignment horizontal="center" vertical="center" textRotation="90"/>
    </xf>
    <xf numFmtId="0" fontId="8" fillId="0" borderId="78" xfId="5" applyFont="1" applyBorder="1" applyAlignment="1">
      <alignment horizontal="center" vertical="center" textRotation="90"/>
    </xf>
    <xf numFmtId="0" fontId="8" fillId="0" borderId="79" xfId="5" applyFont="1" applyBorder="1" applyAlignment="1">
      <alignment horizontal="center" vertical="center" textRotation="90"/>
    </xf>
    <xf numFmtId="0" fontId="7" fillId="0" borderId="53" xfId="6" applyFont="1" applyBorder="1" applyAlignment="1">
      <alignment horizontal="center" vertical="center" textRotation="90"/>
    </xf>
    <xf numFmtId="0" fontId="11" fillId="0" borderId="53" xfId="6" applyFont="1" applyBorder="1"/>
    <xf numFmtId="0" fontId="11" fillId="0" borderId="71" xfId="6" applyFont="1" applyBorder="1"/>
    <xf numFmtId="0" fontId="7" fillId="0" borderId="29" xfId="6" applyFont="1" applyAlignment="1">
      <alignment horizontal="right" textRotation="90"/>
    </xf>
    <xf numFmtId="0" fontId="0" fillId="0" borderId="29" xfId="6" applyFont="1"/>
    <xf numFmtId="0" fontId="7" fillId="0" borderId="102" xfId="6" applyFont="1" applyBorder="1" applyAlignment="1">
      <alignment horizontal="center"/>
    </xf>
    <xf numFmtId="0" fontId="11" fillId="0" borderId="56" xfId="6" applyFont="1" applyBorder="1"/>
    <xf numFmtId="0" fontId="7" fillId="0" borderId="103" xfId="6" applyFont="1" applyBorder="1" applyAlignment="1">
      <alignment horizontal="center"/>
    </xf>
    <xf numFmtId="0" fontId="11" fillId="0" borderId="21" xfId="6" applyFont="1" applyBorder="1"/>
    <xf numFmtId="9" fontId="7" fillId="0" borderId="104" xfId="6" applyNumberFormat="1" applyFont="1" applyBorder="1" applyAlignment="1">
      <alignment horizontal="center"/>
    </xf>
    <xf numFmtId="0" fontId="11" fillId="0" borderId="51" xfId="6" applyFont="1" applyBorder="1"/>
    <xf numFmtId="0" fontId="7" fillId="0" borderId="110" xfId="6" applyFont="1" applyBorder="1" applyAlignment="1">
      <alignment horizontal="center" vertical="center" textRotation="90" wrapText="1"/>
    </xf>
    <xf numFmtId="0" fontId="7" fillId="0" borderId="111" xfId="6" applyFont="1" applyBorder="1" applyAlignment="1">
      <alignment horizontal="center" vertical="center" textRotation="90" wrapText="1"/>
    </xf>
    <xf numFmtId="0" fontId="7" fillId="0" borderId="113" xfId="6" applyFont="1" applyBorder="1" applyAlignment="1">
      <alignment horizontal="center" vertical="center" textRotation="90" wrapText="1"/>
    </xf>
    <xf numFmtId="0" fontId="4" fillId="0" borderId="77" xfId="6" applyFont="1" applyBorder="1" applyAlignment="1">
      <alignment horizontal="center" vertical="center" textRotation="90"/>
    </xf>
    <xf numFmtId="0" fontId="0" fillId="0" borderId="78" xfId="6" applyFont="1" applyBorder="1" applyAlignment="1">
      <alignment horizontal="center" vertical="center" textRotation="90"/>
    </xf>
    <xf numFmtId="0" fontId="0" fillId="0" borderId="79" xfId="6" applyFont="1" applyBorder="1" applyAlignment="1">
      <alignment horizontal="center" vertical="center" textRotation="90"/>
    </xf>
    <xf numFmtId="0" fontId="7" fillId="0" borderId="110" xfId="6" applyFont="1" applyBorder="1" applyAlignment="1">
      <alignment horizontal="center" vertical="center" textRotation="90"/>
    </xf>
    <xf numFmtId="0" fontId="11" fillId="0" borderId="111" xfId="6" applyFont="1" applyBorder="1"/>
    <xf numFmtId="0" fontId="11" fillId="0" borderId="113" xfId="6" applyFont="1" applyBorder="1"/>
    <xf numFmtId="0" fontId="7" fillId="0" borderId="118" xfId="6" applyFont="1" applyBorder="1" applyAlignment="1">
      <alignment horizontal="center"/>
    </xf>
    <xf numFmtId="0" fontId="11" fillId="0" borderId="32" xfId="6" applyFont="1" applyBorder="1"/>
    <xf numFmtId="0" fontId="7" fillId="0" borderId="107" xfId="6" applyFont="1" applyBorder="1" applyAlignment="1">
      <alignment horizontal="center" textRotation="90" wrapText="1"/>
    </xf>
    <xf numFmtId="0" fontId="11" fillId="0" borderId="107" xfId="6" applyFont="1" applyBorder="1"/>
    <xf numFmtId="0" fontId="11" fillId="0" borderId="108" xfId="6" applyFont="1" applyBorder="1"/>
  </cellXfs>
  <cellStyles count="10">
    <cellStyle name="Comma 2" xfId="3" xr:uid="{FBF4F1D2-0110-1D43-8B22-D041F63D3301}"/>
    <cellStyle name="Currency" xfId="9" builtinId="4"/>
    <cellStyle name="Currency 2" xfId="2" xr:uid="{BB59C11F-D3E4-C84A-8BEA-327A51778315}"/>
    <cellStyle name="Normal" xfId="0" builtinId="0"/>
    <cellStyle name="Normal 2" xfId="1" xr:uid="{1264CB72-4B8B-9048-90D1-77D749D1AB12}"/>
    <cellStyle name="Normal 2 2" xfId="5" xr:uid="{9129E9C3-E128-5A4D-934D-6536C7F657C2}"/>
    <cellStyle name="Normal 3" xfId="6" xr:uid="{629DA71E-1C59-C746-AC57-4276683117A1}"/>
    <cellStyle name="Normal 4" xfId="8" xr:uid="{F7678FCC-4E9F-1D46-A335-D38B90C85D69}"/>
    <cellStyle name="Per cent" xfId="7" builtinId="5"/>
    <cellStyle name="Per cent 2" xfId="4" xr:uid="{935504FE-1A4F-DF43-A44A-97FE389EF2AD}"/>
  </cellStyles>
  <dxfs count="0"/>
  <tableStyles count="0" defaultTableStyle="TableStyleMedium2" defaultPivotStyle="PivotStyleLight16"/>
  <colors>
    <mruColors>
      <color rgb="FFB8BDA8"/>
      <color rgb="FFB5F568"/>
      <color rgb="FFD1D206"/>
      <color rgb="FFBCBC00"/>
      <color rgb="FFC17415"/>
      <color rgb="FFFF9915"/>
      <color rgb="FFD2411D"/>
      <color rgb="FFAE3414"/>
      <color rgb="FFAF0000"/>
      <color rgb="FFA84C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Прибыль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инициатив</c:v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'Внешние данные'!$C$12:$H$12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'Без инициатив'!$C$32:$H$32</c:f>
              <c:numCache>
                <c:formatCode>##0.##\ \ \ </c:formatCode>
                <c:ptCount val="6"/>
                <c:pt idx="0">
                  <c:v>-1984508349.0212948</c:v>
                </c:pt>
                <c:pt idx="1">
                  <c:v>-978567880.22403812</c:v>
                </c:pt>
                <c:pt idx="2">
                  <c:v>-1851449201.7347102</c:v>
                </c:pt>
                <c:pt idx="3">
                  <c:v>-6320030789.7383976</c:v>
                </c:pt>
                <c:pt idx="4">
                  <c:v>-7951339224.5465555</c:v>
                </c:pt>
                <c:pt idx="5">
                  <c:v>-9652351705.5694504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B-E844-BFA8-B7099F762C2E}"/>
            </c:ext>
          </c:extLst>
        </c:ser>
        <c:ser>
          <c:idx val="1"/>
          <c:order val="1"/>
          <c:tx>
            <c:v>После инициатив</c:v>
          </c:tx>
          <c:spPr>
            <a:ln w="635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'Внешние данные'!$C$12:$H$12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Результаты!$C$26:$H$26</c:f>
              <c:numCache>
                <c:formatCode>##0.##\ \ \ </c:formatCode>
                <c:ptCount val="6"/>
                <c:pt idx="0">
                  <c:v>-1984508349.0212948</c:v>
                </c:pt>
                <c:pt idx="1">
                  <c:v>7947714667.7817278</c:v>
                </c:pt>
                <c:pt idx="2">
                  <c:v>12395648408.59309</c:v>
                </c:pt>
                <c:pt idx="3">
                  <c:v>10392632440.75325</c:v>
                </c:pt>
                <c:pt idx="4">
                  <c:v>10543346708.460199</c:v>
                </c:pt>
                <c:pt idx="5">
                  <c:v>10575862679.783073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B-BF41-9D1C-2BDC57D0A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362934"/>
        <c:axId val="1274761402"/>
      </c:lineChart>
      <c:catAx>
        <c:axId val="118136293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4761402"/>
        <c:crosses val="autoZero"/>
        <c:auto val="1"/>
        <c:lblAlgn val="ctr"/>
        <c:lblOffset val="100"/>
        <c:noMultiLvlLbl val="1"/>
      </c:catAx>
      <c:valAx>
        <c:axId val="1274761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#0.##\ \ 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8136293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NPV(рост рынка)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'Анализ результатов'!$H$4:$H$19</c:f>
              <c:numCache>
                <c:formatCode>0%</c:formatCode>
                <c:ptCount val="16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</c:numCache>
            </c:numRef>
          </c:cat>
          <c:val>
            <c:numRef>
              <c:f>'Анализ результатов'!$I$4:$I$19</c:f>
              <c:numCache>
                <c:formatCode>General</c:formatCode>
                <c:ptCount val="16"/>
                <c:pt idx="0">
                  <c:v>-16728542173.971352</c:v>
                </c:pt>
                <c:pt idx="1">
                  <c:v>-10681340089.045132</c:v>
                </c:pt>
                <c:pt idx="2">
                  <c:v>-4422121175.8437996</c:v>
                </c:pt>
                <c:pt idx="3">
                  <c:v>1906056807.6233253</c:v>
                </c:pt>
                <c:pt idx="4">
                  <c:v>8470683605.6774788</c:v>
                </c:pt>
                <c:pt idx="5">
                  <c:v>15278807456.707722</c:v>
                </c:pt>
                <c:pt idx="6">
                  <c:v>22337620149.64558</c:v>
                </c:pt>
                <c:pt idx="7">
                  <c:v>29654458496.734882</c:v>
                </c:pt>
                <c:pt idx="8">
                  <c:v>37236805806.302139</c:v>
                </c:pt>
                <c:pt idx="9">
                  <c:v>45092293355.526642</c:v>
                </c:pt>
                <c:pt idx="10">
                  <c:v>53228701863.210251</c:v>
                </c:pt>
                <c:pt idx="11">
                  <c:v>61653962962.548096</c:v>
                </c:pt>
                <c:pt idx="12">
                  <c:v>70376160673.898041</c:v>
                </c:pt>
                <c:pt idx="13">
                  <c:v>79403532877.551178</c:v>
                </c:pt>
                <c:pt idx="14">
                  <c:v>88744472786.502014</c:v>
                </c:pt>
                <c:pt idx="15">
                  <c:v>98407530419.218109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3-4A46-91B6-DAFDE113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277294"/>
        <c:axId val="78058008"/>
      </c:lineChart>
      <c:catAx>
        <c:axId val="935277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78058008"/>
        <c:crosses val="autoZero"/>
        <c:auto val="1"/>
        <c:lblAlgn val="ctr"/>
        <c:lblOffset val="100"/>
        <c:noMultiLvlLbl val="1"/>
      </c:catAx>
      <c:valAx>
        <c:axId val="78058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935277294"/>
        <c:crosses val="autoZero"/>
        <c:crossBetween val="between"/>
        <c:dispUnits>
          <c:builtInUnit val="billions"/>
          <c:dispUnitsLbl/>
        </c:dispUnits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'Анализ результатов'!$B$32</c:f>
              <c:strCache>
                <c:ptCount val="1"/>
                <c:pt idx="0">
                  <c:v>Топливо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'Анализ результатов'!$C$31:$H$31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'Анализ результатов'!$C$32:$H$32</c:f>
              <c:numCache>
                <c:formatCode>General</c:formatCode>
                <c:ptCount val="6"/>
                <c:pt idx="0">
                  <c:v>9610304000</c:v>
                </c:pt>
                <c:pt idx="1">
                  <c:v>11049455571.627104</c:v>
                </c:pt>
                <c:pt idx="2">
                  <c:v>15296440997.149895</c:v>
                </c:pt>
                <c:pt idx="3">
                  <c:v>16605826930.487543</c:v>
                </c:pt>
                <c:pt idx="4">
                  <c:v>18017323138.268692</c:v>
                </c:pt>
                <c:pt idx="5">
                  <c:v>19552400730.844376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B-1D43-AF48-C4A384B6C682}"/>
            </c:ext>
          </c:extLst>
        </c:ser>
        <c:ser>
          <c:idx val="1"/>
          <c:order val="1"/>
          <c:tx>
            <c:strRef>
              <c:f>'Анализ результатов'!$B$33</c:f>
              <c:strCache>
                <c:ptCount val="1"/>
                <c:pt idx="0">
                  <c:v>Лизинг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'Анализ результатов'!$C$31:$H$31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'Анализ результатов'!$C$33:$H$33</c:f>
              <c:numCache>
                <c:formatCode>General</c:formatCode>
                <c:ptCount val="6"/>
                <c:pt idx="0">
                  <c:v>5600000000.000001</c:v>
                </c:pt>
                <c:pt idx="1">
                  <c:v>5880000000</c:v>
                </c:pt>
                <c:pt idx="2">
                  <c:v>6174000000.000001</c:v>
                </c:pt>
                <c:pt idx="3">
                  <c:v>6482700000.0000019</c:v>
                </c:pt>
                <c:pt idx="4">
                  <c:v>6806835000.000001</c:v>
                </c:pt>
                <c:pt idx="5">
                  <c:v>7147176750.0000019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B-1D43-AF48-C4A384B6C682}"/>
            </c:ext>
          </c:extLst>
        </c:ser>
        <c:ser>
          <c:idx val="2"/>
          <c:order val="2"/>
          <c:tx>
            <c:strRef>
              <c:f>'Анализ результатов'!$B$34</c:f>
              <c:strCache>
                <c:ptCount val="1"/>
                <c:pt idx="0">
                  <c:v>Обслуживание самолетов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'Анализ результатов'!$C$31:$H$31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'Анализ результатов'!$C$34:$H$34</c:f>
              <c:numCache>
                <c:formatCode>General</c:formatCode>
                <c:ptCount val="6"/>
                <c:pt idx="0">
                  <c:v>2889546936.546072</c:v>
                </c:pt>
                <c:pt idx="1">
                  <c:v>2889546936.546072</c:v>
                </c:pt>
                <c:pt idx="2">
                  <c:v>3476724573.3240719</c:v>
                </c:pt>
                <c:pt idx="3">
                  <c:v>3476724573.3240719</c:v>
                </c:pt>
                <c:pt idx="4">
                  <c:v>3476724573.3240719</c:v>
                </c:pt>
                <c:pt idx="5">
                  <c:v>3476724573.3240719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AB-1D43-AF48-C4A384B6C682}"/>
            </c:ext>
          </c:extLst>
        </c:ser>
        <c:ser>
          <c:idx val="3"/>
          <c:order val="3"/>
          <c:tx>
            <c:strRef>
              <c:f>'Анализ результатов'!$B$35</c:f>
              <c:strCache>
                <c:ptCount val="1"/>
                <c:pt idx="0">
                  <c:v>Налог на прибыль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'Анализ результатов'!$C$31:$H$31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'Анализ результатов'!$C$35:$H$35</c:f>
              <c:numCache>
                <c:formatCode>General</c:formatCode>
                <c:ptCount val="6"/>
                <c:pt idx="0">
                  <c:v>0</c:v>
                </c:pt>
                <c:pt idx="1">
                  <c:v>1986928666.9454319</c:v>
                </c:pt>
                <c:pt idx="2">
                  <c:v>3098912102.148273</c:v>
                </c:pt>
                <c:pt idx="3">
                  <c:v>2598158110.1883125</c:v>
                </c:pt>
                <c:pt idx="4">
                  <c:v>2635836677.1150498</c:v>
                </c:pt>
                <c:pt idx="5">
                  <c:v>2643965669.9457684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AB-1D43-AF48-C4A384B6C682}"/>
            </c:ext>
          </c:extLst>
        </c:ser>
        <c:ser>
          <c:idx val="4"/>
          <c:order val="4"/>
          <c:tx>
            <c:strRef>
              <c:f>'Анализ результатов'!$B$36</c:f>
              <c:strCache>
                <c:ptCount val="1"/>
                <c:pt idx="0">
                  <c:v>Другое (Сборы, ФОТ, налог на самолеты)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'Анализ результатов'!$C$31:$H$31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'Анализ результатов'!$C$36:$H$36</c:f>
              <c:numCache>
                <c:formatCode>General</c:formatCode>
                <c:ptCount val="6"/>
                <c:pt idx="0">
                  <c:v>3067065741.9634371</c:v>
                </c:pt>
                <c:pt idx="1">
                  <c:v>3370813686.6442814</c:v>
                </c:pt>
                <c:pt idx="2">
                  <c:v>3993558003.9290638</c:v>
                </c:pt>
                <c:pt idx="3">
                  <c:v>4030755922.7094412</c:v>
                </c:pt>
                <c:pt idx="4">
                  <c:v>4068707328.881084</c:v>
                </c:pt>
                <c:pt idx="5">
                  <c:v>4108447785.9439588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AB-1D43-AF48-C4A384B6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3947840"/>
        <c:axId val="1013387616"/>
      </c:barChart>
      <c:catAx>
        <c:axId val="101394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13387616"/>
        <c:crosses val="autoZero"/>
        <c:auto val="1"/>
        <c:lblAlgn val="ctr"/>
        <c:lblOffset val="100"/>
        <c:noMultiLvlLbl val="0"/>
      </c:catAx>
      <c:valAx>
        <c:axId val="10133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1394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665682414698162"/>
          <c:y val="0.59791119860017494"/>
          <c:w val="0.46180890796673502"/>
          <c:h val="0.39091882139949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'Анализ результатов'!$C$46</c:f>
              <c:strCache>
                <c:ptCount val="1"/>
              </c:strCache>
            </c:strRef>
          </c:tx>
          <c:spPr>
            <a:solidFill>
              <a:srgbClr val="A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результатов'!$C$48:$C$64</c:f>
              <c:numCache>
                <c:formatCode>General</c:formatCode>
                <c:ptCount val="17"/>
                <c:pt idx="0">
                  <c:v>9610304000</c:v>
                </c:pt>
                <c:pt idx="3">
                  <c:v>11049455571.627104</c:v>
                </c:pt>
                <c:pt idx="6">
                  <c:v>12007512435.169991</c:v>
                </c:pt>
                <c:pt idx="9">
                  <c:v>16605826930.487543</c:v>
                </c:pt>
                <c:pt idx="12">
                  <c:v>18017323138.268692</c:v>
                </c:pt>
                <c:pt idx="15">
                  <c:v>19552400730.844376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3-B846-ABB3-3B56DA711B23}"/>
            </c:ext>
          </c:extLst>
        </c:ser>
        <c:ser>
          <c:idx val="1"/>
          <c:order val="1"/>
          <c:tx>
            <c:strRef>
              <c:f>'Анализ результатов'!$D$46</c:f>
              <c:strCache>
                <c:ptCount val="1"/>
              </c:strCache>
            </c:strRef>
          </c:tx>
          <c:spPr>
            <a:solidFill>
              <a:srgbClr val="D2411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результатов'!$D$48:$D$64</c:f>
              <c:numCache>
                <c:formatCode>General</c:formatCode>
                <c:ptCount val="17"/>
                <c:pt idx="0">
                  <c:v>5600000000.000001</c:v>
                </c:pt>
                <c:pt idx="3">
                  <c:v>5880000000</c:v>
                </c:pt>
                <c:pt idx="6">
                  <c:v>6174000000.000001</c:v>
                </c:pt>
                <c:pt idx="9">
                  <c:v>6482700000.0000019</c:v>
                </c:pt>
                <c:pt idx="12">
                  <c:v>6806835000.000001</c:v>
                </c:pt>
                <c:pt idx="15">
                  <c:v>7147176750.0000019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3-B846-ABB3-3B56DA711B23}"/>
            </c:ext>
          </c:extLst>
        </c:ser>
        <c:ser>
          <c:idx val="2"/>
          <c:order val="2"/>
          <c:tx>
            <c:strRef>
              <c:f>'Анализ результатов'!$E$46</c:f>
              <c:strCache>
                <c:ptCount val="1"/>
              </c:strCache>
            </c:strRef>
          </c:tx>
          <c:spPr>
            <a:solidFill>
              <a:srgbClr val="C17415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результатов'!$E$48:$E$64</c:f>
              <c:numCache>
                <c:formatCode>General</c:formatCode>
                <c:ptCount val="17"/>
                <c:pt idx="0">
                  <c:v>2889546936.546072</c:v>
                </c:pt>
                <c:pt idx="3">
                  <c:v>2889546936.546072</c:v>
                </c:pt>
                <c:pt idx="6">
                  <c:v>2889546936.546072</c:v>
                </c:pt>
                <c:pt idx="9">
                  <c:v>3476724573.3240719</c:v>
                </c:pt>
                <c:pt idx="12">
                  <c:v>3476724573.3240719</c:v>
                </c:pt>
                <c:pt idx="15">
                  <c:v>3476724573.3240719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3-B846-ABB3-3B56DA711B23}"/>
            </c:ext>
          </c:extLst>
        </c:ser>
        <c:ser>
          <c:idx val="3"/>
          <c:order val="3"/>
          <c:tx>
            <c:strRef>
              <c:f>'Анализ результатов'!$F$46</c:f>
              <c:strCache>
                <c:ptCount val="1"/>
              </c:strCache>
            </c:strRef>
          </c:tx>
          <c:spPr>
            <a:solidFill>
              <a:srgbClr val="D1D20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результатов'!$F$48:$F$64</c:f>
              <c:numCache>
                <c:formatCode>General</c:formatCode>
                <c:ptCount val="17"/>
                <c:pt idx="0">
                  <c:v>0</c:v>
                </c:pt>
                <c:pt idx="3">
                  <c:v>1986928666.9454319</c:v>
                </c:pt>
                <c:pt idx="6">
                  <c:v>3979858034.2075462</c:v>
                </c:pt>
                <c:pt idx="9">
                  <c:v>2598158110.1883125</c:v>
                </c:pt>
                <c:pt idx="12">
                  <c:v>2635836677.1150498</c:v>
                </c:pt>
                <c:pt idx="15">
                  <c:v>2643965669.9457684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3-B846-ABB3-3B56DA711B23}"/>
            </c:ext>
          </c:extLst>
        </c:ser>
        <c:ser>
          <c:idx val="4"/>
          <c:order val="4"/>
          <c:tx>
            <c:strRef>
              <c:f>'Анализ результатов'!$G$46</c:f>
              <c:strCache>
                <c:ptCount val="1"/>
              </c:strCache>
            </c:strRef>
          </c:tx>
          <c:spPr>
            <a:solidFill>
              <a:srgbClr val="B8BDA8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результатов'!$G$48:$G$64</c:f>
              <c:numCache>
                <c:formatCode>General</c:formatCode>
                <c:ptCount val="17"/>
                <c:pt idx="0">
                  <c:v>3067065741.9634371</c:v>
                </c:pt>
                <c:pt idx="3">
                  <c:v>3370813686.6442814</c:v>
                </c:pt>
                <c:pt idx="6">
                  <c:v>3464934542.3906021</c:v>
                </c:pt>
                <c:pt idx="9">
                  <c:v>4030755922.7094412</c:v>
                </c:pt>
                <c:pt idx="12">
                  <c:v>4068707328.881084</c:v>
                </c:pt>
                <c:pt idx="15">
                  <c:v>4108447785.9439588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3-B846-ABB3-3B56DA711B23}"/>
            </c:ext>
          </c:extLst>
        </c:ser>
        <c:ser>
          <c:idx val="6"/>
          <c:order val="5"/>
          <c:tx>
            <c:strRef>
              <c:f>'Анализ результатов'!$H$46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результатов'!$I$48:$I$64</c:f>
              <c:numCache>
                <c:formatCode>General</c:formatCode>
                <c:ptCount val="17"/>
                <c:pt idx="1">
                  <c:v>12837380000</c:v>
                </c:pt>
                <c:pt idx="4">
                  <c:v>13917397959.464045</c:v>
                </c:pt>
                <c:pt idx="7">
                  <c:v>23766206721.244877</c:v>
                </c:pt>
                <c:pt idx="10">
                  <c:v>24962448755.365799</c:v>
                </c:pt>
                <c:pt idx="13">
                  <c:v>26095800099.343472</c:v>
                </c:pt>
                <c:pt idx="16">
                  <c:v>27176629170.087326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73-B846-ABB3-3B56DA711B23}"/>
            </c:ext>
          </c:extLst>
        </c:ser>
        <c:ser>
          <c:idx val="5"/>
          <c:order val="6"/>
          <c:tx>
            <c:strRef>
              <c:f>'Анализ результатов'!$I$46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numRef>
              <c:f>'Анализ результатов'!$B$48:$B$64</c:f>
              <c:numCache>
                <c:formatCode>General</c:formatCode>
                <c:ptCount val="17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'Анализ результатов'!$H$48:$H$64</c:f>
              <c:numCache>
                <c:formatCode>General</c:formatCode>
                <c:ptCount val="17"/>
                <c:pt idx="1">
                  <c:v>6312278000</c:v>
                </c:pt>
                <c:pt idx="4">
                  <c:v>9265298194.6265526</c:v>
                </c:pt>
                <c:pt idx="7">
                  <c:v>9789034576.583477</c:v>
                </c:pt>
                <c:pt idx="10">
                  <c:v>10281753283.077959</c:v>
                </c:pt>
                <c:pt idx="13">
                  <c:v>10748568018.123472</c:v>
                </c:pt>
                <c:pt idx="16">
                  <c:v>11193749416.610188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73-B846-ABB3-3B56DA71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316796832"/>
        <c:axId val="1316683280"/>
      </c:barChart>
      <c:catAx>
        <c:axId val="1316796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6683280"/>
        <c:crosses val="autoZero"/>
        <c:auto val="1"/>
        <c:lblAlgn val="ctr"/>
        <c:lblOffset val="100"/>
        <c:noMultiLvlLbl val="0"/>
      </c:catAx>
      <c:valAx>
        <c:axId val="1316683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679683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5526899531502985"/>
          <c:y val="0.73937707104708994"/>
          <c:w val="3.6314096906664893E-2"/>
          <c:h val="0.23606917231636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Ключевая ставка ЦБ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'Внешние данные'!$A$102:$A$210</c:f>
              <c:strCache>
                <c:ptCount val="3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34">
                  <c:v>Мультипликатор цены билета 2021 г</c:v>
                </c:pt>
              </c:strCache>
            </c:strRef>
          </c:cat>
          <c:val>
            <c:numRef>
              <c:f>'Внешние данные'!$B$102:$B$210</c:f>
              <c:numCache>
                <c:formatCode>0.00</c:formatCode>
                <c:ptCount val="109"/>
                <c:pt idx="0">
                  <c:v>538.44083333333299</c:v>
                </c:pt>
                <c:pt idx="1">
                  <c:v>889.54</c:v>
                </c:pt>
                <c:pt idx="2">
                  <c:v>1485.65333333333</c:v>
                </c:pt>
                <c:pt idx="3">
                  <c:v>1833.85083333333</c:v>
                </c:pt>
                <c:pt idx="4">
                  <c:v>2244.1566666666599</c:v>
                </c:pt>
                <c:pt idx="5">
                  <c:v>2695.7341666666598</c:v>
                </c:pt>
                <c:pt idx="6">
                  <c:v>2922.86083333333</c:v>
                </c:pt>
                <c:pt idx="7">
                  <c:v>3507.7633333333301</c:v>
                </c:pt>
                <c:pt idx="8">
                  <c:v>3998.90333333333</c:v>
                </c:pt>
                <c:pt idx="9">
                  <c:v>4492.6283333333304</c:v>
                </c:pt>
                <c:pt idx="10">
                  <c:v>5890.4191666666602</c:v>
                </c:pt>
                <c:pt idx="11">
                  <c:v>6619.3999999999896</c:v>
                </c:pt>
                <c:pt idx="12">
                  <c:v>6651.5258333333304</c:v>
                </c:pt>
                <c:pt idx="13">
                  <c:v>4181.41</c:v>
                </c:pt>
                <c:pt idx="14">
                  <c:v>4681.24999999999</c:v>
                </c:pt>
                <c:pt idx="15">
                  <c:v>4695.3041666666604</c:v>
                </c:pt>
                <c:pt idx="16">
                  <c:v>4774.7833333333301</c:v>
                </c:pt>
                <c:pt idx="17">
                  <c:v>5446.4416666666602</c:v>
                </c:pt>
                <c:pt idx="18">
                  <c:v>5384.335</c:v>
                </c:pt>
                <c:pt idx="19">
                  <c:v>5158.1575000000003</c:v>
                </c:pt>
                <c:pt idx="20">
                  <c:v>5150.0050000000001</c:v>
                </c:pt>
                <c:pt idx="21">
                  <c:v>5638.9808333333303</c:v>
                </c:pt>
                <c:pt idx="22">
                  <c:v>5255.3391666666603</c:v>
                </c:pt>
                <c:pt idx="23">
                  <c:v>5219.9324999999999</c:v>
                </c:pt>
                <c:pt idx="24" formatCode="General">
                  <c:v>5621.7786863334104</c:v>
                </c:pt>
                <c:pt idx="25" formatCode="General">
                  <c:v>5939.5590715400504</c:v>
                </c:pt>
                <c:pt idx="26" formatCode="General">
                  <c:v>6238.5192846214704</c:v>
                </c:pt>
                <c:pt idx="27" formatCode="General">
                  <c:v>6521.76209805485</c:v>
                </c:pt>
                <c:pt idx="28" formatCode="General">
                  <c:v>6791.8787467576603</c:v>
                </c:pt>
                <c:pt idx="30" formatCode="#,##0.00">
                  <c:v>0</c:v>
                </c:pt>
                <c:pt idx="31" formatCode="#,##0.00">
                  <c:v>0</c:v>
                </c:pt>
                <c:pt idx="34" formatCode="#,##0.00">
                  <c:v>0</c:v>
                </c:pt>
                <c:pt idx="35" formatCode="#,##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B-DF48-A50D-34280714A7E3}"/>
            </c:ext>
          </c:extLst>
        </c:ser>
        <c:ser>
          <c:idx val="1"/>
          <c:order val="1"/>
          <c:tx>
            <c:v>Полет в эконом классе, на 1000 км, тыс. рублей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'Внешние данные'!$A$102:$A$210</c:f>
              <c:strCache>
                <c:ptCount val="3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  <c:pt idx="34">
                  <c:v>Мультипликатор цены билета 2021 г</c:v>
                </c:pt>
              </c:strCache>
            </c:strRef>
          </c:cat>
          <c:val>
            <c:numRef>
              <c:f>'Внешние данные'!$D$102:$D$210</c:f>
              <c:numCache>
                <c:formatCode>0</c:formatCode>
                <c:ptCount val="109"/>
                <c:pt idx="1">
                  <c:v>2021</c:v>
                </c:pt>
                <c:pt idx="2" formatCode="General">
                  <c:v>2022</c:v>
                </c:pt>
                <c:pt idx="3" formatCode="General">
                  <c:v>2023</c:v>
                </c:pt>
                <c:pt idx="4" formatCode="General">
                  <c:v>2024</c:v>
                </c:pt>
                <c:pt idx="5" formatCode="General">
                  <c:v>2025</c:v>
                </c:pt>
                <c:pt idx="6" formatCode="General">
                  <c:v>2026</c:v>
                </c:pt>
                <c:pt idx="34" formatCode="General">
                  <c:v>2023</c:v>
                </c:pt>
                <c:pt idx="35" formatCode="General">
                  <c:v>1.1378612791525657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DF48-A50D-34280714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970928"/>
        <c:axId val="982973328"/>
      </c:lineChart>
      <c:catAx>
        <c:axId val="98297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82973328"/>
        <c:crosses val="autoZero"/>
        <c:auto val="1"/>
        <c:lblAlgn val="ctr"/>
        <c:lblOffset val="100"/>
        <c:noMultiLvlLbl val="0"/>
      </c:catAx>
      <c:valAx>
        <c:axId val="9829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829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'Внешние данные'!$A$102:$A$130</c:f>
              <c:numCache>
                <c:formatCode>General</c:formatCode>
                <c:ptCount val="29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  <c:pt idx="26">
                  <c:v>2024</c:v>
                </c:pt>
                <c:pt idx="27">
                  <c:v>2025</c:v>
                </c:pt>
                <c:pt idx="28">
                  <c:v>2026</c:v>
                </c:pt>
              </c:numCache>
            </c:numRef>
          </c:xVal>
          <c:yVal>
            <c:numRef>
              <c:f>'Внешние данные'!$B$102:$B$130</c:f>
              <c:numCache>
                <c:formatCode>0.00</c:formatCode>
                <c:ptCount val="29"/>
                <c:pt idx="0">
                  <c:v>538.44083333333299</c:v>
                </c:pt>
                <c:pt idx="1">
                  <c:v>889.54</c:v>
                </c:pt>
                <c:pt idx="2">
                  <c:v>1485.65333333333</c:v>
                </c:pt>
                <c:pt idx="3">
                  <c:v>1833.85083333333</c:v>
                </c:pt>
                <c:pt idx="4">
                  <c:v>2244.1566666666599</c:v>
                </c:pt>
                <c:pt idx="5">
                  <c:v>2695.7341666666598</c:v>
                </c:pt>
                <c:pt idx="6">
                  <c:v>2922.86083333333</c:v>
                </c:pt>
                <c:pt idx="7">
                  <c:v>3507.7633333333301</c:v>
                </c:pt>
                <c:pt idx="8">
                  <c:v>3998.90333333333</c:v>
                </c:pt>
                <c:pt idx="9">
                  <c:v>4492.6283333333304</c:v>
                </c:pt>
                <c:pt idx="10">
                  <c:v>5890.4191666666602</c:v>
                </c:pt>
                <c:pt idx="11">
                  <c:v>6619.3999999999896</c:v>
                </c:pt>
                <c:pt idx="12">
                  <c:v>6651.5258333333304</c:v>
                </c:pt>
                <c:pt idx="13">
                  <c:v>4181.41</c:v>
                </c:pt>
                <c:pt idx="14">
                  <c:v>4681.24999999999</c:v>
                </c:pt>
                <c:pt idx="15">
                  <c:v>4695.3041666666604</c:v>
                </c:pt>
                <c:pt idx="16">
                  <c:v>4774.7833333333301</c:v>
                </c:pt>
                <c:pt idx="17">
                  <c:v>5446.4416666666602</c:v>
                </c:pt>
                <c:pt idx="18">
                  <c:v>5384.335</c:v>
                </c:pt>
                <c:pt idx="19">
                  <c:v>5158.1575000000003</c:v>
                </c:pt>
                <c:pt idx="20">
                  <c:v>5150.0050000000001</c:v>
                </c:pt>
                <c:pt idx="21">
                  <c:v>5638.9808333333303</c:v>
                </c:pt>
                <c:pt idx="22">
                  <c:v>5255.3391666666603</c:v>
                </c:pt>
                <c:pt idx="23">
                  <c:v>5219.9324999999999</c:v>
                </c:pt>
                <c:pt idx="24" formatCode="General">
                  <c:v>5621.7786863334104</c:v>
                </c:pt>
                <c:pt idx="25" formatCode="General">
                  <c:v>5939.5590715400504</c:v>
                </c:pt>
                <c:pt idx="26" formatCode="General">
                  <c:v>6238.5192846214704</c:v>
                </c:pt>
                <c:pt idx="27" formatCode="General">
                  <c:v>6521.76209805485</c:v>
                </c:pt>
                <c:pt idx="28" formatCode="General">
                  <c:v>6791.8787467576603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A4-4043-B2A3-DB1CE1B6E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42943"/>
        <c:axId val="1077652144"/>
      </c:scatterChart>
      <c:valAx>
        <c:axId val="33604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77652144"/>
        <c:crosses val="autoZero"/>
        <c:crossBetween val="midCat"/>
      </c:valAx>
      <c:valAx>
        <c:axId val="10776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3604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85725</xdr:rowOff>
    </xdr:from>
    <xdr:ext cx="5086350" cy="3305175"/>
    <xdr:graphicFrame macro="">
      <xdr:nvGraphicFramePr>
        <xdr:cNvPr id="391754700" name="Chart 1">
          <a:extLst>
            <a:ext uri="{FF2B5EF4-FFF2-40B4-BE49-F238E27FC236}">
              <a16:creationId xmlns:a16="http://schemas.microsoft.com/office/drawing/2014/main" id="{00000000-0008-0000-0300-0000CCB35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19050</xdr:colOff>
      <xdr:row>2</xdr:row>
      <xdr:rowOff>9525</xdr:rowOff>
    </xdr:from>
    <xdr:ext cx="5057775" cy="2743200"/>
    <xdr:graphicFrame macro="">
      <xdr:nvGraphicFramePr>
        <xdr:cNvPr id="1181546505" name="Chart 2">
          <a:extLst>
            <a:ext uri="{FF2B5EF4-FFF2-40B4-BE49-F238E27FC236}">
              <a16:creationId xmlns:a16="http://schemas.microsoft.com/office/drawing/2014/main" id="{00000000-0008-0000-0300-000009F86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13</xdr:col>
      <xdr:colOff>465666</xdr:colOff>
      <xdr:row>18</xdr:row>
      <xdr:rowOff>34960</xdr:rowOff>
    </xdr:from>
    <xdr:to>
      <xdr:col>19</xdr:col>
      <xdr:colOff>162505</xdr:colOff>
      <xdr:row>29</xdr:row>
      <xdr:rowOff>224504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E5766-5AEC-5914-1187-8F71E1F29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367730</xdr:colOff>
      <xdr:row>46</xdr:row>
      <xdr:rowOff>305936</xdr:rowOff>
    </xdr:from>
    <xdr:to>
      <xdr:col>22</xdr:col>
      <xdr:colOff>492836</xdr:colOff>
      <xdr:row>74</xdr:row>
      <xdr:rowOff>151642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76469D-13C6-270A-829A-39EA22A6C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1271866</xdr:colOff>
      <xdr:row>163</xdr:row>
      <xdr:rowOff>74706</xdr:rowOff>
    </xdr:from>
    <xdr:to>
      <xdr:col>10</xdr:col>
      <xdr:colOff>280146</xdr:colOff>
      <xdr:row>185</xdr:row>
      <xdr:rowOff>204321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E9FDC-AC9B-B3D6-1B4D-8FB8B7A08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524933</xdr:colOff>
      <xdr:row>111</xdr:row>
      <xdr:rowOff>76199</xdr:rowOff>
    </xdr:from>
    <xdr:to>
      <xdr:col>6</xdr:col>
      <xdr:colOff>1574800</xdr:colOff>
      <xdr:row>122</xdr:row>
      <xdr:rowOff>211666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5D306-C0DB-05CD-D00E-4EB9E1416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showGridLines="0" tabSelected="1" topLeftCell="G1" zoomScale="92" zoomScaleNormal="92" workbookViewId="0">
      <selection activeCell="P6" sqref="P6"/>
    </sheetView>
  </sheetViews>
  <sheetFormatPr baseColWidth="10" defaultColWidth="11.1640625" defaultRowHeight="15" customHeight="1" x14ac:dyDescent="0.2"/>
  <cols>
    <col min="1" max="1" width="7.1640625" customWidth="1"/>
    <col min="2" max="2" width="36" customWidth="1"/>
    <col min="3" max="5" width="24.1640625" customWidth="1"/>
    <col min="6" max="8" width="25.5" customWidth="1"/>
    <col min="9" max="9" width="51.1640625" customWidth="1"/>
    <col min="10" max="10" width="11" customWidth="1"/>
    <col min="11" max="11" width="37" customWidth="1"/>
    <col min="12" max="12" width="11" customWidth="1"/>
    <col min="13" max="13" width="27.83203125" customWidth="1"/>
    <col min="14" max="14" width="10.83203125" customWidth="1"/>
    <col min="15" max="15" width="11" customWidth="1"/>
    <col min="16" max="16" width="35.1640625" customWidth="1"/>
    <col min="17" max="17" width="10.83203125" customWidth="1"/>
    <col min="18" max="18" width="11.83203125" customWidth="1"/>
    <col min="19" max="19" width="21.1640625" customWidth="1"/>
    <col min="20" max="26" width="10.5" customWidth="1"/>
  </cols>
  <sheetData>
    <row r="1" spans="1:26" ht="23" customHeight="1" thickBot="1" x14ac:dyDescent="0.25">
      <c r="A1" s="646"/>
      <c r="B1" s="650" t="s">
        <v>16</v>
      </c>
      <c r="C1" s="650"/>
      <c r="D1" s="650"/>
      <c r="E1" s="650"/>
      <c r="F1" s="650"/>
      <c r="G1" s="650"/>
      <c r="H1" s="650"/>
      <c r="I1" s="2"/>
      <c r="J1" s="27"/>
      <c r="K1" s="2"/>
      <c r="L1" s="4"/>
      <c r="M1" s="2"/>
      <c r="N1" s="2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" customHeight="1" thickBot="1" x14ac:dyDescent="0.25">
      <c r="A2" s="646"/>
      <c r="B2" s="522" t="s">
        <v>6</v>
      </c>
      <c r="C2" s="523">
        <v>2021</v>
      </c>
      <c r="D2" s="523">
        <v>2022</v>
      </c>
      <c r="E2" s="523">
        <v>2023</v>
      </c>
      <c r="F2" s="523">
        <v>2024</v>
      </c>
      <c r="G2" s="523">
        <v>2025</v>
      </c>
      <c r="H2" s="524">
        <v>2026</v>
      </c>
      <c r="I2" s="2"/>
      <c r="J2" s="27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" customHeight="1" x14ac:dyDescent="0.2">
      <c r="A3" s="647" t="s">
        <v>17</v>
      </c>
      <c r="B3" s="654" t="s">
        <v>223</v>
      </c>
      <c r="C3" s="655"/>
      <c r="D3" s="655"/>
      <c r="E3" s="655"/>
      <c r="F3" s="655"/>
      <c r="G3" s="655"/>
      <c r="H3" s="656"/>
      <c r="I3" s="2"/>
      <c r="J3" s="27" t="s">
        <v>313</v>
      </c>
      <c r="K3" s="28">
        <f>SUM(D37:H37)+SUM(D38:H38)-SUM('Без инициатив'!D43:H43)-SUM('Без инициатив'!D44:H44)</f>
        <v>54177454447.020325</v>
      </c>
      <c r="L3" s="4"/>
      <c r="M3" s="2"/>
      <c r="N3" s="2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648"/>
      <c r="B4" s="242" t="s">
        <v>224</v>
      </c>
      <c r="C4" s="495">
        <f>'Без инициатив'!C16</f>
        <v>19149658000</v>
      </c>
      <c r="D4" s="280">
        <f>SUM(D6:D7)*(1+изм_рынка)^'Внешние данные'!D16</f>
        <v>23182696154.090599</v>
      </c>
      <c r="E4" s="280">
        <f>SUM(E6:E7)*(1+изм_рынка)^'Внешние данные'!E16</f>
        <v>33555241297.828354</v>
      </c>
      <c r="F4" s="280">
        <f>SUM(F6:F7)*(1+изм_рынка)^'Внешние данные'!F16</f>
        <v>35244202038.443756</v>
      </c>
      <c r="G4" s="280">
        <f>SUM(G6:G7)*(1+изм_рынка)^'Внешние данные'!G16</f>
        <v>36844368117.466942</v>
      </c>
      <c r="H4" s="486">
        <f>SUM(H6:H7)*(1+изм_рынка)^'Внешние данные'!H16</f>
        <v>38370378586.69751</v>
      </c>
      <c r="I4" s="2"/>
      <c r="J4" s="27" t="s">
        <v>313</v>
      </c>
      <c r="K4" s="641"/>
      <c r="L4" s="641">
        <f>(E4-'Без инициатив'!E16)/'Без инициатив'!E16</f>
        <v>0.75226321524010265</v>
      </c>
      <c r="M4" s="641">
        <f>(F4-'Без инициатив'!F16)/'Без инициатив'!F16</f>
        <v>0.84046117369008655</v>
      </c>
      <c r="N4" s="641">
        <f>(G4-'Без инициатив'!G16)/'Без инициатив'!G16</f>
        <v>0.92402225238001334</v>
      </c>
      <c r="O4" s="641">
        <f>(H4-'Без инициатив'!H16)/'Без инициатив'!H16</f>
        <v>1.0037109063095284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" customHeight="1" x14ac:dyDescent="0.2">
      <c r="A5" s="648"/>
      <c r="B5" s="663" t="s">
        <v>18</v>
      </c>
      <c r="C5" s="664"/>
      <c r="D5" s="664"/>
      <c r="E5" s="664"/>
      <c r="F5" s="664"/>
      <c r="G5" s="664"/>
      <c r="H5" s="665"/>
      <c r="I5" s="2"/>
      <c r="J5" s="27"/>
      <c r="K5" s="2"/>
      <c r="L5" s="4"/>
      <c r="M5" s="2"/>
      <c r="N5" s="2"/>
      <c r="O5" s="4"/>
      <c r="P5" s="2" t="s">
        <v>316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A6" s="648"/>
      <c r="B6" s="534" t="s">
        <v>19</v>
      </c>
      <c r="C6" s="495">
        <f>'Без инициатив'!C17</f>
        <v>6312278000</v>
      </c>
      <c r="D6" s="280">
        <f>внутр_рейсы*'Внешние данные'!C137</f>
        <v>9265298194.6265526</v>
      </c>
      <c r="E6" s="280">
        <f>внутр_рейсы*'Внешние данные'!D137</f>
        <v>9789034576.583477</v>
      </c>
      <c r="F6" s="280">
        <f>внутр_рейсы*'Внешние данные'!E137</f>
        <v>10281753283.077959</v>
      </c>
      <c r="G6" s="280">
        <f>внутр_рейсы*'Внешние данные'!F137</f>
        <v>10748568018.123472</v>
      </c>
      <c r="H6" s="280">
        <f>внутр_рейсы*'Внешние данные'!G137</f>
        <v>11193749416.610188</v>
      </c>
      <c r="I6" s="2"/>
      <c r="J6" s="27" t="s">
        <v>314</v>
      </c>
      <c r="K6" s="614">
        <f>D37+D38</f>
        <v>21435687613.583542</v>
      </c>
      <c r="L6" s="614">
        <f t="shared" ref="L6:N6" si="0">E37+E38</f>
        <v>28551023228.239536</v>
      </c>
      <c r="M6" s="614">
        <f t="shared" si="0"/>
        <v>27623511285.727882</v>
      </c>
      <c r="N6" s="614">
        <f t="shared" si="0"/>
        <v>26615372704.197067</v>
      </c>
      <c r="O6" s="614">
        <f>H37+H38</f>
        <v>25541576615.565285</v>
      </c>
      <c r="P6" s="642">
        <f>SUM(K6:O6)</f>
        <v>129767171447.31332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25">
      <c r="A7" s="648"/>
      <c r="B7" s="535" t="s">
        <v>20</v>
      </c>
      <c r="C7" s="497">
        <f>'Без инициатив'!C18</f>
        <v>12837380000</v>
      </c>
      <c r="D7" s="529">
        <f>международ_рейсы*'Внешние данные'!C137</f>
        <v>13917397959.464045</v>
      </c>
      <c r="E7" s="529">
        <f>(новые_рейсы+ международ_рейсы)*'Внешние данные'!D137</f>
        <v>23766206721.244877</v>
      </c>
      <c r="F7" s="529">
        <f>(новые_рейсы+ международ_рейсы)*'Внешние данные'!E137</f>
        <v>24962448755.365799</v>
      </c>
      <c r="G7" s="529">
        <f>(новые_рейсы+ международ_рейсы)*'Внешние данные'!F137</f>
        <v>26095800099.343472</v>
      </c>
      <c r="H7" s="529">
        <f>(новые_рейсы+ международ_рейсы)*'Внешние данные'!G137</f>
        <v>27176629170.087326</v>
      </c>
      <c r="I7" s="2"/>
      <c r="J7" s="27" t="s">
        <v>315</v>
      </c>
      <c r="K7" s="2">
        <f>'Без инициатив'!D43+'Без инициатив'!D44</f>
        <v>17706572353.213131</v>
      </c>
      <c r="L7" s="2">
        <f>'Без инициатив'!E43+'Без инициатив'!E44</f>
        <v>16293798203.329489</v>
      </c>
      <c r="M7" s="2">
        <f>'Без инициатив'!F43+'Без инициатив'!F44</f>
        <v>15009016044.79018</v>
      </c>
      <c r="N7" s="2">
        <f>'Без инициатив'!G43+'Без инициатив'!G44</f>
        <v>13833193805.983215</v>
      </c>
      <c r="O7" s="2">
        <f>'Без инициатив'!H43+'Без инициатив'!H44</f>
        <v>12747136592.976995</v>
      </c>
      <c r="P7" s="2">
        <f>SUM(K7:O7)</f>
        <v>75589717000.292999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">
      <c r="A8" s="648"/>
      <c r="B8" s="657" t="s">
        <v>227</v>
      </c>
      <c r="C8" s="658"/>
      <c r="D8" s="658"/>
      <c r="E8" s="658"/>
      <c r="F8" s="658"/>
      <c r="G8" s="658"/>
      <c r="H8" s="659"/>
      <c r="I8" s="2"/>
      <c r="J8" s="27"/>
      <c r="K8" s="2"/>
      <c r="L8" s="4"/>
      <c r="M8" s="2"/>
      <c r="N8" s="2"/>
      <c r="O8" s="4" t="s">
        <v>317</v>
      </c>
      <c r="P8" s="641">
        <f>(P6-P7)/P7</f>
        <v>0.7167304839467824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">
      <c r="A9" s="648"/>
      <c r="B9" s="242" t="s">
        <v>224</v>
      </c>
      <c r="C9" s="495">
        <f>'Без инициатив'!C19</f>
        <v>21134166349.021294</v>
      </c>
      <c r="D9" s="280">
        <f>D11-D18+D19+D20+D23+D22</f>
        <v>15234981486.308872</v>
      </c>
      <c r="E9" s="280">
        <f>E11-E18+E19+E20+E23+E22</f>
        <v>21159592889.235264</v>
      </c>
      <c r="F9" s="280">
        <f>F11-F18+F19+F20+F23+F22</f>
        <v>24851569597.690506</v>
      </c>
      <c r="G9" s="280">
        <f>G11-G18+G19+G20+G23+G22</f>
        <v>26301021409.006744</v>
      </c>
      <c r="H9" s="486">
        <f>H11-H18+H19+H20+H23+H22</f>
        <v>27794515906.914436</v>
      </c>
      <c r="I9" s="2"/>
      <c r="J9" s="27"/>
      <c r="K9" s="2"/>
      <c r="L9" s="4"/>
      <c r="M9" s="2"/>
      <c r="N9" s="2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">
      <c r="A10" s="648"/>
      <c r="B10" s="660" t="s">
        <v>22</v>
      </c>
      <c r="C10" s="661"/>
      <c r="D10" s="661"/>
      <c r="E10" s="661"/>
      <c r="F10" s="661"/>
      <c r="G10" s="661"/>
      <c r="H10" s="662"/>
      <c r="I10" s="2"/>
      <c r="J10" s="27"/>
      <c r="K10" s="2"/>
      <c r="L10" s="4"/>
      <c r="M10" s="2"/>
      <c r="N10" s="2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">
      <c r="A11" s="648"/>
      <c r="B11" s="534" t="s">
        <v>224</v>
      </c>
      <c r="C11" s="495">
        <f>'Без инициатив'!C20</f>
        <v>11461049897.435898</v>
      </c>
      <c r="D11" s="280">
        <f t="shared" ref="D11:H11" si="1">SUM(D12:D14)</f>
        <v>13088139505.10759</v>
      </c>
      <c r="E11" s="280">
        <f t="shared" si="1"/>
        <v>17863748392.168842</v>
      </c>
      <c r="F11" s="280">
        <f t="shared" si="1"/>
        <v>19173134325.506489</v>
      </c>
      <c r="G11" s="280">
        <f t="shared" si="1"/>
        <v>20584630533.28764</v>
      </c>
      <c r="H11" s="486">
        <f t="shared" si="1"/>
        <v>22119708125.863323</v>
      </c>
      <c r="I11" s="2"/>
      <c r="J11" s="27"/>
      <c r="K11" s="2"/>
      <c r="L11" s="4"/>
      <c r="M11" s="2"/>
      <c r="N11" s="2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648"/>
      <c r="B12" s="534" t="s">
        <v>23</v>
      </c>
      <c r="C12" s="495">
        <f>'Без инициатив'!C21</f>
        <v>9610304000</v>
      </c>
      <c r="D12" s="280">
        <f>SUM(Рейсы!C47:C48)*'Внешние данные'!D37</f>
        <v>11049455571.627104</v>
      </c>
      <c r="E12" s="280">
        <f>SUM(Рейсы!C47:C49)*'Внешние данные'!E37</f>
        <v>15296440997.149895</v>
      </c>
      <c r="F12" s="280">
        <f>SUM(Рейсы!C47:C49)*'Внешние данные'!F37</f>
        <v>16605826930.487543</v>
      </c>
      <c r="G12" s="280">
        <f>SUM(Рейсы!C47:C49)*'Внешние данные'!G37</f>
        <v>18017323138.268692</v>
      </c>
      <c r="H12" s="486">
        <f>SUM(Рейсы!C47:C49)*'Внешние данные'!H37</f>
        <v>19552400730.844376</v>
      </c>
      <c r="I12" s="2"/>
      <c r="J12" s="27"/>
      <c r="K12" s="2"/>
      <c r="L12" s="4"/>
      <c r="M12" s="642">
        <f>P6*3.6%</f>
        <v>4671618172.1032801</v>
      </c>
      <c r="N12" s="2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">
      <c r="A13" s="648"/>
      <c r="B13" s="534" t="s">
        <v>24</v>
      </c>
      <c r="C13" s="495">
        <f>'Без инициатив'!C22</f>
        <v>455310000</v>
      </c>
      <c r="D13" s="280">
        <f>SUM(Рейсы!E47:E48)</f>
        <v>551089772.26068377</v>
      </c>
      <c r="E13" s="280">
        <f>F13</f>
        <v>659274772.26068377</v>
      </c>
      <c r="F13" s="280">
        <f>SUM(Рейсы!E47:E49)</f>
        <v>659274772.26068377</v>
      </c>
      <c r="G13" s="280">
        <f>SUM(Рейсы!E47:E49)</f>
        <v>659274772.26068377</v>
      </c>
      <c r="H13" s="486">
        <f>SUM(Рейсы!E47:E49)</f>
        <v>659274772.26068377</v>
      </c>
      <c r="I13" s="642">
        <f>C6/0.00706</f>
        <v>894090368271.95459</v>
      </c>
      <c r="J13" s="27"/>
      <c r="K13" s="2"/>
      <c r="L13" s="4"/>
      <c r="M13" s="2"/>
      <c r="N13" s="2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">
      <c r="A14" s="648"/>
      <c r="B14" s="534" t="s">
        <v>222</v>
      </c>
      <c r="C14" s="495">
        <f>'Без инициатив'!C23</f>
        <v>1395435897.4358974</v>
      </c>
      <c r="D14" s="280">
        <f>SUM(Рейсы!D47:D48)/0.78</f>
        <v>1487594161.2198029</v>
      </c>
      <c r="E14" s="280">
        <f>F14</f>
        <v>1908032622.7582643</v>
      </c>
      <c r="F14" s="280">
        <f>SUM(Рейсы!D47:D49)/0.78</f>
        <v>1908032622.7582643</v>
      </c>
      <c r="G14" s="280">
        <f>SUM(Рейсы!D47:D49)/0.78</f>
        <v>1908032622.7582643</v>
      </c>
      <c r="H14" s="486">
        <f>SUM(Рейсы!D47:D49)/0.78</f>
        <v>1908032622.7582643</v>
      </c>
      <c r="I14" s="642">
        <f>C7/0.00564</f>
        <v>2276131205673.7588</v>
      </c>
      <c r="J14" s="27"/>
      <c r="K14" s="2"/>
      <c r="L14" s="4"/>
      <c r="M14" s="2"/>
      <c r="N14" s="2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">
      <c r="A15" s="648"/>
      <c r="B15" s="660" t="s">
        <v>228</v>
      </c>
      <c r="C15" s="661"/>
      <c r="D15" s="661"/>
      <c r="E15" s="661"/>
      <c r="F15" s="661"/>
      <c r="G15" s="661"/>
      <c r="H15" s="662"/>
      <c r="I15" s="2"/>
      <c r="J15" s="27"/>
      <c r="K15" s="2"/>
      <c r="L15" s="4"/>
      <c r="M15" s="2"/>
      <c r="N15" s="2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">
      <c r="A16" s="648"/>
      <c r="B16" s="534" t="s">
        <v>224</v>
      </c>
      <c r="C16" s="495">
        <f>'Без инициатив'!C25-'Без инициатив'!C26+'Без инициатив'!C27+'Без инициатив'!C29</f>
        <v>9673116451.5853977</v>
      </c>
      <c r="D16" s="280">
        <f>(D17-'Внешние данные'!D33)*'Внешние данные'!D17-Результаты!D18+Результаты!D19+Результаты!D20</f>
        <v>159913314.25584936</v>
      </c>
      <c r="E16" s="280">
        <f>(E17-'Внешние данные'!E33)*'Внешние данные'!E17-Результаты!E18+Результаты!E19+Результаты!E20</f>
        <v>196932394.91814756</v>
      </c>
      <c r="F16" s="280">
        <f>(F17-'Внешние данные'!F33)*'Внешние данные'!F17-Результаты!F18+Результаты!F19+Результаты!F20</f>
        <v>3080277161.9957047</v>
      </c>
      <c r="G16" s="280">
        <f>(G17-'Внешние данные'!G33)*'Внешние данные'!G17-Результаты!G18+Результаты!G19+Результаты!G20</f>
        <v>3080554198.6040545</v>
      </c>
      <c r="H16" s="486">
        <f>(H17-'Внешние данные'!H33)*'Внешние данные'!H17-Результаты!H18+Результаты!H19+Результаты!H20</f>
        <v>3030842111.1053448</v>
      </c>
      <c r="I16" s="2"/>
      <c r="J16" s="27"/>
      <c r="K16" s="2"/>
      <c r="L16" s="4"/>
      <c r="M16" s="2"/>
      <c r="N16" s="2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">
      <c r="A17" s="648"/>
      <c r="B17" s="242" t="s">
        <v>225</v>
      </c>
      <c r="C17" s="525">
        <f t="shared" ref="C17:H17" si="2">Lising_a_year/1000000</f>
        <v>76.502732240437169</v>
      </c>
      <c r="D17" s="525">
        <f t="shared" si="2"/>
        <v>76.502732240437169</v>
      </c>
      <c r="E17" s="525">
        <f t="shared" si="2"/>
        <v>76.502732240437169</v>
      </c>
      <c r="F17" s="525">
        <f t="shared" si="2"/>
        <v>76.502732240437169</v>
      </c>
      <c r="G17" s="525">
        <f t="shared" si="2"/>
        <v>76.502732240437169</v>
      </c>
      <c r="H17" s="531">
        <f t="shared" si="2"/>
        <v>76.502732240437169</v>
      </c>
      <c r="I17" s="2"/>
      <c r="J17" s="27"/>
      <c r="K17" s="2"/>
      <c r="L17" s="4"/>
      <c r="M17" s="2"/>
      <c r="N17" s="2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">
      <c r="A18" s="648"/>
      <c r="B18" s="242" t="s">
        <v>232</v>
      </c>
      <c r="C18" s="495">
        <f>'Без инициатив'!C26</f>
        <v>1728732056.358757</v>
      </c>
      <c r="D18" s="280">
        <f>'Данные по авиапарку'!Q15</f>
        <v>4061763375.4540176</v>
      </c>
      <c r="E18" s="280">
        <f>'Данные по авиапарку'!R15</f>
        <v>4706042787.31604</v>
      </c>
      <c r="F18" s="280">
        <f>'Данные по авиапарку'!S15</f>
        <v>1859895939.0188599</v>
      </c>
      <c r="G18" s="280">
        <f>'Данные по авиапарку'!T15</f>
        <v>1897570308.5821533</v>
      </c>
      <c r="H18" s="486">
        <f>'Данные по авиапарку'!U15</f>
        <v>1987022853.1437378</v>
      </c>
      <c r="I18" s="2"/>
      <c r="J18" s="27"/>
      <c r="K18" s="2"/>
      <c r="L18" s="4"/>
      <c r="M18" s="2"/>
      <c r="N18" s="2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">
      <c r="A19" s="648"/>
      <c r="B19" s="242" t="s">
        <v>29</v>
      </c>
      <c r="C19" s="495">
        <f>D19</f>
        <v>2889546936.546072</v>
      </c>
      <c r="D19" s="280">
        <f>'Данные по авиапарку'!D26</f>
        <v>2889546936.546072</v>
      </c>
      <c r="E19" s="280">
        <f>F19</f>
        <v>3476724573.3240719</v>
      </c>
      <c r="F19" s="280">
        <f>'Данные по авиапарку'!F26</f>
        <v>3476724573.3240719</v>
      </c>
      <c r="G19" s="280">
        <f>'Данные по авиапарку'!G26</f>
        <v>3476724573.3240719</v>
      </c>
      <c r="H19" s="486">
        <f>'Данные по авиапарку'!H26</f>
        <v>3476724573.3240719</v>
      </c>
      <c r="I19" s="2"/>
      <c r="J19" s="27"/>
      <c r="K19" s="2"/>
      <c r="L19" s="4"/>
      <c r="M19" s="2"/>
      <c r="N19" s="2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2">
      <c r="A20" s="648"/>
      <c r="B20" s="242" t="s">
        <v>31</v>
      </c>
      <c r="C20" s="495">
        <f>'Без инициатив'!C29</f>
        <v>1216319844.5275395</v>
      </c>
      <c r="D20" s="280">
        <f>'Данные по авиапарку'!Q14*plane_tax</f>
        <v>1332129753.163795</v>
      </c>
      <c r="E20" s="280">
        <f>'Данные по авиапарку'!R14*plane_tax</f>
        <v>1426250608.9101157</v>
      </c>
      <c r="F20" s="280">
        <f>'Данные по авиапарку'!S14*plane_tax</f>
        <v>1463448527.6904929</v>
      </c>
      <c r="G20" s="280">
        <f>'Данные по авиапарку'!T14*plane_tax</f>
        <v>1501399933.8621359</v>
      </c>
      <c r="H20" s="486">
        <f>'Данные по авиапарку'!U14*plane_tax</f>
        <v>1541140390.9250107</v>
      </c>
      <c r="I20" s="2"/>
      <c r="J20" s="27"/>
      <c r="K20" s="2"/>
      <c r="L20" s="4"/>
      <c r="M20" s="2"/>
      <c r="N20" s="2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">
      <c r="A21" s="648"/>
      <c r="B21" s="660" t="s">
        <v>231</v>
      </c>
      <c r="C21" s="661"/>
      <c r="D21" s="661"/>
      <c r="E21" s="661"/>
      <c r="F21" s="661"/>
      <c r="G21" s="661"/>
      <c r="H21" s="662"/>
      <c r="I21" s="2"/>
      <c r="J21" s="27"/>
      <c r="K21" s="2"/>
      <c r="L21" s="4"/>
      <c r="M21" s="2"/>
      <c r="N21" s="2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2">
      <c r="A22" s="648"/>
      <c r="B22" s="242" t="s">
        <v>229</v>
      </c>
      <c r="C22" s="526">
        <f>'Внешние данные'!D29</f>
        <v>34774616279.643509</v>
      </c>
      <c r="D22" s="527">
        <v>0</v>
      </c>
      <c r="E22" s="528">
        <v>0</v>
      </c>
      <c r="F22" s="528">
        <v>0</v>
      </c>
      <c r="G22" s="528">
        <v>0</v>
      </c>
      <c r="H22" s="532">
        <v>0</v>
      </c>
      <c r="I22" s="2"/>
      <c r="J22" s="27"/>
      <c r="K22" s="2"/>
      <c r="L22" s="4"/>
      <c r="M22" s="2"/>
      <c r="N22" s="2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25">
      <c r="A23" s="648"/>
      <c r="B23" s="536" t="s">
        <v>4</v>
      </c>
      <c r="C23" s="497">
        <f>'Без инициатив'!C31</f>
        <v>0</v>
      </c>
      <c r="D23" s="529">
        <f>D24*tax*(D24&gt;0)</f>
        <v>1986928666.9454319</v>
      </c>
      <c r="E23" s="529">
        <f>E24*tax*(E24&gt;0)</f>
        <v>3098912102.148273</v>
      </c>
      <c r="F23" s="529">
        <f>F24*tax*(F24&gt;0)</f>
        <v>2598158110.1883125</v>
      </c>
      <c r="G23" s="529">
        <f>G24*tax*(G24&gt;0)</f>
        <v>2635836677.1150498</v>
      </c>
      <c r="H23" s="530">
        <f>H24*tax*(H24&gt;0)</f>
        <v>2643965669.9457684</v>
      </c>
      <c r="I23" s="2"/>
      <c r="J23" s="27"/>
      <c r="K23" s="2"/>
      <c r="L23" s="4"/>
      <c r="M23" s="2"/>
      <c r="N23" s="2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25">
      <c r="A24" s="648"/>
      <c r="B24" s="537" t="s">
        <v>230</v>
      </c>
      <c r="C24" s="517">
        <f>'Без инициатив'!C30</f>
        <v>-1984508349.0212948</v>
      </c>
      <c r="D24" s="533">
        <f>D4-D11+D18-D19-D20-D22</f>
        <v>9934643334.7271595</v>
      </c>
      <c r="E24" s="533">
        <f>E4-E11+E18-E19-E20-E22</f>
        <v>15494560510.741364</v>
      </c>
      <c r="F24" s="533">
        <f>F4-F11+F18-F19-F20-F22</f>
        <v>12990790550.941563</v>
      </c>
      <c r="G24" s="533">
        <f>G4-G11+G18-G19-G20-G22</f>
        <v>13179183385.575249</v>
      </c>
      <c r="H24" s="539">
        <f>H4-H11+H18-H19-H20-H22</f>
        <v>13219828349.728842</v>
      </c>
      <c r="I24" s="2"/>
      <c r="J24" s="27"/>
      <c r="K24" s="2"/>
      <c r="L24" s="4"/>
      <c r="M24" s="2"/>
      <c r="N24" s="2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">
      <c r="A25" s="648"/>
      <c r="B25" s="643" t="s">
        <v>34</v>
      </c>
      <c r="C25" s="644"/>
      <c r="D25" s="644"/>
      <c r="E25" s="644"/>
      <c r="F25" s="644"/>
      <c r="G25" s="644"/>
      <c r="H25" s="645"/>
      <c r="I25" s="2"/>
      <c r="J25" s="27"/>
      <c r="K25" s="2"/>
      <c r="L25" s="4"/>
      <c r="M25" s="2"/>
      <c r="N25" s="2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25">
      <c r="A26" s="649"/>
      <c r="B26" s="538" t="s">
        <v>34</v>
      </c>
      <c r="C26" s="497">
        <f>'Без инициатив'!C32</f>
        <v>-1984508349.0212948</v>
      </c>
      <c r="D26" s="529">
        <f>D24-D23</f>
        <v>7947714667.7817278</v>
      </c>
      <c r="E26" s="529">
        <f>E24-E23</f>
        <v>12395648408.59309</v>
      </c>
      <c r="F26" s="529">
        <f>F24-F23</f>
        <v>10392632440.75325</v>
      </c>
      <c r="G26" s="529">
        <f>G24-G23</f>
        <v>10543346708.460199</v>
      </c>
      <c r="H26" s="530">
        <f>H24-H23</f>
        <v>10575862679.783073</v>
      </c>
      <c r="I26" s="2"/>
      <c r="J26" s="27"/>
      <c r="K26" s="2"/>
      <c r="L26" s="4"/>
      <c r="M26" s="2"/>
      <c r="N26" s="2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25">
      <c r="A27" s="518"/>
      <c r="B27" s="521"/>
      <c r="C27" s="299"/>
      <c r="D27" s="519"/>
      <c r="E27" s="519"/>
      <c r="F27" s="519"/>
      <c r="G27" s="519"/>
      <c r="H27" s="520"/>
      <c r="I27" s="2"/>
      <c r="J27" s="27"/>
      <c r="K27" s="2"/>
      <c r="L27" s="4"/>
      <c r="M27" s="2"/>
      <c r="N27" s="2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">
      <c r="A28" s="651" t="s">
        <v>35</v>
      </c>
      <c r="B28" s="544" t="s">
        <v>36</v>
      </c>
      <c r="C28" s="540">
        <f>'Без инициатив'!C33</f>
        <v>7688608102.5641022</v>
      </c>
      <c r="D28" s="541">
        <f>D4-D11</f>
        <v>10094556648.983009</v>
      </c>
      <c r="E28" s="541">
        <f>E4-E11</f>
        <v>15691492905.659512</v>
      </c>
      <c r="F28" s="541">
        <f>F4-F11</f>
        <v>16071067712.937267</v>
      </c>
      <c r="G28" s="541">
        <f>G4-G11</f>
        <v>16259737584.179302</v>
      </c>
      <c r="H28" s="542">
        <f>H4-H11</f>
        <v>16250670460.834187</v>
      </c>
      <c r="I28" s="2"/>
      <c r="J28" s="27"/>
      <c r="K28" s="2"/>
      <c r="L28" s="4"/>
      <c r="M28" s="2"/>
      <c r="N28" s="2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">
      <c r="A29" s="652"/>
      <c r="B29" s="242" t="s">
        <v>38</v>
      </c>
      <c r="C29" s="496">
        <f>'Без инициатив'!C35</f>
        <v>7.2870016657002296E-2</v>
      </c>
      <c r="D29" s="178">
        <f>D14/D4</f>
        <v>6.4168298257116924E-2</v>
      </c>
      <c r="E29" s="178">
        <f>E14/E4</f>
        <v>5.6862431887257786E-2</v>
      </c>
      <c r="F29" s="178">
        <f>F14/F4</f>
        <v>5.4137489640906492E-2</v>
      </c>
      <c r="G29" s="178">
        <f>G14/G4</f>
        <v>5.178627617320207E-2</v>
      </c>
      <c r="H29" s="543">
        <f>H14/H4</f>
        <v>4.972670828480575E-2</v>
      </c>
      <c r="I29" s="2"/>
      <c r="J29" s="27"/>
      <c r="K29" s="2"/>
      <c r="L29" s="4"/>
      <c r="M29" s="2"/>
      <c r="N29" s="2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">
      <c r="A30" s="652"/>
      <c r="B30" s="242" t="s">
        <v>39</v>
      </c>
      <c r="C30" s="515" t="str">
        <f>'Без инициатив'!C36</f>
        <v>-</v>
      </c>
      <c r="D30" s="496">
        <f>(D35-C35)/C35</f>
        <v>0.31292381069813385</v>
      </c>
      <c r="E30" s="178">
        <f>(E35-D35)/D35</f>
        <v>0.55445092353217662</v>
      </c>
      <c r="F30" s="178">
        <f>(F35-E35)/E35</f>
        <v>2.4189846661489569E-2</v>
      </c>
      <c r="G30" s="178">
        <f>(G35-F35)/F35</f>
        <v>1.1739722251941949E-2</v>
      </c>
      <c r="H30" s="543">
        <f>(H35-G35)/G35</f>
        <v>-5.5764266170808656E-4</v>
      </c>
      <c r="I30" s="2"/>
      <c r="J30" s="27"/>
      <c r="K30" s="2"/>
      <c r="L30" s="4"/>
      <c r="M30" s="2"/>
      <c r="N30" s="2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">
      <c r="A31" s="652"/>
      <c r="B31" s="242" t="s">
        <v>40</v>
      </c>
      <c r="C31" s="496">
        <f>'Без инициатив'!C37</f>
        <v>0.40150106610593789</v>
      </c>
      <c r="D31" s="178">
        <f>D28/D4</f>
        <v>0.43543497192417024</v>
      </c>
      <c r="E31" s="178">
        <f>E28/E4</f>
        <v>0.46763165153203778</v>
      </c>
      <c r="F31" s="178">
        <f>F28/F4</f>
        <v>0.455991816622979</v>
      </c>
      <c r="G31" s="178">
        <f>G28/G4</f>
        <v>0.44130862910554275</v>
      </c>
      <c r="H31" s="543">
        <f>H28/H4</f>
        <v>0.42352124371449579</v>
      </c>
      <c r="I31" s="2"/>
      <c r="J31" s="27"/>
      <c r="K31" s="2"/>
      <c r="L31" s="4"/>
      <c r="M31" s="2"/>
      <c r="N31" s="2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">
      <c r="A32" s="652"/>
      <c r="B32" s="242" t="s">
        <v>41</v>
      </c>
      <c r="C32" s="496">
        <f>'Без инициатив'!C38</f>
        <v>0.25</v>
      </c>
      <c r="D32" s="178">
        <v>0.25</v>
      </c>
      <c r="E32" s="178">
        <v>0.25</v>
      </c>
      <c r="F32" s="178">
        <v>0.25</v>
      </c>
      <c r="G32" s="178">
        <v>0.25</v>
      </c>
      <c r="H32" s="543">
        <v>0.25</v>
      </c>
      <c r="I32" s="2"/>
      <c r="J32" s="27"/>
      <c r="K32" s="2"/>
      <c r="L32" s="4"/>
      <c r="M32" s="2"/>
      <c r="N32" s="2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">
      <c r="A33" s="652"/>
      <c r="B33" s="242" t="s">
        <v>42</v>
      </c>
      <c r="C33" s="495">
        <f>'Без инициатив'!C39</f>
        <v>5972757765.1723194</v>
      </c>
      <c r="D33" s="280">
        <f>D28*(1+прогноз_рост)/(D32+1-прогноз_рост)/(1+'Внешние данные'!D13)</f>
        <v>7740264223.4796371</v>
      </c>
      <c r="E33" s="280">
        <f>E28*(1+прогноз_рост)/(E32+1-прогноз_рост)/(1+'Внешние данные'!E13)</f>
        <v>12003004825.682613</v>
      </c>
      <c r="F33" s="280">
        <f>F28*(1+прогноз_рост)/(F32+1-прогноз_рост)/(1+'Внешние данные'!F13)</f>
        <v>12287688441.72893</v>
      </c>
      <c r="G33" s="280">
        <f>G28*(1+прогноз_рост)/(G32+1-прогноз_рост)/(1+'Внешние данные'!G13)</f>
        <v>12430796373.102966</v>
      </c>
      <c r="H33" s="486">
        <f>H28*(1+прогноз_рост)/(H32+1-прогноз_рост)/(1+'Внешние данные'!H13)</f>
        <v>12422719162.987499</v>
      </c>
      <c r="I33" s="2"/>
      <c r="J33" s="27"/>
      <c r="K33" s="2"/>
      <c r="L33" s="4"/>
      <c r="M33" s="2"/>
      <c r="N33" s="2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">
      <c r="A34" s="652"/>
      <c r="B34" s="242" t="s">
        <v>43</v>
      </c>
      <c r="C34" s="496">
        <f>'Без инициатив'!C40</f>
        <v>0.19395881025563805</v>
      </c>
      <c r="D34" s="178">
        <f>D33/D35</f>
        <v>0.19144801659537089</v>
      </c>
      <c r="E34" s="178">
        <f>E33/E35</f>
        <v>0.19098886629267925</v>
      </c>
      <c r="F34" s="178">
        <f>F33/F35</f>
        <v>0.19090082053097326</v>
      </c>
      <c r="G34" s="178">
        <f>G33/G35</f>
        <v>0.19088322111910538</v>
      </c>
      <c r="H34" s="543">
        <f>H33/H35</f>
        <v>0.19086562495196685</v>
      </c>
      <c r="I34" s="2"/>
      <c r="J34" s="27"/>
      <c r="K34" s="2"/>
      <c r="L34" s="4"/>
      <c r="M34" s="2"/>
      <c r="N34" s="2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25">
      <c r="A35" s="653"/>
      <c r="B35" s="536" t="s">
        <v>37</v>
      </c>
      <c r="C35" s="497">
        <f>'Без инициатив'!C34</f>
        <v>30793949278.716518</v>
      </c>
      <c r="D35" s="529">
        <f>D28*eb_mult</f>
        <v>40430109233.457542</v>
      </c>
      <c r="E35" s="529">
        <f>E28*eb_mult</f>
        <v>62846620636.454857</v>
      </c>
      <c r="F35" s="529">
        <f>F28*eb_mult</f>
        <v>64366870752.843506</v>
      </c>
      <c r="G35" s="529">
        <f>G28*eb_mult</f>
        <v>65122519937.708534</v>
      </c>
      <c r="H35" s="530">
        <f>H28*eb_mult</f>
        <v>65086204842.353333</v>
      </c>
      <c r="I35" s="2"/>
      <c r="J35" s="27"/>
      <c r="K35" s="2"/>
      <c r="L35" s="4"/>
      <c r="M35" s="2"/>
      <c r="N35" s="2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25">
      <c r="A36" s="2"/>
      <c r="B36" s="2"/>
      <c r="C36" s="42"/>
      <c r="D36" s="2"/>
      <c r="E36" s="27"/>
      <c r="F36" s="27"/>
      <c r="G36" s="27"/>
      <c r="H36" s="27"/>
      <c r="I36" s="2"/>
      <c r="J36" s="27"/>
      <c r="K36" s="2"/>
      <c r="L36" s="4"/>
      <c r="M36" s="2"/>
      <c r="N36" s="2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">
      <c r="A37" s="647" t="s">
        <v>44</v>
      </c>
      <c r="B37" s="487" t="s">
        <v>34</v>
      </c>
      <c r="C37" s="516">
        <f>'Без инициатив'!C43</f>
        <v>-1984508349.0212948</v>
      </c>
      <c r="D37" s="38">
        <f>D26/(1+'Внешние данные'!D13)^'Внешние данные'!D12</f>
        <v>7348788412.1883755</v>
      </c>
      <c r="E37" s="38">
        <f>E26/(1+'Внешние данные'!E13)^'Внешние данные'!E12</f>
        <v>10547039209.213978</v>
      </c>
      <c r="F37" s="38">
        <f>F26/(1+'Внешние данные'!F13)^'Внешние данные'!F12</f>
        <v>8145481608.6466141</v>
      </c>
      <c r="G37" s="38">
        <f>G26/(1+'Внешние данные'!G13)^'Внешние данные'!G12</f>
        <v>7616227839.7768307</v>
      </c>
      <c r="H37" s="39">
        <f>H26/(1+'Внешние данные'!H13)^'Внешние данные'!H12</f>
        <v>7039915081.9175224</v>
      </c>
      <c r="I37" s="43">
        <f>SUM(D37:H37)</f>
        <v>40697452151.743317</v>
      </c>
      <c r="J37" s="27"/>
      <c r="K37" s="2"/>
      <c r="L37" s="4"/>
      <c r="M37" s="2"/>
      <c r="N37" s="2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">
      <c r="A38" s="648"/>
      <c r="B38" s="488" t="s">
        <v>45</v>
      </c>
      <c r="C38" s="40">
        <f>C39+C22</f>
        <v>65568565558.360031</v>
      </c>
      <c r="D38" s="40">
        <f>D9/(1+'Внешние данные'!D13)^'Внешние данные'!D12</f>
        <v>14086899201.395168</v>
      </c>
      <c r="E38" s="40">
        <f>E9/(1+'Внешние данные'!E13)^'Внешние данные'!E12</f>
        <v>18003984019.025558</v>
      </c>
      <c r="F38" s="40">
        <f>F9/(1+'Внешние данные'!F13)^'Внешние данные'!F12</f>
        <v>19478029677.081268</v>
      </c>
      <c r="G38" s="40">
        <f>G9/(1+'Внешние данные'!G13)^'Внешние данные'!G12</f>
        <v>18999144864.420238</v>
      </c>
      <c r="H38" s="41">
        <f>H9/(1+'Внешние данные'!H13)^'Внешние данные'!H12</f>
        <v>18501661533.647762</v>
      </c>
      <c r="I38" s="2"/>
      <c r="J38" s="27"/>
      <c r="K38" s="2"/>
      <c r="L38" s="4"/>
      <c r="M38" s="2"/>
      <c r="N38" s="2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25">
      <c r="A39" s="648"/>
      <c r="B39" s="489" t="s">
        <v>46</v>
      </c>
      <c r="C39" s="36">
        <f>C35/(1+'Внешние данные'!C13)^'Внешние данные'!C12</f>
        <v>30793949278.716518</v>
      </c>
      <c r="D39" s="36">
        <f>D35/(1+'Внешние данные'!D13)^'Внешние данные'!D12</f>
        <v>37383364987.015762</v>
      </c>
      <c r="E39" s="36">
        <f>E35/(1+'Внешние данные'!E13)^'Внешние данные'!E12</f>
        <v>53474070106.714081</v>
      </c>
      <c r="F39" s="36">
        <f>F35/(1+'Внешние данные'!F13)^'Внешние данные'!F12</f>
        <v>50449120077.359306</v>
      </c>
      <c r="G39" s="36">
        <f>G35/(1+'Внешние данные'!G13)^'Внешние данные'!G12</f>
        <v>47042742979.134552</v>
      </c>
      <c r="H39" s="37">
        <f>H35/(1+'Внешние данные'!H13)^'Внешние данные'!H12</f>
        <v>43325198990.183456</v>
      </c>
      <c r="I39" s="2"/>
      <c r="J39" s="27"/>
      <c r="K39" s="2"/>
      <c r="L39" s="4"/>
      <c r="M39" s="27"/>
      <c r="N39" s="29"/>
      <c r="O39" s="2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thickBot="1" x14ac:dyDescent="0.25">
      <c r="A40" s="648"/>
      <c r="B40" s="170"/>
      <c r="C40" s="43"/>
      <c r="D40" s="43"/>
      <c r="E40" s="43"/>
      <c r="F40" s="43"/>
      <c r="G40" s="43"/>
      <c r="H40" s="43"/>
      <c r="I40" s="2"/>
      <c r="J40" s="27"/>
      <c r="K40" s="2"/>
      <c r="L40" s="4"/>
      <c r="M40" s="27"/>
      <c r="N40" s="29"/>
      <c r="O40" s="2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">
      <c r="A41" s="648"/>
      <c r="B41" s="487" t="s">
        <v>48</v>
      </c>
      <c r="C41" s="39">
        <f>SUM(C38:H38)</f>
        <v>154638284853.93002</v>
      </c>
      <c r="D41" s="43"/>
      <c r="E41" s="43"/>
      <c r="F41" s="43"/>
      <c r="G41" s="43"/>
      <c r="H41" s="43"/>
      <c r="I41" s="2"/>
      <c r="J41" s="27"/>
      <c r="K41" s="2"/>
      <c r="L41" s="4"/>
      <c r="M41" s="27"/>
      <c r="N41" s="29"/>
      <c r="O41" s="2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">
      <c r="A42" s="648"/>
      <c r="B42" s="488" t="s">
        <v>49</v>
      </c>
      <c r="C42" s="44">
        <f>C46/C41</f>
        <v>0.34421425401535988</v>
      </c>
      <c r="D42" s="43"/>
      <c r="E42" s="43"/>
      <c r="F42" s="43"/>
      <c r="G42" s="43"/>
      <c r="H42" s="43"/>
      <c r="I42" s="2"/>
      <c r="J42" s="27"/>
      <c r="K42" s="2"/>
      <c r="L42" s="4"/>
      <c r="M42" s="27"/>
      <c r="N42" s="29"/>
      <c r="O42" s="2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" customHeight="1" x14ac:dyDescent="0.2">
      <c r="A43" s="648"/>
      <c r="B43" s="490" t="s">
        <v>50</v>
      </c>
      <c r="C43" s="44">
        <f>C42*eb_std/eb_mult*SQRT((H39^2+C39^2)/C46^2+C39^2/C41^2+'Внешние данные'!C126^2/'Внешние данные'!B126^2)</f>
        <v>7.8299407132381246E-2</v>
      </c>
      <c r="D43" s="43"/>
      <c r="E43" s="43"/>
      <c r="F43" s="43"/>
      <c r="G43" s="43"/>
      <c r="H43" s="43"/>
      <c r="I43" s="2"/>
      <c r="J43" s="27"/>
      <c r="K43" s="2"/>
      <c r="L43" s="4"/>
      <c r="M43" s="27"/>
      <c r="N43" s="29"/>
      <c r="O43" s="2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thickBot="1" x14ac:dyDescent="0.25">
      <c r="A44" s="649"/>
      <c r="B44" s="489" t="s">
        <v>51</v>
      </c>
      <c r="C44" s="500">
        <f>C42/C43</f>
        <v>4.3961284845157884</v>
      </c>
      <c r="D44" s="43">
        <f>SUM(D37:H37)+SUM(D38:H38)-SUM('Без инициатив'!D43:H43)-SUM('Без инициатив'!D44:H44)</f>
        <v>54177454447.020325</v>
      </c>
      <c r="E44" s="43"/>
      <c r="F44" s="43"/>
      <c r="G44" s="43"/>
      <c r="H44" s="43"/>
      <c r="I44" s="2"/>
      <c r="J44" s="27"/>
      <c r="K44" s="2"/>
      <c r="L44" s="4"/>
      <c r="M44" s="27"/>
      <c r="N44" s="29"/>
      <c r="O44" s="2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" customHeight="1" thickBot="1" x14ac:dyDescent="0.25">
      <c r="A45" s="2"/>
      <c r="D45" s="2"/>
      <c r="E45" s="2"/>
      <c r="F45" s="2"/>
      <c r="G45" s="2"/>
      <c r="H45" s="2"/>
      <c r="I45" s="2"/>
      <c r="J45" s="27"/>
      <c r="K45" s="2"/>
      <c r="L45" s="4"/>
      <c r="M45" s="27"/>
      <c r="N45" s="29"/>
      <c r="O45" s="2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6" customHeight="1" thickBot="1" x14ac:dyDescent="0.25">
      <c r="A46" s="2"/>
      <c r="B46" s="491" t="s">
        <v>47</v>
      </c>
      <c r="C46" s="501">
        <f>SUM(D37:H37)+H39-C39</f>
        <v>53228701863.210251</v>
      </c>
      <c r="D46" s="2"/>
      <c r="E46" s="2"/>
      <c r="F46" s="2"/>
      <c r="G46" s="2"/>
      <c r="H46" s="2"/>
      <c r="I46" s="2"/>
      <c r="J46" s="27"/>
      <c r="K46" s="2"/>
      <c r="L46" s="4"/>
      <c r="M46" s="27"/>
      <c r="N46" s="29"/>
      <c r="O46" s="2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" customHeight="1" x14ac:dyDescent="0.2">
      <c r="A47" s="2"/>
      <c r="D47" s="2"/>
      <c r="E47" s="2"/>
      <c r="F47" s="2"/>
      <c r="G47" s="2"/>
      <c r="H47" s="2"/>
      <c r="I47" s="2"/>
      <c r="J47" s="2"/>
      <c r="K47" s="2"/>
      <c r="L47" s="4"/>
      <c r="M47" s="27"/>
      <c r="N47" s="27"/>
      <c r="O47" s="2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4"/>
      <c r="M48" s="27"/>
      <c r="N48" s="27"/>
      <c r="O48" s="2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7"/>
      <c r="K49" s="2"/>
      <c r="L49" s="4"/>
      <c r="M49" s="27"/>
      <c r="N49" s="29"/>
      <c r="O49" s="2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2"/>
      <c r="D50" s="2"/>
      <c r="E50" s="2"/>
      <c r="F50" s="2"/>
      <c r="G50" s="2"/>
      <c r="H50" s="2"/>
      <c r="I50" s="2"/>
      <c r="J50" s="27"/>
      <c r="K50" s="2"/>
      <c r="L50" s="4"/>
      <c r="M50" s="27"/>
      <c r="N50" s="29"/>
      <c r="O50" s="2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45"/>
      <c r="B51" s="2"/>
      <c r="C51" s="42"/>
      <c r="D51" s="42"/>
      <c r="E51" s="42"/>
      <c r="F51" s="42"/>
      <c r="G51" s="42"/>
      <c r="H51" s="42"/>
      <c r="I51" s="2"/>
      <c r="J51" s="27"/>
      <c r="K51" s="2"/>
      <c r="L51" s="4"/>
      <c r="M51" s="27"/>
      <c r="N51" s="29"/>
      <c r="O51" s="2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45"/>
      <c r="B52" s="2"/>
      <c r="C52" s="42"/>
      <c r="D52" s="42"/>
      <c r="E52" s="42"/>
      <c r="F52" s="42"/>
      <c r="G52" s="42"/>
      <c r="H52" s="42"/>
      <c r="I52" s="2"/>
      <c r="J52" s="2"/>
      <c r="K52" s="2"/>
      <c r="L52" s="4"/>
      <c r="M52" s="27"/>
      <c r="N52" s="27"/>
      <c r="O52" s="2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45"/>
      <c r="B53" s="2"/>
      <c r="C53" s="42"/>
      <c r="D53" s="42"/>
      <c r="E53" s="42"/>
      <c r="F53" s="42"/>
      <c r="G53" s="42"/>
      <c r="H53" s="42"/>
      <c r="I53" s="2"/>
      <c r="J53" s="27"/>
      <c r="K53" s="2"/>
      <c r="L53" s="4"/>
      <c r="M53" s="27"/>
      <c r="N53" s="29"/>
      <c r="O53" s="2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45"/>
      <c r="B54" s="2"/>
      <c r="C54" s="42"/>
      <c r="D54" s="42"/>
      <c r="E54" s="42"/>
      <c r="F54" s="42"/>
      <c r="G54" s="42"/>
      <c r="H54" s="42"/>
      <c r="I54" s="2"/>
      <c r="J54" s="2"/>
      <c r="K54" s="2"/>
      <c r="L54" s="4"/>
      <c r="M54" s="27"/>
      <c r="N54" s="27"/>
      <c r="O54" s="2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45"/>
      <c r="B55" s="2"/>
      <c r="C55" s="42"/>
      <c r="D55" s="42"/>
      <c r="E55" s="42"/>
      <c r="F55" s="42"/>
      <c r="G55" s="42"/>
      <c r="H55" s="42"/>
      <c r="I55" s="2"/>
      <c r="J55" s="2"/>
      <c r="K55" s="2"/>
      <c r="L55" s="4"/>
      <c r="M55" s="27"/>
      <c r="N55" s="27"/>
      <c r="O55" s="2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45"/>
      <c r="B56" s="2"/>
      <c r="C56" s="42"/>
      <c r="D56" s="42"/>
      <c r="E56" s="42"/>
      <c r="F56" s="42"/>
      <c r="G56" s="42"/>
      <c r="H56" s="42"/>
      <c r="I56" s="2"/>
      <c r="J56" s="27"/>
      <c r="K56" s="2"/>
      <c r="L56" s="4"/>
      <c r="M56" s="27"/>
      <c r="N56" s="29"/>
      <c r="O56" s="2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45"/>
      <c r="B57" s="2"/>
      <c r="C57" s="42"/>
      <c r="D57" s="42"/>
      <c r="E57" s="42"/>
      <c r="F57" s="42"/>
      <c r="G57" s="42"/>
      <c r="H57" s="42"/>
      <c r="I57" s="2"/>
      <c r="J57" s="2"/>
      <c r="K57" s="2"/>
      <c r="L57" s="4"/>
      <c r="M57" s="27"/>
      <c r="N57" s="27"/>
      <c r="O57" s="2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45"/>
      <c r="B58" s="2"/>
      <c r="C58" s="42"/>
      <c r="D58" s="42"/>
      <c r="E58" s="42"/>
      <c r="F58" s="42"/>
      <c r="G58" s="42"/>
      <c r="H58" s="42"/>
      <c r="I58" s="2"/>
      <c r="J58" s="2"/>
      <c r="K58" s="2"/>
      <c r="L58" s="4"/>
      <c r="M58" s="27"/>
      <c r="N58" s="27"/>
      <c r="O58" s="2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45"/>
      <c r="B59" s="2"/>
      <c r="C59" s="42"/>
      <c r="D59" s="42"/>
      <c r="E59" s="42"/>
      <c r="F59" s="42"/>
      <c r="G59" s="42"/>
      <c r="H59" s="42"/>
      <c r="I59" s="2"/>
      <c r="J59" s="2"/>
      <c r="K59" s="2"/>
      <c r="L59" s="4"/>
      <c r="M59" s="27"/>
      <c r="N59" s="27"/>
      <c r="O59" s="2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45"/>
      <c r="B60" s="2"/>
      <c r="C60" s="42"/>
      <c r="D60" s="42"/>
      <c r="E60" s="42"/>
      <c r="F60" s="42"/>
      <c r="G60" s="42"/>
      <c r="H60" s="42"/>
      <c r="I60" s="2"/>
      <c r="J60" s="2"/>
      <c r="K60" s="2"/>
      <c r="L60" s="4"/>
      <c r="M60" s="27"/>
      <c r="N60" s="27"/>
      <c r="O60" s="2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45"/>
      <c r="B61" s="2"/>
      <c r="C61" s="42"/>
      <c r="D61" s="42"/>
      <c r="E61" s="42"/>
      <c r="F61" s="42"/>
      <c r="G61" s="42"/>
      <c r="H61" s="42"/>
      <c r="I61" s="2"/>
      <c r="J61" s="2"/>
      <c r="K61" s="2"/>
      <c r="L61" s="4"/>
      <c r="M61" s="27"/>
      <c r="N61" s="27"/>
      <c r="O61" s="2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45"/>
      <c r="B62" s="2"/>
      <c r="C62" s="42"/>
      <c r="D62" s="46"/>
      <c r="E62" s="46"/>
      <c r="F62" s="46"/>
      <c r="G62" s="46"/>
      <c r="H62" s="46"/>
      <c r="I62" s="2"/>
      <c r="J62" s="2"/>
      <c r="K62" s="2"/>
      <c r="L62" s="4"/>
      <c r="M62" s="27"/>
      <c r="N62" s="47"/>
      <c r="O62" s="4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45"/>
      <c r="B63" s="2"/>
      <c r="C63" s="4"/>
      <c r="D63" s="4"/>
      <c r="E63" s="4"/>
      <c r="F63" s="4"/>
      <c r="G63" s="4"/>
      <c r="H63" s="4"/>
      <c r="I63" s="2"/>
      <c r="J63" s="2"/>
      <c r="K63" s="2"/>
      <c r="L63" s="4"/>
      <c r="M63" s="27"/>
      <c r="N63" s="47"/>
      <c r="O63" s="4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2">
      <c r="A64" s="45"/>
      <c r="B64" s="2"/>
      <c r="C64" s="4"/>
      <c r="D64" s="4"/>
      <c r="E64" s="4"/>
      <c r="F64" s="4"/>
      <c r="G64" s="4"/>
      <c r="H64" s="4"/>
      <c r="I64" s="2"/>
      <c r="J64" s="2"/>
      <c r="K64" s="2"/>
      <c r="L64" s="4"/>
      <c r="M64" s="27"/>
      <c r="N64" s="27"/>
      <c r="O64" s="2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45"/>
      <c r="B65" s="2"/>
      <c r="C65" s="42"/>
      <c r="D65" s="42"/>
      <c r="E65" s="42"/>
      <c r="F65" s="42"/>
      <c r="G65" s="42"/>
      <c r="H65" s="42"/>
      <c r="I65" s="2"/>
      <c r="J65" s="2"/>
      <c r="K65" s="2"/>
      <c r="L65" s="4"/>
      <c r="M65" s="27"/>
      <c r="N65" s="27"/>
      <c r="O65" s="2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45"/>
      <c r="B66" s="2"/>
      <c r="C66" s="4"/>
      <c r="D66" s="4"/>
      <c r="E66" s="4"/>
      <c r="F66" s="4"/>
      <c r="G66" s="4"/>
      <c r="H66" s="4"/>
      <c r="I66" s="2"/>
      <c r="J66" s="2"/>
      <c r="K66" s="2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2"/>
      <c r="B67" s="2"/>
      <c r="C67" s="2"/>
      <c r="D67" s="27"/>
      <c r="E67" s="27"/>
      <c r="F67" s="27"/>
      <c r="G67" s="2"/>
      <c r="H67" s="2"/>
      <c r="I67" s="2"/>
      <c r="J67" s="2"/>
      <c r="K67" s="2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2"/>
      <c r="B68" s="48"/>
      <c r="C68" s="49"/>
      <c r="D68" s="2"/>
      <c r="E68" s="27"/>
      <c r="F68" s="27"/>
      <c r="G68" s="27"/>
      <c r="H68" s="2"/>
      <c r="I68" s="2"/>
      <c r="J68" s="2"/>
      <c r="K68" s="2"/>
      <c r="L68" s="4"/>
      <c r="M68" s="5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4"/>
      <c r="M69" s="2"/>
      <c r="N69" s="2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4"/>
      <c r="M70" s="2"/>
      <c r="N70" s="2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4"/>
      <c r="M71" s="2"/>
      <c r="N71" s="2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4"/>
      <c r="M72" s="2"/>
      <c r="N72" s="2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2"/>
      <c r="B73" s="42"/>
      <c r="C73" s="2"/>
      <c r="D73" s="2"/>
      <c r="E73" s="2"/>
      <c r="F73" s="2"/>
      <c r="G73" s="2"/>
      <c r="H73" s="2"/>
      <c r="I73" s="2"/>
      <c r="J73" s="2"/>
      <c r="K73" s="2"/>
      <c r="L73" s="4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4"/>
      <c r="M74" s="2"/>
      <c r="N74" s="2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4"/>
      <c r="M75" s="2"/>
      <c r="N75" s="2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4"/>
      <c r="M76" s="2"/>
      <c r="N76" s="2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4"/>
      <c r="M77" s="2"/>
      <c r="N77" s="2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4"/>
      <c r="M78" s="2"/>
      <c r="N78" s="2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4"/>
      <c r="M79" s="2"/>
      <c r="N79" s="2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4"/>
      <c r="M80" s="2"/>
      <c r="N80" s="2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4"/>
      <c r="M81" s="2"/>
      <c r="N81" s="2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4"/>
      <c r="M82" s="2"/>
      <c r="N82" s="2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4"/>
      <c r="M83" s="2"/>
      <c r="N83" s="2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4"/>
      <c r="M84" s="2"/>
      <c r="N84" s="2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4"/>
      <c r="M85" s="2"/>
      <c r="N85" s="2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4"/>
      <c r="M86" s="2"/>
      <c r="N86" s="2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4"/>
      <c r="M87" s="2"/>
      <c r="N87" s="2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4"/>
      <c r="M88" s="2"/>
      <c r="N88" s="2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4"/>
      <c r="M89" s="2"/>
      <c r="N89" s="2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4"/>
      <c r="M90" s="2"/>
      <c r="N90" s="2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4"/>
      <c r="M91" s="2"/>
      <c r="N91" s="2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4"/>
      <c r="M92" s="2"/>
      <c r="N92" s="2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4"/>
      <c r="M93" s="2"/>
      <c r="N93" s="2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4"/>
      <c r="M94" s="2"/>
      <c r="N94" s="2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4"/>
      <c r="M95" s="2"/>
      <c r="N95" s="2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4"/>
      <c r="M96" s="2"/>
      <c r="N96" s="2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4"/>
      <c r="M97" s="2"/>
      <c r="N97" s="2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4"/>
      <c r="M98" s="2"/>
      <c r="N98" s="2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4"/>
      <c r="M99" s="2"/>
      <c r="N99" s="2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4"/>
      <c r="M100" s="2"/>
      <c r="N100" s="2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mergeCells count="12">
    <mergeCell ref="B25:H25"/>
    <mergeCell ref="A1:A2"/>
    <mergeCell ref="A37:A44"/>
    <mergeCell ref="B1:H1"/>
    <mergeCell ref="A28:A35"/>
    <mergeCell ref="A3:A26"/>
    <mergeCell ref="B3:H3"/>
    <mergeCell ref="B8:H8"/>
    <mergeCell ref="B10:H10"/>
    <mergeCell ref="B5:H5"/>
    <mergeCell ref="B15:H15"/>
    <mergeCell ref="B21:H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zoomScale="75" zoomScaleNormal="327" workbookViewId="0">
      <selection activeCell="K20" sqref="K20"/>
    </sheetView>
  </sheetViews>
  <sheetFormatPr baseColWidth="10" defaultColWidth="11.1640625" defaultRowHeight="15" customHeight="1" x14ac:dyDescent="0.2"/>
  <cols>
    <col min="1" max="6" width="10.83203125" customWidth="1"/>
    <col min="7" max="7" width="11" customWidth="1"/>
    <col min="8" max="9" width="14" customWidth="1"/>
    <col min="10" max="16" width="10.83203125" customWidth="1"/>
    <col min="17" max="26" width="10.5" customWidth="1"/>
  </cols>
  <sheetData>
    <row r="1" spans="1:26" ht="21.75" customHeight="1" x14ac:dyDescent="0.2">
      <c r="A1" s="2"/>
      <c r="B1" s="2"/>
      <c r="C1" s="2"/>
      <c r="D1" s="2"/>
      <c r="E1" s="2"/>
      <c r="F1" s="2"/>
      <c r="G1" s="5"/>
      <c r="H1" s="668" t="s">
        <v>95</v>
      </c>
      <c r="I1" s="668"/>
      <c r="J1" s="668"/>
      <c r="K1" s="668"/>
      <c r="L1" s="178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2"/>
      <c r="B3" s="2"/>
      <c r="C3" s="2"/>
      <c r="D3" s="2"/>
      <c r="E3" s="2"/>
      <c r="F3" s="2"/>
      <c r="G3" s="4"/>
      <c r="H3" s="176"/>
      <c r="I3" s="280">
        <f>Результаты!C46</f>
        <v>53228701863.210251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2"/>
      <c r="B4" s="2"/>
      <c r="C4" s="2"/>
      <c r="D4" s="2"/>
      <c r="E4" s="2"/>
      <c r="F4" s="2"/>
      <c r="G4" s="4"/>
      <c r="H4" s="178">
        <v>-0.1</v>
      </c>
      <c r="I4" s="176">
        <f t="dataTable" ref="I4:I19" dt2D="0" dtr="0" r1="L1"/>
        <v>-16728542173.971352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">
      <c r="A5" s="2"/>
      <c r="B5" s="2"/>
      <c r="C5" s="2"/>
      <c r="D5" s="2"/>
      <c r="E5" s="2"/>
      <c r="F5" s="2"/>
      <c r="G5" s="4"/>
      <c r="H5" s="178">
        <v>-0.09</v>
      </c>
      <c r="I5" s="176">
        <v>-10681340089.045132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A6" s="2"/>
      <c r="B6" s="2"/>
      <c r="C6" s="2"/>
      <c r="D6" s="2"/>
      <c r="E6" s="2"/>
      <c r="F6" s="2"/>
      <c r="G6" s="4"/>
      <c r="H6" s="178">
        <v>-0.08</v>
      </c>
      <c r="I6" s="176">
        <v>-4422121175.8437996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">
      <c r="A7" s="2"/>
      <c r="B7" s="2"/>
      <c r="C7" s="2"/>
      <c r="D7" s="2"/>
      <c r="E7" s="2"/>
      <c r="F7" s="2"/>
      <c r="G7" s="4"/>
      <c r="H7" s="178">
        <v>-7.0000000000000007E-2</v>
      </c>
      <c r="I7" s="176">
        <v>1906056807.6233253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">
      <c r="A8" s="2"/>
      <c r="B8" s="2"/>
      <c r="C8" s="2"/>
      <c r="D8" s="2"/>
      <c r="E8" s="2"/>
      <c r="F8" s="2"/>
      <c r="G8" s="4"/>
      <c r="H8" s="178">
        <v>-0.06</v>
      </c>
      <c r="I8" s="176">
        <v>8470683605.6774788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">
      <c r="A9" s="2"/>
      <c r="B9" s="2"/>
      <c r="C9" s="2"/>
      <c r="D9" s="2"/>
      <c r="E9" s="2"/>
      <c r="F9" s="2"/>
      <c r="G9" s="4"/>
      <c r="H9" s="178">
        <v>-0.05</v>
      </c>
      <c r="I9" s="176">
        <v>15278807456.707722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">
      <c r="A10" s="2"/>
      <c r="B10" s="2"/>
      <c r="C10" s="2"/>
      <c r="D10" s="2"/>
      <c r="E10" s="2"/>
      <c r="F10" s="2"/>
      <c r="G10" s="4"/>
      <c r="H10" s="178">
        <v>-3.9999999999999897E-2</v>
      </c>
      <c r="I10" s="176">
        <v>22337620149.64558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">
      <c r="A11" s="2"/>
      <c r="B11" s="2"/>
      <c r="C11" s="2"/>
      <c r="D11" s="2"/>
      <c r="E11" s="2"/>
      <c r="F11" s="2"/>
      <c r="G11" s="4"/>
      <c r="H11" s="178">
        <v>-2.9999999999999898E-2</v>
      </c>
      <c r="I11" s="176">
        <v>29654458496.734882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2"/>
      <c r="B12" s="2"/>
      <c r="C12" s="2"/>
      <c r="D12" s="2"/>
      <c r="E12" s="2"/>
      <c r="F12" s="2"/>
      <c r="G12" s="4"/>
      <c r="H12" s="178">
        <v>-1.99999999999999E-2</v>
      </c>
      <c r="I12" s="176">
        <v>37236805806.302139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">
      <c r="A13" s="2"/>
      <c r="B13" s="2"/>
      <c r="C13" s="2"/>
      <c r="D13" s="2"/>
      <c r="E13" s="2"/>
      <c r="F13" s="2"/>
      <c r="G13" s="4"/>
      <c r="H13" s="178">
        <v>-9.99999999999991E-3</v>
      </c>
      <c r="I13" s="176">
        <v>45092293355.526642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">
      <c r="A14" s="2"/>
      <c r="B14" s="2"/>
      <c r="C14" s="2"/>
      <c r="D14" s="2"/>
      <c r="E14" s="2"/>
      <c r="F14" s="2"/>
      <c r="G14" s="4"/>
      <c r="H14" s="178">
        <v>0</v>
      </c>
      <c r="I14" s="176">
        <v>53228701863.210251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">
      <c r="A15" s="2"/>
      <c r="B15" s="2"/>
      <c r="C15" s="2"/>
      <c r="D15" s="2"/>
      <c r="E15" s="2"/>
      <c r="F15" s="2"/>
      <c r="G15" s="4"/>
      <c r="H15" s="178">
        <v>0.01</v>
      </c>
      <c r="I15" s="176">
        <v>61653962962.548096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">
      <c r="A16" s="2"/>
      <c r="B16" s="2"/>
      <c r="C16" s="2"/>
      <c r="D16" s="2"/>
      <c r="E16" s="2"/>
      <c r="F16" s="2"/>
      <c r="G16" s="4"/>
      <c r="H16" s="178">
        <v>0.02</v>
      </c>
      <c r="I16" s="176">
        <v>70376160673.898041</v>
      </c>
      <c r="J16" s="2"/>
      <c r="K16" s="666" t="s">
        <v>221</v>
      </c>
      <c r="L16" s="667"/>
      <c r="M16" s="667"/>
      <c r="N16" s="667"/>
      <c r="O16" s="667"/>
      <c r="P16" s="66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">
      <c r="A17" s="2"/>
      <c r="B17" s="2"/>
      <c r="C17" s="2"/>
      <c r="D17" s="2"/>
      <c r="E17" s="2"/>
      <c r="F17" s="2"/>
      <c r="G17" s="4"/>
      <c r="H17" s="178">
        <v>0.03</v>
      </c>
      <c r="I17" s="176">
        <v>79403532877.551178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">
      <c r="A18" s="2"/>
      <c r="B18" s="2"/>
      <c r="C18" s="2"/>
      <c r="D18" s="2"/>
      <c r="E18" s="2"/>
      <c r="F18" s="2"/>
      <c r="G18" s="4"/>
      <c r="H18" s="178">
        <v>0.04</v>
      </c>
      <c r="I18" s="176">
        <v>88744472786.502014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">
      <c r="A19" s="2"/>
      <c r="B19" s="2"/>
      <c r="C19" s="2"/>
      <c r="D19" s="2"/>
      <c r="E19" s="2"/>
      <c r="F19" s="2"/>
      <c r="G19" s="4"/>
      <c r="H19" s="178">
        <v>0.05</v>
      </c>
      <c r="I19" s="176">
        <v>98407530419.218109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2">
      <c r="A20" s="2"/>
      <c r="B20" s="2"/>
      <c r="C20" s="2"/>
      <c r="D20" s="2"/>
      <c r="E20" s="2"/>
      <c r="F20" s="2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">
      <c r="A21" s="2"/>
      <c r="B21" s="2"/>
      <c r="C21" s="2"/>
      <c r="D21" s="2"/>
      <c r="E21" s="2"/>
      <c r="F21" s="2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2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2">
      <c r="A23" s="2"/>
      <c r="B23" s="2"/>
      <c r="C23" s="2"/>
      <c r="D23" s="2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">
      <c r="A24" s="2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">
      <c r="A25" s="2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2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">
      <c r="A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">
      <c r="A31" s="2"/>
      <c r="B31" s="2" t="str">
        <f>Результаты!B2</f>
        <v>Год</v>
      </c>
      <c r="C31" s="2">
        <f>Результаты!C2</f>
        <v>2021</v>
      </c>
      <c r="D31" s="2">
        <f>Результаты!D2</f>
        <v>2022</v>
      </c>
      <c r="E31" s="2">
        <f>Результаты!E2</f>
        <v>2023</v>
      </c>
      <c r="F31" s="2">
        <f>Результаты!F2</f>
        <v>2024</v>
      </c>
      <c r="G31" s="2">
        <f>Результаты!G2</f>
        <v>2025</v>
      </c>
      <c r="H31" s="2">
        <f>Результаты!H2</f>
        <v>2026</v>
      </c>
      <c r="I31" s="2"/>
      <c r="J31" s="2" t="s">
        <v>6</v>
      </c>
      <c r="K31" s="2">
        <v>2021</v>
      </c>
      <c r="L31" s="2">
        <v>2022</v>
      </c>
      <c r="M31" s="2">
        <v>2023</v>
      </c>
      <c r="N31" s="2">
        <v>2024</v>
      </c>
      <c r="O31" s="2">
        <v>2025</v>
      </c>
      <c r="P31" s="2">
        <v>2026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">
      <c r="A32" s="2"/>
      <c r="B32" s="2" t="str">
        <f>Результаты!B12</f>
        <v>Топливо</v>
      </c>
      <c r="C32" s="2">
        <f>Результаты!C12</f>
        <v>9610304000</v>
      </c>
      <c r="D32" s="2">
        <f>Результаты!D12</f>
        <v>11049455571.627104</v>
      </c>
      <c r="E32" s="2">
        <f>Результаты!E12</f>
        <v>15296440997.149895</v>
      </c>
      <c r="F32" s="2">
        <f>Результаты!F12</f>
        <v>16605826930.487543</v>
      </c>
      <c r="G32" s="2">
        <f>Результаты!G12</f>
        <v>18017323138.268692</v>
      </c>
      <c r="H32" s="2">
        <f>Результаты!H12</f>
        <v>19552400730.844376</v>
      </c>
      <c r="I32" s="2"/>
      <c r="J32" s="2" t="s">
        <v>23</v>
      </c>
      <c r="K32" s="2">
        <v>9610304000</v>
      </c>
      <c r="L32" s="2">
        <v>11049455571.627104</v>
      </c>
      <c r="M32" s="2">
        <v>12007512435.169991</v>
      </c>
      <c r="N32" s="2">
        <v>16605826930.487543</v>
      </c>
      <c r="O32" s="2">
        <v>18017323138.268692</v>
      </c>
      <c r="P32" s="2">
        <v>19552400730.844376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">
      <c r="A33" s="2"/>
      <c r="B33" s="2" t="s">
        <v>27</v>
      </c>
      <c r="C33" s="2">
        <f>Результаты!C17*1000000*usd</f>
        <v>5600000000.000001</v>
      </c>
      <c r="D33" s="2">
        <f>Результаты!D17*1000000*'Внешние данные'!D17</f>
        <v>5880000000</v>
      </c>
      <c r="E33" s="2">
        <f>Результаты!E17*1000000*'Внешние данные'!E17</f>
        <v>6174000000.000001</v>
      </c>
      <c r="F33" s="2">
        <f>Результаты!F17*1000000*'Внешние данные'!F17</f>
        <v>6482700000.0000019</v>
      </c>
      <c r="G33" s="2">
        <f>Результаты!G17*1000000*'Внешние данные'!G17</f>
        <v>6806835000.000001</v>
      </c>
      <c r="H33" s="2">
        <f>Результаты!H17*1000000*'Внешние данные'!H17</f>
        <v>7147176750.0000019</v>
      </c>
      <c r="I33" s="2"/>
      <c r="J33" s="2" t="s">
        <v>27</v>
      </c>
      <c r="K33" s="2">
        <v>5600000000.000001</v>
      </c>
      <c r="L33" s="2">
        <v>5880000000</v>
      </c>
      <c r="M33" s="2">
        <v>6174000000.000001</v>
      </c>
      <c r="N33" s="2">
        <v>6482700000.0000019</v>
      </c>
      <c r="O33" s="2">
        <v>6806835000.000001</v>
      </c>
      <c r="P33" s="2">
        <v>7147176750.0000019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">
      <c r="A34" s="2"/>
      <c r="B34" s="2" t="str">
        <f>Результаты!B19</f>
        <v>Обслуживание самолетов</v>
      </c>
      <c r="C34" s="2">
        <f>Результаты!C19</f>
        <v>2889546936.546072</v>
      </c>
      <c r="D34" s="2">
        <f>Результаты!D19</f>
        <v>2889546936.546072</v>
      </c>
      <c r="E34" s="2">
        <f>Результаты!E19</f>
        <v>3476724573.3240719</v>
      </c>
      <c r="F34" s="2">
        <f>Результаты!F19</f>
        <v>3476724573.3240719</v>
      </c>
      <c r="G34" s="2">
        <f>Результаты!G19</f>
        <v>3476724573.3240719</v>
      </c>
      <c r="H34" s="2">
        <f>Результаты!H19</f>
        <v>3476724573.3240719</v>
      </c>
      <c r="I34" s="2"/>
      <c r="J34" s="2" t="s">
        <v>29</v>
      </c>
      <c r="K34" s="2">
        <v>2889546936.546072</v>
      </c>
      <c r="L34" s="2">
        <v>2889546936.546072</v>
      </c>
      <c r="M34" s="2">
        <v>2889546936.546072</v>
      </c>
      <c r="N34" s="2">
        <v>3476724573.3240719</v>
      </c>
      <c r="O34" s="2">
        <v>3476724573.3240719</v>
      </c>
      <c r="P34" s="2">
        <v>3476724573.3240719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2">
      <c r="A35" s="2"/>
      <c r="B35" s="2" t="str">
        <f>Результаты!B23</f>
        <v>Налог на прибыль</v>
      </c>
      <c r="C35" s="2">
        <f>Результаты!C23</f>
        <v>0</v>
      </c>
      <c r="D35" s="2">
        <f>Результаты!D23</f>
        <v>1986928666.9454319</v>
      </c>
      <c r="E35" s="2">
        <f>Результаты!E23</f>
        <v>3098912102.148273</v>
      </c>
      <c r="F35" s="2">
        <f>Результаты!F23</f>
        <v>2598158110.1883125</v>
      </c>
      <c r="G35" s="2">
        <f>Результаты!G23</f>
        <v>2635836677.1150498</v>
      </c>
      <c r="H35" s="2">
        <f>Результаты!H23</f>
        <v>2643965669.9457684</v>
      </c>
      <c r="I35" s="2"/>
      <c r="J35" s="2" t="s">
        <v>4</v>
      </c>
      <c r="K35" s="2">
        <v>0</v>
      </c>
      <c r="L35" s="2">
        <v>1986928666.9454319</v>
      </c>
      <c r="M35" s="2">
        <v>3979858034.2075462</v>
      </c>
      <c r="N35" s="2">
        <v>2598158110.1883125</v>
      </c>
      <c r="O35" s="2">
        <v>2635836677.1150498</v>
      </c>
      <c r="P35" s="2">
        <v>2643965669.9457684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2">
      <c r="A36" s="2"/>
      <c r="B36" s="640" t="s">
        <v>312</v>
      </c>
      <c r="C36">
        <f>SUM(C38:C40)</f>
        <v>3067065741.9634371</v>
      </c>
      <c r="D36">
        <f t="shared" ref="D36:G36" si="0">SUM(D38:D40)</f>
        <v>3370813686.6442814</v>
      </c>
      <c r="E36">
        <f t="shared" si="0"/>
        <v>3993558003.9290638</v>
      </c>
      <c r="F36">
        <f t="shared" si="0"/>
        <v>4030755922.7094412</v>
      </c>
      <c r="G36">
        <f t="shared" si="0"/>
        <v>4068707328.881084</v>
      </c>
      <c r="H36">
        <f>SUM(H38:H40)</f>
        <v>4108447785.9439588</v>
      </c>
      <c r="I36" s="2"/>
      <c r="J36" s="2" t="s">
        <v>312</v>
      </c>
      <c r="K36" s="2">
        <v>3067065741.9634371</v>
      </c>
      <c r="L36" s="2">
        <v>3370813686.6442814</v>
      </c>
      <c r="M36" s="2">
        <v>3464934542.3906021</v>
      </c>
      <c r="N36" s="2">
        <v>4030755922.7094412</v>
      </c>
      <c r="O36" s="2">
        <v>4068707328.881084</v>
      </c>
      <c r="P36" s="2">
        <v>4108447785.9439588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">
      <c r="A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">
      <c r="A38" s="2"/>
      <c r="B38" s="2" t="str">
        <f>Результаты!B13</f>
        <v>Сборы</v>
      </c>
      <c r="C38" s="2">
        <f>Результаты!C13</f>
        <v>455310000</v>
      </c>
      <c r="D38" s="2">
        <f>Результаты!D13</f>
        <v>551089772.26068377</v>
      </c>
      <c r="E38" s="2">
        <f>Результаты!E13</f>
        <v>659274772.26068377</v>
      </c>
      <c r="F38" s="2">
        <f>Результаты!F13</f>
        <v>659274772.26068377</v>
      </c>
      <c r="G38" s="2">
        <f>Результаты!G13</f>
        <v>659274772.26068377</v>
      </c>
      <c r="H38" s="2">
        <f>Результаты!H13</f>
        <v>659274772.26068377</v>
      </c>
      <c r="I38" s="2"/>
      <c r="J38" s="2" t="s">
        <v>24</v>
      </c>
      <c r="K38" s="2">
        <v>455310000</v>
      </c>
      <c r="L38" s="2">
        <v>551089772.26068377</v>
      </c>
      <c r="M38" s="2">
        <v>551089772.26068377</v>
      </c>
      <c r="N38" s="2">
        <v>659274772.26068377</v>
      </c>
      <c r="O38" s="2">
        <v>659274772.26068377</v>
      </c>
      <c r="P38" s="2">
        <v>659274772.26068377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2">
      <c r="A39" s="2"/>
      <c r="B39" s="2" t="str">
        <f>Результаты!B14</f>
        <v xml:space="preserve">ФОТ </v>
      </c>
      <c r="C39" s="2">
        <f>Результаты!C14</f>
        <v>1395435897.4358974</v>
      </c>
      <c r="D39" s="2">
        <f>Результаты!D14</f>
        <v>1487594161.2198029</v>
      </c>
      <c r="E39" s="2">
        <f>Результаты!E14</f>
        <v>1908032622.7582643</v>
      </c>
      <c r="F39" s="2">
        <f>Результаты!F14</f>
        <v>1908032622.7582643</v>
      </c>
      <c r="G39" s="2">
        <f>Результаты!G14</f>
        <v>1908032622.7582643</v>
      </c>
      <c r="H39" s="2">
        <f>Результаты!H14</f>
        <v>1908032622.7582643</v>
      </c>
      <c r="I39" s="2"/>
      <c r="J39" s="2" t="s">
        <v>222</v>
      </c>
      <c r="K39" s="2">
        <v>1395435897.4358974</v>
      </c>
      <c r="L39" s="2">
        <v>1487594161.2198029</v>
      </c>
      <c r="M39" s="2">
        <v>1487594161.2198029</v>
      </c>
      <c r="N39" s="2">
        <v>1908032622.7582643</v>
      </c>
      <c r="O39" s="2">
        <v>1908032622.7582643</v>
      </c>
      <c r="P39" s="2">
        <v>1908032622.7582643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2">
      <c r="A40" s="2"/>
      <c r="B40" s="2" t="str">
        <f>Результаты!B20</f>
        <v>Налоги на авиапарк</v>
      </c>
      <c r="C40" s="2">
        <f>Результаты!C20</f>
        <v>1216319844.5275395</v>
      </c>
      <c r="D40" s="2">
        <f>Результаты!D20</f>
        <v>1332129753.163795</v>
      </c>
      <c r="E40" s="2">
        <f>Результаты!E20</f>
        <v>1426250608.9101157</v>
      </c>
      <c r="F40" s="2">
        <f>Результаты!F20</f>
        <v>1463448527.6904929</v>
      </c>
      <c r="G40" s="2">
        <f>Результаты!G20</f>
        <v>1501399933.8621359</v>
      </c>
      <c r="H40" s="2">
        <f>Результаты!H20</f>
        <v>1541140390.9250107</v>
      </c>
      <c r="I40" s="2"/>
      <c r="J40" s="2" t="s">
        <v>31</v>
      </c>
      <c r="K40" s="2">
        <v>1216319844.5275395</v>
      </c>
      <c r="L40" s="2">
        <v>1332129753.163795</v>
      </c>
      <c r="M40" s="2">
        <v>1426250608.9101157</v>
      </c>
      <c r="N40" s="2">
        <v>1463448527.6904929</v>
      </c>
      <c r="O40" s="2">
        <v>1501399933.8621359</v>
      </c>
      <c r="P40" s="2">
        <v>1541140390.9250107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">
      <c r="A42" s="2"/>
      <c r="B42" s="2" t="str">
        <f>Результаты!B6</f>
        <v>Внутренние рейсы</v>
      </c>
      <c r="C42" s="2">
        <f>Результаты!C6</f>
        <v>6312278000</v>
      </c>
      <c r="D42" s="2">
        <f>Результаты!D6</f>
        <v>9265298194.6265526</v>
      </c>
      <c r="E42" s="2">
        <f>Результаты!E6</f>
        <v>9789034576.583477</v>
      </c>
      <c r="F42" s="2">
        <f>Результаты!F6</f>
        <v>10281753283.077959</v>
      </c>
      <c r="G42" s="2">
        <f>Результаты!G6</f>
        <v>10748568018.123472</v>
      </c>
      <c r="H42" s="2">
        <f>Результаты!H6</f>
        <v>11193749416.610188</v>
      </c>
      <c r="I42" s="2"/>
      <c r="J42" s="2" t="s">
        <v>19</v>
      </c>
      <c r="K42" s="2">
        <v>6312278000</v>
      </c>
      <c r="L42" s="2">
        <v>9265298194.6265526</v>
      </c>
      <c r="M42" s="2">
        <v>9789034576.583477</v>
      </c>
      <c r="N42" s="2">
        <v>10281753283.077959</v>
      </c>
      <c r="O42" s="2">
        <v>10748568018.123472</v>
      </c>
      <c r="P42" s="2">
        <v>11193749416.610188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2">
      <c r="A43" s="2"/>
      <c r="B43" s="2" t="str">
        <f>Результаты!B7</f>
        <v>Международные рейсы</v>
      </c>
      <c r="C43" s="2">
        <f>Результаты!C7</f>
        <v>12837380000</v>
      </c>
      <c r="D43" s="2">
        <f>Результаты!D7</f>
        <v>13917397959.464045</v>
      </c>
      <c r="E43" s="2">
        <f>Результаты!E7</f>
        <v>23766206721.244877</v>
      </c>
      <c r="F43" s="2">
        <f>Результаты!F7</f>
        <v>24962448755.365799</v>
      </c>
      <c r="G43" s="2">
        <f>Результаты!G7</f>
        <v>26095800099.343472</v>
      </c>
      <c r="H43" s="2">
        <f>Результаты!H7</f>
        <v>27176629170.087326</v>
      </c>
      <c r="I43" s="2"/>
      <c r="J43" s="2" t="s">
        <v>20</v>
      </c>
      <c r="K43" s="2">
        <v>12837380000</v>
      </c>
      <c r="L43" s="2">
        <v>13917397959.464045</v>
      </c>
      <c r="M43" s="2">
        <v>23766206721.244877</v>
      </c>
      <c r="N43" s="2">
        <v>24962448755.365799</v>
      </c>
      <c r="O43" s="2">
        <v>26095800099.343472</v>
      </c>
      <c r="P43" s="2">
        <v>27176629170.087326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0" customHeight="1" x14ac:dyDescent="0.2">
      <c r="A46" s="2"/>
      <c r="B46" s="5" t="s">
        <v>6</v>
      </c>
      <c r="C46" s="5"/>
      <c r="D46" s="5"/>
      <c r="E46" s="5"/>
      <c r="F46" s="5"/>
      <c r="G46" s="5"/>
      <c r="H46" s="2"/>
      <c r="I46" s="2"/>
      <c r="K46" s="2"/>
      <c r="L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0" customHeight="1" x14ac:dyDescent="0.2">
      <c r="A47" s="2"/>
      <c r="B47" s="5"/>
      <c r="C47" s="5"/>
      <c r="D47" s="5"/>
      <c r="E47" s="5"/>
      <c r="F47" s="5"/>
      <c r="G47" s="5"/>
      <c r="H47" s="2"/>
      <c r="I47" s="2"/>
      <c r="K47" s="2"/>
      <c r="L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">
      <c r="A48" s="2"/>
      <c r="B48" s="2">
        <v>2021</v>
      </c>
      <c r="C48" s="2">
        <v>9610304000</v>
      </c>
      <c r="D48" s="2">
        <v>5600000000.000001</v>
      </c>
      <c r="E48" s="2">
        <v>2889546936.546072</v>
      </c>
      <c r="F48" s="2">
        <v>0</v>
      </c>
      <c r="G48" s="2">
        <v>3067065741.9634371</v>
      </c>
      <c r="H48" s="2"/>
      <c r="I48" s="2"/>
      <c r="K48" s="2"/>
      <c r="L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2"/>
      <c r="B49" s="2"/>
      <c r="C49" s="2"/>
      <c r="D49" s="2"/>
      <c r="E49" s="2"/>
      <c r="F49" s="2"/>
      <c r="G49" s="2"/>
      <c r="H49" s="2">
        <v>6312278000</v>
      </c>
      <c r="I49" s="2">
        <v>12837380000</v>
      </c>
      <c r="K49" s="2"/>
      <c r="L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2"/>
      <c r="B50" s="2"/>
      <c r="C50" s="2"/>
      <c r="D50" s="2"/>
      <c r="E50" s="2"/>
      <c r="F50" s="2"/>
      <c r="G50" s="2"/>
      <c r="H50" s="2"/>
      <c r="I50" s="2"/>
      <c r="K50" s="2"/>
      <c r="L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2"/>
      <c r="B51" s="2">
        <v>2022</v>
      </c>
      <c r="C51" s="2">
        <v>11049455571.627104</v>
      </c>
      <c r="D51" s="2">
        <v>5880000000</v>
      </c>
      <c r="E51" s="2">
        <v>2889546936.546072</v>
      </c>
      <c r="F51" s="2">
        <v>1986928666.9454319</v>
      </c>
      <c r="G51" s="2">
        <v>3370813686.6442814</v>
      </c>
      <c r="H51" s="2"/>
      <c r="I51" s="2"/>
      <c r="K51" s="2"/>
      <c r="L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2"/>
      <c r="B52" s="2"/>
      <c r="C52" s="2"/>
      <c r="D52" s="2"/>
      <c r="E52" s="2"/>
      <c r="F52" s="2"/>
      <c r="G52" s="2"/>
      <c r="H52" s="2">
        <v>9265298194.6265526</v>
      </c>
      <c r="I52" s="2">
        <v>13917397959.464045</v>
      </c>
      <c r="K52" s="2"/>
      <c r="L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2"/>
      <c r="B53" s="2"/>
      <c r="C53" s="2"/>
      <c r="D53" s="2"/>
      <c r="E53" s="2"/>
      <c r="F53" s="2"/>
      <c r="G53" s="2"/>
      <c r="H53" s="2"/>
      <c r="I53" s="2"/>
      <c r="K53" s="2"/>
      <c r="L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2"/>
      <c r="B54" s="2">
        <v>2023</v>
      </c>
      <c r="C54" s="2">
        <v>12007512435.169991</v>
      </c>
      <c r="D54" s="2">
        <v>6174000000.000001</v>
      </c>
      <c r="E54" s="2">
        <v>2889546936.546072</v>
      </c>
      <c r="F54" s="2">
        <v>3979858034.2075462</v>
      </c>
      <c r="G54" s="2">
        <v>3464934542.3906021</v>
      </c>
      <c r="H54" s="2"/>
      <c r="I54" s="2"/>
      <c r="K54" s="2"/>
      <c r="L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2"/>
      <c r="B55" s="2"/>
      <c r="C55" s="2"/>
      <c r="D55" s="2"/>
      <c r="E55" s="2"/>
      <c r="F55" s="2"/>
      <c r="G55" s="2"/>
      <c r="H55" s="2">
        <v>9789034576.583477</v>
      </c>
      <c r="I55" s="2">
        <v>23766206721.244877</v>
      </c>
      <c r="K55" s="2"/>
      <c r="L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2"/>
      <c r="B56" s="2"/>
      <c r="C56" s="2"/>
      <c r="D56" s="2"/>
      <c r="E56" s="2"/>
      <c r="F56" s="2"/>
      <c r="G56" s="2"/>
      <c r="H56" s="2"/>
      <c r="I56" s="2"/>
      <c r="K56" s="2"/>
      <c r="L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2"/>
      <c r="B57" s="2">
        <v>2024</v>
      </c>
      <c r="C57" s="2">
        <v>16605826930.487543</v>
      </c>
      <c r="D57" s="2">
        <v>6482700000.0000019</v>
      </c>
      <c r="E57" s="2">
        <v>3476724573.3240719</v>
      </c>
      <c r="F57" s="2">
        <v>2598158110.1883125</v>
      </c>
      <c r="G57" s="2">
        <v>4030755922.7094412</v>
      </c>
      <c r="H57" s="2"/>
      <c r="I57" s="2"/>
      <c r="K57" s="2"/>
      <c r="L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2"/>
      <c r="B58" s="2"/>
      <c r="C58" s="2"/>
      <c r="D58" s="2"/>
      <c r="E58" s="2"/>
      <c r="F58" s="2"/>
      <c r="G58" s="2"/>
      <c r="H58" s="2">
        <v>10281753283.077959</v>
      </c>
      <c r="I58" s="2">
        <v>24962448755.365799</v>
      </c>
      <c r="K58" s="2"/>
      <c r="L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2"/>
      <c r="B59" s="2"/>
      <c r="C59" s="2"/>
      <c r="D59" s="2"/>
      <c r="E59" s="2"/>
      <c r="F59" s="2"/>
      <c r="G59" s="2"/>
      <c r="H59" s="2"/>
      <c r="I59" s="2"/>
      <c r="K59" s="2"/>
      <c r="L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2"/>
      <c r="B60" s="2">
        <v>2025</v>
      </c>
      <c r="C60" s="2">
        <v>18017323138.268692</v>
      </c>
      <c r="D60" s="2">
        <v>6806835000.000001</v>
      </c>
      <c r="E60" s="2">
        <v>3476724573.3240719</v>
      </c>
      <c r="F60" s="2">
        <v>2635836677.1150498</v>
      </c>
      <c r="G60" s="2">
        <v>4068707328.881084</v>
      </c>
      <c r="H60" s="2"/>
      <c r="I60" s="2"/>
      <c r="K60" s="2"/>
      <c r="L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2"/>
      <c r="B61" s="2"/>
      <c r="C61" s="2"/>
      <c r="D61" s="2"/>
      <c r="E61" s="2"/>
      <c r="F61" s="2"/>
      <c r="G61" s="2"/>
      <c r="H61" s="2">
        <v>10748568018.123472</v>
      </c>
      <c r="I61" s="2">
        <v>26095800099.343472</v>
      </c>
      <c r="K61" s="2"/>
      <c r="L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2"/>
      <c r="B62" s="2"/>
      <c r="C62" s="2"/>
      <c r="D62" s="2"/>
      <c r="E62" s="2"/>
      <c r="F62" s="2"/>
      <c r="G62" s="2"/>
      <c r="H62" s="2"/>
      <c r="I62" s="2"/>
      <c r="K62" s="2"/>
      <c r="L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2"/>
      <c r="B63" s="2">
        <v>2026</v>
      </c>
      <c r="C63" s="2">
        <v>19552400730.844376</v>
      </c>
      <c r="D63" s="2">
        <v>7147176750.0000019</v>
      </c>
      <c r="E63" s="2">
        <v>3476724573.3240719</v>
      </c>
      <c r="F63" s="2">
        <v>2643965669.9457684</v>
      </c>
      <c r="G63" s="2">
        <v>4108447785.9439588</v>
      </c>
      <c r="K63" s="2"/>
      <c r="L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ht="18" customHeight="1" x14ac:dyDescent="0.2">
      <c r="A64" s="2"/>
      <c r="B64" s="2"/>
      <c r="C64" s="2"/>
      <c r="D64" s="2"/>
      <c r="E64" s="2"/>
      <c r="F64" s="2"/>
      <c r="G64" s="2"/>
      <c r="H64" s="2">
        <v>11193749416.610188</v>
      </c>
      <c r="I64" s="2">
        <v>27176629170.087326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8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8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8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8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8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8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8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8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8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mergeCells count="2">
    <mergeCell ref="K16:P16"/>
    <mergeCell ref="H1:K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348D-53CC-4E44-AA07-F03259018EBD}">
  <dimension ref="A1:AK210"/>
  <sheetViews>
    <sheetView topLeftCell="A101" zoomScale="65" zoomScaleNormal="93" workbookViewId="0">
      <selection activeCell="C17" sqref="C17"/>
    </sheetView>
  </sheetViews>
  <sheetFormatPr baseColWidth="10" defaultColWidth="23.1640625" defaultRowHeight="18" x14ac:dyDescent="0.2"/>
  <cols>
    <col min="1" max="16384" width="23.1640625" style="2"/>
  </cols>
  <sheetData>
    <row r="1" spans="1:8" ht="27" customHeight="1" thickBot="1" x14ac:dyDescent="0.25">
      <c r="A1" s="669" t="s">
        <v>239</v>
      </c>
      <c r="B1" s="670"/>
      <c r="C1" s="669" t="s">
        <v>242</v>
      </c>
      <c r="D1" s="670"/>
      <c r="E1" s="669" t="s">
        <v>243</v>
      </c>
      <c r="F1" s="671"/>
      <c r="G1" s="671"/>
      <c r="H1" s="670"/>
    </row>
    <row r="2" spans="1:8" ht="58" thickBot="1" x14ac:dyDescent="0.25">
      <c r="A2" s="586" t="s">
        <v>0</v>
      </c>
      <c r="B2" s="587">
        <v>0.02</v>
      </c>
      <c r="C2" s="578" t="s">
        <v>4</v>
      </c>
      <c r="D2" s="579">
        <v>0.2</v>
      </c>
      <c r="E2" s="580" t="s">
        <v>240</v>
      </c>
      <c r="F2" s="581">
        <v>5.8900000000000001E-2</v>
      </c>
      <c r="G2" s="273" t="s">
        <v>241</v>
      </c>
      <c r="H2" s="588">
        <f>(1+F2)^2</f>
        <v>1.1212692099999999</v>
      </c>
    </row>
    <row r="3" spans="1:8" ht="76" customHeight="1" thickBot="1" x14ac:dyDescent="0.25">
      <c r="A3" s="584" t="s">
        <v>1</v>
      </c>
      <c r="B3" s="250">
        <v>0.05</v>
      </c>
      <c r="C3" s="9" t="s">
        <v>5</v>
      </c>
      <c r="D3" s="10">
        <v>0.02</v>
      </c>
      <c r="E3" s="582" t="s">
        <v>219</v>
      </c>
      <c r="F3" s="583">
        <v>4.4999999999999998E-2</v>
      </c>
      <c r="G3" s="254" t="s">
        <v>256</v>
      </c>
      <c r="H3" s="255">
        <v>1.73</v>
      </c>
    </row>
    <row r="4" spans="1:8" ht="58" thickBot="1" x14ac:dyDescent="0.25">
      <c r="E4" s="584" t="s">
        <v>220</v>
      </c>
      <c r="F4" s="585">
        <v>6.7500000000000004E-2</v>
      </c>
    </row>
    <row r="8" spans="1:8" x14ac:dyDescent="0.2">
      <c r="A8" s="170"/>
    </row>
    <row r="9" spans="1:8" ht="19" thickBot="1" x14ac:dyDescent="0.25">
      <c r="A9" s="170"/>
    </row>
    <row r="10" spans="1:8" ht="18" customHeight="1" x14ac:dyDescent="0.2">
      <c r="A10" s="681" t="s">
        <v>212</v>
      </c>
      <c r="B10" s="11" t="s">
        <v>6</v>
      </c>
      <c r="C10" s="12">
        <v>2021</v>
      </c>
      <c r="D10" s="12">
        <v>2022</v>
      </c>
      <c r="E10" s="12">
        <v>2023</v>
      </c>
      <c r="F10" s="12">
        <v>2024</v>
      </c>
      <c r="G10" s="12">
        <v>2025</v>
      </c>
      <c r="H10" s="13">
        <v>2026</v>
      </c>
    </row>
    <row r="11" spans="1:8" x14ac:dyDescent="0.2">
      <c r="A11" s="682"/>
      <c r="B11" s="7" t="s">
        <v>7</v>
      </c>
      <c r="C11" s="14" t="s">
        <v>8</v>
      </c>
      <c r="D11" s="14">
        <v>1</v>
      </c>
      <c r="E11" s="15">
        <v>2</v>
      </c>
      <c r="F11" s="15">
        <v>3</v>
      </c>
      <c r="G11" s="15">
        <v>4</v>
      </c>
      <c r="H11" s="16">
        <v>5</v>
      </c>
    </row>
    <row r="12" spans="1:8" x14ac:dyDescent="0.2">
      <c r="A12" s="682"/>
      <c r="B12" s="17" t="s">
        <v>9</v>
      </c>
      <c r="C12" s="18">
        <v>0</v>
      </c>
      <c r="D12" s="14">
        <v>1</v>
      </c>
      <c r="E12" s="14">
        <v>2</v>
      </c>
      <c r="F12" s="14">
        <v>3</v>
      </c>
      <c r="G12" s="14">
        <v>4</v>
      </c>
      <c r="H12" s="19">
        <v>5</v>
      </c>
    </row>
    <row r="13" spans="1:8" x14ac:dyDescent="0.2">
      <c r="A13" s="682"/>
      <c r="B13" s="17" t="s">
        <v>10</v>
      </c>
      <c r="C13" s="20">
        <v>0</v>
      </c>
      <c r="D13" s="21">
        <v>8.1500000000000003E-2</v>
      </c>
      <c r="E13" s="22">
        <v>8.4099999999999994E-2</v>
      </c>
      <c r="F13" s="22">
        <v>8.4599999999999995E-2</v>
      </c>
      <c r="G13" s="22">
        <v>8.4699999999999998E-2</v>
      </c>
      <c r="H13" s="8">
        <v>8.48E-2</v>
      </c>
    </row>
    <row r="14" spans="1:8" ht="19" thickBot="1" x14ac:dyDescent="0.25">
      <c r="A14" s="683"/>
      <c r="B14" s="23" t="s">
        <v>11</v>
      </c>
      <c r="C14" s="24">
        <v>0</v>
      </c>
      <c r="D14" s="25">
        <f>D13</f>
        <v>8.1500000000000003E-2</v>
      </c>
      <c r="E14" s="25">
        <f>(1+E13)^E12/(1+D13)^D12-1</f>
        <v>8.6706250577901267E-2</v>
      </c>
      <c r="F14" s="25">
        <f>(1+F13)^F12/(1+E13)^E12-1</f>
        <v>8.5600691924456296E-2</v>
      </c>
      <c r="G14" s="25">
        <f>(1+G13)^G12/(1+F13)^F12-1</f>
        <v>8.5000055323333878E-2</v>
      </c>
      <c r="H14" s="26">
        <f>(1+H13)^H12/(1+G13)^G12-1</f>
        <v>8.5200092199888999E-2</v>
      </c>
    </row>
    <row r="15" spans="1:8" ht="19" thickBot="1" x14ac:dyDescent="0.25"/>
    <row r="16" spans="1:8" ht="18" customHeight="1" x14ac:dyDescent="0.2">
      <c r="A16" s="684" t="s">
        <v>12</v>
      </c>
      <c r="B16" s="30" t="s">
        <v>251</v>
      </c>
      <c r="C16" s="31">
        <v>0</v>
      </c>
      <c r="D16" s="31">
        <v>1</v>
      </c>
      <c r="E16" s="31">
        <v>2</v>
      </c>
      <c r="F16" s="31">
        <v>3</v>
      </c>
      <c r="G16" s="31">
        <v>4</v>
      </c>
      <c r="H16" s="32">
        <v>5</v>
      </c>
    </row>
    <row r="17" spans="1:8" ht="38" customHeight="1" x14ac:dyDescent="0.2">
      <c r="A17" s="685"/>
      <c r="B17" s="589" t="s">
        <v>218</v>
      </c>
      <c r="C17" s="33">
        <v>73.2</v>
      </c>
      <c r="D17" s="33">
        <f>usd*(1+usd_dynamics)^D16</f>
        <v>76.86</v>
      </c>
      <c r="E17" s="33">
        <f>usd*(1+usd_dynamics)^E16</f>
        <v>80.703000000000003</v>
      </c>
      <c r="F17" s="33">
        <f>usd*(1+usd_dynamics)^F16</f>
        <v>84.738150000000019</v>
      </c>
      <c r="G17" s="33">
        <f>usd*(1+usd_dynamics)^G16</f>
        <v>88.975057500000005</v>
      </c>
      <c r="H17" s="6">
        <f>usd*(1+usd_dynamics)^H16</f>
        <v>93.423810375000016</v>
      </c>
    </row>
    <row r="18" spans="1:8" ht="19" thickBot="1" x14ac:dyDescent="0.25">
      <c r="A18" s="686"/>
      <c r="B18" s="34" t="s">
        <v>14</v>
      </c>
      <c r="C18" s="35"/>
      <c r="D18" s="25">
        <f>(1+'Внешние данные'!D13)*(D17/usd)^(-1/D16)-1</f>
        <v>2.9999999999999805E-2</v>
      </c>
      <c r="E18" s="25">
        <f>(1+'Внешние данные'!E13)*(E17/usd)^(-1/E16)-1</f>
        <v>3.2476190476190547E-2</v>
      </c>
      <c r="F18" s="25">
        <f>(1+'Внешние данные'!F13)*(F17/usd)^(-1/F16)-1</f>
        <v>3.2952380952380844E-2</v>
      </c>
      <c r="G18" s="25">
        <f>(1+'Внешние данные'!G13)*(G17/usd)^(-1/G16)-1</f>
        <v>3.3047619047618992E-2</v>
      </c>
      <c r="H18" s="26">
        <f>(1+'Внешние данные'!H13)*(H17/usd)^(-1/H16)-1</f>
        <v>3.3142857142857141E-2</v>
      </c>
    </row>
    <row r="20" spans="1:8" ht="19" thickBot="1" x14ac:dyDescent="0.25"/>
    <row r="21" spans="1:8" ht="16" customHeight="1" x14ac:dyDescent="0.2">
      <c r="A21" s="687" t="s">
        <v>254</v>
      </c>
      <c r="B21" s="674" t="s">
        <v>253</v>
      </c>
      <c r="C21" s="675"/>
      <c r="D21" s="591">
        <v>1</v>
      </c>
      <c r="E21" s="591">
        <v>2</v>
      </c>
      <c r="F21" s="591">
        <v>3</v>
      </c>
      <c r="G21" s="591">
        <v>4</v>
      </c>
      <c r="H21" s="592">
        <v>5</v>
      </c>
    </row>
    <row r="22" spans="1:8" x14ac:dyDescent="0.2">
      <c r="A22" s="688"/>
      <c r="B22" s="676" t="s">
        <v>246</v>
      </c>
      <c r="C22" s="677"/>
      <c r="D22" s="593">
        <v>8.1500000000000003E-2</v>
      </c>
      <c r="E22" s="593">
        <v>8.4099999999999994E-2</v>
      </c>
      <c r="F22" s="593">
        <v>8.4599999999999995E-2</v>
      </c>
      <c r="G22" s="593">
        <v>8.4699999999999998E-2</v>
      </c>
      <c r="H22" s="594">
        <v>8.48E-2</v>
      </c>
    </row>
    <row r="23" spans="1:8" x14ac:dyDescent="0.2">
      <c r="A23" s="688"/>
      <c r="B23" s="676" t="s">
        <v>245</v>
      </c>
      <c r="C23" s="677"/>
      <c r="D23" s="593">
        <v>3.3E-3</v>
      </c>
      <c r="E23" s="593">
        <v>7.6E-3</v>
      </c>
      <c r="F23" s="593">
        <v>9.7999999999999997E-3</v>
      </c>
      <c r="G23" s="593">
        <v>1.12E-2</v>
      </c>
      <c r="H23" s="594">
        <v>1.26E-2</v>
      </c>
    </row>
    <row r="24" spans="1:8" x14ac:dyDescent="0.2">
      <c r="A24" s="688"/>
      <c r="B24" s="676" t="s">
        <v>247</v>
      </c>
      <c r="C24" s="677"/>
      <c r="D24" s="595">
        <f>D27*((1+D22)/(1+D23))^D21</f>
        <v>78.905412139938207</v>
      </c>
      <c r="E24" s="595">
        <f>D27*((1+E22)/(1+E23))^E21</f>
        <v>84.737071787562613</v>
      </c>
      <c r="F24" s="595">
        <f>D27*((1+F22)/(1+F23))^F21</f>
        <v>90.701356500533436</v>
      </c>
      <c r="G24" s="595">
        <f>D27*((1+G22)/(1+G23))^G21</f>
        <v>96.917320357339207</v>
      </c>
      <c r="H24" s="596">
        <f>D27*((1+H22)/(1+H23))^H21</f>
        <v>103.29275201282375</v>
      </c>
    </row>
    <row r="25" spans="1:8" x14ac:dyDescent="0.2">
      <c r="A25" s="688"/>
      <c r="B25" s="676" t="s">
        <v>216</v>
      </c>
      <c r="C25" s="677"/>
      <c r="D25" s="597">
        <f>Lising_a_year</f>
        <v>76502732.240437165</v>
      </c>
      <c r="E25" s="597">
        <f>Lising_a_year</f>
        <v>76502732.240437165</v>
      </c>
      <c r="F25" s="597">
        <f>Lising_a_year</f>
        <v>76502732.240437165</v>
      </c>
      <c r="G25" s="597">
        <f>Lising_a_year</f>
        <v>76502732.240437165</v>
      </c>
      <c r="H25" s="598">
        <f>Lising_a_year</f>
        <v>76502732.240437165</v>
      </c>
    </row>
    <row r="26" spans="1:8" ht="19" thickBot="1" x14ac:dyDescent="0.25">
      <c r="A26" s="688"/>
      <c r="B26" s="678" t="s">
        <v>217</v>
      </c>
      <c r="C26" s="679"/>
      <c r="D26" s="221">
        <f>D24*D25</f>
        <v>6036479617.2630329</v>
      </c>
      <c r="E26" s="221">
        <f>E24*E25</f>
        <v>6482617513.8026047</v>
      </c>
      <c r="F26" s="221">
        <f>F24*F25</f>
        <v>6938901590.2047443</v>
      </c>
      <c r="G26" s="221">
        <f>G24*G25</f>
        <v>7414439808.7581911</v>
      </c>
      <c r="H26" s="222">
        <f>H24*H25</f>
        <v>7902177749.614933</v>
      </c>
    </row>
    <row r="27" spans="1:8" ht="19" thickBot="1" x14ac:dyDescent="0.25">
      <c r="A27" s="688"/>
      <c r="B27" s="680" t="s">
        <v>248</v>
      </c>
      <c r="C27" s="672"/>
      <c r="D27" s="599">
        <v>73.2</v>
      </c>
      <c r="E27" s="170"/>
      <c r="F27" s="170"/>
      <c r="G27" s="170"/>
      <c r="H27" s="170"/>
    </row>
    <row r="28" spans="1:8" ht="19" thickBot="1" x14ac:dyDescent="0.25">
      <c r="A28" s="688"/>
      <c r="B28" s="170"/>
    </row>
    <row r="29" spans="1:8" ht="19" thickBot="1" x14ac:dyDescent="0.25">
      <c r="A29" s="688"/>
      <c r="B29" s="672" t="s">
        <v>244</v>
      </c>
      <c r="C29" s="673"/>
      <c r="D29" s="600">
        <f>SUM(D26:H26)</f>
        <v>34774616279.643509</v>
      </c>
    </row>
    <row r="30" spans="1:8" x14ac:dyDescent="0.2">
      <c r="A30" s="688"/>
      <c r="B30" s="170"/>
    </row>
    <row r="31" spans="1:8" ht="19" thickBot="1" x14ac:dyDescent="0.25">
      <c r="A31" s="688"/>
      <c r="B31" s="170"/>
    </row>
    <row r="32" spans="1:8" ht="18" customHeight="1" x14ac:dyDescent="0.2">
      <c r="A32" s="688"/>
      <c r="B32" s="544" t="s">
        <v>6</v>
      </c>
      <c r="C32" s="202">
        <v>2021</v>
      </c>
      <c r="D32" s="202">
        <v>2022</v>
      </c>
      <c r="E32" s="202">
        <v>2023</v>
      </c>
      <c r="F32" s="202">
        <v>2024</v>
      </c>
      <c r="G32" s="202">
        <v>2025</v>
      </c>
      <c r="H32" s="601">
        <v>2026</v>
      </c>
    </row>
    <row r="33" spans="1:8" ht="19" thickBot="1" x14ac:dyDescent="0.25">
      <c r="A33" s="689"/>
      <c r="B33" s="575" t="s">
        <v>226</v>
      </c>
      <c r="C33" s="568" t="s">
        <v>8</v>
      </c>
      <c r="D33" s="569">
        <f>Lising_a_year/1000000</f>
        <v>76.502732240437169</v>
      </c>
      <c r="E33" s="569">
        <f>Lising_a_year/1000000</f>
        <v>76.502732240437169</v>
      </c>
      <c r="F33" s="569">
        <f>Lising_a_year/1000000</f>
        <v>76.502732240437169</v>
      </c>
      <c r="G33" s="569">
        <f>Lising_a_year/1000000</f>
        <v>76.502732240437169</v>
      </c>
      <c r="H33" s="570">
        <f>Lising_a_year/1000000</f>
        <v>76.502732240437169</v>
      </c>
    </row>
    <row r="34" spans="1:8" ht="19" thickBot="1" x14ac:dyDescent="0.25"/>
    <row r="35" spans="1:8" ht="19" thickBot="1" x14ac:dyDescent="0.25">
      <c r="B35" s="669" t="s">
        <v>252</v>
      </c>
      <c r="C35" s="671"/>
      <c r="D35" s="671"/>
      <c r="E35" s="671"/>
      <c r="F35" s="671"/>
      <c r="G35" s="671"/>
      <c r="H35" s="670"/>
    </row>
    <row r="36" spans="1:8" x14ac:dyDescent="0.2">
      <c r="B36" s="602" t="s">
        <v>6</v>
      </c>
      <c r="C36" s="195">
        <v>2021</v>
      </c>
      <c r="D36" s="195">
        <v>2022</v>
      </c>
      <c r="E36" s="195">
        <v>2023</v>
      </c>
      <c r="F36" s="195">
        <v>2024</v>
      </c>
      <c r="G36" s="195">
        <v>2025</v>
      </c>
      <c r="H36" s="603">
        <v>2026</v>
      </c>
    </row>
    <row r="37" spans="1:8" ht="19" thickBot="1" x14ac:dyDescent="0.25">
      <c r="B37" s="567" t="s">
        <v>15</v>
      </c>
      <c r="C37" s="573">
        <v>64</v>
      </c>
      <c r="D37" s="573">
        <f>C37*(1+'Внешние данные'!D13)^'Внешние данные'!D11</f>
        <v>69.215999999999994</v>
      </c>
      <c r="E37" s="573">
        <f>C37*(1+'Внешние данные'!E13)^'Внешние данные'!E11</f>
        <v>75.217459840000004</v>
      </c>
      <c r="F37" s="573">
        <f>C37*(1+'Внешние данные'!F13)^'Внешние данные'!F11</f>
        <v>81.656126447104</v>
      </c>
      <c r="G37" s="573">
        <f>C37*(1+'Внешние данные'!G13)^'Внешние данные'!G11</f>
        <v>88.596901712596988</v>
      </c>
      <c r="H37" s="574">
        <f>C37*(1+'Внешние данные'!H13)^'Внешние данные'!H11</f>
        <v>96.145365907134746</v>
      </c>
    </row>
    <row r="39" spans="1:8" ht="19" thickBot="1" x14ac:dyDescent="0.25"/>
    <row r="40" spans="1:8" ht="19" thickBot="1" x14ac:dyDescent="0.25">
      <c r="A40" s="687" t="s">
        <v>255</v>
      </c>
      <c r="B40" s="671" t="s">
        <v>249</v>
      </c>
      <c r="C40" s="671"/>
      <c r="D40" s="671"/>
      <c r="E40" s="670"/>
    </row>
    <row r="41" spans="1:8" x14ac:dyDescent="0.2">
      <c r="A41" s="688"/>
      <c r="B41" s="544" t="s">
        <v>250</v>
      </c>
      <c r="C41" s="202" t="s">
        <v>52</v>
      </c>
      <c r="D41" s="202" t="s">
        <v>53</v>
      </c>
      <c r="E41" s="601" t="s">
        <v>54</v>
      </c>
    </row>
    <row r="42" spans="1:8" ht="19" thickBot="1" x14ac:dyDescent="0.25">
      <c r="A42" s="688"/>
      <c r="B42" s="575" t="s">
        <v>55</v>
      </c>
      <c r="C42" s="569">
        <v>3.41</v>
      </c>
      <c r="D42" s="569">
        <v>5.03</v>
      </c>
      <c r="E42" s="590">
        <f>64/17.9</f>
        <v>3.575418994413408</v>
      </c>
    </row>
    <row r="43" spans="1:8" ht="19" thickBot="1" x14ac:dyDescent="0.25">
      <c r="A43" s="688"/>
      <c r="B43" s="170"/>
    </row>
    <row r="44" spans="1:8" x14ac:dyDescent="0.2">
      <c r="A44" s="688"/>
      <c r="B44" s="544" t="s">
        <v>56</v>
      </c>
      <c r="C44" s="604">
        <f>AVERAGE(C42:E42)</f>
        <v>4.0051396648044699</v>
      </c>
    </row>
    <row r="45" spans="1:8" ht="19" thickBot="1" x14ac:dyDescent="0.25">
      <c r="A45" s="688"/>
      <c r="B45" s="575" t="s">
        <v>57</v>
      </c>
      <c r="C45" s="574">
        <f>_xlfn.STDEV.S(C42:E42)</f>
        <v>0.89140052216778964</v>
      </c>
    </row>
    <row r="46" spans="1:8" ht="19" thickBot="1" x14ac:dyDescent="0.25">
      <c r="A46" s="688"/>
      <c r="B46" s="170"/>
    </row>
    <row r="47" spans="1:8" ht="19" x14ac:dyDescent="0.2">
      <c r="A47" s="688"/>
      <c r="B47" s="576" t="s">
        <v>2</v>
      </c>
      <c r="C47" s="571">
        <f>'Внешние данные'!C44</f>
        <v>4.0051396648044699</v>
      </c>
    </row>
    <row r="48" spans="1:8" ht="20" thickBot="1" x14ac:dyDescent="0.25">
      <c r="A48" s="689"/>
      <c r="B48" s="577" t="s">
        <v>3</v>
      </c>
      <c r="C48" s="572">
        <f>'Внешние данные'!C45</f>
        <v>0.89140052216778964</v>
      </c>
    </row>
    <row r="51" spans="1:37" ht="19" thickBot="1" x14ac:dyDescent="0.25">
      <c r="B51" s="170"/>
      <c r="C51" s="170"/>
      <c r="D51" s="170"/>
    </row>
    <row r="52" spans="1:37" ht="76" customHeight="1" thickBot="1" x14ac:dyDescent="0.25">
      <c r="A52" s="605"/>
      <c r="C52" s="613" t="s">
        <v>90</v>
      </c>
    </row>
    <row r="53" spans="1:37" ht="48" customHeight="1" x14ac:dyDescent="0.2">
      <c r="A53" s="605"/>
      <c r="B53" s="610" t="s">
        <v>213</v>
      </c>
      <c r="C53" s="607">
        <v>509</v>
      </c>
    </row>
    <row r="54" spans="1:37" x14ac:dyDescent="0.2">
      <c r="B54" s="611" t="s">
        <v>214</v>
      </c>
      <c r="C54" s="607">
        <f>C53*'Данные по авиапарку'!L6/'Данные по авиапарку'!L12</f>
        <v>1201.7603833865815</v>
      </c>
      <c r="D54" s="2" t="s">
        <v>257</v>
      </c>
    </row>
    <row r="55" spans="1:37" ht="19" thickBot="1" x14ac:dyDescent="0.25">
      <c r="B55" s="612" t="s">
        <v>215</v>
      </c>
      <c r="C55" s="608">
        <f>C54/'Данные по авиапарку'!M6*'Данные по авиапарку'!M5</f>
        <v>1606.6837060702874</v>
      </c>
      <c r="D55" s="2" t="s">
        <v>257</v>
      </c>
    </row>
    <row r="56" spans="1:37" x14ac:dyDescent="0.2">
      <c r="B56" s="170"/>
      <c r="C56" s="170"/>
      <c r="D56" s="170"/>
    </row>
    <row r="60" spans="1:37" ht="19" thickBot="1" x14ac:dyDescent="0.25"/>
    <row r="61" spans="1:37" ht="19" thickBot="1" x14ac:dyDescent="0.25">
      <c r="B61" s="669" t="s">
        <v>299</v>
      </c>
      <c r="C61" s="671"/>
      <c r="D61" s="671"/>
      <c r="E61" s="671"/>
      <c r="F61" s="670"/>
    </row>
    <row r="62" spans="1:37" ht="19" thickBot="1" x14ac:dyDescent="0.25"/>
    <row r="63" spans="1:37" x14ac:dyDescent="0.2">
      <c r="A63" s="690">
        <v>2021</v>
      </c>
      <c r="B63" s="202" t="s">
        <v>260</v>
      </c>
      <c r="C63" s="202">
        <v>1</v>
      </c>
      <c r="D63" s="202">
        <v>2</v>
      </c>
      <c r="E63" s="202">
        <v>3</v>
      </c>
      <c r="F63" s="202">
        <v>4</v>
      </c>
      <c r="G63" s="202">
        <v>5</v>
      </c>
      <c r="H63" s="202">
        <v>6</v>
      </c>
      <c r="I63" s="202">
        <v>7</v>
      </c>
      <c r="J63" s="202">
        <v>8</v>
      </c>
      <c r="K63" s="202">
        <v>9</v>
      </c>
      <c r="L63" s="202">
        <v>10</v>
      </c>
      <c r="M63" s="202">
        <v>11</v>
      </c>
      <c r="N63" s="601">
        <v>12</v>
      </c>
    </row>
    <row r="64" spans="1:37" ht="19" thickBot="1" x14ac:dyDescent="0.25">
      <c r="A64" s="691"/>
      <c r="B64" s="616" t="s">
        <v>259</v>
      </c>
      <c r="C64" s="616">
        <v>4772.67</v>
      </c>
      <c r="D64" s="616">
        <v>5079.96</v>
      </c>
      <c r="E64" s="617">
        <v>5267.6</v>
      </c>
      <c r="F64" s="616">
        <v>5240.51</v>
      </c>
      <c r="G64" s="616">
        <v>5352.23</v>
      </c>
      <c r="H64" s="616">
        <v>5417.42</v>
      </c>
      <c r="I64" s="616">
        <v>5474.65</v>
      </c>
      <c r="J64" s="616">
        <v>5884.75</v>
      </c>
      <c r="K64" s="616">
        <v>4942.08</v>
      </c>
      <c r="L64" s="616">
        <v>4999.01</v>
      </c>
      <c r="M64" s="616">
        <v>4726.1000000000004</v>
      </c>
      <c r="N64" s="618">
        <v>5482.21</v>
      </c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</row>
    <row r="65" spans="1:37" ht="19" x14ac:dyDescent="0.2">
      <c r="A65" s="690">
        <v>2022</v>
      </c>
      <c r="B65" s="202" t="s">
        <v>296</v>
      </c>
      <c r="C65" s="619" t="s">
        <v>261</v>
      </c>
      <c r="D65" s="619" t="s">
        <v>262</v>
      </c>
      <c r="E65" s="619" t="s">
        <v>263</v>
      </c>
      <c r="F65" s="619" t="s">
        <v>264</v>
      </c>
      <c r="G65" s="619" t="s">
        <v>265</v>
      </c>
      <c r="H65" s="619" t="s">
        <v>266</v>
      </c>
      <c r="I65" s="619" t="s">
        <v>267</v>
      </c>
      <c r="J65" s="619" t="s">
        <v>268</v>
      </c>
      <c r="K65" s="619" t="s">
        <v>269</v>
      </c>
      <c r="L65" s="619" t="s">
        <v>270</v>
      </c>
      <c r="M65" s="619" t="s">
        <v>271</v>
      </c>
      <c r="N65" s="619" t="s">
        <v>272</v>
      </c>
      <c r="O65" s="619" t="s">
        <v>273</v>
      </c>
      <c r="P65" s="619" t="s">
        <v>274</v>
      </c>
      <c r="Q65" s="619" t="s">
        <v>275</v>
      </c>
      <c r="R65" s="619" t="s">
        <v>276</v>
      </c>
      <c r="S65" s="619" t="s">
        <v>277</v>
      </c>
      <c r="T65" s="619" t="s">
        <v>278</v>
      </c>
      <c r="U65" s="619" t="s">
        <v>279</v>
      </c>
      <c r="V65" s="619" t="s">
        <v>280</v>
      </c>
      <c r="W65" s="619" t="s">
        <v>281</v>
      </c>
      <c r="X65" s="619" t="s">
        <v>282</v>
      </c>
      <c r="Y65" s="619" t="s">
        <v>283</v>
      </c>
      <c r="Z65" s="619" t="s">
        <v>284</v>
      </c>
      <c r="AA65" s="619" t="s">
        <v>285</v>
      </c>
      <c r="AB65" s="619" t="s">
        <v>286</v>
      </c>
      <c r="AC65" s="619" t="s">
        <v>287</v>
      </c>
      <c r="AD65" s="619" t="s">
        <v>288</v>
      </c>
      <c r="AE65" s="619" t="s">
        <v>289</v>
      </c>
      <c r="AF65" s="619" t="s">
        <v>290</v>
      </c>
      <c r="AG65" s="619" t="s">
        <v>291</v>
      </c>
      <c r="AH65" s="619" t="s">
        <v>292</v>
      </c>
      <c r="AI65" s="619" t="s">
        <v>293</v>
      </c>
      <c r="AJ65" s="619" t="s">
        <v>294</v>
      </c>
      <c r="AK65" s="620" t="s">
        <v>295</v>
      </c>
    </row>
    <row r="66" spans="1:37" ht="19" thickBot="1" x14ac:dyDescent="0.25">
      <c r="A66" s="694"/>
      <c r="B66" s="219" t="s">
        <v>259</v>
      </c>
      <c r="C66" s="621">
        <v>5208.67</v>
      </c>
      <c r="D66" s="621">
        <v>5868.49</v>
      </c>
      <c r="E66" s="621">
        <v>5791.25</v>
      </c>
      <c r="F66" s="621">
        <v>6132.98</v>
      </c>
      <c r="G66" s="621">
        <v>5757.18</v>
      </c>
      <c r="H66" s="621">
        <v>5632.63</v>
      </c>
      <c r="I66" s="621">
        <v>5608.77</v>
      </c>
      <c r="J66" s="621">
        <v>5280.6</v>
      </c>
      <c r="K66" s="621">
        <v>5447.73</v>
      </c>
      <c r="L66" s="621">
        <v>5887.64</v>
      </c>
      <c r="M66" s="621">
        <v>5715.5</v>
      </c>
      <c r="N66" s="621">
        <v>5172.4399999999996</v>
      </c>
      <c r="O66" s="621">
        <v>5760.69</v>
      </c>
      <c r="P66" s="621">
        <v>6091.63</v>
      </c>
      <c r="Q66" s="621">
        <v>6385.85</v>
      </c>
      <c r="R66" s="621">
        <v>6300.1</v>
      </c>
      <c r="S66" s="621">
        <v>6513.7</v>
      </c>
      <c r="T66" s="621">
        <v>6621.05</v>
      </c>
      <c r="U66" s="621">
        <v>6609.21</v>
      </c>
      <c r="V66" s="621">
        <v>6394.71</v>
      </c>
      <c r="W66" s="621">
        <v>6342.71</v>
      </c>
      <c r="X66" s="621">
        <v>5554.81</v>
      </c>
      <c r="Y66" s="621">
        <v>4950.45</v>
      </c>
      <c r="Z66" s="621">
        <v>5137.03</v>
      </c>
      <c r="AA66" s="621">
        <v>5031.8</v>
      </c>
      <c r="AB66" s="621">
        <v>4959.09</v>
      </c>
      <c r="AC66" s="621">
        <v>4888.8</v>
      </c>
      <c r="AD66" s="621">
        <v>4974.72</v>
      </c>
      <c r="AE66" s="621">
        <v>4705.74</v>
      </c>
      <c r="AF66" s="621">
        <v>4830.38</v>
      </c>
      <c r="AG66" s="621">
        <v>5001.01</v>
      </c>
      <c r="AH66" s="621">
        <v>4848.33</v>
      </c>
      <c r="AI66" s="621">
        <v>4999.5600000000004</v>
      </c>
      <c r="AJ66" s="621">
        <v>5159.6099999999997</v>
      </c>
      <c r="AK66" s="622">
        <v>5704.43</v>
      </c>
    </row>
    <row r="69" spans="1:37" x14ac:dyDescent="0.2">
      <c r="A69" s="666" t="s">
        <v>300</v>
      </c>
      <c r="B69" s="666"/>
      <c r="C69" s="666"/>
      <c r="E69" s="666" t="s">
        <v>301</v>
      </c>
      <c r="F69" s="666"/>
      <c r="G69" s="666"/>
    </row>
    <row r="70" spans="1:37" x14ac:dyDescent="0.2">
      <c r="A70" s="170"/>
      <c r="B70" s="195" t="s">
        <v>297</v>
      </c>
      <c r="C70" s="195" t="s">
        <v>298</v>
      </c>
      <c r="E70" s="170"/>
      <c r="F70" s="195" t="s">
        <v>297</v>
      </c>
      <c r="G70" s="195" t="s">
        <v>298</v>
      </c>
    </row>
    <row r="71" spans="1:37" x14ac:dyDescent="0.2">
      <c r="A71" s="176">
        <v>2021</v>
      </c>
      <c r="B71" s="182">
        <f>AVERAGE(C64:N64)</f>
        <v>5219.9324999999999</v>
      </c>
      <c r="C71" s="182">
        <f>STDEV(C64:N64)</f>
        <v>333.62577168070425</v>
      </c>
      <c r="E71" s="176">
        <v>2021</v>
      </c>
      <c r="F71" s="182">
        <f>AVERAGE(F64:M64)</f>
        <v>5254.59375</v>
      </c>
      <c r="G71" s="182">
        <f>STDEV(F64:M64)</f>
        <v>363.32959664499418</v>
      </c>
    </row>
    <row r="72" spans="1:37" x14ac:dyDescent="0.2">
      <c r="A72" s="176">
        <v>2022</v>
      </c>
      <c r="B72" s="182">
        <f>AVERAGE(C66:AK66)</f>
        <v>5579.1225714285711</v>
      </c>
      <c r="C72" s="182">
        <f>STDEV(C66:AK66)</f>
        <v>583.21457917378166</v>
      </c>
      <c r="E72" s="176">
        <v>2022</v>
      </c>
      <c r="F72" s="182">
        <f>AVERAGE(C66:AK66)</f>
        <v>5579.1225714285711</v>
      </c>
      <c r="G72" s="182">
        <f>STDEV(C66:AK66)</f>
        <v>583.21457917378166</v>
      </c>
    </row>
    <row r="73" spans="1:37" x14ac:dyDescent="0.2">
      <c r="A73" s="176" t="s">
        <v>82</v>
      </c>
      <c r="B73" s="624">
        <f>(B72-B71)/B71</f>
        <v>6.8811248311845249E-2</v>
      </c>
      <c r="E73" s="176" t="s">
        <v>82</v>
      </c>
      <c r="F73" s="624">
        <f>(F72-F71)/F71</f>
        <v>6.1760972754282113E-2</v>
      </c>
    </row>
    <row r="77" spans="1:37" ht="19" thickBot="1" x14ac:dyDescent="0.25"/>
    <row r="78" spans="1:37" x14ac:dyDescent="0.2">
      <c r="A78" s="202" t="s">
        <v>260</v>
      </c>
      <c r="B78" s="202">
        <v>1</v>
      </c>
      <c r="C78" s="202">
        <v>2</v>
      </c>
      <c r="D78" s="202">
        <v>3</v>
      </c>
      <c r="E78" s="202">
        <v>4</v>
      </c>
      <c r="F78" s="202">
        <v>5</v>
      </c>
      <c r="G78" s="202">
        <v>6</v>
      </c>
      <c r="H78" s="202">
        <v>7</v>
      </c>
      <c r="I78" s="202">
        <v>8</v>
      </c>
      <c r="J78" s="202">
        <v>9</v>
      </c>
      <c r="K78" s="202">
        <v>10</v>
      </c>
      <c r="L78" s="202">
        <v>11</v>
      </c>
      <c r="M78" s="601">
        <v>12</v>
      </c>
    </row>
    <row r="79" spans="1:37" x14ac:dyDescent="0.2">
      <c r="A79" s="2">
        <v>2019</v>
      </c>
      <c r="B79" s="2">
        <v>5115.87</v>
      </c>
      <c r="C79" s="2">
        <v>5094.84</v>
      </c>
      <c r="D79" s="2">
        <v>5222.76</v>
      </c>
      <c r="E79" s="2">
        <v>5250.58</v>
      </c>
      <c r="F79" s="2">
        <v>5507.32</v>
      </c>
      <c r="G79" s="2">
        <v>5791.39</v>
      </c>
      <c r="H79" s="2">
        <v>6113.11</v>
      </c>
      <c r="I79" s="2">
        <v>6289.42</v>
      </c>
      <c r="J79" s="2">
        <v>5994.02</v>
      </c>
      <c r="K79" s="2">
        <v>5814.47</v>
      </c>
      <c r="L79" s="2">
        <v>5683.59</v>
      </c>
      <c r="M79" s="2">
        <v>5790.4</v>
      </c>
    </row>
    <row r="80" spans="1:37" x14ac:dyDescent="0.2">
      <c r="A80" s="2">
        <v>2020</v>
      </c>
      <c r="B80" s="2">
        <v>5327.18</v>
      </c>
      <c r="C80" s="2">
        <v>5382.14</v>
      </c>
      <c r="D80" s="2">
        <v>5098.47</v>
      </c>
      <c r="E80" s="2">
        <v>5311.66</v>
      </c>
      <c r="F80" s="2">
        <v>5621.59</v>
      </c>
      <c r="G80" s="2">
        <v>5237.18</v>
      </c>
      <c r="H80" s="2">
        <v>5258.35</v>
      </c>
      <c r="I80" s="2">
        <v>5737.91</v>
      </c>
      <c r="J80" s="2">
        <v>5224.45</v>
      </c>
      <c r="K80" s="2">
        <v>4947.03</v>
      </c>
      <c r="L80" s="2">
        <v>4855.1000000000004</v>
      </c>
      <c r="M80" s="2">
        <v>5063.01</v>
      </c>
    </row>
    <row r="81" spans="1:13" x14ac:dyDescent="0.2">
      <c r="A81" s="2">
        <v>2021</v>
      </c>
      <c r="B81" s="2">
        <v>4772.67</v>
      </c>
      <c r="C81" s="2">
        <v>5079.96</v>
      </c>
      <c r="D81" s="2">
        <v>5267.6</v>
      </c>
      <c r="E81" s="2">
        <v>5240.51</v>
      </c>
      <c r="F81" s="2">
        <v>5352.23</v>
      </c>
      <c r="G81" s="2">
        <v>5417.42</v>
      </c>
      <c r="H81" s="2">
        <v>5474.65</v>
      </c>
      <c r="I81" s="2">
        <v>5884.75</v>
      </c>
      <c r="J81" s="2">
        <v>4942.08</v>
      </c>
      <c r="K81" s="2">
        <v>4999.01</v>
      </c>
      <c r="L81" s="2">
        <v>4726.1000000000004</v>
      </c>
      <c r="M81" s="2">
        <v>5482.21</v>
      </c>
    </row>
    <row r="82" spans="1:13" x14ac:dyDescent="0.2">
      <c r="A82" s="2">
        <v>2022</v>
      </c>
      <c r="B82" s="2">
        <v>4687.6000000000004</v>
      </c>
      <c r="C82" s="2">
        <v>4753.9799999999996</v>
      </c>
      <c r="D82" s="2">
        <v>5167.3900000000003</v>
      </c>
      <c r="E82" s="2">
        <v>5762.21</v>
      </c>
      <c r="F82" s="2">
        <v>5447.73</v>
      </c>
      <c r="G82" s="2">
        <v>5764.2</v>
      </c>
      <c r="H82" s="2">
        <v>6621.05</v>
      </c>
      <c r="I82" s="2">
        <v>5554.81</v>
      </c>
      <c r="J82" s="2">
        <v>4953.53</v>
      </c>
      <c r="K82" s="2">
        <v>5001.01</v>
      </c>
      <c r="L82" s="614">
        <f>AVERAGE(AH66:AK66)</f>
        <v>5177.9825000000001</v>
      </c>
    </row>
    <row r="85" spans="1:13" x14ac:dyDescent="0.2">
      <c r="B85" s="692" t="s">
        <v>300</v>
      </c>
      <c r="C85" s="692"/>
      <c r="E85" s="692" t="s">
        <v>303</v>
      </c>
      <c r="F85" s="692"/>
      <c r="H85" s="692" t="s">
        <v>302</v>
      </c>
      <c r="I85" s="692"/>
    </row>
    <row r="86" spans="1:13" x14ac:dyDescent="0.2">
      <c r="B86" s="615" t="s">
        <v>297</v>
      </c>
      <c r="C86" s="615" t="s">
        <v>298</v>
      </c>
      <c r="E86" s="615" t="s">
        <v>297</v>
      </c>
      <c r="F86" s="615" t="s">
        <v>298</v>
      </c>
      <c r="H86" s="615" t="s">
        <v>297</v>
      </c>
      <c r="I86" s="615" t="s">
        <v>298</v>
      </c>
    </row>
    <row r="87" spans="1:13" x14ac:dyDescent="0.2">
      <c r="A87" s="2">
        <v>2019</v>
      </c>
      <c r="B87" s="76">
        <f>AVERAGE(B79:M79)</f>
        <v>5638.9808333333322</v>
      </c>
      <c r="C87" s="76">
        <f>STDEV(B79:M79)</f>
        <v>400.457566074753</v>
      </c>
      <c r="D87" s="76"/>
      <c r="E87" s="76">
        <f>AVERAGE(B79:L79)</f>
        <v>5625.2154545454541</v>
      </c>
      <c r="F87" s="76">
        <f>STDEV(B79:L79)</f>
        <v>417.01520095468072</v>
      </c>
      <c r="G87" s="76"/>
      <c r="H87" s="76">
        <f>AVERAGE(E79:L79)</f>
        <v>5805.4874999999993</v>
      </c>
      <c r="I87" s="76">
        <f>STDEV(E79:L79)</f>
        <v>333.02324834118463</v>
      </c>
    </row>
    <row r="88" spans="1:13" x14ac:dyDescent="0.2">
      <c r="A88" s="2">
        <v>2020</v>
      </c>
      <c r="B88" s="76">
        <f>AVERAGE(B80:M80)</f>
        <v>5255.3391666666657</v>
      </c>
      <c r="C88" s="76">
        <f>STDEV(B80:M80)</f>
        <v>253.97981535612888</v>
      </c>
      <c r="D88" s="76"/>
      <c r="E88" s="76">
        <f>AVERAGE(B80:L80)</f>
        <v>5272.8236363636352</v>
      </c>
      <c r="F88" s="76">
        <f>STDEV(B80:L80)</f>
        <v>258.69092192316009</v>
      </c>
      <c r="G88" s="76"/>
      <c r="H88" s="76">
        <f>AVERAGE(E80:L80)</f>
        <v>5274.1587499999996</v>
      </c>
      <c r="I88" s="76">
        <f t="shared" ref="I88:I90" si="0">STDEV(E80:L80)</f>
        <v>298.54212396901136</v>
      </c>
    </row>
    <row r="89" spans="1:13" x14ac:dyDescent="0.2">
      <c r="A89" s="2">
        <v>2021</v>
      </c>
      <c r="B89" s="76">
        <f>AVERAGE(B81:M81)</f>
        <v>5219.9324999999999</v>
      </c>
      <c r="C89" s="76">
        <f>STDEV(B81:M81)</f>
        <v>333.62577168070425</v>
      </c>
      <c r="D89" s="76"/>
      <c r="E89" s="76">
        <f>AVERAGE(B81:L81)</f>
        <v>5196.0890909090913</v>
      </c>
      <c r="F89" s="76">
        <f>STDEV(B81:L81)</f>
        <v>339.01690726140907</v>
      </c>
      <c r="G89" s="76"/>
      <c r="H89" s="76">
        <f>AVERAGE(E81:L81)</f>
        <v>5254.59375</v>
      </c>
      <c r="I89" s="76">
        <f t="shared" si="0"/>
        <v>363.32959664499418</v>
      </c>
    </row>
    <row r="90" spans="1:13" x14ac:dyDescent="0.2">
      <c r="A90" s="2">
        <v>2022</v>
      </c>
      <c r="B90" s="76">
        <f>AVERAGE(B82:L82)</f>
        <v>5353.7720454545452</v>
      </c>
      <c r="C90" s="76">
        <f>STDEV(B82:L82)</f>
        <v>560.74246475634686</v>
      </c>
      <c r="D90" s="76"/>
      <c r="E90" s="76">
        <f>AVERAGE(B82:L82)</f>
        <v>5353.7720454545452</v>
      </c>
      <c r="F90" s="76">
        <f>STDEV(B82:L82)</f>
        <v>560.74246475634686</v>
      </c>
      <c r="G90" s="76"/>
      <c r="H90" s="76">
        <f>AVERAGE(E82:L82)</f>
        <v>5535.3153124999999</v>
      </c>
      <c r="I90" s="76">
        <f t="shared" si="0"/>
        <v>540.15652447501202</v>
      </c>
    </row>
    <row r="93" spans="1:13" x14ac:dyDescent="0.2">
      <c r="A93" s="2">
        <v>2020</v>
      </c>
      <c r="B93" s="623">
        <f>(B88-B87)/B87</f>
        <v>-6.8033866048785085E-2</v>
      </c>
      <c r="C93" s="46"/>
      <c r="D93" s="46"/>
      <c r="E93" s="623">
        <f>(E88-E87)/E87</f>
        <v>-6.2645034848766337E-2</v>
      </c>
      <c r="F93" s="46"/>
      <c r="G93" s="46"/>
      <c r="H93" s="623">
        <f>(H88-H87)/H87</f>
        <v>-9.1521814490169814E-2</v>
      </c>
    </row>
    <row r="94" spans="1:13" x14ac:dyDescent="0.2">
      <c r="A94" s="2">
        <v>2021</v>
      </c>
      <c r="B94" s="623">
        <f t="shared" ref="B94:B95" si="1">(B89-B88)/B88</f>
        <v>-6.737275282105804E-3</v>
      </c>
      <c r="C94" s="46"/>
      <c r="D94" s="46"/>
      <c r="E94" s="623">
        <f t="shared" ref="E94:E95" si="2">(E89-E88)/E88</f>
        <v>-1.4552837482625022E-2</v>
      </c>
      <c r="F94" s="46"/>
      <c r="G94" s="46"/>
      <c r="H94" s="623">
        <f t="shared" ref="H94:H95" si="3">(H89-H88)/H88</f>
        <v>-3.7095963408381671E-3</v>
      </c>
    </row>
    <row r="95" spans="1:13" x14ac:dyDescent="0.2">
      <c r="A95" s="2">
        <v>2022</v>
      </c>
      <c r="B95" s="623">
        <f t="shared" si="1"/>
        <v>2.5640091218525386E-2</v>
      </c>
      <c r="C95" s="46"/>
      <c r="D95" s="46"/>
      <c r="E95" s="623">
        <f t="shared" si="2"/>
        <v>3.0346468620280367E-2</v>
      </c>
      <c r="F95" s="46"/>
      <c r="G95" s="46"/>
      <c r="H95" s="623">
        <f t="shared" si="3"/>
        <v>5.3424027785211728E-2</v>
      </c>
    </row>
    <row r="99" spans="1:5" ht="16" customHeight="1" x14ac:dyDescent="0.2"/>
    <row r="100" spans="1:5" ht="17" customHeight="1" x14ac:dyDescent="0.2"/>
    <row r="101" spans="1:5" ht="71" customHeight="1" x14ac:dyDescent="0.2">
      <c r="A101" s="629" t="s">
        <v>6</v>
      </c>
      <c r="B101" s="5" t="s">
        <v>258</v>
      </c>
      <c r="C101" s="5"/>
    </row>
    <row r="102" spans="1:5" x14ac:dyDescent="0.2">
      <c r="A102" s="2">
        <v>1998</v>
      </c>
      <c r="B102" s="630">
        <v>538.44083333333299</v>
      </c>
      <c r="C102" s="614"/>
      <c r="D102" s="627"/>
      <c r="E102" s="2" t="s">
        <v>307</v>
      </c>
    </row>
    <row r="103" spans="1:5" x14ac:dyDescent="0.2">
      <c r="A103" s="2">
        <v>1999</v>
      </c>
      <c r="B103" s="630">
        <v>889.54</v>
      </c>
      <c r="C103" s="614"/>
      <c r="D103" s="76">
        <v>2021</v>
      </c>
      <c r="E103" s="628">
        <f>B125/B123</f>
        <v>0.92568722155318595</v>
      </c>
    </row>
    <row r="104" spans="1:5" x14ac:dyDescent="0.2">
      <c r="A104" s="2">
        <v>2000</v>
      </c>
      <c r="B104" s="630">
        <v>1485.65333333333</v>
      </c>
      <c r="C104" s="614"/>
      <c r="D104" s="2">
        <v>2022</v>
      </c>
      <c r="E104" s="628">
        <f>B126/B123</f>
        <v>0.99694942268676745</v>
      </c>
    </row>
    <row r="105" spans="1:5" x14ac:dyDescent="0.2">
      <c r="A105" s="2">
        <v>2001</v>
      </c>
      <c r="B105" s="630">
        <v>1833.85083333333</v>
      </c>
      <c r="C105" s="614"/>
      <c r="D105" s="2">
        <v>2023</v>
      </c>
      <c r="E105" s="628">
        <f>B127/B123</f>
        <v>1.0533036460116927</v>
      </c>
    </row>
    <row r="106" spans="1:5" x14ac:dyDescent="0.2">
      <c r="A106" s="2">
        <v>2002</v>
      </c>
      <c r="B106" s="630">
        <v>2244.1566666666599</v>
      </c>
      <c r="C106" s="614"/>
      <c r="D106" s="2">
        <v>2024</v>
      </c>
      <c r="E106" s="628">
        <f>B128/B123</f>
        <v>1.1063203562856836</v>
      </c>
    </row>
    <row r="107" spans="1:5" x14ac:dyDescent="0.2">
      <c r="A107" s="2">
        <v>2003</v>
      </c>
      <c r="B107" s="630">
        <v>2695.7341666666598</v>
      </c>
      <c r="C107" s="614"/>
      <c r="D107" s="2">
        <v>2025</v>
      </c>
      <c r="E107" s="628">
        <f>B129/B123</f>
        <v>1.156549789902316</v>
      </c>
    </row>
    <row r="108" spans="1:5" x14ac:dyDescent="0.2">
      <c r="A108" s="2">
        <v>2004</v>
      </c>
      <c r="B108" s="630">
        <v>2922.86083333333</v>
      </c>
      <c r="C108" s="614"/>
      <c r="D108" s="2">
        <v>2026</v>
      </c>
      <c r="E108" s="628">
        <f>B130/B123</f>
        <v>1.2044514687138643</v>
      </c>
    </row>
    <row r="109" spans="1:5" x14ac:dyDescent="0.2">
      <c r="A109" s="2">
        <v>2005</v>
      </c>
      <c r="B109" s="630">
        <v>3507.7633333333301</v>
      </c>
      <c r="C109" s="614"/>
      <c r="D109" s="614"/>
    </row>
    <row r="110" spans="1:5" x14ac:dyDescent="0.2">
      <c r="A110" s="2">
        <v>2006</v>
      </c>
      <c r="B110" s="630">
        <v>3998.90333333333</v>
      </c>
      <c r="C110" s="614"/>
      <c r="D110" s="614"/>
    </row>
    <row r="111" spans="1:5" x14ac:dyDescent="0.2">
      <c r="A111" s="2">
        <v>2007</v>
      </c>
      <c r="B111" s="630">
        <v>4492.6283333333304</v>
      </c>
      <c r="C111" s="614"/>
      <c r="D111" s="614"/>
    </row>
    <row r="112" spans="1:5" x14ac:dyDescent="0.2">
      <c r="A112" s="2">
        <v>2008</v>
      </c>
      <c r="B112" s="630">
        <v>5890.4191666666602</v>
      </c>
      <c r="C112" s="614"/>
      <c r="D112" s="627"/>
    </row>
    <row r="113" spans="1:5" x14ac:dyDescent="0.2">
      <c r="A113" s="2">
        <v>2009</v>
      </c>
      <c r="B113" s="630">
        <v>6619.3999999999896</v>
      </c>
      <c r="C113" s="614"/>
      <c r="D113" s="76"/>
      <c r="E113" s="628"/>
    </row>
    <row r="114" spans="1:5" x14ac:dyDescent="0.2">
      <c r="A114" s="2">
        <v>2010</v>
      </c>
      <c r="B114" s="630">
        <v>6651.5258333333304</v>
      </c>
      <c r="C114" s="614"/>
      <c r="E114" s="628"/>
    </row>
    <row r="115" spans="1:5" x14ac:dyDescent="0.2">
      <c r="A115" s="2">
        <v>2011</v>
      </c>
      <c r="B115" s="630">
        <v>4181.41</v>
      </c>
      <c r="C115" s="614"/>
      <c r="E115" s="628"/>
    </row>
    <row r="116" spans="1:5" x14ac:dyDescent="0.2">
      <c r="A116" s="2">
        <v>2012</v>
      </c>
      <c r="B116" s="630">
        <v>4681.24999999999</v>
      </c>
      <c r="C116" s="614"/>
      <c r="E116" s="628"/>
    </row>
    <row r="117" spans="1:5" x14ac:dyDescent="0.2">
      <c r="A117" s="2">
        <v>2013</v>
      </c>
      <c r="B117" s="630">
        <v>4695.3041666666604</v>
      </c>
      <c r="C117" s="614"/>
      <c r="E117" s="628"/>
    </row>
    <row r="118" spans="1:5" x14ac:dyDescent="0.2">
      <c r="A118" s="2">
        <v>2014</v>
      </c>
      <c r="B118" s="630">
        <v>4774.7833333333301</v>
      </c>
      <c r="C118" s="614"/>
      <c r="E118" s="628"/>
    </row>
    <row r="119" spans="1:5" x14ac:dyDescent="0.2">
      <c r="A119" s="2">
        <v>2015</v>
      </c>
      <c r="B119" s="630">
        <v>5446.4416666666602</v>
      </c>
      <c r="C119" s="614"/>
      <c r="D119" s="614"/>
    </row>
    <row r="120" spans="1:5" x14ac:dyDescent="0.2">
      <c r="A120" s="2">
        <v>2016</v>
      </c>
      <c r="B120" s="630">
        <v>5384.335</v>
      </c>
      <c r="C120" s="614"/>
      <c r="D120" s="614"/>
    </row>
    <row r="121" spans="1:5" x14ac:dyDescent="0.2">
      <c r="A121" s="2">
        <v>2017</v>
      </c>
      <c r="B121" s="630">
        <v>5158.1575000000003</v>
      </c>
      <c r="C121" s="614"/>
      <c r="D121" s="614"/>
    </row>
    <row r="122" spans="1:5" x14ac:dyDescent="0.2">
      <c r="A122" s="2">
        <v>2018</v>
      </c>
      <c r="B122" s="630">
        <v>5150.0050000000001</v>
      </c>
      <c r="C122" s="614"/>
      <c r="D122" s="614"/>
    </row>
    <row r="123" spans="1:5" x14ac:dyDescent="0.2">
      <c r="A123" s="2">
        <v>2019</v>
      </c>
      <c r="B123" s="630">
        <v>5638.9808333333303</v>
      </c>
      <c r="C123" s="614"/>
      <c r="D123" s="614"/>
    </row>
    <row r="124" spans="1:5" x14ac:dyDescent="0.2">
      <c r="A124" s="2">
        <v>2020</v>
      </c>
      <c r="B124" s="630">
        <v>5255.3391666666603</v>
      </c>
      <c r="C124" s="614"/>
      <c r="D124" s="614"/>
    </row>
    <row r="125" spans="1:5" x14ac:dyDescent="0.2">
      <c r="A125" s="2">
        <v>2021</v>
      </c>
      <c r="B125" s="630">
        <v>5219.9324999999999</v>
      </c>
      <c r="C125" s="614" t="s">
        <v>306</v>
      </c>
      <c r="D125" s="614"/>
    </row>
    <row r="126" spans="1:5" ht="19" x14ac:dyDescent="0.25">
      <c r="A126" s="2">
        <v>2022</v>
      </c>
      <c r="B126" s="637">
        <v>5621.7786863334104</v>
      </c>
      <c r="C126" s="637">
        <v>494.89887014403001</v>
      </c>
      <c r="D126" s="614"/>
    </row>
    <row r="127" spans="1:5" ht="19" x14ac:dyDescent="0.25">
      <c r="A127" s="2">
        <v>2023</v>
      </c>
      <c r="B127" s="637">
        <v>5939.5590715400504</v>
      </c>
      <c r="C127" s="637">
        <v>813.26992540319702</v>
      </c>
      <c r="D127" s="614"/>
    </row>
    <row r="128" spans="1:5" ht="19" x14ac:dyDescent="0.25">
      <c r="A128" s="2">
        <v>2024</v>
      </c>
      <c r="B128" s="637">
        <v>6238.5192846214704</v>
      </c>
      <c r="C128" s="637">
        <v>981.00027256097701</v>
      </c>
      <c r="D128" s="614"/>
    </row>
    <row r="129" spans="1:7" ht="19" x14ac:dyDescent="0.25">
      <c r="A129" s="2">
        <v>2025</v>
      </c>
      <c r="B129" s="637">
        <v>6521.76209805485</v>
      </c>
      <c r="C129" s="637">
        <v>1089.9523637621</v>
      </c>
      <c r="D129" s="614"/>
    </row>
    <row r="130" spans="1:7" ht="19" x14ac:dyDescent="0.25">
      <c r="A130" s="2">
        <v>2026</v>
      </c>
      <c r="B130" s="637">
        <v>6791.8787467576603</v>
      </c>
      <c r="C130" s="637">
        <v>1165.7646497332701</v>
      </c>
      <c r="D130" s="614"/>
    </row>
    <row r="131" spans="1:7" ht="19" x14ac:dyDescent="0.25">
      <c r="A131"/>
      <c r="B131" s="626"/>
      <c r="C131" s="626"/>
      <c r="D131" s="627"/>
    </row>
    <row r="132" spans="1:7" x14ac:dyDescent="0.2">
      <c r="A132" s="631"/>
      <c r="B132" s="632" t="s">
        <v>304</v>
      </c>
    </row>
    <row r="133" spans="1:7" x14ac:dyDescent="0.2">
      <c r="A133" s="633"/>
      <c r="B133" s="632" t="s">
        <v>305</v>
      </c>
    </row>
    <row r="134" spans="1:7" x14ac:dyDescent="0.2">
      <c r="A134"/>
      <c r="B134" s="625"/>
    </row>
    <row r="135" spans="1:7" x14ac:dyDescent="0.2">
      <c r="A135"/>
      <c r="B135" s="625"/>
    </row>
    <row r="136" spans="1:7" x14ac:dyDescent="0.2">
      <c r="A136" s="693" t="s">
        <v>308</v>
      </c>
      <c r="B136" s="632" t="s">
        <v>6</v>
      </c>
      <c r="C136" s="2">
        <v>2022</v>
      </c>
      <c r="D136" s="2">
        <v>2023</v>
      </c>
      <c r="E136" s="2">
        <v>2024</v>
      </c>
      <c r="F136" s="2">
        <v>2025</v>
      </c>
      <c r="G136" s="2">
        <v>2026</v>
      </c>
    </row>
    <row r="137" spans="1:7" x14ac:dyDescent="0.2">
      <c r="A137" s="693"/>
      <c r="B137" s="632" t="s">
        <v>309</v>
      </c>
      <c r="C137" s="2">
        <f>B126/B125</f>
        <v>1.076983023503352</v>
      </c>
      <c r="D137" s="2">
        <f>B127/B125</f>
        <v>1.1378612791525657</v>
      </c>
      <c r="E137" s="2">
        <f>B128/B125</f>
        <v>1.1951340912208099</v>
      </c>
      <c r="F137" s="2">
        <f>B129/B125</f>
        <v>1.2493958682520991</v>
      </c>
      <c r="G137" s="2">
        <f>B130/B125</f>
        <v>1.301143021822152</v>
      </c>
    </row>
    <row r="138" spans="1:7" x14ac:dyDescent="0.2">
      <c r="A138"/>
      <c r="B138" s="625"/>
    </row>
    <row r="139" spans="1:7" x14ac:dyDescent="0.2">
      <c r="A139"/>
      <c r="B139" s="625"/>
    </row>
    <row r="140" spans="1:7" x14ac:dyDescent="0.2">
      <c r="A140"/>
      <c r="B140" s="625"/>
    </row>
    <row r="141" spans="1:7" x14ac:dyDescent="0.2">
      <c r="A141"/>
      <c r="B141" s="625"/>
    </row>
    <row r="142" spans="1:7" x14ac:dyDescent="0.2">
      <c r="A142"/>
      <c r="B142" s="625"/>
    </row>
    <row r="143" spans="1:7" x14ac:dyDescent="0.2">
      <c r="A143"/>
      <c r="B143" s="625"/>
    </row>
    <row r="144" spans="1:7" x14ac:dyDescent="0.2">
      <c r="A144"/>
      <c r="B144" s="625"/>
    </row>
    <row r="145" spans="1:2" x14ac:dyDescent="0.2">
      <c r="A145"/>
      <c r="B145" s="625"/>
    </row>
    <row r="146" spans="1:2" x14ac:dyDescent="0.2">
      <c r="A146"/>
      <c r="B146" s="625"/>
    </row>
    <row r="147" spans="1:2" x14ac:dyDescent="0.2">
      <c r="A147"/>
      <c r="B147" s="625"/>
    </row>
    <row r="148" spans="1:2" x14ac:dyDescent="0.2">
      <c r="A148"/>
      <c r="B148" s="625"/>
    </row>
    <row r="149" spans="1:2" x14ac:dyDescent="0.2">
      <c r="A149"/>
      <c r="B149" s="625"/>
    </row>
    <row r="150" spans="1:2" x14ac:dyDescent="0.2">
      <c r="A150"/>
      <c r="B150" s="625"/>
    </row>
    <row r="151" spans="1:2" x14ac:dyDescent="0.2">
      <c r="A151"/>
      <c r="B151" s="625"/>
    </row>
    <row r="152" spans="1:2" x14ac:dyDescent="0.2">
      <c r="A152"/>
      <c r="B152" s="625"/>
    </row>
    <row r="153" spans="1:2" x14ac:dyDescent="0.2">
      <c r="A153"/>
      <c r="B153" s="625"/>
    </row>
    <row r="154" spans="1:2" x14ac:dyDescent="0.2">
      <c r="A154"/>
      <c r="B154" s="625"/>
    </row>
    <row r="155" spans="1:2" x14ac:dyDescent="0.2">
      <c r="A155"/>
      <c r="B155" s="625"/>
    </row>
    <row r="156" spans="1:2" x14ac:dyDescent="0.2">
      <c r="A156"/>
      <c r="B156" s="625"/>
    </row>
    <row r="157" spans="1:2" x14ac:dyDescent="0.2">
      <c r="A157"/>
      <c r="B157" s="625"/>
    </row>
    <row r="158" spans="1:2" x14ac:dyDescent="0.2">
      <c r="A158"/>
      <c r="B158" s="625"/>
    </row>
    <row r="159" spans="1:2" x14ac:dyDescent="0.2">
      <c r="A159"/>
      <c r="B159" s="625"/>
    </row>
    <row r="160" spans="1:2" x14ac:dyDescent="0.2">
      <c r="A160"/>
      <c r="B160" s="625"/>
    </row>
    <row r="161" spans="1:2" x14ac:dyDescent="0.2">
      <c r="A161"/>
      <c r="B161" s="625"/>
    </row>
    <row r="162" spans="1:2" x14ac:dyDescent="0.2">
      <c r="A162"/>
      <c r="B162" s="625"/>
    </row>
    <row r="163" spans="1:2" x14ac:dyDescent="0.2">
      <c r="A163"/>
      <c r="B163" s="625"/>
    </row>
    <row r="164" spans="1:2" x14ac:dyDescent="0.2">
      <c r="A164"/>
      <c r="B164" s="625"/>
    </row>
    <row r="165" spans="1:2" x14ac:dyDescent="0.2">
      <c r="A165"/>
      <c r="B165" s="625"/>
    </row>
    <row r="166" spans="1:2" x14ac:dyDescent="0.2">
      <c r="A166"/>
      <c r="B166" s="625"/>
    </row>
    <row r="167" spans="1:2" x14ac:dyDescent="0.2">
      <c r="A167"/>
      <c r="B167" s="625"/>
    </row>
    <row r="168" spans="1:2" x14ac:dyDescent="0.2">
      <c r="A168"/>
      <c r="B168" s="625"/>
    </row>
    <row r="169" spans="1:2" x14ac:dyDescent="0.2">
      <c r="A169"/>
      <c r="B169" s="625"/>
    </row>
    <row r="170" spans="1:2" x14ac:dyDescent="0.2">
      <c r="A170"/>
      <c r="B170" s="625"/>
    </row>
    <row r="171" spans="1:2" x14ac:dyDescent="0.2">
      <c r="A171"/>
      <c r="B171" s="625"/>
    </row>
    <row r="172" spans="1:2" x14ac:dyDescent="0.2">
      <c r="A172"/>
      <c r="B172" s="625"/>
    </row>
    <row r="173" spans="1:2" x14ac:dyDescent="0.2">
      <c r="A173"/>
      <c r="B173" s="625"/>
    </row>
    <row r="174" spans="1:2" x14ac:dyDescent="0.2">
      <c r="A174"/>
      <c r="B174" s="625"/>
    </row>
    <row r="175" spans="1:2" x14ac:dyDescent="0.2">
      <c r="A175"/>
      <c r="B175" s="625"/>
    </row>
    <row r="176" spans="1:2" x14ac:dyDescent="0.2">
      <c r="A176"/>
      <c r="B176" s="625"/>
    </row>
    <row r="177" spans="1:2" x14ac:dyDescent="0.2">
      <c r="A177"/>
      <c r="B177" s="625"/>
    </row>
    <row r="178" spans="1:2" x14ac:dyDescent="0.2">
      <c r="A178"/>
      <c r="B178" s="625"/>
    </row>
    <row r="179" spans="1:2" x14ac:dyDescent="0.2">
      <c r="A179"/>
      <c r="B179" s="625"/>
    </row>
    <row r="180" spans="1:2" x14ac:dyDescent="0.2">
      <c r="A180"/>
      <c r="B180" s="625"/>
    </row>
    <row r="181" spans="1:2" x14ac:dyDescent="0.2">
      <c r="A181"/>
      <c r="B181" s="625"/>
    </row>
    <row r="182" spans="1:2" x14ac:dyDescent="0.2">
      <c r="A182"/>
      <c r="B182" s="625"/>
    </row>
    <row r="183" spans="1:2" x14ac:dyDescent="0.2">
      <c r="A183"/>
      <c r="B183" s="625"/>
    </row>
    <row r="184" spans="1:2" x14ac:dyDescent="0.2">
      <c r="A184"/>
      <c r="B184" s="625"/>
    </row>
    <row r="185" spans="1:2" x14ac:dyDescent="0.2">
      <c r="A185"/>
      <c r="B185" s="625"/>
    </row>
    <row r="186" spans="1:2" x14ac:dyDescent="0.2">
      <c r="A186"/>
      <c r="B186" s="625"/>
    </row>
    <row r="187" spans="1:2" x14ac:dyDescent="0.2">
      <c r="A187"/>
      <c r="B187" s="625"/>
    </row>
    <row r="188" spans="1:2" x14ac:dyDescent="0.2">
      <c r="A188"/>
      <c r="B188" s="625"/>
    </row>
    <row r="189" spans="1:2" x14ac:dyDescent="0.2">
      <c r="A189"/>
      <c r="B189" s="625"/>
    </row>
    <row r="190" spans="1:2" x14ac:dyDescent="0.2">
      <c r="A190"/>
      <c r="B190" s="625"/>
    </row>
    <row r="191" spans="1:2" x14ac:dyDescent="0.2">
      <c r="A191"/>
      <c r="B191" s="625"/>
    </row>
    <row r="192" spans="1:2" x14ac:dyDescent="0.2">
      <c r="A192"/>
      <c r="B192" s="625"/>
    </row>
    <row r="193" spans="1:2" x14ac:dyDescent="0.2">
      <c r="A193"/>
      <c r="B193" s="625"/>
    </row>
    <row r="194" spans="1:2" x14ac:dyDescent="0.2">
      <c r="A194"/>
      <c r="B194" s="625"/>
    </row>
    <row r="195" spans="1:2" x14ac:dyDescent="0.2">
      <c r="A195"/>
      <c r="B195" s="625"/>
    </row>
    <row r="196" spans="1:2" x14ac:dyDescent="0.2">
      <c r="A196"/>
      <c r="B196" s="625"/>
    </row>
    <row r="197" spans="1:2" x14ac:dyDescent="0.2">
      <c r="A197"/>
      <c r="B197" s="625"/>
    </row>
    <row r="198" spans="1:2" x14ac:dyDescent="0.2">
      <c r="A198"/>
      <c r="B198" s="625"/>
    </row>
    <row r="199" spans="1:2" x14ac:dyDescent="0.2">
      <c r="A199"/>
      <c r="B199" s="625"/>
    </row>
    <row r="200" spans="1:2" x14ac:dyDescent="0.2">
      <c r="A200"/>
      <c r="B200" s="625"/>
    </row>
    <row r="201" spans="1:2" x14ac:dyDescent="0.2">
      <c r="A201"/>
      <c r="B201" s="625"/>
    </row>
    <row r="202" spans="1:2" x14ac:dyDescent="0.2">
      <c r="A202"/>
      <c r="B202" s="625"/>
    </row>
    <row r="203" spans="1:2" x14ac:dyDescent="0.2">
      <c r="A203"/>
      <c r="B203" s="625"/>
    </row>
    <row r="204" spans="1:2" x14ac:dyDescent="0.2">
      <c r="A204"/>
      <c r="B204" s="625"/>
    </row>
    <row r="205" spans="1:2" x14ac:dyDescent="0.2">
      <c r="A205"/>
      <c r="B205" s="625"/>
    </row>
    <row r="206" spans="1:2" x14ac:dyDescent="0.2">
      <c r="A206"/>
      <c r="B206" s="625"/>
    </row>
    <row r="207" spans="1:2" x14ac:dyDescent="0.2">
      <c r="A207"/>
      <c r="B207" s="625"/>
    </row>
    <row r="208" spans="1:2" x14ac:dyDescent="0.2">
      <c r="A208"/>
      <c r="B208" s="625"/>
    </row>
    <row r="209" spans="1:2" x14ac:dyDescent="0.2">
      <c r="A209"/>
      <c r="B209" s="625"/>
    </row>
    <row r="210" spans="1:2" x14ac:dyDescent="0.2">
      <c r="A210"/>
      <c r="B210" s="625"/>
    </row>
  </sheetData>
  <mergeCells count="26">
    <mergeCell ref="H85:I85"/>
    <mergeCell ref="A136:A137"/>
    <mergeCell ref="A65:A66"/>
    <mergeCell ref="B61:F61"/>
    <mergeCell ref="A69:C69"/>
    <mergeCell ref="E69:G69"/>
    <mergeCell ref="B85:C85"/>
    <mergeCell ref="E85:F85"/>
    <mergeCell ref="B40:E40"/>
    <mergeCell ref="B35:H35"/>
    <mergeCell ref="A21:A33"/>
    <mergeCell ref="A40:A48"/>
    <mergeCell ref="A63:A64"/>
    <mergeCell ref="C1:D1"/>
    <mergeCell ref="A1:B1"/>
    <mergeCell ref="E1:H1"/>
    <mergeCell ref="B29:C29"/>
    <mergeCell ref="B21:C21"/>
    <mergeCell ref="B22:C22"/>
    <mergeCell ref="B23:C23"/>
    <mergeCell ref="B24:C24"/>
    <mergeCell ref="B25:C25"/>
    <mergeCell ref="B26:C26"/>
    <mergeCell ref="B27:C27"/>
    <mergeCell ref="A10:A14"/>
    <mergeCell ref="A16:A18"/>
  </mergeCells>
  <conditionalFormatting sqref="E103:E108">
    <cfRule type="colorScale" priority="4">
      <colorScale>
        <cfvo type="num" val="5326"/>
        <cfvo type="num" val="5327"/>
        <color theme="4" tint="0.39997558519241921"/>
        <color theme="2" tint="-0.249977111117893"/>
      </colorScale>
    </cfRule>
    <cfRule type="colorScale" priority="5">
      <colorScale>
        <cfvo type="num" val="5326"/>
        <cfvo type="max"/>
        <color rgb="FFFF7128"/>
        <color rgb="FFFFEF9C"/>
      </colorScale>
    </cfRule>
    <cfRule type="colorScale" priority="6">
      <colorScale>
        <cfvo type="min"/>
        <cfvo type="max"/>
        <color theme="4" tint="0.39997558519241921"/>
        <color theme="2" tint="-0.249977111117893"/>
      </colorScale>
    </cfRule>
  </conditionalFormatting>
  <conditionalFormatting sqref="E113:E118">
    <cfRule type="colorScale" priority="1">
      <colorScale>
        <cfvo type="num" val="5326"/>
        <cfvo type="num" val="5327"/>
        <color theme="4" tint="0.39997558519241921"/>
        <color theme="2" tint="-0.249977111117893"/>
      </colorScale>
    </cfRule>
    <cfRule type="colorScale" priority="2">
      <colorScale>
        <cfvo type="num" val="5326"/>
        <cfvo type="max"/>
        <color rgb="FFFF7128"/>
        <color rgb="FFFFEF9C"/>
      </colorScale>
    </cfRule>
    <cfRule type="colorScale" priority="3">
      <colorScale>
        <cfvo type="min"/>
        <cfvo type="max"/>
        <color theme="4" tint="0.39997558519241921"/>
        <color theme="2" tint="-0.24997711111789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9"/>
  <sheetViews>
    <sheetView showGridLines="0" topLeftCell="B1" zoomScale="51" workbookViewId="0">
      <selection activeCell="I50" sqref="I50"/>
    </sheetView>
  </sheetViews>
  <sheetFormatPr baseColWidth="10" defaultColWidth="11.1640625" defaultRowHeight="15" customHeight="1" x14ac:dyDescent="0.2"/>
  <cols>
    <col min="1" max="1" width="17" customWidth="1"/>
    <col min="2" max="2" width="39" customWidth="1"/>
    <col min="3" max="3" width="19.33203125" customWidth="1"/>
    <col min="4" max="4" width="20.6640625" customWidth="1"/>
    <col min="5" max="5" width="28.83203125" customWidth="1"/>
    <col min="6" max="6" width="29.1640625" customWidth="1"/>
    <col min="7" max="8" width="23.6640625" customWidth="1"/>
    <col min="9" max="9" width="23.5" customWidth="1"/>
    <col min="10" max="10" width="20.1640625" customWidth="1"/>
    <col min="11" max="11" width="18.33203125" customWidth="1"/>
    <col min="12" max="12" width="14.83203125" customWidth="1"/>
    <col min="13" max="13" width="14.1640625" customWidth="1"/>
    <col min="14" max="14" width="10.83203125" customWidth="1"/>
    <col min="15" max="15" width="22.6640625" customWidth="1"/>
    <col min="16" max="16" width="26.1640625" customWidth="1"/>
    <col min="17" max="17" width="24.6640625" customWidth="1"/>
    <col min="18" max="18" width="22.33203125" customWidth="1"/>
    <col min="19" max="19" width="23.5" customWidth="1"/>
    <col min="20" max="20" width="24.33203125" customWidth="1"/>
    <col min="21" max="21" width="23.1640625" customWidth="1"/>
    <col min="22" max="22" width="25.33203125" customWidth="1"/>
    <col min="23" max="23" width="25.1640625" customWidth="1"/>
    <col min="24" max="24" width="24.33203125" customWidth="1"/>
    <col min="25" max="25" width="24" customWidth="1"/>
    <col min="26" max="26" width="24.6640625" customWidth="1"/>
  </cols>
  <sheetData>
    <row r="1" spans="1:26" ht="54.75" customHeight="1" thickBot="1" x14ac:dyDescent="0.25">
      <c r="A1" s="239"/>
      <c r="B1" s="243" t="s">
        <v>96</v>
      </c>
      <c r="C1" s="244" t="s">
        <v>62</v>
      </c>
      <c r="D1" s="244" t="s">
        <v>97</v>
      </c>
      <c r="E1" s="244" t="s">
        <v>98</v>
      </c>
      <c r="F1" s="244" t="s">
        <v>99</v>
      </c>
      <c r="G1" s="245" t="s">
        <v>100</v>
      </c>
      <c r="H1" s="244" t="s">
        <v>101</v>
      </c>
      <c r="I1" s="246" t="s">
        <v>102</v>
      </c>
      <c r="J1" s="246" t="s">
        <v>103</v>
      </c>
      <c r="K1" s="244" t="s">
        <v>104</v>
      </c>
      <c r="L1" s="244" t="s">
        <v>105</v>
      </c>
      <c r="M1" s="244" t="s">
        <v>106</v>
      </c>
      <c r="N1" s="244" t="s">
        <v>107</v>
      </c>
      <c r="O1" s="244" t="s">
        <v>108</v>
      </c>
      <c r="P1" s="247" t="s">
        <v>109</v>
      </c>
      <c r="Q1" s="244" t="s">
        <v>110</v>
      </c>
      <c r="R1" s="244" t="s">
        <v>111</v>
      </c>
      <c r="S1" s="244" t="s">
        <v>112</v>
      </c>
      <c r="T1" s="244" t="s">
        <v>113</v>
      </c>
      <c r="U1" s="244" t="s">
        <v>114</v>
      </c>
      <c r="V1" s="247" t="s">
        <v>115</v>
      </c>
      <c r="W1" s="247" t="s">
        <v>116</v>
      </c>
      <c r="X1" s="247" t="s">
        <v>24</v>
      </c>
      <c r="Y1" s="248" t="s">
        <v>161</v>
      </c>
      <c r="Z1" s="5"/>
    </row>
    <row r="2" spans="1:26" ht="15.75" customHeight="1" x14ac:dyDescent="0.2">
      <c r="A2" s="647" t="s">
        <v>19</v>
      </c>
      <c r="B2" s="240" t="s">
        <v>117</v>
      </c>
      <c r="C2" s="198">
        <v>5</v>
      </c>
      <c r="D2" s="198" t="s">
        <v>118</v>
      </c>
      <c r="E2" s="198">
        <v>1</v>
      </c>
      <c r="F2" s="199">
        <v>566.66666666666663</v>
      </c>
      <c r="G2" s="200">
        <v>2000</v>
      </c>
      <c r="H2" s="200">
        <f t="shared" ref="H2:H43" si="0">G2*price_2021</f>
        <v>1851.3744431063719</v>
      </c>
      <c r="I2" s="200"/>
      <c r="J2" s="201"/>
      <c r="K2" s="198">
        <v>164</v>
      </c>
      <c r="L2" s="202"/>
      <c r="M2" s="203">
        <v>0.9</v>
      </c>
      <c r="N2" s="204"/>
      <c r="O2" s="205">
        <v>17100000</v>
      </c>
      <c r="P2" s="206">
        <f>O2+(N2*L2*J2+M2*K2*H2)*F2</f>
        <v>171948958.42141694</v>
      </c>
      <c r="Q2" s="207">
        <v>42000</v>
      </c>
      <c r="R2" s="205">
        <v>6000</v>
      </c>
      <c r="S2" s="198">
        <v>2</v>
      </c>
      <c r="T2" s="205">
        <v>2000</v>
      </c>
      <c r="U2" s="198">
        <v>4</v>
      </c>
      <c r="V2" s="202">
        <v>2600</v>
      </c>
      <c r="W2" s="208">
        <f t="shared" ref="W2:W13" si="1">V2*F2*E2</f>
        <v>1473333.3333333333</v>
      </c>
      <c r="X2" s="201">
        <f t="shared" ref="X2:X13" si="2">Q2*F2</f>
        <v>23800000</v>
      </c>
      <c r="Y2" s="209">
        <f t="shared" ref="Y2:Y13" si="3">(T2*U2+R2*S2)*F2*E2</f>
        <v>11333333.333333332</v>
      </c>
      <c r="Z2" s="2"/>
    </row>
    <row r="3" spans="1:26" ht="18" customHeight="1" x14ac:dyDescent="0.2">
      <c r="A3" s="648"/>
      <c r="B3" s="241" t="s">
        <v>120</v>
      </c>
      <c r="C3" s="172">
        <v>5</v>
      </c>
      <c r="D3" s="172" t="s">
        <v>118</v>
      </c>
      <c r="E3" s="172">
        <v>4</v>
      </c>
      <c r="F3" s="173">
        <v>566.66666666666663</v>
      </c>
      <c r="G3" s="174">
        <v>4500</v>
      </c>
      <c r="H3" s="174">
        <f t="shared" si="0"/>
        <v>4165.5924969893367</v>
      </c>
      <c r="I3" s="174"/>
      <c r="J3" s="175"/>
      <c r="K3" s="172">
        <v>164</v>
      </c>
      <c r="L3" s="176"/>
      <c r="M3" s="177">
        <v>0.9</v>
      </c>
      <c r="N3" s="178"/>
      <c r="O3" s="179">
        <v>9000000</v>
      </c>
      <c r="P3" s="180">
        <f t="shared" ref="P3:P13" si="4">O3+(N3*L3*J3+M3*K3*H3)*F3</f>
        <v>357410156.44818807</v>
      </c>
      <c r="Q3" s="181">
        <v>42000</v>
      </c>
      <c r="R3" s="179">
        <v>6000</v>
      </c>
      <c r="S3" s="172">
        <v>2</v>
      </c>
      <c r="T3" s="179">
        <v>2000</v>
      </c>
      <c r="U3" s="172">
        <v>4</v>
      </c>
      <c r="V3" s="176">
        <v>2600</v>
      </c>
      <c r="W3" s="182">
        <f t="shared" si="1"/>
        <v>5893333.333333333</v>
      </c>
      <c r="X3" s="175">
        <f t="shared" si="2"/>
        <v>23800000</v>
      </c>
      <c r="Y3" s="210">
        <f t="shared" si="3"/>
        <v>45333333.333333328</v>
      </c>
      <c r="Z3" s="2"/>
    </row>
    <row r="4" spans="1:26" ht="18" customHeight="1" x14ac:dyDescent="0.2">
      <c r="A4" s="648"/>
      <c r="B4" s="242" t="s">
        <v>133</v>
      </c>
      <c r="C4" s="172">
        <v>5</v>
      </c>
      <c r="D4" s="172" t="s">
        <v>127</v>
      </c>
      <c r="E4" s="172">
        <v>4</v>
      </c>
      <c r="F4" s="173">
        <v>566.66666666666663</v>
      </c>
      <c r="G4" s="174">
        <v>12011.09570041609</v>
      </c>
      <c r="H4" s="174">
        <f t="shared" si="0"/>
        <v>11118.517806727588</v>
      </c>
      <c r="I4" s="174"/>
      <c r="J4" s="174"/>
      <c r="K4" s="172">
        <v>164</v>
      </c>
      <c r="L4" s="176"/>
      <c r="M4" s="177">
        <v>0.9</v>
      </c>
      <c r="N4" s="178"/>
      <c r="O4" s="179">
        <v>15889360.257933142</v>
      </c>
      <c r="P4" s="180">
        <f t="shared" si="4"/>
        <v>945842189.61262846</v>
      </c>
      <c r="Q4" s="181">
        <v>42000</v>
      </c>
      <c r="R4" s="179">
        <v>6000</v>
      </c>
      <c r="S4" s="172">
        <v>2</v>
      </c>
      <c r="T4" s="179">
        <v>2000</v>
      </c>
      <c r="U4" s="172">
        <v>4</v>
      </c>
      <c r="V4" s="176">
        <v>2600</v>
      </c>
      <c r="W4" s="182">
        <f t="shared" si="1"/>
        <v>5893333.333333333</v>
      </c>
      <c r="X4" s="175">
        <f t="shared" si="2"/>
        <v>23800000</v>
      </c>
      <c r="Y4" s="210">
        <f t="shared" si="3"/>
        <v>45333333.333333328</v>
      </c>
      <c r="Z4" s="2"/>
    </row>
    <row r="5" spans="1:26" ht="18" customHeight="1" x14ac:dyDescent="0.2">
      <c r="A5" s="648"/>
      <c r="B5" s="241" t="s">
        <v>121</v>
      </c>
      <c r="C5" s="172">
        <v>6</v>
      </c>
      <c r="D5" s="172" t="s">
        <v>118</v>
      </c>
      <c r="E5" s="172">
        <v>2.5</v>
      </c>
      <c r="F5" s="173">
        <v>577.77777777777771</v>
      </c>
      <c r="G5" s="174">
        <v>5000</v>
      </c>
      <c r="H5" s="174">
        <f t="shared" si="0"/>
        <v>4628.4361077659296</v>
      </c>
      <c r="I5" s="174"/>
      <c r="J5" s="175"/>
      <c r="K5" s="172">
        <v>164</v>
      </c>
      <c r="L5" s="176"/>
      <c r="M5" s="177">
        <v>0.9</v>
      </c>
      <c r="N5" s="178"/>
      <c r="O5" s="179">
        <v>9750000</v>
      </c>
      <c r="P5" s="180">
        <f t="shared" si="4"/>
        <v>404463031.27027845</v>
      </c>
      <c r="Q5" s="181">
        <v>42000</v>
      </c>
      <c r="R5" s="179">
        <v>6000</v>
      </c>
      <c r="S5" s="172">
        <v>2</v>
      </c>
      <c r="T5" s="179">
        <v>2000</v>
      </c>
      <c r="U5" s="172">
        <v>4</v>
      </c>
      <c r="V5" s="176">
        <v>2600</v>
      </c>
      <c r="W5" s="182">
        <f t="shared" si="1"/>
        <v>3755555.555555555</v>
      </c>
      <c r="X5" s="175">
        <f t="shared" si="2"/>
        <v>24266666.666666664</v>
      </c>
      <c r="Y5" s="210">
        <f t="shared" si="3"/>
        <v>28888888.888888884</v>
      </c>
      <c r="Z5" s="2"/>
    </row>
    <row r="6" spans="1:26" ht="18" customHeight="1" x14ac:dyDescent="0.2">
      <c r="A6" s="648"/>
      <c r="B6" s="241" t="s">
        <v>124</v>
      </c>
      <c r="C6" s="172">
        <v>6</v>
      </c>
      <c r="D6" s="172" t="s">
        <v>118</v>
      </c>
      <c r="E6" s="172">
        <v>2</v>
      </c>
      <c r="F6" s="173">
        <v>633.33333333333337</v>
      </c>
      <c r="G6" s="174">
        <v>5500</v>
      </c>
      <c r="H6" s="174">
        <f t="shared" si="0"/>
        <v>5091.2797185425225</v>
      </c>
      <c r="I6" s="174"/>
      <c r="J6" s="174"/>
      <c r="K6" s="172">
        <v>164</v>
      </c>
      <c r="L6" s="176"/>
      <c r="M6" s="177">
        <v>0.9</v>
      </c>
      <c r="N6" s="178"/>
      <c r="O6" s="179">
        <v>11400000</v>
      </c>
      <c r="P6" s="180">
        <f t="shared" si="4"/>
        <v>487332828.08935499</v>
      </c>
      <c r="Q6" s="181">
        <v>42000</v>
      </c>
      <c r="R6" s="179">
        <v>6000</v>
      </c>
      <c r="S6" s="172">
        <v>2</v>
      </c>
      <c r="T6" s="179">
        <v>2000</v>
      </c>
      <c r="U6" s="172">
        <v>4</v>
      </c>
      <c r="V6" s="176">
        <v>2600</v>
      </c>
      <c r="W6" s="182">
        <f t="shared" si="1"/>
        <v>3293333.3333333335</v>
      </c>
      <c r="X6" s="175">
        <f t="shared" si="2"/>
        <v>26600000</v>
      </c>
      <c r="Y6" s="210">
        <f t="shared" si="3"/>
        <v>25333333.333333336</v>
      </c>
      <c r="Z6" s="2"/>
    </row>
    <row r="7" spans="1:26" ht="18" customHeight="1" x14ac:dyDescent="0.2">
      <c r="A7" s="648"/>
      <c r="B7" s="242" t="s">
        <v>209</v>
      </c>
      <c r="C7" s="172">
        <v>6</v>
      </c>
      <c r="D7" s="172" t="s">
        <v>127</v>
      </c>
      <c r="E7" s="172">
        <v>2.5</v>
      </c>
      <c r="F7" s="173">
        <v>577.77777777777771</v>
      </c>
      <c r="G7" s="174">
        <v>7489.5977808599173</v>
      </c>
      <c r="H7" s="174">
        <f t="shared" si="0"/>
        <v>6933.0249603151242</v>
      </c>
      <c r="I7" s="174"/>
      <c r="J7" s="174"/>
      <c r="K7" s="172">
        <v>164</v>
      </c>
      <c r="L7" s="176"/>
      <c r="M7" s="177">
        <v>0.9</v>
      </c>
      <c r="N7" s="178"/>
      <c r="O7" s="179">
        <v>10125572.713388765</v>
      </c>
      <c r="P7" s="180">
        <f t="shared" si="4"/>
        <v>601373941.32906246</v>
      </c>
      <c r="Q7" s="181">
        <v>42000</v>
      </c>
      <c r="R7" s="179">
        <v>6000</v>
      </c>
      <c r="S7" s="172">
        <v>2</v>
      </c>
      <c r="T7" s="179">
        <v>2000</v>
      </c>
      <c r="U7" s="172">
        <v>4</v>
      </c>
      <c r="V7" s="176">
        <v>2600</v>
      </c>
      <c r="W7" s="182">
        <f t="shared" si="1"/>
        <v>3755555.555555555</v>
      </c>
      <c r="X7" s="175">
        <f t="shared" si="2"/>
        <v>24266666.666666664</v>
      </c>
      <c r="Y7" s="210">
        <f t="shared" si="3"/>
        <v>28888888.888888884</v>
      </c>
      <c r="Z7" s="2"/>
    </row>
    <row r="8" spans="1:26" ht="18" customHeight="1" x14ac:dyDescent="0.2">
      <c r="A8" s="648"/>
      <c r="B8" s="241" t="s">
        <v>122</v>
      </c>
      <c r="C8" s="172">
        <v>7</v>
      </c>
      <c r="D8" s="172" t="s">
        <v>118</v>
      </c>
      <c r="E8" s="172">
        <v>4</v>
      </c>
      <c r="F8" s="173">
        <f>0.7*977.212389380531</f>
        <v>684.04867256637169</v>
      </c>
      <c r="G8" s="174">
        <v>11000</v>
      </c>
      <c r="H8" s="174">
        <f t="shared" si="0"/>
        <v>10182.559437085045</v>
      </c>
      <c r="I8" s="174">
        <v>70000</v>
      </c>
      <c r="J8" s="174">
        <f t="shared" ref="J8:J43" si="5">I8*price_2021</f>
        <v>64798.10550872302</v>
      </c>
      <c r="K8" s="172">
        <v>140</v>
      </c>
      <c r="L8" s="172">
        <v>12</v>
      </c>
      <c r="M8" s="177">
        <v>0.9</v>
      </c>
      <c r="N8" s="178">
        <v>0.8</v>
      </c>
      <c r="O8" s="179">
        <v>15750000</v>
      </c>
      <c r="P8" s="180">
        <f t="shared" si="4"/>
        <v>1318906706.9068956</v>
      </c>
      <c r="Q8" s="181">
        <v>42000</v>
      </c>
      <c r="R8" s="179">
        <v>6000</v>
      </c>
      <c r="S8" s="172">
        <v>2</v>
      </c>
      <c r="T8" s="179">
        <v>2000</v>
      </c>
      <c r="U8" s="172">
        <v>4</v>
      </c>
      <c r="V8" s="176">
        <v>2600</v>
      </c>
      <c r="W8" s="182">
        <f t="shared" si="1"/>
        <v>7114106.1946902657</v>
      </c>
      <c r="X8" s="175">
        <f t="shared" si="2"/>
        <v>28730044.24778761</v>
      </c>
      <c r="Y8" s="210">
        <f t="shared" si="3"/>
        <v>54723893.805309735</v>
      </c>
      <c r="Z8" s="2"/>
    </row>
    <row r="9" spans="1:26" ht="18" customHeight="1" x14ac:dyDescent="0.2">
      <c r="A9" s="648"/>
      <c r="B9" s="241" t="s">
        <v>123</v>
      </c>
      <c r="C9" s="172">
        <v>7</v>
      </c>
      <c r="D9" s="172" t="s">
        <v>118</v>
      </c>
      <c r="E9" s="172">
        <v>4.5</v>
      </c>
      <c r="F9" s="173">
        <f>443</f>
        <v>443</v>
      </c>
      <c r="G9" s="174">
        <v>7500</v>
      </c>
      <c r="H9" s="174">
        <f t="shared" si="0"/>
        <v>6942.6541616488948</v>
      </c>
      <c r="I9" s="174">
        <v>45000</v>
      </c>
      <c r="J9" s="174">
        <f t="shared" si="5"/>
        <v>41655.924969893371</v>
      </c>
      <c r="K9" s="172">
        <v>140</v>
      </c>
      <c r="L9" s="172">
        <v>12</v>
      </c>
      <c r="M9" s="177">
        <v>0.9</v>
      </c>
      <c r="N9" s="178">
        <v>0.8</v>
      </c>
      <c r="O9" s="179">
        <v>14400000</v>
      </c>
      <c r="P9" s="180">
        <f t="shared" si="4"/>
        <v>579079387.70688057</v>
      </c>
      <c r="Q9" s="181">
        <v>42000</v>
      </c>
      <c r="R9" s="179">
        <v>6000</v>
      </c>
      <c r="S9" s="172">
        <v>2</v>
      </c>
      <c r="T9" s="179">
        <v>2000</v>
      </c>
      <c r="U9" s="172">
        <v>4</v>
      </c>
      <c r="V9" s="176">
        <v>2600</v>
      </c>
      <c r="W9" s="182">
        <f t="shared" si="1"/>
        <v>5183100</v>
      </c>
      <c r="X9" s="175">
        <f t="shared" si="2"/>
        <v>18606000</v>
      </c>
      <c r="Y9" s="210">
        <f t="shared" si="3"/>
        <v>39870000</v>
      </c>
      <c r="Z9" s="2"/>
    </row>
    <row r="10" spans="1:26" ht="18" customHeight="1" x14ac:dyDescent="0.2">
      <c r="A10" s="648"/>
      <c r="B10" s="242" t="s">
        <v>131</v>
      </c>
      <c r="C10" s="172">
        <v>7</v>
      </c>
      <c r="D10" s="172" t="s">
        <v>127</v>
      </c>
      <c r="E10" s="172">
        <v>2</v>
      </c>
      <c r="F10" s="173">
        <f>0.7*633.333333333333</f>
        <v>443.33333333333309</v>
      </c>
      <c r="G10" s="174">
        <v>5325.9361997226079</v>
      </c>
      <c r="H10" s="174">
        <f t="shared" si="0"/>
        <v>4930.1510828907549</v>
      </c>
      <c r="I10" s="175">
        <v>36985.668053629219</v>
      </c>
      <c r="J10" s="174">
        <f t="shared" si="5"/>
        <v>34237.160297852461</v>
      </c>
      <c r="K10" s="172">
        <v>140</v>
      </c>
      <c r="L10" s="176">
        <v>12</v>
      </c>
      <c r="M10" s="177">
        <v>0.9</v>
      </c>
      <c r="N10" s="178">
        <v>0.8</v>
      </c>
      <c r="O10" s="179">
        <v>7373806.126376464</v>
      </c>
      <c r="P10" s="180">
        <f t="shared" si="4"/>
        <v>428485399.84431386</v>
      </c>
      <c r="Q10" s="181">
        <v>42000</v>
      </c>
      <c r="R10" s="179">
        <v>6000</v>
      </c>
      <c r="S10" s="172">
        <v>2</v>
      </c>
      <c r="T10" s="179">
        <v>2000</v>
      </c>
      <c r="U10" s="172">
        <v>4</v>
      </c>
      <c r="V10" s="176">
        <v>2600</v>
      </c>
      <c r="W10" s="182">
        <f t="shared" si="1"/>
        <v>2305333.3333333321</v>
      </c>
      <c r="X10" s="175">
        <f t="shared" si="2"/>
        <v>18619999.999999989</v>
      </c>
      <c r="Y10" s="210">
        <f t="shared" si="3"/>
        <v>17733333.333333325</v>
      </c>
      <c r="Z10" s="2"/>
    </row>
    <row r="11" spans="1:26" ht="18" customHeight="1" x14ac:dyDescent="0.2">
      <c r="A11" s="648"/>
      <c r="B11" s="241" t="s">
        <v>119</v>
      </c>
      <c r="C11" s="172">
        <v>8</v>
      </c>
      <c r="D11" s="172" t="s">
        <v>118</v>
      </c>
      <c r="E11" s="172">
        <v>4</v>
      </c>
      <c r="F11" s="173">
        <v>566.66666666666697</v>
      </c>
      <c r="G11" s="174">
        <v>4000</v>
      </c>
      <c r="H11" s="174">
        <f t="shared" si="0"/>
        <v>3702.7488862127439</v>
      </c>
      <c r="I11" s="174"/>
      <c r="J11" s="174">
        <f t="shared" si="5"/>
        <v>0</v>
      </c>
      <c r="K11" s="172">
        <v>164</v>
      </c>
      <c r="L11" s="176"/>
      <c r="M11" s="177">
        <v>0.9</v>
      </c>
      <c r="N11" s="178"/>
      <c r="O11" s="179">
        <v>9000000</v>
      </c>
      <c r="P11" s="180">
        <f t="shared" si="4"/>
        <v>318697916.84283406</v>
      </c>
      <c r="Q11" s="181">
        <v>42000</v>
      </c>
      <c r="R11" s="179">
        <v>6000</v>
      </c>
      <c r="S11" s="172">
        <v>2</v>
      </c>
      <c r="T11" s="179">
        <v>2000</v>
      </c>
      <c r="U11" s="172">
        <v>4</v>
      </c>
      <c r="V11" s="176">
        <v>2600</v>
      </c>
      <c r="W11" s="182">
        <f t="shared" si="1"/>
        <v>5893333.3333333367</v>
      </c>
      <c r="X11" s="175">
        <f t="shared" si="2"/>
        <v>23800000.000000011</v>
      </c>
      <c r="Y11" s="210">
        <f t="shared" si="3"/>
        <v>45333333.333333358</v>
      </c>
      <c r="Z11" s="2"/>
    </row>
    <row r="12" spans="1:26" ht="18" customHeight="1" x14ac:dyDescent="0.2">
      <c r="A12" s="648"/>
      <c r="B12" s="241" t="s">
        <v>125</v>
      </c>
      <c r="C12" s="172">
        <v>8</v>
      </c>
      <c r="D12" s="172" t="s">
        <v>118</v>
      </c>
      <c r="E12" s="172">
        <v>2.5</v>
      </c>
      <c r="F12" s="173">
        <f>F13</f>
        <v>566.66666666666663</v>
      </c>
      <c r="G12" s="174">
        <v>4000</v>
      </c>
      <c r="H12" s="174">
        <f t="shared" si="0"/>
        <v>3702.7488862127439</v>
      </c>
      <c r="I12" s="174"/>
      <c r="J12" s="174">
        <f t="shared" si="5"/>
        <v>0</v>
      </c>
      <c r="K12" s="172">
        <v>164</v>
      </c>
      <c r="L12" s="176"/>
      <c r="M12" s="177">
        <v>0.9</v>
      </c>
      <c r="N12" s="178"/>
      <c r="O12" s="179">
        <v>12900000</v>
      </c>
      <c r="P12" s="180">
        <f t="shared" si="4"/>
        <v>322597916.84283388</v>
      </c>
      <c r="Q12" s="181">
        <v>42000</v>
      </c>
      <c r="R12" s="179">
        <v>6000</v>
      </c>
      <c r="S12" s="172">
        <v>2</v>
      </c>
      <c r="T12" s="179">
        <v>2000</v>
      </c>
      <c r="U12" s="172">
        <v>4</v>
      </c>
      <c r="V12" s="176">
        <v>2600</v>
      </c>
      <c r="W12" s="182">
        <f t="shared" si="1"/>
        <v>3683333.333333333</v>
      </c>
      <c r="X12" s="175">
        <f t="shared" si="2"/>
        <v>23800000</v>
      </c>
      <c r="Y12" s="210">
        <f t="shared" si="3"/>
        <v>28333333.333333328</v>
      </c>
      <c r="Z12" s="2"/>
    </row>
    <row r="13" spans="1:26" ht="18" customHeight="1" x14ac:dyDescent="0.2">
      <c r="A13" s="648"/>
      <c r="B13" s="242" t="s">
        <v>132</v>
      </c>
      <c r="C13" s="172">
        <v>8</v>
      </c>
      <c r="D13" s="172" t="s">
        <v>127</v>
      </c>
      <c r="E13" s="172">
        <v>3</v>
      </c>
      <c r="F13" s="173">
        <v>566.66666666666663</v>
      </c>
      <c r="G13" s="174">
        <v>5854.8312528895058</v>
      </c>
      <c r="H13" s="174">
        <f t="shared" si="0"/>
        <v>5419.7424751500448</v>
      </c>
      <c r="I13" s="174"/>
      <c r="J13" s="174">
        <f t="shared" si="5"/>
        <v>0</v>
      </c>
      <c r="K13" s="172">
        <v>164</v>
      </c>
      <c r="L13" s="176"/>
      <c r="M13" s="177">
        <v>0.9</v>
      </c>
      <c r="N13" s="178"/>
      <c r="O13" s="179">
        <v>11917020.193449857</v>
      </c>
      <c r="P13" s="180">
        <f t="shared" si="4"/>
        <v>465224280.81499958</v>
      </c>
      <c r="Q13" s="181">
        <v>42000</v>
      </c>
      <c r="R13" s="179">
        <v>6000</v>
      </c>
      <c r="S13" s="172">
        <v>2</v>
      </c>
      <c r="T13" s="179">
        <v>2000</v>
      </c>
      <c r="U13" s="172">
        <v>4</v>
      </c>
      <c r="V13" s="176">
        <v>2600</v>
      </c>
      <c r="W13" s="182">
        <f t="shared" si="1"/>
        <v>4420000</v>
      </c>
      <c r="X13" s="175">
        <f t="shared" si="2"/>
        <v>23800000</v>
      </c>
      <c r="Y13" s="210">
        <f t="shared" si="3"/>
        <v>34000000</v>
      </c>
      <c r="Z13" s="2"/>
    </row>
    <row r="14" spans="1:26" ht="18" customHeight="1" x14ac:dyDescent="0.2">
      <c r="A14" s="648"/>
      <c r="B14" s="241" t="s">
        <v>123</v>
      </c>
      <c r="C14" s="172">
        <v>9</v>
      </c>
      <c r="D14" s="172" t="s">
        <v>118</v>
      </c>
      <c r="E14" s="172">
        <v>4.5</v>
      </c>
      <c r="F14" s="173">
        <f>0.7*876.46017699115-F10</f>
        <v>170.18879056047189</v>
      </c>
      <c r="G14" s="174">
        <v>7500</v>
      </c>
      <c r="H14" s="174">
        <f t="shared" si="0"/>
        <v>6942.6541616488948</v>
      </c>
      <c r="I14" s="174">
        <v>45000</v>
      </c>
      <c r="J14" s="174">
        <f t="shared" si="5"/>
        <v>41655.924969893371</v>
      </c>
      <c r="K14" s="172">
        <v>140</v>
      </c>
      <c r="L14" s="172">
        <v>12</v>
      </c>
      <c r="M14" s="177">
        <v>0.9</v>
      </c>
      <c r="N14" s="178">
        <v>0.8</v>
      </c>
      <c r="O14" s="179">
        <v>14400000</v>
      </c>
      <c r="P14" s="180">
        <f t="shared" ref="P14:P21" si="6">O14+(N14*L14*J14+M14*K14*H14)*F14</f>
        <v>231334767.6032998</v>
      </c>
      <c r="Q14" s="181">
        <v>42000</v>
      </c>
      <c r="R14" s="179">
        <v>6000</v>
      </c>
      <c r="S14" s="172">
        <v>2</v>
      </c>
      <c r="T14" s="179">
        <v>2000</v>
      </c>
      <c r="U14" s="172">
        <v>4</v>
      </c>
      <c r="V14" s="176">
        <v>2600</v>
      </c>
      <c r="W14" s="182">
        <f t="shared" ref="W14:W21" si="7">V14*F14*E14</f>
        <v>1991208.8495575211</v>
      </c>
      <c r="X14" s="175">
        <f t="shared" ref="X14:X21" si="8">Q14*F14</f>
        <v>7147929.2035398195</v>
      </c>
      <c r="Y14" s="210">
        <f t="shared" ref="Y14:Y21" si="9">(T14*U14+R14*S14)*F14*E14</f>
        <v>15316991.15044247</v>
      </c>
      <c r="Z14" s="2"/>
    </row>
    <row r="15" spans="1:26" ht="18" customHeight="1" x14ac:dyDescent="0.2">
      <c r="A15" s="648"/>
      <c r="B15" s="502" t="s">
        <v>129</v>
      </c>
      <c r="C15" s="172">
        <v>9</v>
      </c>
      <c r="D15" s="172" t="s">
        <v>118</v>
      </c>
      <c r="E15" s="172">
        <v>3</v>
      </c>
      <c r="F15" s="173">
        <v>542</v>
      </c>
      <c r="G15" s="174">
        <v>5000</v>
      </c>
      <c r="H15" s="174">
        <f t="shared" si="0"/>
        <v>4628.4361077659296</v>
      </c>
      <c r="I15" s="174"/>
      <c r="J15" s="174">
        <f t="shared" si="5"/>
        <v>0</v>
      </c>
      <c r="K15" s="172">
        <v>164</v>
      </c>
      <c r="L15" s="176"/>
      <c r="M15" s="177">
        <v>0.9</v>
      </c>
      <c r="N15" s="178"/>
      <c r="O15" s="179">
        <v>11250000</v>
      </c>
      <c r="P15" s="180">
        <f t="shared" si="6"/>
        <v>381521185.87238818</v>
      </c>
      <c r="Q15" s="181">
        <v>42000</v>
      </c>
      <c r="R15" s="179">
        <v>6000</v>
      </c>
      <c r="S15" s="172">
        <v>2</v>
      </c>
      <c r="T15" s="179">
        <v>2000</v>
      </c>
      <c r="U15" s="172">
        <v>4</v>
      </c>
      <c r="V15" s="176">
        <v>2600</v>
      </c>
      <c r="W15" s="182">
        <f t="shared" si="7"/>
        <v>4227600</v>
      </c>
      <c r="X15" s="175">
        <f t="shared" si="8"/>
        <v>22764000</v>
      </c>
      <c r="Y15" s="210">
        <f t="shared" si="9"/>
        <v>32520000</v>
      </c>
      <c r="Z15" s="2"/>
    </row>
    <row r="16" spans="1:26" ht="18" customHeight="1" x14ac:dyDescent="0.2">
      <c r="A16" s="648"/>
      <c r="B16" s="503" t="s">
        <v>134</v>
      </c>
      <c r="C16" s="172">
        <v>9</v>
      </c>
      <c r="D16" s="172" t="s">
        <v>127</v>
      </c>
      <c r="E16" s="172">
        <v>2</v>
      </c>
      <c r="F16" s="173">
        <v>591</v>
      </c>
      <c r="G16" s="174">
        <v>4786</v>
      </c>
      <c r="H16" s="174">
        <f t="shared" si="0"/>
        <v>4430.3390423535475</v>
      </c>
      <c r="I16" s="174"/>
      <c r="J16" s="174">
        <f t="shared" si="5"/>
        <v>0</v>
      </c>
      <c r="K16" s="172">
        <v>164</v>
      </c>
      <c r="L16" s="176"/>
      <c r="M16" s="177">
        <v>0.9</v>
      </c>
      <c r="N16" s="178"/>
      <c r="O16" s="179">
        <v>8287391.8208043445</v>
      </c>
      <c r="P16" s="180">
        <f t="shared" si="6"/>
        <v>394752955.02777201</v>
      </c>
      <c r="Q16" s="181">
        <v>42000</v>
      </c>
      <c r="R16" s="179">
        <v>6000</v>
      </c>
      <c r="S16" s="172">
        <v>2</v>
      </c>
      <c r="T16" s="179">
        <v>2000</v>
      </c>
      <c r="U16" s="172">
        <v>4</v>
      </c>
      <c r="V16" s="176">
        <v>2600</v>
      </c>
      <c r="W16" s="182">
        <f t="shared" si="7"/>
        <v>3073200</v>
      </c>
      <c r="X16" s="175">
        <f t="shared" si="8"/>
        <v>24822000</v>
      </c>
      <c r="Y16" s="210">
        <f t="shared" si="9"/>
        <v>23640000</v>
      </c>
      <c r="Z16" s="2"/>
    </row>
    <row r="17" spans="1:26" ht="18" customHeight="1" x14ac:dyDescent="0.2">
      <c r="A17" s="648"/>
      <c r="B17" s="502" t="s">
        <v>117</v>
      </c>
      <c r="C17" s="172">
        <v>9</v>
      </c>
      <c r="D17" s="172" t="s">
        <v>118</v>
      </c>
      <c r="E17" s="172">
        <v>1</v>
      </c>
      <c r="F17" s="173">
        <f>1013-F2</f>
        <v>446.33333333333337</v>
      </c>
      <c r="G17" s="174">
        <v>2000</v>
      </c>
      <c r="H17" s="174">
        <f t="shared" si="0"/>
        <v>1851.3744431063719</v>
      </c>
      <c r="I17" s="174"/>
      <c r="J17" s="174">
        <f t="shared" si="5"/>
        <v>0</v>
      </c>
      <c r="K17" s="172">
        <v>164</v>
      </c>
      <c r="L17" s="176"/>
      <c r="M17" s="177">
        <v>0.9</v>
      </c>
      <c r="N17" s="178"/>
      <c r="O17" s="179">
        <v>17100000</v>
      </c>
      <c r="P17" s="180">
        <f t="shared" si="6"/>
        <v>139066326.66251606</v>
      </c>
      <c r="Q17" s="181">
        <v>42000</v>
      </c>
      <c r="R17" s="179">
        <v>6000</v>
      </c>
      <c r="S17" s="172">
        <v>2</v>
      </c>
      <c r="T17" s="179">
        <v>2000</v>
      </c>
      <c r="U17" s="172">
        <v>4</v>
      </c>
      <c r="V17" s="176">
        <v>2600</v>
      </c>
      <c r="W17" s="182">
        <f t="shared" si="7"/>
        <v>1160466.6666666667</v>
      </c>
      <c r="X17" s="175">
        <f t="shared" si="8"/>
        <v>18746000</v>
      </c>
      <c r="Y17" s="210">
        <f t="shared" si="9"/>
        <v>8926666.6666666679</v>
      </c>
      <c r="Z17" s="2"/>
    </row>
    <row r="18" spans="1:26" ht="18" customHeight="1" x14ac:dyDescent="0.2">
      <c r="A18" s="648"/>
      <c r="B18" s="502" t="s">
        <v>125</v>
      </c>
      <c r="C18" s="172">
        <v>10</v>
      </c>
      <c r="D18" s="172" t="s">
        <v>118</v>
      </c>
      <c r="E18" s="172">
        <v>2.5</v>
      </c>
      <c r="F18" s="173">
        <f>812.222222222222-F13</f>
        <v>245.55555555555532</v>
      </c>
      <c r="G18" s="174">
        <v>4000</v>
      </c>
      <c r="H18" s="174">
        <f t="shared" si="0"/>
        <v>3702.7488862127439</v>
      </c>
      <c r="I18" s="174"/>
      <c r="J18" s="174">
        <f t="shared" si="5"/>
        <v>0</v>
      </c>
      <c r="K18" s="172">
        <v>164</v>
      </c>
      <c r="L18" s="176"/>
      <c r="M18" s="177">
        <v>0.9</v>
      </c>
      <c r="N18" s="178"/>
      <c r="O18" s="179">
        <v>12900000</v>
      </c>
      <c r="P18" s="180">
        <f t="shared" si="6"/>
        <v>147102430.63189456</v>
      </c>
      <c r="Q18" s="181">
        <v>42000</v>
      </c>
      <c r="R18" s="179">
        <v>6000</v>
      </c>
      <c r="S18" s="172">
        <v>2</v>
      </c>
      <c r="T18" s="179">
        <v>2000</v>
      </c>
      <c r="U18" s="172">
        <v>4</v>
      </c>
      <c r="V18" s="176">
        <v>2600</v>
      </c>
      <c r="W18" s="182">
        <f t="shared" si="7"/>
        <v>1596111.1111111096</v>
      </c>
      <c r="X18" s="175">
        <f t="shared" si="8"/>
        <v>10313333.333333323</v>
      </c>
      <c r="Y18" s="210">
        <f t="shared" si="9"/>
        <v>12277777.777777765</v>
      </c>
      <c r="Z18" s="2"/>
    </row>
    <row r="19" spans="1:26" ht="18" customHeight="1" x14ac:dyDescent="0.2">
      <c r="A19" s="648"/>
      <c r="B19" s="504" t="s">
        <v>126</v>
      </c>
      <c r="C19" s="183">
        <v>10</v>
      </c>
      <c r="D19" s="184" t="s">
        <v>127</v>
      </c>
      <c r="E19" s="183">
        <v>3</v>
      </c>
      <c r="F19" s="183">
        <v>210</v>
      </c>
      <c r="G19" s="185">
        <v>4500</v>
      </c>
      <c r="H19" s="174">
        <f t="shared" si="0"/>
        <v>4165.5924969893367</v>
      </c>
      <c r="I19" s="185"/>
      <c r="J19" s="174">
        <f t="shared" si="5"/>
        <v>0</v>
      </c>
      <c r="K19" s="183">
        <v>164</v>
      </c>
      <c r="L19" s="183"/>
      <c r="M19" s="186">
        <v>0.9</v>
      </c>
      <c r="N19" s="186"/>
      <c r="O19" s="179">
        <v>12900000</v>
      </c>
      <c r="P19" s="180">
        <f t="shared" si="6"/>
        <v>142016705.03668147</v>
      </c>
      <c r="Q19" s="181">
        <v>42000</v>
      </c>
      <c r="R19" s="179">
        <v>6000</v>
      </c>
      <c r="S19" s="172">
        <v>2</v>
      </c>
      <c r="T19" s="179">
        <v>2000</v>
      </c>
      <c r="U19" s="172">
        <v>4</v>
      </c>
      <c r="V19" s="176">
        <v>2600</v>
      </c>
      <c r="W19" s="182">
        <f t="shared" si="7"/>
        <v>1638000</v>
      </c>
      <c r="X19" s="175">
        <f t="shared" si="8"/>
        <v>8820000</v>
      </c>
      <c r="Y19" s="210">
        <f t="shared" si="9"/>
        <v>12600000</v>
      </c>
      <c r="Z19" s="2"/>
    </row>
    <row r="20" spans="1:26" ht="18" customHeight="1" x14ac:dyDescent="0.2">
      <c r="A20" s="648"/>
      <c r="B20" s="502" t="s">
        <v>128</v>
      </c>
      <c r="C20" s="172">
        <v>10</v>
      </c>
      <c r="D20" s="172" t="s">
        <v>118</v>
      </c>
      <c r="E20" s="172">
        <v>2</v>
      </c>
      <c r="F20" s="173">
        <v>591.11111111111109</v>
      </c>
      <c r="G20" s="174">
        <v>4500</v>
      </c>
      <c r="H20" s="174">
        <f t="shared" si="0"/>
        <v>4165.5924969893367</v>
      </c>
      <c r="I20" s="174"/>
      <c r="J20" s="174">
        <f t="shared" si="5"/>
        <v>0</v>
      </c>
      <c r="K20" s="172">
        <v>164</v>
      </c>
      <c r="L20" s="176"/>
      <c r="M20" s="177">
        <v>0.9</v>
      </c>
      <c r="N20" s="178"/>
      <c r="O20" s="179">
        <v>11400000</v>
      </c>
      <c r="P20" s="180">
        <f t="shared" si="6"/>
        <v>374839614.17732561</v>
      </c>
      <c r="Q20" s="181">
        <v>42000</v>
      </c>
      <c r="R20" s="179">
        <v>6000</v>
      </c>
      <c r="S20" s="172">
        <v>2</v>
      </c>
      <c r="T20" s="179">
        <v>2000</v>
      </c>
      <c r="U20" s="172">
        <v>4</v>
      </c>
      <c r="V20" s="176">
        <v>2600</v>
      </c>
      <c r="W20" s="182">
        <f t="shared" si="7"/>
        <v>3073777.7777777775</v>
      </c>
      <c r="X20" s="175">
        <f t="shared" si="8"/>
        <v>24826666.666666664</v>
      </c>
      <c r="Y20" s="210">
        <f t="shared" si="9"/>
        <v>23644444.444444444</v>
      </c>
      <c r="Z20" s="2"/>
    </row>
    <row r="21" spans="1:26" ht="18" customHeight="1" thickBot="1" x14ac:dyDescent="0.25">
      <c r="A21" s="649"/>
      <c r="B21" s="505" t="s">
        <v>130</v>
      </c>
      <c r="C21" s="211">
        <v>10</v>
      </c>
      <c r="D21" s="212" t="s">
        <v>127</v>
      </c>
      <c r="E21" s="211">
        <v>2.25</v>
      </c>
      <c r="F21" s="211">
        <v>730</v>
      </c>
      <c r="G21" s="213">
        <v>3800</v>
      </c>
      <c r="H21" s="635">
        <f t="shared" si="0"/>
        <v>3517.6114419021064</v>
      </c>
      <c r="I21" s="213">
        <v>22000</v>
      </c>
      <c r="J21" s="635">
        <f t="shared" si="5"/>
        <v>20365.11887417009</v>
      </c>
      <c r="K21" s="211">
        <v>164</v>
      </c>
      <c r="L21" s="211"/>
      <c r="M21" s="214">
        <v>0.9</v>
      </c>
      <c r="N21" s="214"/>
      <c r="O21" s="215">
        <v>12000000</v>
      </c>
      <c r="P21" s="216">
        <f t="shared" si="6"/>
        <v>391015597.64206815</v>
      </c>
      <c r="Q21" s="217">
        <v>42000</v>
      </c>
      <c r="R21" s="215">
        <v>6000</v>
      </c>
      <c r="S21" s="218">
        <v>2</v>
      </c>
      <c r="T21" s="215">
        <v>2000</v>
      </c>
      <c r="U21" s="218">
        <v>4</v>
      </c>
      <c r="V21" s="219">
        <v>2600</v>
      </c>
      <c r="W21" s="220">
        <f t="shared" si="7"/>
        <v>4270500</v>
      </c>
      <c r="X21" s="221">
        <f t="shared" si="8"/>
        <v>30660000</v>
      </c>
      <c r="Y21" s="222">
        <f t="shared" si="9"/>
        <v>32850000</v>
      </c>
      <c r="Z21" s="2"/>
    </row>
    <row r="22" spans="1:26" ht="18" customHeight="1" x14ac:dyDescent="0.2">
      <c r="A22" s="648" t="s">
        <v>135</v>
      </c>
      <c r="B22" s="506" t="s">
        <v>136</v>
      </c>
      <c r="C22" s="187">
        <v>1</v>
      </c>
      <c r="D22" s="187" t="s">
        <v>71</v>
      </c>
      <c r="E22" s="187">
        <v>14</v>
      </c>
      <c r="F22" s="188">
        <f>'Оптимизация рейсов'!K18</f>
        <v>130.46617915904935</v>
      </c>
      <c r="G22" s="189">
        <v>35000</v>
      </c>
      <c r="H22" s="189">
        <f t="shared" si="0"/>
        <v>32399.05275436151</v>
      </c>
      <c r="I22" s="189">
        <v>80000</v>
      </c>
      <c r="J22" s="189">
        <f t="shared" si="5"/>
        <v>74054.977724254873</v>
      </c>
      <c r="K22" s="187">
        <v>220</v>
      </c>
      <c r="L22" s="187">
        <v>26</v>
      </c>
      <c r="M22" s="190">
        <f>'Оптимизация рейсов'!I18</f>
        <v>0.9</v>
      </c>
      <c r="N22" s="190">
        <f>'Оптимизация рейсов'!J18</f>
        <v>0.8</v>
      </c>
      <c r="O22" s="191">
        <v>3500000</v>
      </c>
      <c r="P22" s="192">
        <f t="shared" ref="P22:P43" si="10">O22+(N22*L22*J22+M22*K22*H22)*F22</f>
        <v>1041404898.8252906</v>
      </c>
      <c r="Q22" s="193">
        <v>55000</v>
      </c>
      <c r="R22" s="191">
        <v>8000</v>
      </c>
      <c r="S22" s="194">
        <v>2</v>
      </c>
      <c r="T22" s="191">
        <v>2500</v>
      </c>
      <c r="U22" s="194">
        <v>8</v>
      </c>
      <c r="V22" s="195">
        <v>4800</v>
      </c>
      <c r="W22" s="196">
        <f t="shared" ref="W22:W43" si="11">V22*F22*E22</f>
        <v>8767327.2394881174</v>
      </c>
      <c r="X22" s="197">
        <f t="shared" ref="X22:X43" si="12">Q22*F22</f>
        <v>7175639.8537477143</v>
      </c>
      <c r="Y22" s="223">
        <f t="shared" ref="Y22:Y43" si="13">F22*(S22*R22+T22*U22)*E22</f>
        <v>65754954.296160877</v>
      </c>
      <c r="Z22" s="2"/>
    </row>
    <row r="23" spans="1:26" ht="18" customHeight="1" x14ac:dyDescent="0.2">
      <c r="A23" s="695"/>
      <c r="B23" s="507" t="s">
        <v>137</v>
      </c>
      <c r="C23" s="160">
        <v>1</v>
      </c>
      <c r="D23" s="160" t="s">
        <v>71</v>
      </c>
      <c r="E23" s="160">
        <v>12</v>
      </c>
      <c r="F23" s="161">
        <f>'Оптимизация рейсов'!K19</f>
        <v>111.11517367458866</v>
      </c>
      <c r="G23" s="162">
        <v>40000</v>
      </c>
      <c r="H23" s="174">
        <f t="shared" si="0"/>
        <v>37027.488862127437</v>
      </c>
      <c r="I23" s="92">
        <v>90000</v>
      </c>
      <c r="J23" s="174">
        <f t="shared" si="5"/>
        <v>83311.849939786742</v>
      </c>
      <c r="K23" s="160">
        <v>220</v>
      </c>
      <c r="L23" s="160">
        <v>26</v>
      </c>
      <c r="M23" s="159">
        <f>'Оптимизация рейсов'!I19</f>
        <v>0.9</v>
      </c>
      <c r="N23" s="159">
        <f>'Оптимизация рейсов'!J19</f>
        <v>0.8</v>
      </c>
      <c r="O23" s="168">
        <v>3000000</v>
      </c>
      <c r="P23" s="166">
        <f t="shared" si="10"/>
        <v>1010184521.4629211</v>
      </c>
      <c r="Q23" s="167">
        <v>55000</v>
      </c>
      <c r="R23" s="168">
        <v>8000</v>
      </c>
      <c r="S23" s="171">
        <v>2</v>
      </c>
      <c r="T23" s="168">
        <v>2500</v>
      </c>
      <c r="U23" s="171">
        <v>8</v>
      </c>
      <c r="V23" s="70">
        <v>4800</v>
      </c>
      <c r="W23" s="169">
        <f t="shared" si="11"/>
        <v>6400234.0036563072</v>
      </c>
      <c r="X23" s="71">
        <f t="shared" si="12"/>
        <v>6111334.5521023767</v>
      </c>
      <c r="Y23" s="224">
        <f t="shared" si="13"/>
        <v>48001755.027422301</v>
      </c>
      <c r="Z23" s="2"/>
    </row>
    <row r="24" spans="1:26" ht="18" customHeight="1" x14ac:dyDescent="0.2">
      <c r="A24" s="695"/>
      <c r="B24" s="508" t="s">
        <v>138</v>
      </c>
      <c r="C24" s="15">
        <v>1</v>
      </c>
      <c r="D24" s="15" t="s">
        <v>71</v>
      </c>
      <c r="E24" s="15">
        <v>14</v>
      </c>
      <c r="F24" s="82">
        <f>'Оптимизация рейсов'!K20</f>
        <v>83.135283363802557</v>
      </c>
      <c r="G24" s="83">
        <v>35000</v>
      </c>
      <c r="H24" s="174">
        <f t="shared" si="0"/>
        <v>32399.05275436151</v>
      </c>
      <c r="I24" s="84">
        <v>85000</v>
      </c>
      <c r="J24" s="174">
        <f t="shared" si="5"/>
        <v>78683.4138320208</v>
      </c>
      <c r="K24" s="15">
        <v>220</v>
      </c>
      <c r="L24" s="15">
        <v>26</v>
      </c>
      <c r="M24" s="94">
        <f>'Оптимизация рейсов'!I20</f>
        <v>0.9</v>
      </c>
      <c r="N24" s="94">
        <f>'Оптимизация рейсов'!J20</f>
        <v>0.8</v>
      </c>
      <c r="O24" s="57">
        <v>2500000</v>
      </c>
      <c r="P24" s="85">
        <f t="shared" si="10"/>
        <v>671874329.85071409</v>
      </c>
      <c r="Q24" s="86">
        <v>55000</v>
      </c>
      <c r="R24" s="57">
        <v>8000</v>
      </c>
      <c r="S24" s="95">
        <v>2</v>
      </c>
      <c r="T24" s="57">
        <v>2500</v>
      </c>
      <c r="U24" s="95">
        <v>8</v>
      </c>
      <c r="V24" s="14">
        <v>4800</v>
      </c>
      <c r="W24" s="55">
        <f t="shared" si="11"/>
        <v>5586691.0420475313</v>
      </c>
      <c r="X24" s="60">
        <f t="shared" si="12"/>
        <v>4572440.5850091409</v>
      </c>
      <c r="Y24" s="225">
        <f t="shared" si="13"/>
        <v>41900182.815356486</v>
      </c>
      <c r="Z24" s="2"/>
    </row>
    <row r="25" spans="1:26" ht="18" customHeight="1" x14ac:dyDescent="0.2">
      <c r="A25" s="695"/>
      <c r="B25" s="508" t="s">
        <v>139</v>
      </c>
      <c r="C25" s="15">
        <v>2</v>
      </c>
      <c r="D25" s="15" t="s">
        <v>71</v>
      </c>
      <c r="E25" s="15">
        <v>9</v>
      </c>
      <c r="F25" s="82">
        <f>'Оптимизация рейсов'!K21</f>
        <v>131.3528336380256</v>
      </c>
      <c r="G25" s="83">
        <v>40000</v>
      </c>
      <c r="H25" s="174">
        <f t="shared" si="0"/>
        <v>37027.488862127437</v>
      </c>
      <c r="I25" s="84">
        <v>110000</v>
      </c>
      <c r="J25" s="174">
        <f t="shared" si="5"/>
        <v>101825.59437085045</v>
      </c>
      <c r="K25" s="15">
        <v>220</v>
      </c>
      <c r="L25" s="15">
        <v>26</v>
      </c>
      <c r="M25" s="94">
        <f>'Оптимизация рейсов'!I21</f>
        <v>0.9</v>
      </c>
      <c r="N25" s="94">
        <f>'Оптимизация рейсов'!J21</f>
        <v>0.8</v>
      </c>
      <c r="O25" s="57">
        <v>3750000</v>
      </c>
      <c r="P25" s="85">
        <f t="shared" si="10"/>
        <v>1244957457.1748304</v>
      </c>
      <c r="Q25" s="86">
        <v>55000</v>
      </c>
      <c r="R25" s="57">
        <v>8000</v>
      </c>
      <c r="S25" s="95">
        <v>2</v>
      </c>
      <c r="T25" s="57">
        <v>2500</v>
      </c>
      <c r="U25" s="95">
        <v>8</v>
      </c>
      <c r="V25" s="14">
        <v>4800</v>
      </c>
      <c r="W25" s="55">
        <f t="shared" si="11"/>
        <v>5674442.4131627055</v>
      </c>
      <c r="X25" s="60">
        <f t="shared" si="12"/>
        <v>7224405.850091408</v>
      </c>
      <c r="Y25" s="225">
        <f t="shared" si="13"/>
        <v>42558318.098720297</v>
      </c>
      <c r="Z25" s="2"/>
    </row>
    <row r="26" spans="1:26" ht="18" customHeight="1" x14ac:dyDescent="0.2">
      <c r="A26" s="695"/>
      <c r="B26" s="508" t="s">
        <v>140</v>
      </c>
      <c r="C26" s="15">
        <v>2</v>
      </c>
      <c r="D26" s="15" t="s">
        <v>71</v>
      </c>
      <c r="E26" s="15">
        <v>14</v>
      </c>
      <c r="F26" s="82">
        <f>'Оптимизация рейсов'!K22</f>
        <v>121.76416819012796</v>
      </c>
      <c r="G26" s="83">
        <v>35000</v>
      </c>
      <c r="H26" s="174">
        <f t="shared" si="0"/>
        <v>32399.05275436151</v>
      </c>
      <c r="I26" s="84">
        <v>90000</v>
      </c>
      <c r="J26" s="174">
        <f t="shared" si="5"/>
        <v>83311.849939786742</v>
      </c>
      <c r="K26" s="15">
        <v>220</v>
      </c>
      <c r="L26" s="15">
        <v>26</v>
      </c>
      <c r="M26" s="94">
        <f>'Оптимизация рейсов'!I22</f>
        <v>0.9</v>
      </c>
      <c r="N26" s="94">
        <f>'Оптимизация рейсов'!J22</f>
        <v>0.8</v>
      </c>
      <c r="O26" s="57">
        <v>3500000</v>
      </c>
      <c r="P26" s="85">
        <f t="shared" si="10"/>
        <v>995622134.99163198</v>
      </c>
      <c r="Q26" s="86">
        <v>55000</v>
      </c>
      <c r="R26" s="57">
        <v>8000</v>
      </c>
      <c r="S26" s="95">
        <v>2</v>
      </c>
      <c r="T26" s="57">
        <v>2500</v>
      </c>
      <c r="U26" s="95">
        <v>8</v>
      </c>
      <c r="V26" s="14">
        <v>4800</v>
      </c>
      <c r="W26" s="55">
        <f t="shared" si="11"/>
        <v>8182552.1023765989</v>
      </c>
      <c r="X26" s="60">
        <f t="shared" si="12"/>
        <v>6697029.2504570382</v>
      </c>
      <c r="Y26" s="225">
        <f t="shared" si="13"/>
        <v>61369140.767824493</v>
      </c>
      <c r="Z26" s="2"/>
    </row>
    <row r="27" spans="1:26" ht="18" customHeight="1" x14ac:dyDescent="0.2">
      <c r="A27" s="695"/>
      <c r="B27" s="508" t="s">
        <v>141</v>
      </c>
      <c r="C27" s="15">
        <v>2</v>
      </c>
      <c r="D27" s="15" t="s">
        <v>71</v>
      </c>
      <c r="E27" s="15">
        <v>5</v>
      </c>
      <c r="F27" s="82">
        <f>'Оптимизация рейсов'!K23</f>
        <v>150.48951048951048</v>
      </c>
      <c r="G27" s="83">
        <v>30000</v>
      </c>
      <c r="H27" s="174">
        <f t="shared" si="0"/>
        <v>27770.616646595579</v>
      </c>
      <c r="I27" s="84">
        <v>100000</v>
      </c>
      <c r="J27" s="174">
        <f t="shared" si="5"/>
        <v>92568.722155318595</v>
      </c>
      <c r="K27" s="15">
        <v>240</v>
      </c>
      <c r="L27" s="15">
        <v>16</v>
      </c>
      <c r="M27" s="94">
        <f>'Оптимизация рейсов'!I23</f>
        <v>0.9</v>
      </c>
      <c r="N27" s="94">
        <f>'Оптимизация рейсов'!J23</f>
        <v>0.8</v>
      </c>
      <c r="O27" s="57">
        <v>4000000</v>
      </c>
      <c r="P27" s="85">
        <f t="shared" si="10"/>
        <v>1085016242.6623678</v>
      </c>
      <c r="Q27" s="86">
        <v>55000</v>
      </c>
      <c r="R27" s="57">
        <v>8000</v>
      </c>
      <c r="S27" s="95">
        <v>2</v>
      </c>
      <c r="T27" s="57">
        <v>2500</v>
      </c>
      <c r="U27" s="95">
        <v>8</v>
      </c>
      <c r="V27" s="14">
        <v>4800</v>
      </c>
      <c r="W27" s="55">
        <f t="shared" si="11"/>
        <v>3611748.2517482517</v>
      </c>
      <c r="X27" s="60">
        <f t="shared" si="12"/>
        <v>8276923.0769230761</v>
      </c>
      <c r="Y27" s="225">
        <f t="shared" si="13"/>
        <v>27088111.888111886</v>
      </c>
      <c r="Z27" s="2"/>
    </row>
    <row r="28" spans="1:26" ht="18" customHeight="1" x14ac:dyDescent="0.2">
      <c r="A28" s="695"/>
      <c r="B28" s="508" t="s">
        <v>142</v>
      </c>
      <c r="C28" s="15">
        <v>3</v>
      </c>
      <c r="D28" s="15" t="s">
        <v>76</v>
      </c>
      <c r="E28" s="15">
        <v>6</v>
      </c>
      <c r="F28" s="82">
        <f>'Оптимизация рейсов'!K24</f>
        <v>74.68531468531468</v>
      </c>
      <c r="G28" s="83">
        <v>45000</v>
      </c>
      <c r="H28" s="174">
        <f t="shared" si="0"/>
        <v>41655.924969893371</v>
      </c>
      <c r="I28" s="84">
        <v>120000</v>
      </c>
      <c r="J28" s="174">
        <f t="shared" si="5"/>
        <v>111082.46658638232</v>
      </c>
      <c r="K28" s="15">
        <v>240</v>
      </c>
      <c r="L28" s="15">
        <v>16</v>
      </c>
      <c r="M28" s="94">
        <f>'Оптимизация рейсов'!I24</f>
        <v>0.9</v>
      </c>
      <c r="N28" s="94">
        <f>'Оптимизация рейсов'!J24</f>
        <v>0.8</v>
      </c>
      <c r="O28" s="57">
        <v>2000000</v>
      </c>
      <c r="P28" s="85">
        <f t="shared" si="10"/>
        <v>780186277.66973722</v>
      </c>
      <c r="Q28" s="86">
        <v>55000</v>
      </c>
      <c r="R28" s="57">
        <v>8000</v>
      </c>
      <c r="S28" s="95">
        <v>2</v>
      </c>
      <c r="T28" s="57">
        <v>2500</v>
      </c>
      <c r="U28" s="95">
        <v>8</v>
      </c>
      <c r="V28" s="14">
        <v>5600</v>
      </c>
      <c r="W28" s="55">
        <f t="shared" si="11"/>
        <v>2509426.5734265735</v>
      </c>
      <c r="X28" s="60">
        <f t="shared" si="12"/>
        <v>4107692.3076923075</v>
      </c>
      <c r="Y28" s="225">
        <f t="shared" si="13"/>
        <v>16132027.972027969</v>
      </c>
      <c r="Z28" s="2"/>
    </row>
    <row r="29" spans="1:26" ht="18" customHeight="1" x14ac:dyDescent="0.2">
      <c r="A29" s="695"/>
      <c r="B29" s="508" t="s">
        <v>143</v>
      </c>
      <c r="C29" s="15">
        <v>3</v>
      </c>
      <c r="D29" s="15" t="s">
        <v>76</v>
      </c>
      <c r="E29" s="15">
        <v>10</v>
      </c>
      <c r="F29" s="82">
        <f>'Оптимизация рейсов'!K25</f>
        <v>83.56643356643356</v>
      </c>
      <c r="G29" s="83">
        <v>35000</v>
      </c>
      <c r="H29" s="174">
        <f t="shared" si="0"/>
        <v>32399.05275436151</v>
      </c>
      <c r="I29" s="84">
        <v>75000</v>
      </c>
      <c r="J29" s="174">
        <f t="shared" si="5"/>
        <v>69426.541616488947</v>
      </c>
      <c r="K29" s="15">
        <v>240</v>
      </c>
      <c r="L29" s="15">
        <v>16</v>
      </c>
      <c r="M29" s="94">
        <f>'Оптимизация рейсов'!I25</f>
        <v>0.9</v>
      </c>
      <c r="N29" s="94">
        <f>'Оптимизация рейсов'!J25</f>
        <v>0.8</v>
      </c>
      <c r="O29" s="57">
        <v>2500000</v>
      </c>
      <c r="P29" s="85">
        <f t="shared" si="10"/>
        <v>661576355.07144105</v>
      </c>
      <c r="Q29" s="86">
        <v>55000</v>
      </c>
      <c r="R29" s="57">
        <v>8000</v>
      </c>
      <c r="S29" s="95">
        <v>2</v>
      </c>
      <c r="T29" s="57">
        <v>2500</v>
      </c>
      <c r="U29" s="95">
        <v>8</v>
      </c>
      <c r="V29" s="14">
        <v>5600</v>
      </c>
      <c r="W29" s="55">
        <f t="shared" si="11"/>
        <v>4679720.2797202794</v>
      </c>
      <c r="X29" s="60">
        <f t="shared" si="12"/>
        <v>4596153.846153846</v>
      </c>
      <c r="Y29" s="225">
        <f t="shared" si="13"/>
        <v>30083916.083916083</v>
      </c>
      <c r="Z29" s="2"/>
    </row>
    <row r="30" spans="1:26" ht="18" customHeight="1" x14ac:dyDescent="0.2">
      <c r="A30" s="695"/>
      <c r="B30" s="508" t="s">
        <v>144</v>
      </c>
      <c r="C30" s="15">
        <v>3</v>
      </c>
      <c r="D30" s="15" t="s">
        <v>76</v>
      </c>
      <c r="E30" s="15">
        <v>9</v>
      </c>
      <c r="F30" s="82">
        <f>'Оптимизация рейсов'!K26</f>
        <v>149.37062937062936</v>
      </c>
      <c r="G30" s="83">
        <v>30000</v>
      </c>
      <c r="H30" s="174">
        <f t="shared" si="0"/>
        <v>27770.616646595579</v>
      </c>
      <c r="I30" s="84">
        <v>80000</v>
      </c>
      <c r="J30" s="174">
        <f t="shared" si="5"/>
        <v>74054.977724254873</v>
      </c>
      <c r="K30" s="15">
        <v>240</v>
      </c>
      <c r="L30" s="15">
        <v>16</v>
      </c>
      <c r="M30" s="94">
        <f>'Оптимизация рейсов'!I26</f>
        <v>0.9</v>
      </c>
      <c r="N30" s="94">
        <f>'Оптимизация рейсов'!J26</f>
        <v>0.8</v>
      </c>
      <c r="O30" s="57">
        <v>4000000</v>
      </c>
      <c r="P30" s="85">
        <f t="shared" si="10"/>
        <v>1041581703.5596495</v>
      </c>
      <c r="Q30" s="86">
        <v>55000</v>
      </c>
      <c r="R30" s="57">
        <v>8000</v>
      </c>
      <c r="S30" s="95">
        <v>2</v>
      </c>
      <c r="T30" s="57">
        <v>2500</v>
      </c>
      <c r="U30" s="95">
        <v>8</v>
      </c>
      <c r="V30" s="14">
        <v>5600</v>
      </c>
      <c r="W30" s="55">
        <f t="shared" si="11"/>
        <v>7528279.7202797197</v>
      </c>
      <c r="X30" s="60">
        <f t="shared" si="12"/>
        <v>8215384.615384615</v>
      </c>
      <c r="Y30" s="225">
        <f t="shared" si="13"/>
        <v>48396083.91608391</v>
      </c>
      <c r="Z30" s="2"/>
    </row>
    <row r="31" spans="1:26" ht="18" customHeight="1" x14ac:dyDescent="0.2">
      <c r="A31" s="695"/>
      <c r="B31" s="508" t="s">
        <v>145</v>
      </c>
      <c r="C31" s="15">
        <v>3</v>
      </c>
      <c r="D31" s="15" t="s">
        <v>76</v>
      </c>
      <c r="E31" s="15">
        <v>9</v>
      </c>
      <c r="F31" s="82">
        <f>'Оптимизация рейсов'!K27</f>
        <v>148.8111888111888</v>
      </c>
      <c r="G31" s="83">
        <v>25000</v>
      </c>
      <c r="H31" s="174">
        <f t="shared" si="0"/>
        <v>23142.180538829649</v>
      </c>
      <c r="I31" s="84">
        <v>70000</v>
      </c>
      <c r="J31" s="174">
        <f t="shared" si="5"/>
        <v>64798.10550872302</v>
      </c>
      <c r="K31" s="15">
        <v>240</v>
      </c>
      <c r="L31" s="15">
        <v>16</v>
      </c>
      <c r="M31" s="94">
        <f>'Оптимизация рейсов'!I27</f>
        <v>0.9</v>
      </c>
      <c r="N31" s="94">
        <f>'Оптимизация рейсов'!J27</f>
        <v>0.8</v>
      </c>
      <c r="O31" s="57">
        <v>4000000</v>
      </c>
      <c r="P31" s="85">
        <f t="shared" si="10"/>
        <v>871290469.74830568</v>
      </c>
      <c r="Q31" s="86">
        <v>55000</v>
      </c>
      <c r="R31" s="57">
        <v>8000</v>
      </c>
      <c r="S31" s="95">
        <v>2</v>
      </c>
      <c r="T31" s="57">
        <v>2500</v>
      </c>
      <c r="U31" s="95">
        <v>8</v>
      </c>
      <c r="V31" s="14">
        <v>5600</v>
      </c>
      <c r="W31" s="55">
        <f t="shared" si="11"/>
        <v>7500083.9160839161</v>
      </c>
      <c r="X31" s="60">
        <f t="shared" si="12"/>
        <v>8184615.384615384</v>
      </c>
      <c r="Y31" s="225">
        <f t="shared" si="13"/>
        <v>48214825.174825169</v>
      </c>
      <c r="Z31" s="2"/>
    </row>
    <row r="32" spans="1:26" ht="18" customHeight="1" x14ac:dyDescent="0.2">
      <c r="A32" s="695"/>
      <c r="B32" s="508" t="s">
        <v>146</v>
      </c>
      <c r="C32" s="15">
        <v>4</v>
      </c>
      <c r="D32" s="15" t="s">
        <v>76</v>
      </c>
      <c r="E32" s="15">
        <v>4.5</v>
      </c>
      <c r="F32" s="82">
        <f>'Оптимизация рейсов'!K28</f>
        <v>132.16783216783216</v>
      </c>
      <c r="G32" s="83">
        <v>15000</v>
      </c>
      <c r="H32" s="174">
        <f t="shared" si="0"/>
        <v>13885.30832329779</v>
      </c>
      <c r="I32" s="84">
        <v>75000</v>
      </c>
      <c r="J32" s="174">
        <f t="shared" si="5"/>
        <v>69426.541616488947</v>
      </c>
      <c r="K32" s="15">
        <v>240</v>
      </c>
      <c r="L32" s="15">
        <v>16</v>
      </c>
      <c r="M32" s="94">
        <f>'Оптимизация рейсов'!I28</f>
        <v>0.9</v>
      </c>
      <c r="N32" s="94">
        <f>'Оптимизация рейсов'!J28</f>
        <v>0.8</v>
      </c>
      <c r="O32" s="57">
        <v>3750000</v>
      </c>
      <c r="P32" s="85">
        <f t="shared" si="10"/>
        <v>517603508.02022308</v>
      </c>
      <c r="Q32" s="86">
        <v>55000</v>
      </c>
      <c r="R32" s="57">
        <v>8000</v>
      </c>
      <c r="S32" s="95">
        <v>2</v>
      </c>
      <c r="T32" s="57">
        <v>2500</v>
      </c>
      <c r="U32" s="95">
        <v>8</v>
      </c>
      <c r="V32" s="14">
        <v>5600</v>
      </c>
      <c r="W32" s="55">
        <f t="shared" si="11"/>
        <v>3330629.3706293702</v>
      </c>
      <c r="X32" s="60">
        <f t="shared" si="12"/>
        <v>7269230.769230769</v>
      </c>
      <c r="Y32" s="225">
        <f t="shared" si="13"/>
        <v>21411188.81118881</v>
      </c>
      <c r="Z32" s="2"/>
    </row>
    <row r="33" spans="1:26" ht="18" customHeight="1" x14ac:dyDescent="0.2">
      <c r="A33" s="695"/>
      <c r="B33" s="508" t="s">
        <v>147</v>
      </c>
      <c r="C33" s="15">
        <v>4</v>
      </c>
      <c r="D33" s="15" t="s">
        <v>76</v>
      </c>
      <c r="E33" s="15">
        <v>4.5</v>
      </c>
      <c r="F33" s="82">
        <f>'Оптимизация рейсов'!K29</f>
        <v>130.69930069930069</v>
      </c>
      <c r="G33" s="83">
        <v>15000</v>
      </c>
      <c r="H33" s="174">
        <f t="shared" si="0"/>
        <v>13885.30832329779</v>
      </c>
      <c r="I33" s="84">
        <v>75000</v>
      </c>
      <c r="J33" s="174">
        <f t="shared" si="5"/>
        <v>69426.541616488947</v>
      </c>
      <c r="K33" s="15">
        <v>240</v>
      </c>
      <c r="L33" s="15">
        <v>16</v>
      </c>
      <c r="M33" s="94">
        <f>'Оптимизация рейсов'!I29</f>
        <v>0.9</v>
      </c>
      <c r="N33" s="94">
        <f>'Оптимизация рейсов'!J29</f>
        <v>0.8</v>
      </c>
      <c r="O33" s="57">
        <v>3500000</v>
      </c>
      <c r="P33" s="85">
        <f t="shared" si="10"/>
        <v>511644024.59777611</v>
      </c>
      <c r="Q33" s="86">
        <v>55000</v>
      </c>
      <c r="R33" s="57">
        <v>8000</v>
      </c>
      <c r="S33" s="95">
        <v>2</v>
      </c>
      <c r="T33" s="57">
        <v>2500</v>
      </c>
      <c r="U33" s="95">
        <v>8</v>
      </c>
      <c r="V33" s="14">
        <v>5600</v>
      </c>
      <c r="W33" s="55">
        <f t="shared" si="11"/>
        <v>3293622.3776223776</v>
      </c>
      <c r="X33" s="60">
        <f t="shared" si="12"/>
        <v>7188461.538461538</v>
      </c>
      <c r="Y33" s="225">
        <f t="shared" si="13"/>
        <v>21173286.713286713</v>
      </c>
      <c r="Z33" s="2"/>
    </row>
    <row r="34" spans="1:26" ht="18" customHeight="1" x14ac:dyDescent="0.2">
      <c r="A34" s="695"/>
      <c r="B34" s="508" t="s">
        <v>148</v>
      </c>
      <c r="C34" s="15">
        <v>4</v>
      </c>
      <c r="D34" s="15" t="s">
        <v>76</v>
      </c>
      <c r="E34" s="15">
        <v>5</v>
      </c>
      <c r="F34" s="82">
        <f>'Оптимизация рейсов'!K30</f>
        <v>120.45454545454545</v>
      </c>
      <c r="G34" s="83">
        <v>15000</v>
      </c>
      <c r="H34" s="174">
        <f t="shared" si="0"/>
        <v>13885.30832329779</v>
      </c>
      <c r="I34" s="84">
        <v>70000</v>
      </c>
      <c r="J34" s="174">
        <f t="shared" si="5"/>
        <v>64798.10550872302</v>
      </c>
      <c r="K34" s="15">
        <v>240</v>
      </c>
      <c r="L34" s="15">
        <v>16</v>
      </c>
      <c r="M34" s="94">
        <f>'Оптимизация рейсов'!I30</f>
        <v>0.9</v>
      </c>
      <c r="N34" s="94">
        <f>'Оптимизация рейсов'!J30</f>
        <v>0.8</v>
      </c>
      <c r="O34" s="57">
        <v>3250000</v>
      </c>
      <c r="P34" s="85">
        <f t="shared" si="10"/>
        <v>464427373.77779728</v>
      </c>
      <c r="Q34" s="86">
        <v>55000</v>
      </c>
      <c r="R34" s="57">
        <v>8000</v>
      </c>
      <c r="S34" s="95">
        <v>2</v>
      </c>
      <c r="T34" s="57">
        <v>2500</v>
      </c>
      <c r="U34" s="95">
        <v>8</v>
      </c>
      <c r="V34" s="14">
        <v>5600</v>
      </c>
      <c r="W34" s="55">
        <f t="shared" si="11"/>
        <v>3372727.2727272729</v>
      </c>
      <c r="X34" s="60">
        <f t="shared" si="12"/>
        <v>6625000</v>
      </c>
      <c r="Y34" s="225">
        <f t="shared" si="13"/>
        <v>21681818.181818184</v>
      </c>
      <c r="Z34" s="2"/>
    </row>
    <row r="35" spans="1:26" ht="18" customHeight="1" x14ac:dyDescent="0.2">
      <c r="A35" s="695"/>
      <c r="B35" s="508" t="s">
        <v>149</v>
      </c>
      <c r="C35" s="15">
        <v>4</v>
      </c>
      <c r="D35" s="15" t="s">
        <v>76</v>
      </c>
      <c r="E35" s="15">
        <v>5</v>
      </c>
      <c r="F35" s="82">
        <f>'Оптимизация рейсов'!K31</f>
        <v>114.09090909090908</v>
      </c>
      <c r="G35" s="83">
        <v>15000</v>
      </c>
      <c r="H35" s="174">
        <f t="shared" si="0"/>
        <v>13885.30832329779</v>
      </c>
      <c r="I35" s="84">
        <v>70000</v>
      </c>
      <c r="J35" s="174">
        <f t="shared" si="5"/>
        <v>64798.10550872302</v>
      </c>
      <c r="K35" s="15">
        <v>240</v>
      </c>
      <c r="L35" s="15">
        <v>16</v>
      </c>
      <c r="M35" s="94">
        <f>'Оптимизация рейсов'!I31</f>
        <v>0.9</v>
      </c>
      <c r="N35" s="94">
        <f>'Оптимизация рейсов'!J31</f>
        <v>0.8</v>
      </c>
      <c r="O35" s="57">
        <v>3250000</v>
      </c>
      <c r="P35" s="85">
        <f t="shared" si="10"/>
        <v>440063286.10651737</v>
      </c>
      <c r="Q35" s="86">
        <v>55000</v>
      </c>
      <c r="R35" s="57">
        <v>8000</v>
      </c>
      <c r="S35" s="95">
        <v>2</v>
      </c>
      <c r="T35" s="57">
        <v>2500</v>
      </c>
      <c r="U35" s="95">
        <v>8</v>
      </c>
      <c r="V35" s="14">
        <v>5600</v>
      </c>
      <c r="W35" s="55">
        <f t="shared" si="11"/>
        <v>3194545.4545454541</v>
      </c>
      <c r="X35" s="60">
        <f t="shared" si="12"/>
        <v>6274999.9999999991</v>
      </c>
      <c r="Y35" s="225">
        <f t="shared" si="13"/>
        <v>20536363.636363637</v>
      </c>
      <c r="Z35" s="2"/>
    </row>
    <row r="36" spans="1:26" ht="18" customHeight="1" x14ac:dyDescent="0.2">
      <c r="A36" s="695"/>
      <c r="B36" s="509" t="s">
        <v>150</v>
      </c>
      <c r="C36" s="15">
        <v>4</v>
      </c>
      <c r="D36" s="15" t="s">
        <v>76</v>
      </c>
      <c r="E36" s="15">
        <v>4</v>
      </c>
      <c r="F36" s="82">
        <v>417</v>
      </c>
      <c r="G36" s="83">
        <v>12000</v>
      </c>
      <c r="H36" s="174">
        <f t="shared" si="0"/>
        <v>11108.246658638231</v>
      </c>
      <c r="I36" s="84">
        <v>60000</v>
      </c>
      <c r="J36" s="174">
        <f t="shared" si="5"/>
        <v>55541.233293191159</v>
      </c>
      <c r="K36" s="15">
        <v>240</v>
      </c>
      <c r="L36" s="15">
        <v>16</v>
      </c>
      <c r="M36" s="94">
        <v>0.9</v>
      </c>
      <c r="N36" s="94">
        <v>0.6</v>
      </c>
      <c r="O36" s="57">
        <v>8750000</v>
      </c>
      <c r="P36" s="85">
        <f t="shared" si="10"/>
        <v>1231634658.1561654</v>
      </c>
      <c r="Q36" s="86">
        <v>55000</v>
      </c>
      <c r="R36" s="57">
        <v>8000</v>
      </c>
      <c r="S36" s="95">
        <v>2</v>
      </c>
      <c r="T36" s="57">
        <v>2500</v>
      </c>
      <c r="U36" s="95">
        <v>8</v>
      </c>
      <c r="V36" s="14">
        <v>5600</v>
      </c>
      <c r="W36" s="55">
        <f t="shared" si="11"/>
        <v>9340800</v>
      </c>
      <c r="X36" s="60">
        <f t="shared" si="12"/>
        <v>22935000</v>
      </c>
      <c r="Y36" s="225">
        <f t="shared" si="13"/>
        <v>60048000</v>
      </c>
      <c r="Z36" s="2"/>
    </row>
    <row r="37" spans="1:26" ht="18" customHeight="1" thickBot="1" x14ac:dyDescent="0.25">
      <c r="A37" s="696"/>
      <c r="B37" s="510" t="s">
        <v>151</v>
      </c>
      <c r="C37" s="64">
        <v>4</v>
      </c>
      <c r="D37" s="64" t="s">
        <v>76</v>
      </c>
      <c r="E37" s="64">
        <v>8</v>
      </c>
      <c r="F37" s="87">
        <f>'Оптимизация рейсов'!K33</f>
        <v>66.293706293706293</v>
      </c>
      <c r="G37" s="88">
        <v>20000</v>
      </c>
      <c r="H37" s="636">
        <f t="shared" si="0"/>
        <v>18513.744431063718</v>
      </c>
      <c r="I37" s="89">
        <v>110000</v>
      </c>
      <c r="J37" s="634">
        <f t="shared" si="5"/>
        <v>101825.59437085045</v>
      </c>
      <c r="K37" s="64">
        <v>240</v>
      </c>
      <c r="L37" s="64">
        <v>16</v>
      </c>
      <c r="M37" s="96">
        <f>'Оптимизация рейсов'!I33</f>
        <v>0.9</v>
      </c>
      <c r="N37" s="96">
        <f>'Оптимизация рейсов'!J33</f>
        <v>0.8</v>
      </c>
      <c r="O37" s="65">
        <v>2000000</v>
      </c>
      <c r="P37" s="90">
        <f t="shared" si="10"/>
        <v>353511532.30725199</v>
      </c>
      <c r="Q37" s="91">
        <v>55000</v>
      </c>
      <c r="R37" s="65">
        <v>8000</v>
      </c>
      <c r="S37" s="97">
        <v>2</v>
      </c>
      <c r="T37" s="65">
        <v>2500</v>
      </c>
      <c r="U37" s="97">
        <v>8</v>
      </c>
      <c r="V37" s="35">
        <v>5600</v>
      </c>
      <c r="W37" s="66">
        <f t="shared" si="11"/>
        <v>2969958.041958042</v>
      </c>
      <c r="X37" s="69">
        <f t="shared" si="12"/>
        <v>3646153.846153846</v>
      </c>
      <c r="Y37" s="226">
        <f t="shared" si="13"/>
        <v>19092587.412587412</v>
      </c>
      <c r="Z37" s="2"/>
    </row>
    <row r="38" spans="1:26" ht="18" customHeight="1" x14ac:dyDescent="0.2">
      <c r="A38" s="697" t="s">
        <v>152</v>
      </c>
      <c r="B38" s="511" t="s">
        <v>153</v>
      </c>
      <c r="C38" s="98">
        <v>11</v>
      </c>
      <c r="D38" s="12" t="s">
        <v>154</v>
      </c>
      <c r="E38" s="98">
        <v>4</v>
      </c>
      <c r="F38" s="98">
        <v>420</v>
      </c>
      <c r="G38" s="99">
        <v>13000</v>
      </c>
      <c r="H38" s="189">
        <f t="shared" si="0"/>
        <v>12033.933880191416</v>
      </c>
      <c r="I38" s="100">
        <v>60000</v>
      </c>
      <c r="J38" s="189">
        <f t="shared" si="5"/>
        <v>55541.233293191159</v>
      </c>
      <c r="K38" s="98">
        <v>220</v>
      </c>
      <c r="L38" s="98">
        <v>26</v>
      </c>
      <c r="M38" s="101">
        <v>1</v>
      </c>
      <c r="N38" s="101">
        <v>0.8</v>
      </c>
      <c r="O38" s="122">
        <v>3250000</v>
      </c>
      <c r="P38" s="79">
        <f t="shared" si="10"/>
        <v>1600393704.579005</v>
      </c>
      <c r="Q38" s="80">
        <v>55000</v>
      </c>
      <c r="R38" s="78">
        <v>8000</v>
      </c>
      <c r="S38" s="93">
        <v>2</v>
      </c>
      <c r="T38" s="78">
        <v>2500</v>
      </c>
      <c r="U38" s="93">
        <v>8</v>
      </c>
      <c r="V38" s="31">
        <v>4800</v>
      </c>
      <c r="W38" s="31">
        <f t="shared" si="11"/>
        <v>8064000</v>
      </c>
      <c r="X38" s="81">
        <f t="shared" si="12"/>
        <v>23100000</v>
      </c>
      <c r="Y38" s="227">
        <f t="shared" si="13"/>
        <v>60480000</v>
      </c>
      <c r="Z38" s="2"/>
    </row>
    <row r="39" spans="1:26" ht="18" customHeight="1" x14ac:dyDescent="0.2">
      <c r="A39" s="695"/>
      <c r="B39" s="512" t="s">
        <v>155</v>
      </c>
      <c r="C39" s="103">
        <v>11</v>
      </c>
      <c r="D39" s="102" t="s">
        <v>154</v>
      </c>
      <c r="E39" s="103">
        <v>9</v>
      </c>
      <c r="F39" s="103">
        <v>150</v>
      </c>
      <c r="G39" s="104">
        <v>26500</v>
      </c>
      <c r="H39" s="174">
        <f t="shared" si="0"/>
        <v>24530.711371159428</v>
      </c>
      <c r="I39" s="105">
        <v>70000</v>
      </c>
      <c r="J39" s="174">
        <f t="shared" si="5"/>
        <v>64798.10550872302</v>
      </c>
      <c r="K39" s="103">
        <v>220</v>
      </c>
      <c r="L39" s="103">
        <v>26</v>
      </c>
      <c r="M39" s="106">
        <v>1</v>
      </c>
      <c r="N39" s="106">
        <v>0.8</v>
      </c>
      <c r="O39" s="123">
        <v>4000000</v>
      </c>
      <c r="P39" s="85">
        <f t="shared" si="10"/>
        <v>1015683564.4354769</v>
      </c>
      <c r="Q39" s="86">
        <v>55000</v>
      </c>
      <c r="R39" s="57">
        <v>8000</v>
      </c>
      <c r="S39" s="95">
        <v>2</v>
      </c>
      <c r="T39" s="57">
        <v>2500</v>
      </c>
      <c r="U39" s="95">
        <v>8</v>
      </c>
      <c r="V39" s="14">
        <v>4800</v>
      </c>
      <c r="W39" s="14">
        <f t="shared" si="11"/>
        <v>6480000</v>
      </c>
      <c r="X39" s="60">
        <f t="shared" si="12"/>
        <v>8250000</v>
      </c>
      <c r="Y39" s="225">
        <f t="shared" si="13"/>
        <v>48600000</v>
      </c>
      <c r="Z39" s="2"/>
    </row>
    <row r="40" spans="1:26" ht="18" customHeight="1" x14ac:dyDescent="0.2">
      <c r="A40" s="695"/>
      <c r="B40" s="513" t="s">
        <v>156</v>
      </c>
      <c r="C40" s="108">
        <v>11</v>
      </c>
      <c r="D40" s="107" t="s">
        <v>154</v>
      </c>
      <c r="E40" s="108">
        <v>9</v>
      </c>
      <c r="F40" s="108">
        <v>150</v>
      </c>
      <c r="G40" s="109">
        <v>22000</v>
      </c>
      <c r="H40" s="174">
        <f t="shared" si="0"/>
        <v>20365.11887417009</v>
      </c>
      <c r="I40" s="110">
        <v>60000</v>
      </c>
      <c r="J40" s="174">
        <f t="shared" si="5"/>
        <v>55541.233293191159</v>
      </c>
      <c r="K40" s="108">
        <v>220</v>
      </c>
      <c r="L40" s="108">
        <v>26</v>
      </c>
      <c r="M40" s="111">
        <v>1</v>
      </c>
      <c r="N40" s="111">
        <v>0.8</v>
      </c>
      <c r="O40" s="124">
        <v>4000000</v>
      </c>
      <c r="P40" s="112">
        <f t="shared" si="10"/>
        <v>849337570.72236931</v>
      </c>
      <c r="Q40" s="113">
        <v>55000</v>
      </c>
      <c r="R40" s="114">
        <v>8000</v>
      </c>
      <c r="S40" s="115">
        <v>2</v>
      </c>
      <c r="T40" s="114">
        <v>2500</v>
      </c>
      <c r="U40" s="115">
        <v>8</v>
      </c>
      <c r="V40" s="116">
        <v>4800</v>
      </c>
      <c r="W40" s="116">
        <f t="shared" si="11"/>
        <v>6480000</v>
      </c>
      <c r="X40" s="117">
        <f t="shared" si="12"/>
        <v>8250000</v>
      </c>
      <c r="Y40" s="228">
        <f t="shared" si="13"/>
        <v>48600000</v>
      </c>
      <c r="Z40" s="2"/>
    </row>
    <row r="41" spans="1:26" ht="18" customHeight="1" x14ac:dyDescent="0.2">
      <c r="A41" s="695"/>
      <c r="B41" s="513" t="s">
        <v>157</v>
      </c>
      <c r="C41" s="108">
        <v>12</v>
      </c>
      <c r="D41" s="107" t="s">
        <v>154</v>
      </c>
      <c r="E41" s="108">
        <v>3</v>
      </c>
      <c r="F41" s="108">
        <v>310</v>
      </c>
      <c r="G41" s="109">
        <v>12500</v>
      </c>
      <c r="H41" s="174">
        <f t="shared" si="0"/>
        <v>11571.090269414824</v>
      </c>
      <c r="I41" s="110">
        <v>45000</v>
      </c>
      <c r="J41" s="174">
        <f t="shared" si="5"/>
        <v>41655.924969893371</v>
      </c>
      <c r="K41" s="108">
        <v>220</v>
      </c>
      <c r="L41" s="108">
        <v>26</v>
      </c>
      <c r="M41" s="111">
        <v>0.8</v>
      </c>
      <c r="N41" s="111">
        <v>0.65</v>
      </c>
      <c r="O41" s="124">
        <v>5000000</v>
      </c>
      <c r="P41" s="112">
        <f t="shared" si="10"/>
        <v>854554076.01654434</v>
      </c>
      <c r="Q41" s="113">
        <v>55000</v>
      </c>
      <c r="R41" s="114">
        <v>8000</v>
      </c>
      <c r="S41" s="115">
        <v>2</v>
      </c>
      <c r="T41" s="114">
        <v>2500</v>
      </c>
      <c r="U41" s="115">
        <v>8</v>
      </c>
      <c r="V41" s="116">
        <v>4800</v>
      </c>
      <c r="W41" s="116">
        <f t="shared" si="11"/>
        <v>4464000</v>
      </c>
      <c r="X41" s="117">
        <f t="shared" si="12"/>
        <v>17050000</v>
      </c>
      <c r="Y41" s="228">
        <f t="shared" si="13"/>
        <v>33480000</v>
      </c>
      <c r="Z41" s="2"/>
    </row>
    <row r="42" spans="1:26" ht="18" customHeight="1" x14ac:dyDescent="0.2">
      <c r="A42" s="695"/>
      <c r="B42" s="513" t="s">
        <v>158</v>
      </c>
      <c r="C42" s="108">
        <v>12</v>
      </c>
      <c r="D42" s="107" t="s">
        <v>154</v>
      </c>
      <c r="E42" s="108">
        <v>4.5</v>
      </c>
      <c r="F42" s="108">
        <v>520</v>
      </c>
      <c r="G42" s="109">
        <v>18000</v>
      </c>
      <c r="H42" s="174">
        <f t="shared" si="0"/>
        <v>16662.369987957347</v>
      </c>
      <c r="I42" s="110">
        <v>65000</v>
      </c>
      <c r="J42" s="174">
        <f t="shared" si="5"/>
        <v>60169.669400957086</v>
      </c>
      <c r="K42" s="108">
        <v>220</v>
      </c>
      <c r="L42" s="108">
        <v>26</v>
      </c>
      <c r="M42" s="111">
        <v>0.77500000000000002</v>
      </c>
      <c r="N42" s="111">
        <v>0.7</v>
      </c>
      <c r="O42" s="124">
        <v>11000000</v>
      </c>
      <c r="P42" s="112">
        <f t="shared" si="10"/>
        <v>2057731474.3429561</v>
      </c>
      <c r="Q42" s="113">
        <v>55000</v>
      </c>
      <c r="R42" s="114">
        <v>8000</v>
      </c>
      <c r="S42" s="115">
        <v>2</v>
      </c>
      <c r="T42" s="114">
        <v>2500</v>
      </c>
      <c r="U42" s="115">
        <v>8</v>
      </c>
      <c r="V42" s="116">
        <v>4800</v>
      </c>
      <c r="W42" s="116">
        <f t="shared" si="11"/>
        <v>11232000</v>
      </c>
      <c r="X42" s="117">
        <f t="shared" si="12"/>
        <v>28600000</v>
      </c>
      <c r="Y42" s="228">
        <f t="shared" si="13"/>
        <v>84240000</v>
      </c>
      <c r="Z42" s="2"/>
    </row>
    <row r="43" spans="1:26" ht="18" customHeight="1" thickBot="1" x14ac:dyDescent="0.25">
      <c r="A43" s="698"/>
      <c r="B43" s="514" t="s">
        <v>159</v>
      </c>
      <c r="C43" s="164">
        <v>12</v>
      </c>
      <c r="D43" s="165" t="s">
        <v>154</v>
      </c>
      <c r="E43" s="164">
        <v>3.5</v>
      </c>
      <c r="F43" s="164">
        <v>417</v>
      </c>
      <c r="G43" s="229">
        <v>16250</v>
      </c>
      <c r="H43" s="634">
        <f t="shared" si="0"/>
        <v>15042.417350239271</v>
      </c>
      <c r="I43" s="229">
        <v>62000</v>
      </c>
      <c r="J43" s="634">
        <f t="shared" si="5"/>
        <v>57392.607736297527</v>
      </c>
      <c r="K43" s="164">
        <v>220</v>
      </c>
      <c r="L43" s="164">
        <v>26</v>
      </c>
      <c r="M43" s="230">
        <v>0.85</v>
      </c>
      <c r="N43" s="230">
        <v>0.65</v>
      </c>
      <c r="O43" s="231">
        <v>9000000</v>
      </c>
      <c r="P43" s="232">
        <f t="shared" si="10"/>
        <v>1586455587.0543177</v>
      </c>
      <c r="Q43" s="233">
        <v>55000</v>
      </c>
      <c r="R43" s="234">
        <v>8000</v>
      </c>
      <c r="S43" s="235">
        <v>2</v>
      </c>
      <c r="T43" s="234">
        <v>2500</v>
      </c>
      <c r="U43" s="235">
        <v>8</v>
      </c>
      <c r="V43" s="236">
        <v>4800</v>
      </c>
      <c r="W43" s="236">
        <f t="shared" si="11"/>
        <v>7005600</v>
      </c>
      <c r="X43" s="237">
        <f t="shared" si="12"/>
        <v>22935000</v>
      </c>
      <c r="Y43" s="238">
        <f t="shared" si="13"/>
        <v>52542000</v>
      </c>
      <c r="Z43" s="2"/>
    </row>
    <row r="44" spans="1:26" ht="18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8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2" customHeight="1" x14ac:dyDescent="0.2">
      <c r="A46" s="1"/>
      <c r="B46" s="51" t="s">
        <v>18</v>
      </c>
      <c r="C46" s="51" t="s">
        <v>160</v>
      </c>
      <c r="D46" s="51" t="s">
        <v>161</v>
      </c>
      <c r="E46" s="118" t="s">
        <v>24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9" customHeight="1" x14ac:dyDescent="0.2">
      <c r="A47" s="3" t="s">
        <v>19</v>
      </c>
      <c r="B47" s="60">
        <f>SUM(P2:P21)</f>
        <v>8603012296.7836323</v>
      </c>
      <c r="C47" s="14">
        <f>SUM(W2:W21)</f>
        <v>73694515.044247776</v>
      </c>
      <c r="D47" s="60">
        <f>SUM(Y2:Y21)</f>
        <v>566880884.95575213</v>
      </c>
      <c r="E47" s="61">
        <f>SUM(X2:X21)</f>
        <v>431989306.78466076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.5" customHeight="1" x14ac:dyDescent="0.2">
      <c r="A48" s="3" t="s">
        <v>20</v>
      </c>
      <c r="B48" s="60">
        <f>SUM(P22:P37)</f>
        <v>12922578773.982624</v>
      </c>
      <c r="C48" s="14">
        <f>SUM(W22:W37)</f>
        <v>85942788.059472516</v>
      </c>
      <c r="D48" s="60">
        <f>SUM(Y22:Y37)</f>
        <v>593442560.79569423</v>
      </c>
      <c r="E48" s="61">
        <f>SUM(X22:X37)</f>
        <v>119100465.47602306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23" t="s">
        <v>152</v>
      </c>
      <c r="B49" s="69">
        <f>SUM(P38:P43)</f>
        <v>7964155977.1506691</v>
      </c>
      <c r="C49" s="35">
        <f>SUM(W38:W43)</f>
        <v>43725600</v>
      </c>
      <c r="D49" s="69">
        <f>SUM(Y38:Y43)</f>
        <v>327942000</v>
      </c>
      <c r="E49" s="68">
        <f>SUM(X38:X43)</f>
        <v>108185000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8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8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8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8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8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8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sortState xmlns:xlrd2="http://schemas.microsoft.com/office/spreadsheetml/2017/richdata2" ref="A2:Y21">
    <sortCondition ref="C2:C21"/>
  </sortState>
  <mergeCells count="3">
    <mergeCell ref="A22:A37"/>
    <mergeCell ref="A38:A43"/>
    <mergeCell ref="A2:A2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showGridLines="0" topLeftCell="D1" zoomScale="75" workbookViewId="0">
      <selection activeCell="K15" sqref="K15"/>
    </sheetView>
  </sheetViews>
  <sheetFormatPr baseColWidth="10" defaultColWidth="11.1640625" defaultRowHeight="15" customHeight="1" x14ac:dyDescent="0.2"/>
  <cols>
    <col min="1" max="1" width="6.1640625" customWidth="1"/>
    <col min="2" max="2" width="25.5" customWidth="1"/>
    <col min="3" max="5" width="28.6640625" customWidth="1"/>
    <col min="6" max="6" width="26.83203125" customWidth="1"/>
    <col min="7" max="7" width="28.6640625" customWidth="1"/>
    <col min="8" max="8" width="26.83203125" customWidth="1"/>
    <col min="9" max="9" width="23.83203125" customWidth="1"/>
    <col min="10" max="10" width="23.5" customWidth="1"/>
    <col min="11" max="11" width="11.6640625" customWidth="1"/>
    <col min="12" max="12" width="19.6640625" customWidth="1"/>
    <col min="13" max="13" width="30.1640625" customWidth="1"/>
    <col min="14" max="14" width="17.6640625" customWidth="1"/>
    <col min="15" max="15" width="23.33203125" customWidth="1"/>
    <col min="16" max="16" width="26.5" customWidth="1"/>
    <col min="17" max="17" width="31.1640625" customWidth="1"/>
    <col min="18" max="21" width="26.5" customWidth="1"/>
    <col min="22" max="26" width="10.5" customWidth="1"/>
  </cols>
  <sheetData>
    <row r="1" spans="1:26" ht="79.5" customHeight="1" thickBot="1" x14ac:dyDescent="0.25">
      <c r="A1" s="268" t="s">
        <v>58</v>
      </c>
      <c r="B1" s="269" t="s">
        <v>59</v>
      </c>
      <c r="C1" s="269" t="s">
        <v>60</v>
      </c>
      <c r="D1" s="269" t="s">
        <v>61</v>
      </c>
      <c r="E1" s="270" t="s">
        <v>62</v>
      </c>
      <c r="F1" s="270" t="s">
        <v>63</v>
      </c>
      <c r="G1" s="270" t="s">
        <v>64</v>
      </c>
      <c r="H1" s="270" t="s">
        <v>65</v>
      </c>
      <c r="I1" s="270" t="s">
        <v>66</v>
      </c>
      <c r="J1" s="270" t="s">
        <v>67</v>
      </c>
      <c r="K1" s="271" t="s">
        <v>68</v>
      </c>
      <c r="L1" s="272" t="s">
        <v>69</v>
      </c>
      <c r="M1" s="272" t="s">
        <v>70</v>
      </c>
      <c r="N1" s="273" t="s">
        <v>6</v>
      </c>
      <c r="O1" s="274">
        <v>2020</v>
      </c>
      <c r="P1" s="247">
        <v>2021</v>
      </c>
      <c r="Q1" s="247">
        <v>2022</v>
      </c>
      <c r="R1" s="247">
        <v>2023</v>
      </c>
      <c r="S1" s="247">
        <v>2024</v>
      </c>
      <c r="T1" s="247">
        <v>2025</v>
      </c>
      <c r="U1" s="248">
        <v>2026</v>
      </c>
      <c r="V1" s="5"/>
      <c r="W1" s="5"/>
      <c r="X1" s="5"/>
      <c r="Y1" s="5"/>
      <c r="Z1" s="5"/>
    </row>
    <row r="2" spans="1:26" ht="15.75" customHeight="1" x14ac:dyDescent="0.2">
      <c r="A2" s="264">
        <v>1</v>
      </c>
      <c r="B2" s="160" t="s">
        <v>71</v>
      </c>
      <c r="C2" s="160" t="s">
        <v>72</v>
      </c>
      <c r="D2" s="160">
        <v>5</v>
      </c>
      <c r="E2" s="160">
        <v>1</v>
      </c>
      <c r="F2" s="160" t="s">
        <v>73</v>
      </c>
      <c r="G2" s="163">
        <v>1800000000</v>
      </c>
      <c r="H2" s="265">
        <f>G2/usd</f>
        <v>24590163.934426229</v>
      </c>
      <c r="I2" s="160">
        <v>220</v>
      </c>
      <c r="J2" s="160">
        <v>26</v>
      </c>
      <c r="K2" s="169">
        <f>SUMPRODUCT(Рейсы!E22:E24,Рейсы!F22:F24)</f>
        <v>4323.8025594149904</v>
      </c>
      <c r="L2" s="70"/>
      <c r="M2" s="74"/>
      <c r="N2" s="704" t="s">
        <v>30</v>
      </c>
      <c r="O2" s="266"/>
      <c r="P2" s="70"/>
      <c r="Q2" s="70"/>
      <c r="R2" s="70"/>
      <c r="S2" s="70"/>
      <c r="T2" s="70"/>
      <c r="U2" s="267"/>
      <c r="V2" s="2"/>
      <c r="W2" s="2"/>
      <c r="X2" s="2"/>
      <c r="Y2" s="2"/>
      <c r="Z2" s="2"/>
    </row>
    <row r="3" spans="1:26" ht="18" customHeight="1" x14ac:dyDescent="0.2">
      <c r="A3" s="52">
        <v>2</v>
      </c>
      <c r="B3" s="15" t="s">
        <v>71</v>
      </c>
      <c r="C3" s="15" t="s">
        <v>72</v>
      </c>
      <c r="D3" s="15">
        <v>5</v>
      </c>
      <c r="E3" s="15">
        <v>2</v>
      </c>
      <c r="F3" s="15" t="s">
        <v>73</v>
      </c>
      <c r="G3" s="53">
        <v>1800000000</v>
      </c>
      <c r="H3" s="54">
        <f>G3/usd</f>
        <v>24590163.934426229</v>
      </c>
      <c r="I3" s="15">
        <v>220</v>
      </c>
      <c r="J3" s="15">
        <v>26</v>
      </c>
      <c r="K3" s="55">
        <f>SUMPRODUCT(Рейсы!E25:E27,Рейсы!F25:F27)</f>
        <v>3639.3214098515741</v>
      </c>
      <c r="L3" s="14"/>
      <c r="M3" s="259"/>
      <c r="N3" s="705"/>
      <c r="O3" s="56"/>
      <c r="P3" s="14"/>
      <c r="Q3" s="14"/>
      <c r="R3" s="14"/>
      <c r="S3" s="14"/>
      <c r="T3" s="14"/>
      <c r="U3" s="262"/>
      <c r="V3" s="2"/>
      <c r="W3" s="2"/>
      <c r="X3" s="2"/>
      <c r="Y3" s="2"/>
      <c r="Z3" s="2"/>
    </row>
    <row r="4" spans="1:26" ht="18" customHeight="1" x14ac:dyDescent="0.2">
      <c r="A4" s="52">
        <v>3</v>
      </c>
      <c r="B4" s="15" t="s">
        <v>71</v>
      </c>
      <c r="C4" s="15" t="s">
        <v>72</v>
      </c>
      <c r="D4" s="15" t="s">
        <v>74</v>
      </c>
      <c r="E4" s="15">
        <v>11</v>
      </c>
      <c r="F4" s="15" t="s">
        <v>75</v>
      </c>
      <c r="G4" s="57" t="s">
        <v>75</v>
      </c>
      <c r="H4" s="54"/>
      <c r="I4" s="15">
        <v>220</v>
      </c>
      <c r="J4" s="15">
        <v>26</v>
      </c>
      <c r="K4" s="55">
        <f>SUMPRODUCT(Рейсы!E38:E40,Рейсы!F38:F40)</f>
        <v>4380</v>
      </c>
      <c r="L4" s="58">
        <v>296400000</v>
      </c>
      <c r="M4" s="259">
        <f>L4*usd</f>
        <v>21696480000</v>
      </c>
      <c r="N4" s="705"/>
      <c r="O4" s="59">
        <f>P4/(1+inf_2020)</f>
        <v>20762181818.18182</v>
      </c>
      <c r="P4" s="60">
        <f>M4*(1+'Внешние данные'!C13)^'Внешние данные'!C12</f>
        <v>21696480000</v>
      </c>
      <c r="Q4" s="60">
        <f>M4*(1+'Внешние данные'!D13)^'Внешние данные'!D12</f>
        <v>23464743119.999996</v>
      </c>
      <c r="R4" s="60">
        <f>M4*(1+'Внешние данные'!E13)^'Внешние данные'!E12</f>
        <v>25499283016.708801</v>
      </c>
      <c r="S4" s="60">
        <f>R4*(1-depreciation_rate)*(1+'Внешние данные'!F14)</f>
        <v>26297937322.190781</v>
      </c>
      <c r="T4" s="60">
        <f>S4*(1-depreciation_rate)*(1+'Внешние данные'!G14)</f>
        <v>27106600276.993237</v>
      </c>
      <c r="U4" s="225">
        <f>T4*(1-depreciation_rate)*(1+'Внешние данные'!H14)</f>
        <v>27945280863.827667</v>
      </c>
      <c r="V4" s="2"/>
      <c r="W4" s="2"/>
      <c r="X4" s="2"/>
      <c r="Y4" s="2"/>
      <c r="Z4" s="2"/>
    </row>
    <row r="5" spans="1:26" ht="18" customHeight="1" x14ac:dyDescent="0.2">
      <c r="A5" s="52">
        <v>4</v>
      </c>
      <c r="B5" s="15" t="s">
        <v>71</v>
      </c>
      <c r="C5" s="15" t="s">
        <v>72</v>
      </c>
      <c r="D5" s="15" t="s">
        <v>74</v>
      </c>
      <c r="E5" s="15">
        <v>12</v>
      </c>
      <c r="F5" s="15" t="s">
        <v>75</v>
      </c>
      <c r="G5" s="57" t="s">
        <v>75</v>
      </c>
      <c r="H5" s="54"/>
      <c r="I5" s="15">
        <v>220</v>
      </c>
      <c r="J5" s="15">
        <v>26</v>
      </c>
      <c r="K5" s="55">
        <f>SUMPRODUCT(Рейсы!E41:E43,Рейсы!F41:F43)</f>
        <v>4729.5</v>
      </c>
      <c r="L5" s="58">
        <v>296400000</v>
      </c>
      <c r="M5" s="259">
        <f>L5*usd</f>
        <v>21696480000</v>
      </c>
      <c r="N5" s="705"/>
      <c r="O5" s="59">
        <f>P5/(1+inf_2020)</f>
        <v>20762181818.18182</v>
      </c>
      <c r="P5" s="60">
        <f>M5*(1+'Внешние данные'!C13)^'Внешние данные'!C12</f>
        <v>21696480000</v>
      </c>
      <c r="Q5" s="60">
        <f>M5*(1+'Внешние данные'!D13)^'Внешние данные'!D12</f>
        <v>23464743119.999996</v>
      </c>
      <c r="R5" s="60">
        <f>M5*(1+'Внешние данные'!E13)^'Внешние данные'!E12</f>
        <v>25499283016.708801</v>
      </c>
      <c r="S5" s="60">
        <f>R5*(1-depreciation_rate)*(1+'Внешние данные'!F14)</f>
        <v>26297937322.190781</v>
      </c>
      <c r="T5" s="60">
        <f>S5*(1-depreciation_rate)*(1+'Внешние данные'!G14)</f>
        <v>27106600276.993237</v>
      </c>
      <c r="U5" s="225">
        <f>T5*(1-depreciation_rate)*(1+'Внешние данные'!H14)</f>
        <v>27945280863.827667</v>
      </c>
      <c r="V5" s="2"/>
      <c r="W5" s="2"/>
      <c r="X5" s="2"/>
      <c r="Y5" s="2"/>
      <c r="Z5" s="2"/>
    </row>
    <row r="6" spans="1:26" ht="18" customHeight="1" x14ac:dyDescent="0.2">
      <c r="A6" s="52">
        <v>5</v>
      </c>
      <c r="B6" s="15" t="s">
        <v>76</v>
      </c>
      <c r="C6" s="15" t="s">
        <v>72</v>
      </c>
      <c r="D6" s="15">
        <v>20</v>
      </c>
      <c r="E6" s="15">
        <v>3</v>
      </c>
      <c r="F6" s="15" t="s">
        <v>77</v>
      </c>
      <c r="G6" s="57" t="s">
        <v>75</v>
      </c>
      <c r="H6" s="54"/>
      <c r="I6" s="15">
        <v>240</v>
      </c>
      <c r="J6" s="15">
        <v>16</v>
      </c>
      <c r="K6" s="55">
        <f>SUMPRODUCT(Рейсы!E28:E31,Рейсы!F28:F31)</f>
        <v>3967.4125874125871</v>
      </c>
      <c r="L6" s="58">
        <v>221700000</v>
      </c>
      <c r="M6" s="259">
        <f>L6*usd</f>
        <v>16228440000</v>
      </c>
      <c r="N6" s="705"/>
      <c r="O6" s="59">
        <f>P6/((1-depreciation_rate)*(1+inf_2020))</f>
        <v>5860153394.7637196</v>
      </c>
      <c r="P6" s="60">
        <f>M6*(1-depreciation_rate)^D6</f>
        <v>5817667282.6516819</v>
      </c>
      <c r="Q6" s="60">
        <f>P6*(1-depreciation_rate)*(1+'Внешние данные'!D14)</f>
        <v>5977216807.8784037</v>
      </c>
      <c r="R6" s="60">
        <f>Q6*(1-depreciation_rate)*(1+'Внешние данные'!E14)</f>
        <v>6170704922.8717136</v>
      </c>
      <c r="S6" s="60">
        <f>R6*(1-depreciation_rate)*(1+'Внешние данные'!F14)</f>
        <v>6363975457.234621</v>
      </c>
      <c r="T6" s="60">
        <f>S6*(1-depreciation_rate)*(1+'Внешние данные'!G14)</f>
        <v>6559668037.017107</v>
      </c>
      <c r="U6" s="225">
        <f>T6*(1-depreciation_rate)*(1+'Внешние данные'!H14)</f>
        <v>6762624740.6430473</v>
      </c>
      <c r="V6" s="2"/>
      <c r="W6" s="2"/>
      <c r="X6" s="2"/>
      <c r="Y6" s="2"/>
      <c r="Z6" s="2"/>
    </row>
    <row r="7" spans="1:26" ht="18" customHeight="1" x14ac:dyDescent="0.2">
      <c r="A7" s="52">
        <v>6</v>
      </c>
      <c r="B7" s="15" t="s">
        <v>76</v>
      </c>
      <c r="C7" s="15" t="s">
        <v>72</v>
      </c>
      <c r="D7" s="15">
        <v>20</v>
      </c>
      <c r="E7" s="15">
        <v>4</v>
      </c>
      <c r="F7" s="15" t="s">
        <v>77</v>
      </c>
      <c r="G7" s="57" t="s">
        <v>75</v>
      </c>
      <c r="H7" s="54"/>
      <c r="I7" s="15">
        <v>240</v>
      </c>
      <c r="J7" s="15">
        <v>16</v>
      </c>
      <c r="K7" s="55">
        <f>SUMPRODUCT(Рейсы!E32:E37,Рейсы!F32:F37)</f>
        <v>4553.9790209790208</v>
      </c>
      <c r="L7" s="58">
        <v>221700000</v>
      </c>
      <c r="M7" s="259">
        <f>L7*usd</f>
        <v>16228440000</v>
      </c>
      <c r="N7" s="705"/>
      <c r="O7" s="59">
        <f>P7/(1-depreciation_rate)/(1+inf_2020)</f>
        <v>5860153394.7637196</v>
      </c>
      <c r="P7" s="60">
        <f>M7*(1-depreciation_rate)^D7</f>
        <v>5817667282.6516819</v>
      </c>
      <c r="Q7" s="60">
        <f>P7*(1-depreciation_rate)*(1+'Внешние данные'!D14)</f>
        <v>5977216807.8784037</v>
      </c>
      <c r="R7" s="60">
        <f>Q7*(1-depreciation_rate)*(1+'Внешние данные'!E14)</f>
        <v>6170704922.8717136</v>
      </c>
      <c r="S7" s="60">
        <f>R7*(1-depreciation_rate)*(1+'Внешние данные'!F14)</f>
        <v>6363975457.234621</v>
      </c>
      <c r="T7" s="60">
        <f>S7*(1-depreciation_rate)*(1+'Внешние данные'!G14)</f>
        <v>6559668037.017107</v>
      </c>
      <c r="U7" s="225">
        <f>T7*(1-depreciation_rate)*(1+'Внешние данные'!H14)</f>
        <v>6762624740.6430473</v>
      </c>
      <c r="V7" s="2"/>
      <c r="W7" s="2"/>
      <c r="X7" s="2"/>
      <c r="Y7" s="2"/>
      <c r="Z7" s="2"/>
    </row>
    <row r="8" spans="1:26" ht="18" customHeight="1" x14ac:dyDescent="0.2">
      <c r="A8" s="52">
        <v>7</v>
      </c>
      <c r="B8" s="15" t="s">
        <v>78</v>
      </c>
      <c r="C8" s="15" t="s">
        <v>79</v>
      </c>
      <c r="D8" s="15">
        <v>17</v>
      </c>
      <c r="E8" s="15">
        <v>5</v>
      </c>
      <c r="F8" s="15" t="s">
        <v>73</v>
      </c>
      <c r="G8" s="53">
        <v>500000000</v>
      </c>
      <c r="H8" s="54">
        <f>G8/usd</f>
        <v>6830601.0928961746</v>
      </c>
      <c r="I8" s="15">
        <v>164</v>
      </c>
      <c r="J8" s="15">
        <v>0</v>
      </c>
      <c r="K8" s="55">
        <f>SUMPRODUCT(Рейсы!E2:E4,Рейсы!F2:F4)</f>
        <v>5100</v>
      </c>
      <c r="L8" s="62"/>
      <c r="M8" s="259"/>
      <c r="N8" s="705"/>
      <c r="O8" s="59"/>
      <c r="P8" s="60"/>
      <c r="Q8" s="60"/>
      <c r="R8" s="60"/>
      <c r="S8" s="60"/>
      <c r="T8" s="60"/>
      <c r="U8" s="225"/>
      <c r="V8" s="2"/>
      <c r="W8" s="2"/>
      <c r="X8" s="2"/>
      <c r="Y8" s="2"/>
      <c r="Z8" s="2"/>
    </row>
    <row r="9" spans="1:26" ht="18" customHeight="1" x14ac:dyDescent="0.2">
      <c r="A9" s="52">
        <v>8</v>
      </c>
      <c r="B9" s="15" t="s">
        <v>78</v>
      </c>
      <c r="C9" s="15" t="s">
        <v>79</v>
      </c>
      <c r="D9" s="15">
        <v>17</v>
      </c>
      <c r="E9" s="15">
        <v>6</v>
      </c>
      <c r="F9" s="15" t="s">
        <v>73</v>
      </c>
      <c r="G9" s="53">
        <v>500000000</v>
      </c>
      <c r="H9" s="54">
        <f>G9/usd</f>
        <v>6830601.0928961746</v>
      </c>
      <c r="I9" s="15">
        <v>164</v>
      </c>
      <c r="J9" s="15">
        <v>0</v>
      </c>
      <c r="K9" s="55">
        <f>SUMPRODUCT(Рейсы!E5:E7,Рейсы!F5:F7)</f>
        <v>4155.5555555555557</v>
      </c>
      <c r="L9" s="62"/>
      <c r="M9" s="259"/>
      <c r="N9" s="705"/>
      <c r="O9" s="59"/>
      <c r="P9" s="60"/>
      <c r="Q9" s="60"/>
      <c r="R9" s="60"/>
      <c r="S9" s="60"/>
      <c r="T9" s="60"/>
      <c r="U9" s="225"/>
      <c r="V9" s="2"/>
      <c r="W9" s="2"/>
      <c r="X9" s="2"/>
      <c r="Y9" s="2"/>
      <c r="Z9" s="2"/>
    </row>
    <row r="10" spans="1:26" ht="18" customHeight="1" x14ac:dyDescent="0.2">
      <c r="A10" s="52">
        <v>9</v>
      </c>
      <c r="B10" s="15" t="s">
        <v>78</v>
      </c>
      <c r="C10" s="15" t="s">
        <v>79</v>
      </c>
      <c r="D10" s="15">
        <v>8</v>
      </c>
      <c r="E10" s="15">
        <v>7</v>
      </c>
      <c r="F10" s="15" t="s">
        <v>73</v>
      </c>
      <c r="G10" s="53">
        <v>500000000</v>
      </c>
      <c r="H10" s="54">
        <f>G10/usd</f>
        <v>6830601.0928961746</v>
      </c>
      <c r="I10" s="15">
        <v>140</v>
      </c>
      <c r="J10" s="15">
        <v>12</v>
      </c>
      <c r="K10" s="55">
        <f>SUMPRODUCT(Рейсы!E8:E10,Рейсы!F8:F10)</f>
        <v>5616.3613569321533</v>
      </c>
      <c r="L10" s="62"/>
      <c r="M10" s="259"/>
      <c r="N10" s="705"/>
      <c r="O10" s="59"/>
      <c r="P10" s="60"/>
      <c r="Q10" s="60"/>
      <c r="R10" s="60"/>
      <c r="S10" s="60"/>
      <c r="T10" s="60"/>
      <c r="U10" s="225"/>
      <c r="V10" s="2"/>
      <c r="W10" s="2"/>
      <c r="X10" s="2"/>
      <c r="Y10" s="2"/>
      <c r="Z10" s="2"/>
    </row>
    <row r="11" spans="1:26" ht="18" customHeight="1" x14ac:dyDescent="0.2">
      <c r="A11" s="52">
        <v>10</v>
      </c>
      <c r="B11" s="15" t="s">
        <v>78</v>
      </c>
      <c r="C11" s="15" t="s">
        <v>79</v>
      </c>
      <c r="D11" s="15">
        <v>7</v>
      </c>
      <c r="E11" s="15">
        <v>8</v>
      </c>
      <c r="F11" s="15" t="s">
        <v>73</v>
      </c>
      <c r="G11" s="53">
        <v>500000000</v>
      </c>
      <c r="H11" s="54">
        <f>G11/usd</f>
        <v>6830601.0928961746</v>
      </c>
      <c r="I11" s="15">
        <v>140</v>
      </c>
      <c r="J11" s="15">
        <v>12</v>
      </c>
      <c r="K11" s="55">
        <f>SUMPRODUCT(Рейсы!E11:E13,Рейсы!F11:F13)</f>
        <v>5383.3333333333339</v>
      </c>
      <c r="L11" s="62"/>
      <c r="M11" s="259"/>
      <c r="N11" s="705"/>
      <c r="O11" s="59"/>
      <c r="P11" s="60"/>
      <c r="Q11" s="60"/>
      <c r="R11" s="60"/>
      <c r="S11" s="60"/>
      <c r="T11" s="60"/>
      <c r="U11" s="225"/>
      <c r="V11" s="2"/>
      <c r="W11" s="2"/>
      <c r="X11" s="2"/>
      <c r="Y11" s="2"/>
      <c r="Z11" s="2"/>
    </row>
    <row r="12" spans="1:26" ht="18" customHeight="1" x14ac:dyDescent="0.2">
      <c r="A12" s="52">
        <v>11</v>
      </c>
      <c r="B12" s="15" t="s">
        <v>78</v>
      </c>
      <c r="C12" s="15" t="s">
        <v>79</v>
      </c>
      <c r="D12" s="15">
        <v>15</v>
      </c>
      <c r="E12" s="15">
        <v>9</v>
      </c>
      <c r="F12" s="15" t="s">
        <v>77</v>
      </c>
      <c r="G12" s="57" t="s">
        <v>75</v>
      </c>
      <c r="H12" s="54"/>
      <c r="I12" s="15">
        <v>164</v>
      </c>
      <c r="J12" s="15">
        <v>0</v>
      </c>
      <c r="K12" s="55">
        <f>SUMPRODUCT(Рейсы!E14:E17,Рейсы!F14:F17)</f>
        <v>4020.1828908554571</v>
      </c>
      <c r="L12" s="58">
        <v>93900000</v>
      </c>
      <c r="M12" s="260">
        <f>L12*usd</f>
        <v>6873480000</v>
      </c>
      <c r="N12" s="705"/>
      <c r="O12" s="59">
        <f>P12/(1-depreciation_rate)/(1+inf_2020)</f>
        <v>3207678675.0727386</v>
      </c>
      <c r="P12" s="60">
        <f>M12*(1-depreciation_rate)^D12</f>
        <v>3184423004.6784611</v>
      </c>
      <c r="Q12" s="60">
        <f>P12*(1-depreciation_rate)*(1+'Внешние данные'!D13)^'Внешние данные'!D12</f>
        <v>3271755805.5817676</v>
      </c>
      <c r="R12" s="60">
        <f>Q12*(1-depreciation_rate)*(1+'Внешние данные'!E14)</f>
        <v>3377665610.0757313</v>
      </c>
      <c r="S12" s="60">
        <f>R12*(1-depreciation_rate)*(1+'Внешние данные'!F14)</f>
        <v>3483456317.2182717</v>
      </c>
      <c r="T12" s="60">
        <f>S12*(1-depreciation_rate)*(1+'Внешние данные'!G14)</f>
        <v>3590572782.0533295</v>
      </c>
      <c r="U12" s="225">
        <f>T12*(1-depreciation_rate)*(1+'Внешние данные'!H14)</f>
        <v>3701665418.4279504</v>
      </c>
      <c r="V12" s="2"/>
      <c r="W12" s="2"/>
      <c r="X12" s="2"/>
      <c r="Y12" s="2"/>
      <c r="Z12" s="2"/>
    </row>
    <row r="13" spans="1:26" ht="18" customHeight="1" thickBot="1" x14ac:dyDescent="0.25">
      <c r="A13" s="63">
        <v>12</v>
      </c>
      <c r="B13" s="64" t="s">
        <v>78</v>
      </c>
      <c r="C13" s="64" t="s">
        <v>79</v>
      </c>
      <c r="D13" s="64">
        <v>9</v>
      </c>
      <c r="E13" s="64">
        <v>10</v>
      </c>
      <c r="F13" s="158" t="s">
        <v>77</v>
      </c>
      <c r="G13" s="114" t="s">
        <v>75</v>
      </c>
      <c r="H13" s="275"/>
      <c r="I13" s="64">
        <v>164</v>
      </c>
      <c r="J13" s="64">
        <v>0</v>
      </c>
      <c r="K13" s="66">
        <f>SUMPRODUCT(Рейсы!E18:E21,Рейсы!F18:F21)</f>
        <v>4068.6111111111104</v>
      </c>
      <c r="L13" s="67">
        <v>93900000</v>
      </c>
      <c r="M13" s="261">
        <f>L13*usd</f>
        <v>6873480000</v>
      </c>
      <c r="N13" s="706"/>
      <c r="O13" s="59">
        <f>P13/(1-depreciation_rate)/(1+inf_2020)</f>
        <v>4363643125.4131527</v>
      </c>
      <c r="P13" s="69">
        <f>M13*(1-depreciation_rate)^D13</f>
        <v>4332006712.7539072</v>
      </c>
      <c r="Q13" s="69">
        <f>P13*(1-depreciation_rate)*(1+'Внешние данные'!D13)^'Внешние данные'!D12</f>
        <v>4450811996.851182</v>
      </c>
      <c r="R13" s="69">
        <f>Q13*(1-depreciation_rate)*(1+'Внешние данные'!E14)</f>
        <v>4594888956.2690248</v>
      </c>
      <c r="S13" s="69">
        <f>R13*(1-depreciation_rate)</f>
        <v>4365144508.4555731</v>
      </c>
      <c r="T13" s="69">
        <f>S13*(1-depreciation_rate)</f>
        <v>4146887283.032794</v>
      </c>
      <c r="U13" s="226">
        <f>T13*(1-depreciation_rate)</f>
        <v>3939542918.8811541</v>
      </c>
      <c r="V13" s="2"/>
      <c r="W13" s="2"/>
      <c r="X13" s="2"/>
      <c r="Y13" s="2"/>
      <c r="Z13" s="2"/>
    </row>
    <row r="14" spans="1:26" ht="37" customHeight="1" thickBot="1" x14ac:dyDescent="0.25">
      <c r="A14" s="2"/>
      <c r="B14" s="2"/>
      <c r="C14" s="2"/>
      <c r="D14" s="2"/>
      <c r="E14" s="2"/>
      <c r="F14" s="273" t="s">
        <v>80</v>
      </c>
      <c r="G14" s="276">
        <f t="shared" ref="G14:H14" si="0">SUM(G2:G13)</f>
        <v>5600000000</v>
      </c>
      <c r="H14" s="277">
        <f t="shared" si="0"/>
        <v>76502732.240437165</v>
      </c>
      <c r="I14" s="2"/>
      <c r="J14" s="2"/>
      <c r="K14" s="2"/>
      <c r="L14" s="2"/>
      <c r="M14" s="170"/>
      <c r="N14" s="263" t="s">
        <v>81</v>
      </c>
      <c r="O14" s="71">
        <f t="shared" ref="O14:U14" si="1">SUM(O2:O13)</f>
        <v>60815992226.376968</v>
      </c>
      <c r="P14" s="71">
        <f t="shared" si="1"/>
        <v>62544724282.735725</v>
      </c>
      <c r="Q14" s="71">
        <f t="shared" si="1"/>
        <v>66606487658.189743</v>
      </c>
      <c r="R14" s="71">
        <f t="shared" si="1"/>
        <v>71312530445.505783</v>
      </c>
      <c r="S14" s="71">
        <f t="shared" si="1"/>
        <v>73172426384.524643</v>
      </c>
      <c r="T14" s="71">
        <f t="shared" si="1"/>
        <v>75069996693.106796</v>
      </c>
      <c r="U14" s="224">
        <f t="shared" si="1"/>
        <v>77057019546.250534</v>
      </c>
      <c r="V14" s="2"/>
      <c r="W14" s="2"/>
      <c r="X14" s="2"/>
      <c r="Y14" s="2"/>
      <c r="Z14" s="2"/>
    </row>
    <row r="15" spans="1:26" ht="18" customHeight="1" thickBot="1" x14ac:dyDescent="0.25">
      <c r="A15" s="2"/>
      <c r="B15" s="2"/>
      <c r="C15" s="2"/>
      <c r="D15" s="2"/>
      <c r="E15" s="2"/>
      <c r="F15" s="2"/>
      <c r="G15" s="2"/>
      <c r="H15" s="2"/>
      <c r="I15" s="2"/>
      <c r="J15" s="278" t="s">
        <v>84</v>
      </c>
      <c r="K15" s="279">
        <f>16*365</f>
        <v>5840</v>
      </c>
      <c r="L15" s="2"/>
      <c r="M15" s="170"/>
      <c r="N15" s="251" t="s">
        <v>82</v>
      </c>
      <c r="O15" s="249" t="s">
        <v>8</v>
      </c>
      <c r="P15" s="117">
        <f t="shared" ref="P15:U15" si="2">P14-O14</f>
        <v>1728732056.358757</v>
      </c>
      <c r="Q15" s="117">
        <f t="shared" si="2"/>
        <v>4061763375.4540176</v>
      </c>
      <c r="R15" s="117">
        <f t="shared" si="2"/>
        <v>4706042787.31604</v>
      </c>
      <c r="S15" s="117">
        <f t="shared" si="2"/>
        <v>1859895939.0188599</v>
      </c>
      <c r="T15" s="117">
        <f t="shared" si="2"/>
        <v>1897570308.5821533</v>
      </c>
      <c r="U15" s="228">
        <f t="shared" si="2"/>
        <v>1987022853.1437378</v>
      </c>
      <c r="V15" s="2"/>
      <c r="W15" s="2"/>
      <c r="X15" s="2"/>
      <c r="Y15" s="2"/>
      <c r="Z15" s="2"/>
    </row>
    <row r="16" spans="1:26" ht="18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 t="s">
        <v>318</v>
      </c>
      <c r="K16" s="76">
        <f>AVERAGE(K2:K13)</f>
        <v>4494.8383187871486</v>
      </c>
      <c r="L16" s="2"/>
      <c r="M16" s="707" t="s">
        <v>44</v>
      </c>
      <c r="N16" s="252" t="s">
        <v>83</v>
      </c>
      <c r="O16" s="256">
        <f>O14*(1+inf_2020)</f>
        <v>63552711876.563927</v>
      </c>
      <c r="P16" s="256">
        <f>P14</f>
        <v>62544724282.735725</v>
      </c>
      <c r="Q16" s="256">
        <f>Q14/(1+'Внешние данные'!D13)^'Внешние данные'!D12</f>
        <v>61587136068.598938</v>
      </c>
      <c r="R16" s="256">
        <f>R14/(1+'Внешние данные'!E13)^'Внешние данные'!E12</f>
        <v>60677427265.168991</v>
      </c>
      <c r="S16" s="256">
        <f>S14/(1+'Внешние данные'!F13)^'Внешние данные'!F12</f>
        <v>57350691152.894684</v>
      </c>
      <c r="T16" s="256">
        <f>T14/(1+'Внешние данные'!G13)^'Внешние данные'!G12</f>
        <v>54228530518.417877</v>
      </c>
      <c r="U16" s="257">
        <f>U14/(1+'Внешние данные'!H13)^'Внешние данные'!H12</f>
        <v>51293676033.470345</v>
      </c>
      <c r="V16" s="2"/>
      <c r="W16" s="2"/>
      <c r="X16" s="2"/>
      <c r="Y16" s="2"/>
      <c r="Z16" s="2"/>
    </row>
    <row r="17" spans="1:26" ht="18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L17" s="2"/>
      <c r="M17" s="708"/>
      <c r="N17" s="253" t="s">
        <v>85</v>
      </c>
      <c r="O17" s="236" t="s">
        <v>8</v>
      </c>
      <c r="P17" s="237">
        <f t="shared" ref="P17:U17" si="3">P16-O16</f>
        <v>-1007987593.8282013</v>
      </c>
      <c r="Q17" s="237">
        <f t="shared" si="3"/>
        <v>-957588214.13678741</v>
      </c>
      <c r="R17" s="237">
        <f t="shared" si="3"/>
        <v>-909708803.4299469</v>
      </c>
      <c r="S17" s="237">
        <f t="shared" si="3"/>
        <v>-3326736112.2743073</v>
      </c>
      <c r="T17" s="237">
        <f t="shared" si="3"/>
        <v>-3122160634.4768066</v>
      </c>
      <c r="U17" s="238">
        <f t="shared" si="3"/>
        <v>-2934854484.9475327</v>
      </c>
      <c r="V17" s="2"/>
      <c r="W17" s="2"/>
      <c r="X17" s="2"/>
      <c r="Y17" s="2"/>
      <c r="Z17" s="2"/>
    </row>
    <row r="18" spans="1:26" ht="18" customHeight="1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09" t="s">
        <v>86</v>
      </c>
      <c r="O19" s="710"/>
      <c r="P19" s="257">
        <f>P15:U15</f>
        <v>1728732056.358757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711" t="s">
        <v>87</v>
      </c>
      <c r="O20" s="712"/>
      <c r="P20" s="258">
        <f>SUM(P17:U17)</f>
        <v>-12259035843.093582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" customHeight="1" thickBot="1" x14ac:dyDescent="0.25">
      <c r="A21" s="2"/>
      <c r="B21" s="2"/>
      <c r="C21" s="2"/>
      <c r="D21" s="2"/>
      <c r="E21" s="2"/>
      <c r="F21" s="2"/>
      <c r="G21" s="2"/>
      <c r="H21" s="2"/>
      <c r="I21" s="28"/>
      <c r="J21" s="2"/>
      <c r="K21" s="2"/>
      <c r="L21" s="2"/>
      <c r="M21" s="2"/>
      <c r="N21" s="713" t="s">
        <v>88</v>
      </c>
      <c r="O21" s="714"/>
      <c r="P21" s="250">
        <v>0.05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3" customHeight="1" thickBot="1" x14ac:dyDescent="0.25">
      <c r="A22" s="699" t="s">
        <v>6</v>
      </c>
      <c r="B22" s="700"/>
      <c r="C22" s="72">
        <v>2021</v>
      </c>
      <c r="D22" s="73">
        <v>2022</v>
      </c>
      <c r="E22" s="73">
        <v>2023</v>
      </c>
      <c r="F22" s="73">
        <v>2024</v>
      </c>
      <c r="G22" s="73">
        <v>2025</v>
      </c>
      <c r="H22" s="609">
        <v>2026</v>
      </c>
      <c r="I22" s="606" t="s">
        <v>311</v>
      </c>
      <c r="J22" s="606" t="s">
        <v>310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2">
      <c r="A23" s="701" t="s">
        <v>92</v>
      </c>
      <c r="B23" s="195" t="s">
        <v>213</v>
      </c>
      <c r="C23" s="281">
        <f>SUM(K8:K13)</f>
        <v>28344.044247787609</v>
      </c>
      <c r="D23" s="169">
        <f>SUM(K8:K13)</f>
        <v>28344.044247787609</v>
      </c>
      <c r="E23" s="171">
        <f>SUM(K8:K13)</f>
        <v>28344.044247787609</v>
      </c>
      <c r="F23" s="171">
        <f>SUM(K8:K13)</f>
        <v>28344.044247787609</v>
      </c>
      <c r="G23" s="171">
        <f>SUM(K8:K13)</f>
        <v>28344.044247787609</v>
      </c>
      <c r="H23" s="282">
        <f>SUM(K8:K13)</f>
        <v>28344.044247787609</v>
      </c>
      <c r="I23" s="638">
        <f>maintanance_hour320*usd</f>
        <v>64457.723999999995</v>
      </c>
      <c r="J23" s="607">
        <f>'Внешние данные'!C53*usd_inf</f>
        <v>880.56999999999994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">
      <c r="A24" s="702"/>
      <c r="B24" s="176" t="s">
        <v>214</v>
      </c>
      <c r="C24" s="283">
        <f>SUM(K6:K7)</f>
        <v>8521.3916083916083</v>
      </c>
      <c r="D24" s="55">
        <f>SUM(K6:K7)</f>
        <v>8521.3916083916083</v>
      </c>
      <c r="E24" s="95">
        <f>SUM(K6:K7)</f>
        <v>8521.3916083916083</v>
      </c>
      <c r="F24" s="95">
        <f>SUM(K6:K7)</f>
        <v>8521.3916083916083</v>
      </c>
      <c r="G24" s="95">
        <f>SUM(K6:K7)</f>
        <v>8521.3916083916083</v>
      </c>
      <c r="H24" s="284">
        <f>SUM(K6:K7)</f>
        <v>8521.3916083916083</v>
      </c>
      <c r="I24" s="638">
        <f>maintanance_hour320*usd</f>
        <v>64457.723999999995</v>
      </c>
      <c r="J24" s="607">
        <f>'Внешние данные'!C54*usd_inf</f>
        <v>2079.0454632587857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">
      <c r="A25" s="702"/>
      <c r="B25" s="176" t="s">
        <v>215</v>
      </c>
      <c r="C25" s="283">
        <f>SUM(K2:K3)</f>
        <v>7963.123969266564</v>
      </c>
      <c r="D25" s="55">
        <f>SUM(K2:K3)</f>
        <v>7963.123969266564</v>
      </c>
      <c r="E25" s="95">
        <f>SUM(K2:K3)</f>
        <v>7963.123969266564</v>
      </c>
      <c r="F25" s="95">
        <f>SUM(K2:K3)+SUM(K4:K5)</f>
        <v>17072.623969266562</v>
      </c>
      <c r="G25" s="95">
        <f>SUM(K2:K3)+SUM(K4:K5)</f>
        <v>17072.623969266562</v>
      </c>
      <c r="H25" s="284">
        <f>SUM(K2:K3)+SUM(K4:K5)</f>
        <v>17072.623969266562</v>
      </c>
      <c r="I25" s="638">
        <f>maintanance_hour320*usd</f>
        <v>64457.723999999995</v>
      </c>
      <c r="J25" s="607">
        <f>'Внешние данные'!C55*usd_inf</f>
        <v>2779.562811501597</v>
      </c>
      <c r="K25" s="7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25">
      <c r="A26" s="703"/>
      <c r="B26" s="219" t="s">
        <v>94</v>
      </c>
      <c r="C26" s="639">
        <f>SUMPRODUCT(C23:C25,I23:I25)</f>
        <v>2889546936.546072</v>
      </c>
      <c r="D26" s="639">
        <f>SUMPRODUCT(D23:D25,I23:I25)</f>
        <v>2889546936.546072</v>
      </c>
      <c r="E26" s="639">
        <f>SUMPRODUCT(E23:E25,I23:I25)</f>
        <v>2889546936.546072</v>
      </c>
      <c r="F26" s="639">
        <f>SUMPRODUCT(F23:F25,I23:I25)</f>
        <v>3476724573.3240719</v>
      </c>
      <c r="G26" s="639">
        <f>SUMPRODUCT(G23:G25,I23:I25)</f>
        <v>3476724573.3240719</v>
      </c>
      <c r="H26" s="639">
        <f>SUMPRODUCT(H23:H25,I23:I25)</f>
        <v>3476724573.3240719</v>
      </c>
      <c r="I26" s="7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">
      <c r="A27" s="2"/>
      <c r="B27" s="7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">
      <c r="A28" s="2"/>
      <c r="B28" s="7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">
      <c r="A29" s="2"/>
      <c r="B29" s="7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">
      <c r="A30" s="2"/>
      <c r="B30" s="7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">
      <c r="A31" s="2"/>
      <c r="B31" s="7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">
      <c r="A32" s="2"/>
      <c r="B32" s="7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">
      <c r="A33" s="2"/>
      <c r="B33" s="7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">
      <c r="A34" s="2"/>
      <c r="B34" s="7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2">
      <c r="A35" s="2"/>
      <c r="B35" s="7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2">
      <c r="A36" s="2"/>
      <c r="B36" s="7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">
      <c r="A37" s="2"/>
      <c r="B37" s="7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">
      <c r="A38" s="2"/>
      <c r="B38" s="7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2">
      <c r="A39" s="2"/>
      <c r="B39" s="7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2">
      <c r="A40" s="2"/>
      <c r="B40" s="7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">
      <c r="A41" s="2"/>
      <c r="B41" s="7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">
      <c r="A42" s="2"/>
      <c r="B42" s="7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2">
      <c r="A43" s="2"/>
      <c r="B43" s="7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2">
      <c r="A44" s="2"/>
      <c r="B44" s="7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">
      <c r="A45" s="2"/>
      <c r="B45" s="7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2">
      <c r="A46" s="2"/>
      <c r="B46" s="7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2">
      <c r="A47" s="2"/>
      <c r="B47" s="7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">
      <c r="A48" s="2"/>
      <c r="B48" s="7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2"/>
      <c r="B49" s="7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2"/>
      <c r="B50" s="7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2"/>
      <c r="B51" s="7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2"/>
      <c r="B52" s="7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2"/>
      <c r="B53" s="7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2"/>
      <c r="B54" s="7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2"/>
      <c r="B55" s="7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2"/>
      <c r="B56" s="7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2"/>
      <c r="B57" s="7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2"/>
      <c r="B58" s="7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2:B22"/>
    <mergeCell ref="A23:A26"/>
    <mergeCell ref="N2:N13"/>
    <mergeCell ref="M16:M17"/>
    <mergeCell ref="N19:O19"/>
    <mergeCell ref="N20:O20"/>
    <mergeCell ref="N21:O2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5"/>
  <sheetViews>
    <sheetView showGridLines="0" zoomScale="60" workbookViewId="0">
      <selection activeCell="H26" sqref="H26"/>
    </sheetView>
  </sheetViews>
  <sheetFormatPr baseColWidth="10" defaultColWidth="11.1640625" defaultRowHeight="15" customHeight="1" x14ac:dyDescent="0.2"/>
  <cols>
    <col min="1" max="1" width="28.6640625" style="2" customWidth="1"/>
    <col min="2" max="2" width="28.5" style="2" customWidth="1"/>
    <col min="3" max="3" width="19.5" style="2" customWidth="1"/>
    <col min="4" max="4" width="18.5" style="2" customWidth="1"/>
    <col min="5" max="5" width="15.1640625" style="2" customWidth="1"/>
    <col min="6" max="6" width="12.33203125" style="2" customWidth="1"/>
    <col min="7" max="7" width="28.83203125" style="2" customWidth="1"/>
    <col min="8" max="8" width="26.6640625" style="2" customWidth="1"/>
    <col min="9" max="10" width="28" style="2" customWidth="1"/>
    <col min="11" max="11" width="32.33203125" style="2" customWidth="1"/>
    <col min="12" max="26" width="8.83203125" style="2" customWidth="1"/>
    <col min="27" max="16384" width="11.1640625" style="2"/>
  </cols>
  <sheetData>
    <row r="1" spans="1:26" ht="15" customHeight="1" x14ac:dyDescent="0.2">
      <c r="A1" s="718" t="s">
        <v>19</v>
      </c>
      <c r="B1" s="718"/>
      <c r="C1" s="718"/>
      <c r="D1" s="718"/>
      <c r="E1" s="718"/>
      <c r="F1" s="718"/>
      <c r="G1" s="718"/>
      <c r="H1" s="718"/>
      <c r="I1" s="718"/>
      <c r="J1" s="718"/>
      <c r="K1" s="718"/>
    </row>
    <row r="2" spans="1:26" ht="51" customHeight="1" x14ac:dyDescent="0.2">
      <c r="A2" s="119" t="s">
        <v>162</v>
      </c>
      <c r="B2" s="119" t="s">
        <v>163</v>
      </c>
      <c r="C2" s="119" t="s">
        <v>164</v>
      </c>
      <c r="D2" s="119" t="s">
        <v>165</v>
      </c>
      <c r="E2" s="119" t="s">
        <v>166</v>
      </c>
      <c r="F2" s="119" t="s">
        <v>167</v>
      </c>
      <c r="G2" s="119" t="s">
        <v>168</v>
      </c>
      <c r="H2" s="119" t="s">
        <v>169</v>
      </c>
      <c r="I2" s="119" t="s">
        <v>170</v>
      </c>
      <c r="J2" s="119" t="s">
        <v>171</v>
      </c>
      <c r="K2" s="119" t="s">
        <v>172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2">
      <c r="A3" s="14" t="s">
        <v>173</v>
      </c>
      <c r="B3" s="14">
        <v>1140</v>
      </c>
      <c r="C3" s="14">
        <v>164</v>
      </c>
      <c r="D3" s="14">
        <v>0</v>
      </c>
      <c r="E3" s="14">
        <v>2000</v>
      </c>
      <c r="F3" s="14"/>
      <c r="G3" s="120">
        <v>0.8</v>
      </c>
      <c r="H3" s="120"/>
      <c r="I3" s="120">
        <v>0.9</v>
      </c>
      <c r="J3" s="120"/>
      <c r="K3" s="55">
        <f t="shared" ref="K3:K6" si="0">(B3 * G3) / I3</f>
        <v>1013.3333333333333</v>
      </c>
    </row>
    <row r="4" spans="1:26" ht="18" customHeight="1" x14ac:dyDescent="0.2">
      <c r="A4" s="14" t="s">
        <v>174</v>
      </c>
      <c r="B4" s="14">
        <v>600</v>
      </c>
      <c r="C4" s="14">
        <v>164</v>
      </c>
      <c r="D4" s="14">
        <v>0</v>
      </c>
      <c r="E4" s="14">
        <v>4000</v>
      </c>
      <c r="F4" s="14"/>
      <c r="G4" s="120">
        <v>0.85</v>
      </c>
      <c r="H4" s="120"/>
      <c r="I4" s="120">
        <v>0.9</v>
      </c>
      <c r="J4" s="120"/>
      <c r="K4" s="55">
        <f t="shared" si="0"/>
        <v>566.66666666666663</v>
      </c>
    </row>
    <row r="5" spans="1:26" ht="18" customHeight="1" x14ac:dyDescent="0.2">
      <c r="A5" s="14" t="s">
        <v>175</v>
      </c>
      <c r="B5" s="14">
        <v>600</v>
      </c>
      <c r="C5" s="14">
        <v>164</v>
      </c>
      <c r="D5" s="14">
        <v>0</v>
      </c>
      <c r="E5" s="14">
        <v>4500</v>
      </c>
      <c r="F5" s="14"/>
      <c r="G5" s="120">
        <v>0.85</v>
      </c>
      <c r="H5" s="120"/>
      <c r="I5" s="120">
        <v>0.9</v>
      </c>
      <c r="J5" s="120"/>
      <c r="K5" s="55">
        <f t="shared" si="0"/>
        <v>566.66666666666663</v>
      </c>
    </row>
    <row r="6" spans="1:26" ht="18" customHeight="1" x14ac:dyDescent="0.2">
      <c r="A6" s="14" t="s">
        <v>176</v>
      </c>
      <c r="B6" s="14">
        <v>650</v>
      </c>
      <c r="C6" s="14">
        <v>164</v>
      </c>
      <c r="D6" s="14">
        <v>0</v>
      </c>
      <c r="E6" s="14">
        <v>5000</v>
      </c>
      <c r="F6" s="14"/>
      <c r="G6" s="120">
        <v>0.8</v>
      </c>
      <c r="H6" s="120"/>
      <c r="I6" s="120">
        <v>0.9</v>
      </c>
      <c r="J6" s="120"/>
      <c r="K6" s="55">
        <f t="shared" si="0"/>
        <v>577.77777777777771</v>
      </c>
    </row>
    <row r="7" spans="1:26" ht="18" customHeight="1" x14ac:dyDescent="0.2">
      <c r="A7" s="14" t="s">
        <v>177</v>
      </c>
      <c r="B7" s="14">
        <v>1050</v>
      </c>
      <c r="C7" s="14">
        <v>140</v>
      </c>
      <c r="D7" s="14">
        <v>12</v>
      </c>
      <c r="E7" s="14">
        <v>11000</v>
      </c>
      <c r="F7" s="14">
        <v>70000</v>
      </c>
      <c r="G7" s="120">
        <v>0.85</v>
      </c>
      <c r="H7" s="120">
        <v>0.6</v>
      </c>
      <c r="I7" s="120">
        <v>0.9</v>
      </c>
      <c r="J7" s="120">
        <v>0.8</v>
      </c>
      <c r="K7" s="55">
        <f t="shared" ref="K7:K8" si="1">B7 * (C7 * G7 + D7 * H7) / (C7 * I7 + D7 * J7)</f>
        <v>977.21238938053102</v>
      </c>
    </row>
    <row r="8" spans="1:26" ht="18" customHeight="1" x14ac:dyDescent="0.2">
      <c r="A8" s="14" t="s">
        <v>178</v>
      </c>
      <c r="B8" s="14">
        <v>960</v>
      </c>
      <c r="C8" s="14">
        <v>140</v>
      </c>
      <c r="D8" s="14">
        <v>12</v>
      </c>
      <c r="E8" s="14">
        <v>7500</v>
      </c>
      <c r="F8" s="14">
        <v>45000</v>
      </c>
      <c r="G8" s="120">
        <v>0.85</v>
      </c>
      <c r="H8" s="120">
        <v>0.4</v>
      </c>
      <c r="I8" s="120">
        <v>0.9</v>
      </c>
      <c r="J8" s="120">
        <v>0.8</v>
      </c>
      <c r="K8" s="55">
        <f t="shared" si="1"/>
        <v>876.46017699115043</v>
      </c>
    </row>
    <row r="9" spans="1:26" ht="18" customHeight="1" x14ac:dyDescent="0.2">
      <c r="A9" s="14" t="s">
        <v>179</v>
      </c>
      <c r="B9" s="14">
        <v>760</v>
      </c>
      <c r="C9" s="14">
        <v>164</v>
      </c>
      <c r="D9" s="14">
        <v>0</v>
      </c>
      <c r="E9" s="14">
        <v>5500</v>
      </c>
      <c r="F9" s="14"/>
      <c r="G9" s="120">
        <v>0.75</v>
      </c>
      <c r="H9" s="120"/>
      <c r="I9" s="120">
        <v>0.9</v>
      </c>
      <c r="J9" s="120"/>
      <c r="K9" s="55">
        <f t="shared" ref="K9:K12" si="2">(B9 * G9) / I9</f>
        <v>633.33333333333337</v>
      </c>
    </row>
    <row r="10" spans="1:26" ht="18" customHeight="1" x14ac:dyDescent="0.2">
      <c r="A10" s="14" t="s">
        <v>180</v>
      </c>
      <c r="B10" s="14">
        <v>860</v>
      </c>
      <c r="C10" s="14">
        <v>164</v>
      </c>
      <c r="D10" s="14">
        <v>0</v>
      </c>
      <c r="E10" s="14">
        <v>4000</v>
      </c>
      <c r="F10" s="14"/>
      <c r="G10" s="120">
        <v>0.85</v>
      </c>
      <c r="H10" s="120"/>
      <c r="I10" s="120">
        <v>0.9</v>
      </c>
      <c r="J10" s="120"/>
      <c r="K10" s="55">
        <f t="shared" si="2"/>
        <v>812.22222222222217</v>
      </c>
    </row>
    <row r="11" spans="1:26" ht="18" customHeight="1" x14ac:dyDescent="0.2">
      <c r="A11" s="14" t="s">
        <v>181</v>
      </c>
      <c r="B11" s="14">
        <v>760</v>
      </c>
      <c r="C11" s="14">
        <v>164</v>
      </c>
      <c r="D11" s="14">
        <v>0</v>
      </c>
      <c r="E11" s="14">
        <v>4500</v>
      </c>
      <c r="F11" s="14"/>
      <c r="G11" s="120">
        <v>0.7</v>
      </c>
      <c r="H11" s="120"/>
      <c r="I11" s="120">
        <v>0.9</v>
      </c>
      <c r="J11" s="120"/>
      <c r="K11" s="55">
        <f t="shared" si="2"/>
        <v>591.11111111111109</v>
      </c>
    </row>
    <row r="12" spans="1:26" ht="18" customHeight="1" x14ac:dyDescent="0.2">
      <c r="A12" s="14" t="s">
        <v>182</v>
      </c>
      <c r="B12" s="14">
        <v>750</v>
      </c>
      <c r="C12" s="14">
        <v>164</v>
      </c>
      <c r="D12" s="14">
        <v>0</v>
      </c>
      <c r="E12" s="14">
        <v>5000</v>
      </c>
      <c r="F12" s="14"/>
      <c r="G12" s="120">
        <v>0.65</v>
      </c>
      <c r="H12" s="120"/>
      <c r="I12" s="120">
        <v>0.9</v>
      </c>
      <c r="J12" s="120"/>
      <c r="K12" s="55">
        <f t="shared" si="2"/>
        <v>541.66666666666663</v>
      </c>
    </row>
    <row r="13" spans="1:26" ht="18" customHeight="1" x14ac:dyDescent="0.2"/>
    <row r="14" spans="1:26" ht="18" customHeight="1" x14ac:dyDescent="0.2"/>
    <row r="15" spans="1:26" ht="18" customHeight="1" x14ac:dyDescent="0.2"/>
    <row r="16" spans="1:26" ht="18" customHeight="1" x14ac:dyDescent="0.2">
      <c r="A16" s="715" t="s">
        <v>20</v>
      </c>
      <c r="B16" s="716"/>
      <c r="C16" s="716"/>
      <c r="D16" s="716"/>
      <c r="E16" s="716"/>
      <c r="F16" s="716"/>
      <c r="G16" s="716"/>
      <c r="H16" s="716"/>
      <c r="I16" s="716"/>
      <c r="J16" s="716"/>
      <c r="K16" s="717"/>
    </row>
    <row r="17" spans="1:26" ht="57" customHeight="1" x14ac:dyDescent="0.2">
      <c r="A17" s="121" t="s">
        <v>162</v>
      </c>
      <c r="B17" s="121" t="s">
        <v>163</v>
      </c>
      <c r="C17" s="121" t="s">
        <v>164</v>
      </c>
      <c r="D17" s="121" t="s">
        <v>165</v>
      </c>
      <c r="E17" s="121" t="s">
        <v>166</v>
      </c>
      <c r="F17" s="121" t="s">
        <v>167</v>
      </c>
      <c r="G17" s="121" t="s">
        <v>168</v>
      </c>
      <c r="H17" s="121" t="s">
        <v>169</v>
      </c>
      <c r="I17" s="121" t="s">
        <v>170</v>
      </c>
      <c r="J17" s="121" t="s">
        <v>171</v>
      </c>
      <c r="K17" s="121" t="s">
        <v>172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x14ac:dyDescent="0.2">
      <c r="A18" s="14" t="s">
        <v>183</v>
      </c>
      <c r="B18" s="14">
        <v>140</v>
      </c>
      <c r="C18" s="14">
        <v>220</v>
      </c>
      <c r="D18" s="14">
        <v>26</v>
      </c>
      <c r="E18" s="14">
        <v>35000</v>
      </c>
      <c r="F18" s="14">
        <v>80000</v>
      </c>
      <c r="G18" s="14">
        <v>0.85</v>
      </c>
      <c r="H18" s="14">
        <v>0.65</v>
      </c>
      <c r="I18" s="14">
        <v>0.9</v>
      </c>
      <c r="J18" s="14">
        <v>0.8</v>
      </c>
      <c r="K18" s="55">
        <f t="shared" ref="K18:K33" si="3">B18 * (C18 * G18 + D18 *H18) / (C18 * I18 + D18 * J18)</f>
        <v>130.46617915904935</v>
      </c>
    </row>
    <row r="19" spans="1:26" ht="18" customHeight="1" x14ac:dyDescent="0.2">
      <c r="A19" s="14" t="s">
        <v>184</v>
      </c>
      <c r="B19" s="14">
        <v>120</v>
      </c>
      <c r="C19" s="14">
        <v>220</v>
      </c>
      <c r="D19" s="14">
        <v>26</v>
      </c>
      <c r="E19" s="14">
        <v>40000</v>
      </c>
      <c r="F19" s="14">
        <v>90000</v>
      </c>
      <c r="G19" s="14">
        <v>0.85</v>
      </c>
      <c r="H19" s="14">
        <v>0.6</v>
      </c>
      <c r="I19" s="14">
        <v>0.9</v>
      </c>
      <c r="J19" s="14">
        <v>0.8</v>
      </c>
      <c r="K19" s="55">
        <f t="shared" si="3"/>
        <v>111.11517367458866</v>
      </c>
    </row>
    <row r="20" spans="1:26" ht="18" customHeight="1" x14ac:dyDescent="0.2">
      <c r="A20" s="14" t="s">
        <v>185</v>
      </c>
      <c r="B20" s="14">
        <v>100</v>
      </c>
      <c r="C20" s="14">
        <v>220</v>
      </c>
      <c r="D20" s="14">
        <v>26</v>
      </c>
      <c r="E20" s="14">
        <v>35000</v>
      </c>
      <c r="F20" s="14">
        <v>85000</v>
      </c>
      <c r="G20" s="14">
        <v>0.75</v>
      </c>
      <c r="H20" s="14">
        <v>0.65</v>
      </c>
      <c r="I20" s="14">
        <v>0.9</v>
      </c>
      <c r="J20" s="14">
        <v>0.8</v>
      </c>
      <c r="K20" s="55">
        <f t="shared" si="3"/>
        <v>83.135283363802557</v>
      </c>
    </row>
    <row r="21" spans="1:26" ht="18" customHeight="1" x14ac:dyDescent="0.2">
      <c r="A21" s="14" t="s">
        <v>186</v>
      </c>
      <c r="B21" s="14">
        <v>150</v>
      </c>
      <c r="C21" s="14">
        <v>220</v>
      </c>
      <c r="D21" s="14">
        <v>26</v>
      </c>
      <c r="E21" s="14">
        <v>40000</v>
      </c>
      <c r="F21" s="14">
        <v>110000</v>
      </c>
      <c r="G21" s="14">
        <v>0.8</v>
      </c>
      <c r="H21" s="14">
        <v>0.6</v>
      </c>
      <c r="I21" s="14">
        <v>0.9</v>
      </c>
      <c r="J21" s="14">
        <v>0.8</v>
      </c>
      <c r="K21" s="55">
        <f t="shared" si="3"/>
        <v>131.3528336380256</v>
      </c>
    </row>
    <row r="22" spans="1:26" ht="18" customHeight="1" x14ac:dyDescent="0.2">
      <c r="A22" s="14" t="s">
        <v>187</v>
      </c>
      <c r="B22" s="14">
        <v>140</v>
      </c>
      <c r="C22" s="14">
        <v>220</v>
      </c>
      <c r="D22" s="14">
        <v>26</v>
      </c>
      <c r="E22" s="14">
        <v>35000</v>
      </c>
      <c r="F22" s="14">
        <v>90000</v>
      </c>
      <c r="G22" s="14">
        <v>0.8</v>
      </c>
      <c r="H22" s="14">
        <v>0.55000000000000004</v>
      </c>
      <c r="I22" s="14">
        <v>0.9</v>
      </c>
      <c r="J22" s="14">
        <v>0.8</v>
      </c>
      <c r="K22" s="55">
        <f t="shared" si="3"/>
        <v>121.76416819012796</v>
      </c>
    </row>
    <row r="23" spans="1:26" ht="18" customHeight="1" x14ac:dyDescent="0.2">
      <c r="A23" s="14" t="s">
        <v>188</v>
      </c>
      <c r="B23" s="14">
        <v>160</v>
      </c>
      <c r="C23" s="14">
        <v>240</v>
      </c>
      <c r="D23" s="14">
        <v>16</v>
      </c>
      <c r="E23" s="14">
        <v>30000</v>
      </c>
      <c r="F23" s="14">
        <v>100000</v>
      </c>
      <c r="G23" s="14">
        <v>0.85</v>
      </c>
      <c r="H23" s="14">
        <v>0.7</v>
      </c>
      <c r="I23" s="14">
        <v>0.9</v>
      </c>
      <c r="J23" s="14">
        <v>0.8</v>
      </c>
      <c r="K23" s="55">
        <f t="shared" si="3"/>
        <v>150.48951048951048</v>
      </c>
    </row>
    <row r="24" spans="1:26" ht="18" customHeight="1" x14ac:dyDescent="0.2">
      <c r="A24" s="14" t="s">
        <v>189</v>
      </c>
      <c r="B24" s="14">
        <v>80</v>
      </c>
      <c r="C24" s="14">
        <v>240</v>
      </c>
      <c r="D24" s="14">
        <v>16</v>
      </c>
      <c r="E24" s="14">
        <v>45000</v>
      </c>
      <c r="F24" s="14">
        <v>120000</v>
      </c>
      <c r="G24" s="14">
        <v>0.85</v>
      </c>
      <c r="H24" s="14">
        <v>0.6</v>
      </c>
      <c r="I24" s="14">
        <v>0.9</v>
      </c>
      <c r="J24" s="14">
        <v>0.8</v>
      </c>
      <c r="K24" s="55">
        <f t="shared" si="3"/>
        <v>74.68531468531468</v>
      </c>
    </row>
    <row r="25" spans="1:26" ht="18" customHeight="1" x14ac:dyDescent="0.2">
      <c r="A25" s="14" t="s">
        <v>190</v>
      </c>
      <c r="B25" s="14">
        <v>100</v>
      </c>
      <c r="C25" s="14">
        <v>240</v>
      </c>
      <c r="D25" s="14">
        <v>16</v>
      </c>
      <c r="E25" s="14">
        <v>35000</v>
      </c>
      <c r="F25" s="14">
        <v>75000</v>
      </c>
      <c r="G25" s="14">
        <v>0.75</v>
      </c>
      <c r="H25" s="14">
        <v>0.7</v>
      </c>
      <c r="I25" s="14">
        <v>0.9</v>
      </c>
      <c r="J25" s="14">
        <v>0.8</v>
      </c>
      <c r="K25" s="55">
        <f t="shared" si="3"/>
        <v>83.56643356643356</v>
      </c>
    </row>
    <row r="26" spans="1:26" ht="18" customHeight="1" x14ac:dyDescent="0.2">
      <c r="A26" s="14" t="s">
        <v>191</v>
      </c>
      <c r="B26" s="14">
        <v>160</v>
      </c>
      <c r="C26" s="14">
        <v>240</v>
      </c>
      <c r="D26" s="14">
        <v>16</v>
      </c>
      <c r="E26" s="14">
        <v>30000</v>
      </c>
      <c r="F26" s="14">
        <v>80000</v>
      </c>
      <c r="G26" s="14">
        <v>0.85</v>
      </c>
      <c r="H26" s="14">
        <v>0.6</v>
      </c>
      <c r="I26" s="14">
        <v>0.9</v>
      </c>
      <c r="J26" s="14">
        <v>0.8</v>
      </c>
      <c r="K26" s="55">
        <f t="shared" si="3"/>
        <v>149.37062937062936</v>
      </c>
    </row>
    <row r="27" spans="1:26" ht="18" customHeight="1" x14ac:dyDescent="0.2">
      <c r="A27" s="14" t="s">
        <v>156</v>
      </c>
      <c r="B27" s="14">
        <v>160</v>
      </c>
      <c r="C27" s="14">
        <v>240</v>
      </c>
      <c r="D27" s="14">
        <v>16</v>
      </c>
      <c r="E27" s="14">
        <v>25000</v>
      </c>
      <c r="F27" s="14">
        <v>70000</v>
      </c>
      <c r="G27" s="14">
        <v>0.85</v>
      </c>
      <c r="H27" s="14">
        <v>0.55000000000000004</v>
      </c>
      <c r="I27" s="14">
        <v>0.9</v>
      </c>
      <c r="J27" s="14">
        <v>0.8</v>
      </c>
      <c r="K27" s="55">
        <f t="shared" si="3"/>
        <v>148.8111888111888</v>
      </c>
    </row>
    <row r="28" spans="1:26" ht="18" customHeight="1" x14ac:dyDescent="0.2">
      <c r="A28" s="14" t="s">
        <v>192</v>
      </c>
      <c r="B28" s="14">
        <v>150</v>
      </c>
      <c r="C28" s="14">
        <v>240</v>
      </c>
      <c r="D28" s="14">
        <v>16</v>
      </c>
      <c r="E28" s="14">
        <v>15000</v>
      </c>
      <c r="F28" s="14">
        <v>75000</v>
      </c>
      <c r="G28" s="14">
        <v>0.8</v>
      </c>
      <c r="H28" s="14">
        <v>0.6</v>
      </c>
      <c r="I28" s="14">
        <v>0.9</v>
      </c>
      <c r="J28" s="14">
        <v>0.8</v>
      </c>
      <c r="K28" s="55">
        <f t="shared" si="3"/>
        <v>132.16783216783216</v>
      </c>
    </row>
    <row r="29" spans="1:26" ht="18" customHeight="1" x14ac:dyDescent="0.2">
      <c r="A29" s="14" t="s">
        <v>192</v>
      </c>
      <c r="B29" s="14">
        <v>140</v>
      </c>
      <c r="C29" s="14">
        <v>240</v>
      </c>
      <c r="D29" s="14">
        <v>16</v>
      </c>
      <c r="E29" s="14">
        <v>15000</v>
      </c>
      <c r="F29" s="14">
        <v>75000</v>
      </c>
      <c r="G29" s="14">
        <v>0.85</v>
      </c>
      <c r="H29" s="14">
        <v>0.6</v>
      </c>
      <c r="I29" s="14">
        <v>0.9</v>
      </c>
      <c r="J29" s="14">
        <v>0.8</v>
      </c>
      <c r="K29" s="55">
        <f t="shared" si="3"/>
        <v>130.69930069930069</v>
      </c>
    </row>
    <row r="30" spans="1:26" ht="18" customHeight="1" x14ac:dyDescent="0.2">
      <c r="A30" s="14" t="s">
        <v>153</v>
      </c>
      <c r="B30" s="14">
        <v>130</v>
      </c>
      <c r="C30" s="14">
        <v>240</v>
      </c>
      <c r="D30" s="14">
        <v>16</v>
      </c>
      <c r="E30" s="14">
        <v>15000</v>
      </c>
      <c r="F30" s="14">
        <v>70000</v>
      </c>
      <c r="G30" s="14">
        <v>0.85</v>
      </c>
      <c r="H30" s="14">
        <v>0.5</v>
      </c>
      <c r="I30" s="14">
        <v>0.9</v>
      </c>
      <c r="J30" s="14">
        <v>0.8</v>
      </c>
      <c r="K30" s="55">
        <f t="shared" si="3"/>
        <v>120.45454545454545</v>
      </c>
    </row>
    <row r="31" spans="1:26" ht="18" customHeight="1" x14ac:dyDescent="0.2">
      <c r="A31" s="14" t="s">
        <v>193</v>
      </c>
      <c r="B31" s="14">
        <v>130</v>
      </c>
      <c r="C31" s="14">
        <v>240</v>
      </c>
      <c r="D31" s="14">
        <v>16</v>
      </c>
      <c r="E31" s="14">
        <v>15000</v>
      </c>
      <c r="F31" s="14">
        <v>70000</v>
      </c>
      <c r="G31" s="14">
        <v>0.8</v>
      </c>
      <c r="H31" s="14">
        <v>0.55000000000000004</v>
      </c>
      <c r="I31" s="14">
        <v>0.9</v>
      </c>
      <c r="J31" s="14">
        <v>0.8</v>
      </c>
      <c r="K31" s="55">
        <f t="shared" si="3"/>
        <v>114.09090909090908</v>
      </c>
    </row>
    <row r="32" spans="1:26" ht="18" customHeight="1" x14ac:dyDescent="0.2">
      <c r="A32" s="14" t="s">
        <v>194</v>
      </c>
      <c r="B32" s="14">
        <v>130</v>
      </c>
      <c r="C32" s="14">
        <v>240</v>
      </c>
      <c r="D32" s="14">
        <v>16</v>
      </c>
      <c r="E32" s="14">
        <v>15000</v>
      </c>
      <c r="F32" s="14">
        <v>70000</v>
      </c>
      <c r="G32" s="14">
        <v>0.8</v>
      </c>
      <c r="H32" s="14">
        <v>0.55000000000000004</v>
      </c>
      <c r="I32" s="14">
        <v>0.9</v>
      </c>
      <c r="J32" s="14">
        <v>0.8</v>
      </c>
      <c r="K32" s="55">
        <f t="shared" si="3"/>
        <v>114.09090909090908</v>
      </c>
    </row>
    <row r="33" spans="1:11" ht="18" customHeight="1" x14ac:dyDescent="0.2">
      <c r="A33" s="14" t="s">
        <v>195</v>
      </c>
      <c r="B33" s="14">
        <v>80</v>
      </c>
      <c r="C33" s="14">
        <v>240</v>
      </c>
      <c r="D33" s="14">
        <v>16</v>
      </c>
      <c r="E33" s="14">
        <v>20000</v>
      </c>
      <c r="F33" s="14">
        <v>110000</v>
      </c>
      <c r="G33" s="14">
        <v>0.75</v>
      </c>
      <c r="H33" s="14">
        <v>0.6</v>
      </c>
      <c r="I33" s="14">
        <v>0.9</v>
      </c>
      <c r="J33" s="14">
        <v>0.8</v>
      </c>
      <c r="K33" s="55">
        <f t="shared" si="3"/>
        <v>66.293706293706293</v>
      </c>
    </row>
    <row r="34" spans="1:11" ht="18" customHeight="1" x14ac:dyDescent="0.2"/>
    <row r="35" spans="1:11" ht="18" customHeight="1" x14ac:dyDescent="0.2"/>
    <row r="36" spans="1:11" ht="18" customHeight="1" x14ac:dyDescent="0.2"/>
    <row r="37" spans="1:11" ht="18" customHeight="1" x14ac:dyDescent="0.2"/>
    <row r="38" spans="1:11" ht="18" customHeight="1" x14ac:dyDescent="0.2"/>
    <row r="39" spans="1:11" ht="18" customHeight="1" x14ac:dyDescent="0.2"/>
    <row r="40" spans="1:11" ht="18" customHeight="1" x14ac:dyDescent="0.2"/>
    <row r="41" spans="1:11" ht="18" customHeight="1" x14ac:dyDescent="0.2"/>
    <row r="42" spans="1:11" ht="18" customHeight="1" x14ac:dyDescent="0.2"/>
    <row r="43" spans="1:11" ht="18" customHeight="1" x14ac:dyDescent="0.2"/>
    <row r="44" spans="1:11" ht="18" customHeight="1" x14ac:dyDescent="0.2"/>
    <row r="45" spans="1:11" ht="18" customHeight="1" x14ac:dyDescent="0.2"/>
    <row r="46" spans="1:11" ht="18" customHeight="1" x14ac:dyDescent="0.2"/>
    <row r="47" spans="1:11" ht="18" customHeight="1" x14ac:dyDescent="0.2"/>
    <row r="48" spans="1:11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</sheetData>
  <mergeCells count="2">
    <mergeCell ref="A16:K16"/>
    <mergeCell ref="A1:K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FEFF-5440-AF48-836E-2CF4E57C6328}">
  <dimension ref="A1:Z986"/>
  <sheetViews>
    <sheetView showGridLines="0" topLeftCell="A7" zoomScale="75" workbookViewId="0">
      <selection activeCell="H32" sqref="H32"/>
    </sheetView>
  </sheetViews>
  <sheetFormatPr baseColWidth="10" defaultColWidth="11.1640625" defaultRowHeight="15" customHeight="1" x14ac:dyDescent="0.2"/>
  <cols>
    <col min="1" max="1" width="25.5" style="285" customWidth="1"/>
    <col min="2" max="2" width="26.83203125" style="285" customWidth="1"/>
    <col min="3" max="5" width="24.1640625" style="285" customWidth="1"/>
    <col min="6" max="8" width="25.5" style="285" customWidth="1"/>
    <col min="9" max="9" width="21.33203125" style="285" customWidth="1"/>
    <col min="10" max="10" width="11" style="285" customWidth="1"/>
    <col min="11" max="11" width="10.83203125" style="285" customWidth="1"/>
    <col min="12" max="12" width="11" style="285" customWidth="1"/>
    <col min="13" max="13" width="21.1640625" style="285" customWidth="1"/>
    <col min="14" max="14" width="10.83203125" style="285" customWidth="1"/>
    <col min="15" max="15" width="11" style="285" customWidth="1"/>
    <col min="16" max="16" width="21.1640625" style="285" customWidth="1"/>
    <col min="17" max="17" width="10.83203125" style="285" customWidth="1"/>
    <col min="18" max="18" width="11.83203125" style="285" customWidth="1"/>
    <col min="19" max="19" width="21.1640625" style="285" customWidth="1"/>
    <col min="20" max="26" width="10.5" style="285" customWidth="1"/>
    <col min="27" max="16384" width="11.1640625" style="285"/>
  </cols>
  <sheetData>
    <row r="1" spans="1:26" ht="18" customHeight="1" x14ac:dyDescent="0.2">
      <c r="A1" s="723" t="s">
        <v>212</v>
      </c>
      <c r="B1" s="362" t="s">
        <v>6</v>
      </c>
      <c r="C1" s="361">
        <v>2021</v>
      </c>
      <c r="D1" s="361">
        <v>2022</v>
      </c>
      <c r="E1" s="361">
        <v>2023</v>
      </c>
      <c r="F1" s="361">
        <v>2024</v>
      </c>
      <c r="G1" s="361">
        <v>2025</v>
      </c>
      <c r="H1" s="360">
        <v>2026</v>
      </c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</row>
    <row r="2" spans="1:26" ht="18" customHeight="1" x14ac:dyDescent="0.2">
      <c r="A2" s="724"/>
      <c r="B2" s="298" t="s">
        <v>7</v>
      </c>
      <c r="C2" s="308" t="s">
        <v>8</v>
      </c>
      <c r="D2" s="308">
        <v>1</v>
      </c>
      <c r="E2" s="359">
        <v>2</v>
      </c>
      <c r="F2" s="359">
        <v>3</v>
      </c>
      <c r="G2" s="359">
        <v>4</v>
      </c>
      <c r="H2" s="358">
        <v>5</v>
      </c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</row>
    <row r="3" spans="1:26" ht="18" customHeight="1" x14ac:dyDescent="0.2">
      <c r="A3" s="724"/>
      <c r="B3" s="355" t="s">
        <v>9</v>
      </c>
      <c r="C3" s="357">
        <v>0</v>
      </c>
      <c r="D3" s="308">
        <v>1</v>
      </c>
      <c r="E3" s="308">
        <v>2</v>
      </c>
      <c r="F3" s="308">
        <v>3</v>
      </c>
      <c r="G3" s="308">
        <v>4</v>
      </c>
      <c r="H3" s="356">
        <v>5</v>
      </c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</row>
    <row r="4" spans="1:26" ht="18" customHeight="1" x14ac:dyDescent="0.2">
      <c r="A4" s="724"/>
      <c r="B4" s="355" t="s">
        <v>10</v>
      </c>
      <c r="C4" s="354">
        <v>0</v>
      </c>
      <c r="D4" s="353">
        <v>8.1500000000000003E-2</v>
      </c>
      <c r="E4" s="352">
        <v>8.4099999999999994E-2</v>
      </c>
      <c r="F4" s="352">
        <v>8.4599999999999995E-2</v>
      </c>
      <c r="G4" s="352">
        <v>8.4699999999999998E-2</v>
      </c>
      <c r="H4" s="351">
        <v>8.48E-2</v>
      </c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</row>
    <row r="5" spans="1:26" ht="18" customHeight="1" thickBot="1" x14ac:dyDescent="0.25">
      <c r="A5" s="725"/>
      <c r="B5" s="297" t="s">
        <v>11</v>
      </c>
      <c r="C5" s="350">
        <v>0</v>
      </c>
      <c r="D5" s="342">
        <f>D4</f>
        <v>8.1500000000000003E-2</v>
      </c>
      <c r="E5" s="342">
        <f>(1+E4)^E3/(1+D4)^D3-1</f>
        <v>8.6706250577901267E-2</v>
      </c>
      <c r="F5" s="342">
        <f>(1+F4)^F3/(1+E4)^E3-1</f>
        <v>8.5600691924456296E-2</v>
      </c>
      <c r="G5" s="342">
        <f>(1+G4)^G3/(1+F4)^F3-1</f>
        <v>8.5000055323333878E-2</v>
      </c>
      <c r="H5" s="341">
        <f>(1+H4)^H3/(1+G4)^G3-1</f>
        <v>8.5200092199888999E-2</v>
      </c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</row>
    <row r="6" spans="1:26" ht="18" customHeight="1" x14ac:dyDescent="0.2">
      <c r="A6" s="286"/>
      <c r="B6" s="286"/>
      <c r="C6" s="286"/>
      <c r="D6" s="286"/>
      <c r="E6" s="286"/>
      <c r="F6" s="286"/>
      <c r="G6" s="286"/>
      <c r="H6" s="286"/>
      <c r="I6" s="290"/>
      <c r="J6" s="290"/>
      <c r="K6" s="286"/>
      <c r="L6" s="286"/>
      <c r="M6" s="349"/>
      <c r="N6" s="286"/>
      <c r="O6" s="286"/>
      <c r="P6" s="349"/>
      <c r="Q6" s="286"/>
      <c r="R6" s="286"/>
      <c r="S6" s="349"/>
      <c r="T6" s="286"/>
      <c r="U6" s="286"/>
      <c r="V6" s="286"/>
      <c r="W6" s="286"/>
      <c r="X6" s="286"/>
      <c r="Y6" s="286"/>
      <c r="Z6" s="286"/>
    </row>
    <row r="7" spans="1:26" ht="18" customHeight="1" thickBot="1" x14ac:dyDescent="0.25">
      <c r="A7" s="286"/>
      <c r="B7" s="286"/>
      <c r="C7" s="286"/>
      <c r="D7" s="286"/>
      <c r="E7" s="286"/>
      <c r="F7" s="286"/>
      <c r="G7" s="286"/>
      <c r="H7" s="286"/>
      <c r="I7" s="296"/>
      <c r="J7" s="290"/>
      <c r="K7" s="286"/>
      <c r="L7" s="287"/>
      <c r="M7" s="286"/>
      <c r="N7" s="286"/>
      <c r="O7" s="287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</row>
    <row r="8" spans="1:26" ht="18" customHeight="1" x14ac:dyDescent="0.2">
      <c r="A8" s="726" t="s">
        <v>12</v>
      </c>
      <c r="B8" s="348" t="s">
        <v>6</v>
      </c>
      <c r="C8" s="310">
        <v>0</v>
      </c>
      <c r="D8" s="310">
        <v>1</v>
      </c>
      <c r="E8" s="310">
        <v>2</v>
      </c>
      <c r="F8" s="310">
        <v>3</v>
      </c>
      <c r="G8" s="310">
        <v>4</v>
      </c>
      <c r="H8" s="347">
        <v>5</v>
      </c>
      <c r="I8" s="290"/>
      <c r="J8" s="290"/>
      <c r="K8" s="286"/>
      <c r="L8" s="287"/>
      <c r="M8" s="286"/>
      <c r="N8" s="286"/>
      <c r="O8" s="287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</row>
    <row r="9" spans="1:26" ht="18" customHeight="1" x14ac:dyDescent="0.2">
      <c r="A9" s="727"/>
      <c r="B9" s="346" t="s">
        <v>13</v>
      </c>
      <c r="C9" s="345">
        <v>73.2</v>
      </c>
      <c r="D9" s="345">
        <f>usd*(1+usd_dynamics)^D8</f>
        <v>76.86</v>
      </c>
      <c r="E9" s="345">
        <f>usd*(1+usd_dynamics)^E8</f>
        <v>80.703000000000003</v>
      </c>
      <c r="F9" s="345">
        <f>usd*(1+usd_dynamics)^F8</f>
        <v>84.738150000000019</v>
      </c>
      <c r="G9" s="345">
        <f>usd*(1+usd_dynamics)^G8</f>
        <v>88.975057500000005</v>
      </c>
      <c r="H9" s="344">
        <f>usd*(1+usd_dynamics)^H8</f>
        <v>93.423810375000016</v>
      </c>
      <c r="I9" s="296"/>
      <c r="J9" s="290"/>
      <c r="K9" s="286"/>
      <c r="L9" s="287"/>
      <c r="M9" s="286"/>
      <c r="N9" s="286"/>
      <c r="O9" s="287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</row>
    <row r="10" spans="1:26" ht="18" customHeight="1" thickBot="1" x14ac:dyDescent="0.25">
      <c r="A10" s="728"/>
      <c r="B10" s="343" t="s">
        <v>14</v>
      </c>
      <c r="C10" s="305"/>
      <c r="D10" s="342">
        <f>(1+D4)*(D9/usd)^(-1/D8)-1</f>
        <v>2.9999999999999805E-2</v>
      </c>
      <c r="E10" s="342">
        <f>(1+E4)*(E9/usd)^(-1/E8)-1</f>
        <v>3.2476190476190547E-2</v>
      </c>
      <c r="F10" s="342">
        <f>(1+F4)*(F9/usd)^(-1/F8)-1</f>
        <v>3.2952380952380844E-2</v>
      </c>
      <c r="G10" s="342">
        <f>(1+G4)*(G9/usd)^(-1/G8)-1</f>
        <v>3.3047619047618992E-2</v>
      </c>
      <c r="H10" s="341">
        <f>(1+H4)*(H9/usd)^(-1/H8)-1</f>
        <v>3.3142857142857141E-2</v>
      </c>
      <c r="I10" s="296"/>
      <c r="J10" s="290"/>
      <c r="K10" s="286"/>
      <c r="L10" s="287"/>
      <c r="M10" s="286"/>
      <c r="N10" s="286"/>
      <c r="O10" s="287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</row>
    <row r="11" spans="1:26" ht="18" customHeight="1" thickBot="1" x14ac:dyDescent="0.25">
      <c r="A11" s="290"/>
      <c r="B11" s="290"/>
      <c r="C11" s="290"/>
      <c r="D11" s="290"/>
      <c r="E11" s="290"/>
      <c r="F11" s="290"/>
      <c r="G11" s="290"/>
      <c r="H11" s="290"/>
      <c r="I11" s="290"/>
      <c r="J11" s="290"/>
      <c r="K11" s="286"/>
      <c r="L11" s="287"/>
      <c r="M11" s="286"/>
      <c r="N11" s="286"/>
      <c r="O11" s="287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</row>
    <row r="12" spans="1:26" ht="18" customHeight="1" thickBot="1" x14ac:dyDescent="0.25">
      <c r="A12" s="286"/>
      <c r="B12" s="302" t="s">
        <v>15</v>
      </c>
      <c r="C12" s="340">
        <v>64</v>
      </c>
      <c r="D12" s="340">
        <f>C12*(1+D4)^D2</f>
        <v>69.215999999999994</v>
      </c>
      <c r="E12" s="340">
        <f>C12*(1+E4)^E2</f>
        <v>75.217459840000004</v>
      </c>
      <c r="F12" s="340">
        <f>C12*(1+F4)^F2</f>
        <v>81.656126447104</v>
      </c>
      <c r="G12" s="340">
        <f>C12*(1+G4)^G2</f>
        <v>88.596901712596988</v>
      </c>
      <c r="H12" s="340">
        <f>C12*(1+H4)^H2</f>
        <v>96.145365907134746</v>
      </c>
      <c r="I12" s="286"/>
      <c r="J12" s="290"/>
      <c r="K12" s="286"/>
      <c r="L12" s="287"/>
      <c r="M12" s="286"/>
      <c r="N12" s="286"/>
      <c r="O12" s="287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</row>
    <row r="13" spans="1:26" ht="15.75" customHeight="1" x14ac:dyDescent="0.2">
      <c r="A13" s="286"/>
      <c r="B13" s="286"/>
      <c r="C13" s="286"/>
      <c r="D13" s="286"/>
      <c r="E13" s="286"/>
      <c r="F13" s="286"/>
      <c r="G13" s="286"/>
      <c r="H13" s="286"/>
      <c r="I13" s="286"/>
      <c r="J13" s="290"/>
      <c r="K13" s="286"/>
      <c r="L13" s="287"/>
      <c r="M13" s="286"/>
      <c r="N13" s="286"/>
      <c r="O13" s="287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</row>
    <row r="14" spans="1:26" ht="15.75" customHeight="1" x14ac:dyDescent="0.2">
      <c r="A14" s="286"/>
      <c r="B14" s="286"/>
      <c r="C14" s="286"/>
      <c r="D14" s="286"/>
      <c r="E14" s="286"/>
      <c r="F14" s="286"/>
      <c r="G14" s="286"/>
      <c r="H14" s="286"/>
      <c r="I14" s="286"/>
      <c r="J14" s="290"/>
      <c r="K14" s="286"/>
      <c r="L14" s="287"/>
      <c r="M14" s="286"/>
      <c r="N14" s="286"/>
      <c r="O14" s="287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</row>
    <row r="15" spans="1:26" ht="27" customHeight="1" thickBot="1" x14ac:dyDescent="0.25">
      <c r="A15" s="286"/>
      <c r="B15" s="722" t="s">
        <v>16</v>
      </c>
      <c r="C15" s="722"/>
      <c r="D15" s="722"/>
      <c r="E15" s="722"/>
      <c r="F15" s="722"/>
      <c r="G15" s="722"/>
      <c r="H15" s="722"/>
      <c r="I15" s="286"/>
      <c r="J15" s="290"/>
      <c r="K15" s="286"/>
      <c r="L15" s="287"/>
      <c r="M15" s="286"/>
      <c r="N15" s="286"/>
      <c r="O15" s="287"/>
      <c r="P15" s="286"/>
      <c r="Q15" s="286"/>
      <c r="R15" s="286"/>
      <c r="S15" s="286"/>
      <c r="T15" s="286"/>
      <c r="U15" s="286"/>
      <c r="V15" s="286"/>
      <c r="W15" s="286"/>
      <c r="X15" s="286"/>
      <c r="Y15" s="286"/>
      <c r="Z15" s="286"/>
    </row>
    <row r="16" spans="1:26" ht="18" customHeight="1" thickBot="1" x14ac:dyDescent="0.25">
      <c r="A16" s="729" t="s">
        <v>17</v>
      </c>
      <c r="B16" s="339" t="s">
        <v>18</v>
      </c>
      <c r="C16" s="338">
        <f>SUM(C17:C18)*(1+C4)^C3</f>
        <v>19149658000</v>
      </c>
      <c r="D16" s="338">
        <f>SUM(D17:D18)</f>
        <v>19149658000</v>
      </c>
      <c r="E16" s="338">
        <f t="shared" ref="E16:H16" si="0">SUM(E17:E18)</f>
        <v>19149658000</v>
      </c>
      <c r="F16" s="338">
        <f t="shared" si="0"/>
        <v>19149658000</v>
      </c>
      <c r="G16" s="338">
        <f t="shared" si="0"/>
        <v>19149658000</v>
      </c>
      <c r="H16" s="338">
        <f t="shared" si="0"/>
        <v>19149658000</v>
      </c>
      <c r="I16" s="286"/>
      <c r="J16" s="290"/>
      <c r="K16" s="286"/>
      <c r="L16" s="287"/>
      <c r="M16" s="286"/>
      <c r="N16" s="286"/>
      <c r="O16" s="287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</row>
    <row r="17" spans="1:26" ht="18" customHeight="1" x14ac:dyDescent="0.2">
      <c r="A17" s="724"/>
      <c r="B17" s="334" t="s">
        <v>19</v>
      </c>
      <c r="C17" s="333">
        <f t="shared" ref="C17:H17" si="1">внутр_рейсы</f>
        <v>6312278000</v>
      </c>
      <c r="D17" s="333">
        <f t="shared" si="1"/>
        <v>6312278000</v>
      </c>
      <c r="E17" s="333">
        <f t="shared" si="1"/>
        <v>6312278000</v>
      </c>
      <c r="F17" s="333">
        <f t="shared" si="1"/>
        <v>6312278000</v>
      </c>
      <c r="G17" s="333">
        <f t="shared" si="1"/>
        <v>6312278000</v>
      </c>
      <c r="H17" s="333">
        <f t="shared" si="1"/>
        <v>6312278000</v>
      </c>
      <c r="I17" s="286"/>
      <c r="J17" s="290"/>
      <c r="K17" s="286"/>
      <c r="L17" s="287"/>
      <c r="M17" s="286"/>
      <c r="N17" s="286"/>
      <c r="O17" s="287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</row>
    <row r="18" spans="1:26" ht="18" customHeight="1" thickBot="1" x14ac:dyDescent="0.25">
      <c r="A18" s="724"/>
      <c r="B18" s="335" t="s">
        <v>20</v>
      </c>
      <c r="C18" s="304">
        <f t="shared" ref="C18:H18" si="2">международ_рейсы</f>
        <v>12837380000</v>
      </c>
      <c r="D18" s="304">
        <f t="shared" si="2"/>
        <v>12837380000</v>
      </c>
      <c r="E18" s="304">
        <f t="shared" si="2"/>
        <v>12837380000</v>
      </c>
      <c r="F18" s="304">
        <f t="shared" si="2"/>
        <v>12837380000</v>
      </c>
      <c r="G18" s="304">
        <f t="shared" si="2"/>
        <v>12837380000</v>
      </c>
      <c r="H18" s="304">
        <f t="shared" si="2"/>
        <v>12837380000</v>
      </c>
      <c r="I18" s="286"/>
      <c r="J18" s="290"/>
      <c r="K18" s="286"/>
      <c r="L18" s="287"/>
      <c r="M18" s="286"/>
      <c r="N18" s="286"/>
      <c r="O18" s="287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</row>
    <row r="19" spans="1:26" ht="18" customHeight="1" thickBot="1" x14ac:dyDescent="0.25">
      <c r="A19" s="724"/>
      <c r="B19" s="327" t="s">
        <v>21</v>
      </c>
      <c r="C19" s="326">
        <f>C20+C25-C26+C27+C29+C31</f>
        <v>21134166349.021294</v>
      </c>
      <c r="D19" s="326">
        <f>D20+D25-D26+D27+D29+D31</f>
        <v>20128225880.224037</v>
      </c>
      <c r="E19" s="326">
        <f t="shared" ref="E19:H19" si="3">E20+E25-E26+E27+E29+E31</f>
        <v>21001107201.734711</v>
      </c>
      <c r="F19" s="326">
        <f t="shared" si="3"/>
        <v>25469688789.738392</v>
      </c>
      <c r="G19" s="326">
        <f t="shared" si="3"/>
        <v>27100997224.546558</v>
      </c>
      <c r="H19" s="325">
        <f t="shared" si="3"/>
        <v>28802009705.56945</v>
      </c>
      <c r="I19" s="286"/>
      <c r="J19" s="290"/>
      <c r="K19" s="286"/>
      <c r="L19" s="287"/>
      <c r="M19" s="286"/>
      <c r="N19" s="286"/>
      <c r="O19" s="287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</row>
    <row r="20" spans="1:26" ht="18" customHeight="1" x14ac:dyDescent="0.2">
      <c r="A20" s="724"/>
      <c r="B20" s="337" t="s">
        <v>22</v>
      </c>
      <c r="C20" s="309">
        <f t="shared" ref="C20:H20" si="4">SUM(C21:C23)</f>
        <v>11461049897.435898</v>
      </c>
      <c r="D20" s="309">
        <f t="shared" si="4"/>
        <v>12244289673.435898</v>
      </c>
      <c r="E20" s="309">
        <f t="shared" si="4"/>
        <v>13145474884.470139</v>
      </c>
      <c r="F20" s="309">
        <f t="shared" si="4"/>
        <v>14112311500.859482</v>
      </c>
      <c r="G20" s="309">
        <f t="shared" si="4"/>
        <v>15154545255.501175</v>
      </c>
      <c r="H20" s="330">
        <f t="shared" si="4"/>
        <v>16288030187.417158</v>
      </c>
      <c r="I20" s="286"/>
      <c r="J20" s="290"/>
      <c r="K20" s="286"/>
      <c r="L20" s="287"/>
      <c r="M20" s="286"/>
      <c r="N20" s="286"/>
      <c r="O20" s="287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</row>
    <row r="21" spans="1:26" ht="18" customHeight="1" x14ac:dyDescent="0.2">
      <c r="A21" s="724"/>
      <c r="B21" s="334" t="s">
        <v>23</v>
      </c>
      <c r="C21" s="333">
        <f>SUM('Изначальные данные'!D30:D31)*'Без инициатив'!C12</f>
        <v>9610304000</v>
      </c>
      <c r="D21" s="333">
        <f>SUM('Изначальные данные'!D30:D31)*'Без инициатив'!D12</f>
        <v>10393543776</v>
      </c>
      <c r="E21" s="333">
        <f>SUM('Изначальные данные'!D30:D31)*'Без инициатив'!E12</f>
        <v>11294728987.034241</v>
      </c>
      <c r="F21" s="333">
        <f>SUM('Изначальные данные'!D30:D32)*'Без инициатив'!F12</f>
        <v>12261565603.423584</v>
      </c>
      <c r="G21" s="333">
        <f>SUM('Изначальные данные'!D30:D32)*'Без инициатив'!G12</f>
        <v>13303799358.065277</v>
      </c>
      <c r="H21" s="332">
        <f>SUM('Изначальные данные'!D30:D32)*'Без инициатив'!H12</f>
        <v>14437284289.98126</v>
      </c>
      <c r="I21" s="286"/>
      <c r="J21" s="290"/>
      <c r="K21" s="286"/>
      <c r="L21" s="287"/>
      <c r="M21" s="286"/>
      <c r="N21" s="286"/>
      <c r="O21" s="287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</row>
    <row r="22" spans="1:26" ht="18" customHeight="1" x14ac:dyDescent="0.2">
      <c r="A22" s="724"/>
      <c r="B22" s="336" t="s">
        <v>24</v>
      </c>
      <c r="C22" s="307">
        <f>SUM('Изначальные данные'!F30:F31)</f>
        <v>455310000</v>
      </c>
      <c r="D22" s="307">
        <f>SUM('Изначальные данные'!F30:F31)</f>
        <v>455310000</v>
      </c>
      <c r="E22" s="307">
        <f>SUM('Изначальные данные'!F30:F31)</f>
        <v>455310000</v>
      </c>
      <c r="F22" s="307">
        <f>SUM('Изначальные данные'!F30:F32)</f>
        <v>455310000</v>
      </c>
      <c r="G22" s="307">
        <f>SUM('Изначальные данные'!F30:F32)</f>
        <v>455310000</v>
      </c>
      <c r="H22" s="314">
        <f>SUM('Изначальные данные'!F30:F32)</f>
        <v>455310000</v>
      </c>
      <c r="I22" s="286"/>
      <c r="J22" s="290"/>
      <c r="K22" s="286"/>
      <c r="L22" s="287"/>
      <c r="M22" s="286"/>
      <c r="N22" s="286"/>
      <c r="O22" s="287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</row>
    <row r="23" spans="1:26" ht="18" customHeight="1" thickBot="1" x14ac:dyDescent="0.25">
      <c r="A23" s="724"/>
      <c r="B23" s="335" t="s">
        <v>25</v>
      </c>
      <c r="C23" s="304">
        <f t="shared" ref="C23:H23" si="5">C24/0.78</f>
        <v>1395435897.4358974</v>
      </c>
      <c r="D23" s="304">
        <f t="shared" si="5"/>
        <v>1395435897.4358974</v>
      </c>
      <c r="E23" s="304">
        <f t="shared" si="5"/>
        <v>1395435897.4358974</v>
      </c>
      <c r="F23" s="304">
        <f t="shared" si="5"/>
        <v>1395435897.4358974</v>
      </c>
      <c r="G23" s="304">
        <f t="shared" si="5"/>
        <v>1395435897.4358974</v>
      </c>
      <c r="H23" s="328">
        <f t="shared" si="5"/>
        <v>1395435897.4358974</v>
      </c>
      <c r="I23" s="286"/>
      <c r="J23" s="290"/>
      <c r="K23" s="286"/>
      <c r="L23" s="287"/>
      <c r="M23" s="286"/>
      <c r="N23" s="286"/>
      <c r="O23" s="287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</row>
    <row r="24" spans="1:26" ht="18" customHeight="1" thickBot="1" x14ac:dyDescent="0.25">
      <c r="A24" s="724"/>
      <c r="B24" s="334" t="s">
        <v>26</v>
      </c>
      <c r="C24" s="333">
        <f>SUM('Изначальные данные'!E30:E31)</f>
        <v>1088440000</v>
      </c>
      <c r="D24" s="333">
        <f>SUM('Изначальные данные'!E30:E31)</f>
        <v>1088440000</v>
      </c>
      <c r="E24" s="333">
        <f>SUM('Изначальные данные'!E30:E31)</f>
        <v>1088440000</v>
      </c>
      <c r="F24" s="333">
        <f>SUM('Изначальные данные'!E30:E32)</f>
        <v>1088440000</v>
      </c>
      <c r="G24" s="333">
        <f>SUM('Изначальные данные'!E30:E32)</f>
        <v>1088440000</v>
      </c>
      <c r="H24" s="332">
        <f>SUM('Изначальные данные'!E30:E32)</f>
        <v>1088440000</v>
      </c>
      <c r="I24" s="286"/>
      <c r="J24" s="290"/>
      <c r="K24" s="286"/>
      <c r="L24" s="287"/>
      <c r="M24" s="286"/>
      <c r="N24" s="286"/>
      <c r="O24" s="287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</row>
    <row r="25" spans="1:26" ht="18" customHeight="1" x14ac:dyDescent="0.2">
      <c r="A25" s="724"/>
      <c r="B25" s="331" t="s">
        <v>27</v>
      </c>
      <c r="C25" s="309">
        <f>'Изначальные данные'!I48*usd</f>
        <v>5600000000.000001</v>
      </c>
      <c r="D25" s="309">
        <f>'Изначальные данные'!I48*'Без инициатив'!D9</f>
        <v>5880000000</v>
      </c>
      <c r="E25" s="309">
        <f>'Изначальные данные'!I48*'Без инициатив'!E9</f>
        <v>6174000000.000001</v>
      </c>
      <c r="F25" s="309">
        <f>'Изначальные данные'!I48*'Без инициатив'!F9</f>
        <v>6482700000.0000019</v>
      </c>
      <c r="G25" s="309">
        <f>'Изначальные данные'!I48*'Без инициатив'!G9</f>
        <v>6806835000.000001</v>
      </c>
      <c r="H25" s="330">
        <f>'Изначальные данные'!I48*'Без инициатив'!H9</f>
        <v>7147176750.0000019</v>
      </c>
      <c r="I25" s="286"/>
      <c r="J25" s="290"/>
      <c r="K25" s="286"/>
      <c r="L25" s="287"/>
      <c r="M25" s="286"/>
      <c r="N25" s="286"/>
      <c r="O25" s="287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</row>
    <row r="26" spans="1:26" ht="18" customHeight="1" x14ac:dyDescent="0.2">
      <c r="A26" s="724"/>
      <c r="B26" s="315" t="s">
        <v>28</v>
      </c>
      <c r="C26" s="307">
        <f>'Изначальные данные'!Q49</f>
        <v>1728732056.358757</v>
      </c>
      <c r="D26" s="307">
        <f>'Изначальные данные'!R49</f>
        <v>4061763375.4540176</v>
      </c>
      <c r="E26" s="307">
        <f>'Изначальные данные'!S49</f>
        <v>4706042787.31604</v>
      </c>
      <c r="F26" s="307">
        <f>'Изначальные данные'!T49</f>
        <v>1859895939.0188599</v>
      </c>
      <c r="G26" s="307">
        <f>'Изначальные данные'!U49</f>
        <v>1897570308.5821533</v>
      </c>
      <c r="H26" s="314">
        <f>'Изначальные данные'!V49</f>
        <v>1987022853.1437378</v>
      </c>
      <c r="I26" s="286"/>
      <c r="J26" s="290"/>
      <c r="K26" s="286"/>
      <c r="L26" s="287"/>
      <c r="M26" s="286"/>
      <c r="N26" s="286"/>
      <c r="O26" s="287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</row>
    <row r="27" spans="1:26" ht="18" customHeight="1" x14ac:dyDescent="0.2">
      <c r="A27" s="724"/>
      <c r="B27" s="315" t="s">
        <v>29</v>
      </c>
      <c r="C27" s="307">
        <f>'Изначальные данные'!D61</f>
        <v>4585528663.4166136</v>
      </c>
      <c r="D27" s="307">
        <f>'Изначальные данные'!E61</f>
        <v>4814805096.5874434</v>
      </c>
      <c r="E27" s="307">
        <f>'Изначальные данные'!F61</f>
        <v>5055545351.4168158</v>
      </c>
      <c r="F27" s="307">
        <f>'Изначальные данные'!G61</f>
        <v>5308322618.9876575</v>
      </c>
      <c r="G27" s="307">
        <f>'Изначальные данные'!H61</f>
        <v>5573738749.9370403</v>
      </c>
      <c r="H27" s="314">
        <f>'Изначальные данные'!I61</f>
        <v>5852425687.4338923</v>
      </c>
      <c r="I27" s="286"/>
      <c r="J27" s="290"/>
      <c r="K27" s="286"/>
      <c r="L27" s="287"/>
      <c r="M27" s="286"/>
      <c r="N27" s="286"/>
      <c r="O27" s="287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</row>
    <row r="28" spans="1:26" ht="18" customHeight="1" x14ac:dyDescent="0.2">
      <c r="A28" s="724"/>
      <c r="B28" s="324" t="s">
        <v>30</v>
      </c>
      <c r="C28" s="323">
        <f>'Изначальные данные'!P48</f>
        <v>60815992226.376968</v>
      </c>
      <c r="D28" s="323">
        <f>'Изначальные данные'!Q48</f>
        <v>62544724282.735725</v>
      </c>
      <c r="E28" s="323">
        <f>'Изначальные данные'!R48</f>
        <v>66606487658.189743</v>
      </c>
      <c r="F28" s="323">
        <f>'Изначальные данные'!S48</f>
        <v>71312530445.505783</v>
      </c>
      <c r="G28" s="323">
        <f>'Изначальные данные'!T48</f>
        <v>73172426384.524643</v>
      </c>
      <c r="H28" s="322">
        <f>'Изначальные данные'!U48</f>
        <v>75069996693.106796</v>
      </c>
      <c r="I28" s="286"/>
      <c r="J28" s="290"/>
      <c r="K28" s="286"/>
      <c r="L28" s="287"/>
      <c r="M28" s="286"/>
      <c r="N28" s="286"/>
      <c r="O28" s="287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</row>
    <row r="29" spans="1:26" ht="18" customHeight="1" thickBot="1" x14ac:dyDescent="0.25">
      <c r="A29" s="724"/>
      <c r="B29" s="329" t="s">
        <v>31</v>
      </c>
      <c r="C29" s="304">
        <f t="shared" ref="C29:H29" si="6">C28*plane_tax</f>
        <v>1216319844.5275395</v>
      </c>
      <c r="D29" s="304">
        <f t="shared" si="6"/>
        <v>1250894485.6547146</v>
      </c>
      <c r="E29" s="304">
        <f t="shared" si="6"/>
        <v>1332129753.163795</v>
      </c>
      <c r="F29" s="304">
        <f t="shared" si="6"/>
        <v>1426250608.9101157</v>
      </c>
      <c r="G29" s="304">
        <f t="shared" si="6"/>
        <v>1463448527.6904929</v>
      </c>
      <c r="H29" s="328">
        <f t="shared" si="6"/>
        <v>1501399933.8621359</v>
      </c>
      <c r="I29" s="286"/>
      <c r="J29" s="290"/>
      <c r="K29" s="286"/>
      <c r="L29" s="287"/>
      <c r="M29" s="286"/>
      <c r="N29" s="286"/>
      <c r="O29" s="287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</row>
    <row r="30" spans="1:26" ht="18" customHeight="1" x14ac:dyDescent="0.2">
      <c r="A30" s="724"/>
      <c r="B30" s="327" t="s">
        <v>32</v>
      </c>
      <c r="C30" s="326">
        <f t="shared" ref="C30:H30" si="7">C16-C20-C25+C26-C27-C29</f>
        <v>-1984508349.0212948</v>
      </c>
      <c r="D30" s="326">
        <f>D16-D20-D25+D26-D27-D29</f>
        <v>-978567880.22403812</v>
      </c>
      <c r="E30" s="326">
        <f t="shared" si="7"/>
        <v>-1851449201.7347102</v>
      </c>
      <c r="F30" s="326">
        <f t="shared" si="7"/>
        <v>-6320030789.7383976</v>
      </c>
      <c r="G30" s="326">
        <f t="shared" si="7"/>
        <v>-7951339224.5465555</v>
      </c>
      <c r="H30" s="325">
        <f t="shared" si="7"/>
        <v>-9652351705.5694504</v>
      </c>
      <c r="I30" s="286"/>
      <c r="J30" s="290"/>
      <c r="K30" s="286"/>
      <c r="L30" s="287"/>
      <c r="M30" s="286"/>
      <c r="N30" s="286"/>
      <c r="O30" s="287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</row>
    <row r="31" spans="1:26" ht="18" customHeight="1" x14ac:dyDescent="0.2">
      <c r="A31" s="724"/>
      <c r="B31" s="315" t="s">
        <v>33</v>
      </c>
      <c r="C31" s="307">
        <f t="shared" ref="C31:H31" si="8">C30*tax*(C30&gt;0)</f>
        <v>0</v>
      </c>
      <c r="D31" s="307">
        <f t="shared" si="8"/>
        <v>0</v>
      </c>
      <c r="E31" s="307">
        <f t="shared" si="8"/>
        <v>0</v>
      </c>
      <c r="F31" s="307">
        <f t="shared" si="8"/>
        <v>0</v>
      </c>
      <c r="G31" s="307">
        <f t="shared" si="8"/>
        <v>0</v>
      </c>
      <c r="H31" s="314">
        <f t="shared" si="8"/>
        <v>0</v>
      </c>
      <c r="I31" s="286"/>
      <c r="J31" s="290"/>
      <c r="K31" s="286"/>
      <c r="L31" s="287"/>
      <c r="M31" s="286"/>
      <c r="N31" s="286"/>
      <c r="O31" s="287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</row>
    <row r="32" spans="1:26" ht="18" customHeight="1" thickBot="1" x14ac:dyDescent="0.25">
      <c r="A32" s="724"/>
      <c r="B32" s="324" t="s">
        <v>34</v>
      </c>
      <c r="C32" s="323">
        <f t="shared" ref="C32:H32" si="9">C30-C31</f>
        <v>-1984508349.0212948</v>
      </c>
      <c r="D32" s="323">
        <f>D30-D31</f>
        <v>-978567880.22403812</v>
      </c>
      <c r="E32" s="323">
        <f t="shared" si="9"/>
        <v>-1851449201.7347102</v>
      </c>
      <c r="F32" s="323">
        <f t="shared" si="9"/>
        <v>-6320030789.7383976</v>
      </c>
      <c r="G32" s="323">
        <f t="shared" si="9"/>
        <v>-7951339224.5465555</v>
      </c>
      <c r="H32" s="322">
        <f t="shared" si="9"/>
        <v>-9652351705.5694504</v>
      </c>
      <c r="I32" s="286"/>
      <c r="J32" s="290"/>
      <c r="K32" s="286"/>
      <c r="L32" s="287"/>
      <c r="M32" s="286"/>
      <c r="N32" s="286"/>
      <c r="O32" s="287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</row>
    <row r="33" spans="1:26" ht="18" customHeight="1" x14ac:dyDescent="0.2">
      <c r="A33" s="730" t="s">
        <v>35</v>
      </c>
      <c r="B33" s="321" t="s">
        <v>36</v>
      </c>
      <c r="C33" s="320">
        <f>C16-C20</f>
        <v>7688608102.5641022</v>
      </c>
      <c r="D33" s="320">
        <f t="shared" ref="D33:H33" si="10">D16-D20</f>
        <v>6905368326.5641022</v>
      </c>
      <c r="E33" s="320">
        <f t="shared" si="10"/>
        <v>6004183115.5298615</v>
      </c>
      <c r="F33" s="320">
        <f t="shared" si="10"/>
        <v>5037346499.1405182</v>
      </c>
      <c r="G33" s="320">
        <f t="shared" si="10"/>
        <v>3995112744.4988251</v>
      </c>
      <c r="H33" s="319">
        <f t="shared" si="10"/>
        <v>2861627812.5828419</v>
      </c>
      <c r="I33" s="286"/>
      <c r="J33" s="290"/>
      <c r="K33" s="286"/>
      <c r="L33" s="287"/>
      <c r="M33" s="286"/>
      <c r="N33" s="286"/>
      <c r="O33" s="287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</row>
    <row r="34" spans="1:26" ht="18" customHeight="1" x14ac:dyDescent="0.2">
      <c r="A34" s="731"/>
      <c r="B34" s="315" t="s">
        <v>37</v>
      </c>
      <c r="C34" s="307">
        <f>C33*eb_mult</f>
        <v>30793949278.716518</v>
      </c>
      <c r="D34" s="307">
        <f t="shared" ref="D34:H34" si="11">D33*eb_mult</f>
        <v>27656964584.806351</v>
      </c>
      <c r="E34" s="307">
        <f t="shared" si="11"/>
        <v>24047591950.757927</v>
      </c>
      <c r="F34" s="307">
        <f t="shared" si="11"/>
        <v>20175276269.071625</v>
      </c>
      <c r="G34" s="307">
        <f t="shared" si="11"/>
        <v>16000984518.358089</v>
      </c>
      <c r="H34" s="314">
        <f t="shared" si="11"/>
        <v>11461219058.083191</v>
      </c>
      <c r="I34" s="286"/>
      <c r="J34" s="290"/>
      <c r="K34" s="286"/>
      <c r="L34" s="287"/>
      <c r="M34" s="286"/>
      <c r="N34" s="286"/>
      <c r="O34" s="287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</row>
    <row r="35" spans="1:26" ht="18" customHeight="1" x14ac:dyDescent="0.2">
      <c r="A35" s="731"/>
      <c r="B35" s="315" t="s">
        <v>38</v>
      </c>
      <c r="C35" s="317">
        <f t="shared" ref="C35:H35" si="12">C23/C16</f>
        <v>7.2870016657002296E-2</v>
      </c>
      <c r="D35" s="317">
        <f t="shared" si="12"/>
        <v>7.2870016657002296E-2</v>
      </c>
      <c r="E35" s="317">
        <f t="shared" si="12"/>
        <v>7.2870016657002296E-2</v>
      </c>
      <c r="F35" s="317">
        <f t="shared" si="12"/>
        <v>7.2870016657002296E-2</v>
      </c>
      <c r="G35" s="317">
        <f t="shared" si="12"/>
        <v>7.2870016657002296E-2</v>
      </c>
      <c r="H35" s="316">
        <f t="shared" si="12"/>
        <v>7.2870016657002296E-2</v>
      </c>
      <c r="I35" s="286"/>
      <c r="J35" s="290"/>
      <c r="K35" s="286"/>
      <c r="L35" s="287"/>
      <c r="M35" s="286"/>
      <c r="N35" s="286"/>
      <c r="O35" s="287"/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</row>
    <row r="36" spans="1:26" ht="18" customHeight="1" x14ac:dyDescent="0.2">
      <c r="A36" s="731"/>
      <c r="B36" s="315" t="s">
        <v>39</v>
      </c>
      <c r="C36" s="318" t="s">
        <v>8</v>
      </c>
      <c r="D36" s="317">
        <f>(D34-C34)/C34</f>
        <v>-0.10187016499628775</v>
      </c>
      <c r="E36" s="317">
        <f>(E34-D34)/D34</f>
        <v>-0.13050501702675177</v>
      </c>
      <c r="F36" s="317">
        <f>(F34-E34)/E34</f>
        <v>-0.16102717018883278</v>
      </c>
      <c r="G36" s="317">
        <f>(G34-F34)/F34</f>
        <v>-0.20690134276439415</v>
      </c>
      <c r="H36" s="316">
        <f>(H34-G34)/G34</f>
        <v>-0.28371788342563425</v>
      </c>
      <c r="I36" s="286"/>
      <c r="J36" s="290"/>
      <c r="K36" s="286"/>
      <c r="L36" s="287"/>
      <c r="M36" s="286"/>
      <c r="N36" s="286"/>
      <c r="O36" s="287"/>
      <c r="P36" s="286"/>
      <c r="Q36" s="286"/>
      <c r="R36" s="286"/>
      <c r="S36" s="286"/>
      <c r="T36" s="286"/>
      <c r="U36" s="286"/>
      <c r="V36" s="286"/>
      <c r="W36" s="286"/>
      <c r="X36" s="286"/>
      <c r="Y36" s="286"/>
      <c r="Z36" s="286"/>
    </row>
    <row r="37" spans="1:26" ht="18" customHeight="1" x14ac:dyDescent="0.2">
      <c r="A37" s="731"/>
      <c r="B37" s="315" t="s">
        <v>40</v>
      </c>
      <c r="C37" s="317">
        <f t="shared" ref="C37:H37" si="13">C33/C16</f>
        <v>0.40150106610593789</v>
      </c>
      <c r="D37" s="317">
        <f t="shared" si="13"/>
        <v>0.36060008625554058</v>
      </c>
      <c r="E37" s="317">
        <f t="shared" si="13"/>
        <v>0.31353996585891308</v>
      </c>
      <c r="F37" s="317">
        <f t="shared" si="13"/>
        <v>0.26305151241554903</v>
      </c>
      <c r="G37" s="317">
        <f t="shared" si="13"/>
        <v>0.20862580128056726</v>
      </c>
      <c r="H37" s="316">
        <f t="shared" si="13"/>
        <v>0.14943493051326776</v>
      </c>
      <c r="I37" s="286"/>
      <c r="J37" s="290"/>
      <c r="K37" s="286"/>
      <c r="L37" s="287"/>
      <c r="M37" s="286"/>
      <c r="N37" s="286"/>
      <c r="O37" s="287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</row>
    <row r="38" spans="1:26" ht="18" customHeight="1" x14ac:dyDescent="0.2">
      <c r="A38" s="731"/>
      <c r="B38" s="315" t="s">
        <v>41</v>
      </c>
      <c r="C38" s="317">
        <v>0.25</v>
      </c>
      <c r="D38" s="317">
        <v>0.25</v>
      </c>
      <c r="E38" s="317">
        <v>0.25</v>
      </c>
      <c r="F38" s="317">
        <v>0.25</v>
      </c>
      <c r="G38" s="317">
        <v>0.25</v>
      </c>
      <c r="H38" s="316">
        <v>0.25</v>
      </c>
      <c r="I38" s="286"/>
      <c r="J38" s="290"/>
      <c r="K38" s="286"/>
      <c r="L38" s="287"/>
      <c r="M38" s="286"/>
      <c r="N38" s="286"/>
      <c r="O38" s="287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</row>
    <row r="39" spans="1:26" ht="18" customHeight="1" x14ac:dyDescent="0.2">
      <c r="A39" s="731"/>
      <c r="B39" s="315" t="s">
        <v>42</v>
      </c>
      <c r="C39" s="307">
        <f>C33*(1+прогноз_рост)/(C38+1-прогноз_рост)/(1+'Внешние данные'!F4)</f>
        <v>5972757765.1723194</v>
      </c>
      <c r="D39" s="307">
        <f>D33*(1+прогноз_рост)/(D38+1-прогноз_рост)/(1+D4)</f>
        <v>5294871014.8095913</v>
      </c>
      <c r="E39" s="307">
        <f>E33*(1+прогноз_рост)/(E38+1-прогноз_рост)/(1+E4)</f>
        <v>4592822323.744216</v>
      </c>
      <c r="F39" s="307">
        <f>F33*(1+прогноз_рост)/(F38+1-прогноз_рост)/(1+F4)</f>
        <v>3851476794.2048459</v>
      </c>
      <c r="G39" s="307">
        <f>G33*(1+прогноз_рост)/(G38+1-прогноз_рост)/(1+G4)</f>
        <v>3054319465.9411292</v>
      </c>
      <c r="H39" s="314">
        <f>H33*(1+прогноз_рост)/(H38+1-прогноз_рост)/(1+H4)</f>
        <v>2187552738.2324414</v>
      </c>
      <c r="I39" s="286"/>
      <c r="J39" s="290"/>
      <c r="K39" s="286"/>
      <c r="L39" s="287"/>
      <c r="M39" s="286"/>
      <c r="N39" s="286"/>
      <c r="O39" s="287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</row>
    <row r="40" spans="1:26" ht="18" customHeight="1" thickBot="1" x14ac:dyDescent="0.25">
      <c r="A40" s="732"/>
      <c r="B40" s="313" t="s">
        <v>43</v>
      </c>
      <c r="C40" s="312">
        <f t="shared" ref="C40:H40" si="14">C39/C34</f>
        <v>0.19395881025563805</v>
      </c>
      <c r="D40" s="312">
        <f t="shared" si="14"/>
        <v>0.19144801659537089</v>
      </c>
      <c r="E40" s="312">
        <f t="shared" si="14"/>
        <v>0.19098886629267928</v>
      </c>
      <c r="F40" s="312">
        <f t="shared" si="14"/>
        <v>0.19090082053097326</v>
      </c>
      <c r="G40" s="312">
        <f t="shared" si="14"/>
        <v>0.19088322111910538</v>
      </c>
      <c r="H40" s="311">
        <f t="shared" si="14"/>
        <v>0.19086562495196688</v>
      </c>
      <c r="I40" s="286"/>
      <c r="J40" s="290"/>
      <c r="K40" s="286"/>
      <c r="L40" s="287"/>
      <c r="M40" s="286"/>
      <c r="N40" s="286"/>
      <c r="O40" s="287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</row>
    <row r="41" spans="1:26" ht="18" customHeight="1" x14ac:dyDescent="0.2">
      <c r="A41" s="286"/>
      <c r="B41" s="286"/>
      <c r="C41" s="286"/>
      <c r="D41" s="286"/>
      <c r="E41" s="290"/>
      <c r="F41" s="290"/>
      <c r="G41" s="290"/>
      <c r="H41" s="290"/>
      <c r="I41" s="286"/>
      <c r="J41" s="290"/>
      <c r="K41" s="286"/>
      <c r="L41" s="287"/>
      <c r="M41" s="286"/>
      <c r="N41" s="286"/>
      <c r="O41" s="287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</row>
    <row r="42" spans="1:26" ht="18" customHeight="1" thickBot="1" x14ac:dyDescent="0.25">
      <c r="A42" s="286"/>
      <c r="B42" s="286"/>
      <c r="C42" s="286"/>
      <c r="D42" s="286"/>
      <c r="E42" s="290"/>
      <c r="F42" s="290"/>
      <c r="G42" s="290"/>
      <c r="H42" s="290"/>
      <c r="I42" s="286"/>
      <c r="J42" s="290"/>
      <c r="K42" s="286"/>
      <c r="L42" s="287"/>
      <c r="M42" s="286"/>
      <c r="N42" s="286"/>
      <c r="O42" s="287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</row>
    <row r="43" spans="1:26" ht="18" customHeight="1" x14ac:dyDescent="0.2">
      <c r="A43" s="719" t="s">
        <v>44</v>
      </c>
      <c r="B43" s="492" t="s">
        <v>34</v>
      </c>
      <c r="C43" s="309">
        <f t="shared" ref="C43:H43" si="15">C32/(1+C4)^C3</f>
        <v>-1984508349.0212948</v>
      </c>
      <c r="D43" s="309">
        <f>D32/(1+D4)^D3</f>
        <v>-904824669.6477468</v>
      </c>
      <c r="E43" s="309">
        <f t="shared" si="15"/>
        <v>-1575335688.8556881</v>
      </c>
      <c r="F43" s="309">
        <f t="shared" si="15"/>
        <v>-4953479771.1140108</v>
      </c>
      <c r="G43" s="309">
        <f t="shared" si="15"/>
        <v>-5743831900.8239603</v>
      </c>
      <c r="H43" s="300">
        <f t="shared" si="15"/>
        <v>-6425171960.4782619</v>
      </c>
      <c r="I43" s="286"/>
      <c r="J43" s="290"/>
      <c r="K43" s="286"/>
      <c r="L43" s="287"/>
      <c r="M43" s="286"/>
      <c r="N43" s="286"/>
      <c r="O43" s="287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</row>
    <row r="44" spans="1:26" ht="18" customHeight="1" x14ac:dyDescent="0.2">
      <c r="A44" s="720"/>
      <c r="B44" s="493" t="s">
        <v>45</v>
      </c>
      <c r="C44" s="307">
        <f t="shared" ref="C44:H44" si="16">C19/(1+C4)^C3</f>
        <v>21134166349.021294</v>
      </c>
      <c r="D44" s="307">
        <f>D19/(1+D4)^D3</f>
        <v>18611397022.860878</v>
      </c>
      <c r="E44" s="307">
        <f t="shared" si="16"/>
        <v>17869133892.185177</v>
      </c>
      <c r="F44" s="307">
        <f t="shared" si="16"/>
        <v>19962495815.90419</v>
      </c>
      <c r="G44" s="307">
        <f t="shared" si="16"/>
        <v>19577025706.807175</v>
      </c>
      <c r="H44" s="306">
        <f t="shared" si="16"/>
        <v>19172308553.455257</v>
      </c>
      <c r="I44" s="286"/>
      <c r="J44" s="290"/>
      <c r="K44" s="286"/>
      <c r="L44" s="287"/>
      <c r="M44" s="286"/>
      <c r="N44" s="286"/>
      <c r="O44" s="287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</row>
    <row r="45" spans="1:26" ht="18" customHeight="1" thickBot="1" x14ac:dyDescent="0.25">
      <c r="A45" s="720"/>
      <c r="B45" s="494" t="s">
        <v>46</v>
      </c>
      <c r="C45" s="304">
        <f t="shared" ref="C45:H45" si="17">C34/(1+C4)^C3</f>
        <v>30793949278.716518</v>
      </c>
      <c r="D45" s="304">
        <f t="shared" si="17"/>
        <v>25572782787.615677</v>
      </c>
      <c r="E45" s="304">
        <f t="shared" si="17"/>
        <v>20461285027.735752</v>
      </c>
      <c r="F45" s="304">
        <f t="shared" si="17"/>
        <v>15812869620.468973</v>
      </c>
      <c r="G45" s="304">
        <f t="shared" si="17"/>
        <v>11558677441.079332</v>
      </c>
      <c r="H45" s="303">
        <f t="shared" si="17"/>
        <v>7629260264.3565512</v>
      </c>
      <c r="I45" s="286"/>
      <c r="J45" s="290"/>
      <c r="K45" s="286"/>
      <c r="L45" s="287"/>
      <c r="M45" s="290"/>
      <c r="N45" s="296"/>
      <c r="O45" s="290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</row>
    <row r="46" spans="1:26" ht="18" customHeight="1" thickBot="1" x14ac:dyDescent="0.25">
      <c r="A46" s="720"/>
      <c r="B46" s="286"/>
      <c r="C46" s="299"/>
      <c r="D46" s="299"/>
      <c r="E46" s="299"/>
      <c r="F46" s="299"/>
      <c r="G46" s="299"/>
      <c r="H46" s="299"/>
      <c r="I46" s="286"/>
      <c r="J46" s="290"/>
      <c r="K46" s="286"/>
      <c r="L46" s="287"/>
      <c r="M46" s="290"/>
      <c r="N46" s="296"/>
      <c r="O46" s="290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</row>
    <row r="47" spans="1:26" ht="18" customHeight="1" thickBot="1" x14ac:dyDescent="0.25">
      <c r="A47" s="721"/>
      <c r="B47" s="400" t="s">
        <v>48</v>
      </c>
      <c r="C47" s="498">
        <f>SUM(D44:H44)+C45</f>
        <v>125986310269.9292</v>
      </c>
      <c r="D47" s="299"/>
      <c r="E47" s="299"/>
      <c r="F47" s="299"/>
      <c r="G47" s="299"/>
      <c r="H47" s="299"/>
      <c r="I47" s="286"/>
      <c r="J47" s="290"/>
      <c r="K47" s="286"/>
      <c r="L47" s="287"/>
      <c r="M47" s="290"/>
      <c r="N47" s="296"/>
      <c r="O47" s="290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</row>
    <row r="48" spans="1:26" ht="18" customHeight="1" thickBot="1" x14ac:dyDescent="0.25">
      <c r="A48" s="499"/>
      <c r="B48" s="286"/>
      <c r="C48" s="295"/>
      <c r="D48" s="299"/>
      <c r="E48" s="299"/>
      <c r="F48" s="299"/>
      <c r="G48" s="299"/>
      <c r="H48" s="299"/>
      <c r="I48" s="286"/>
      <c r="J48" s="290"/>
      <c r="K48" s="286"/>
      <c r="L48" s="287"/>
      <c r="M48" s="290"/>
      <c r="N48" s="296"/>
      <c r="O48" s="290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</row>
    <row r="49" spans="1:26" ht="18" customHeight="1" thickBot="1" x14ac:dyDescent="0.25">
      <c r="A49" s="499"/>
      <c r="B49" s="302" t="s">
        <v>47</v>
      </c>
      <c r="C49" s="301">
        <f>SUM(D43:H43)+H45-C45</f>
        <v>-42767333005.279633</v>
      </c>
      <c r="D49" s="299"/>
      <c r="E49" s="299"/>
      <c r="F49" s="299"/>
      <c r="G49" s="299"/>
      <c r="H49" s="299"/>
      <c r="I49" s="286"/>
      <c r="J49" s="290"/>
      <c r="K49" s="286"/>
      <c r="L49" s="287"/>
      <c r="M49" s="290"/>
      <c r="N49" s="296"/>
      <c r="O49" s="290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</row>
    <row r="50" spans="1:26" ht="18" customHeight="1" x14ac:dyDescent="0.2">
      <c r="A50" s="293"/>
      <c r="B50" s="286"/>
      <c r="C50" s="295"/>
      <c r="D50" s="299"/>
      <c r="E50" s="299"/>
      <c r="F50" s="299"/>
      <c r="G50" s="299"/>
      <c r="H50" s="299"/>
      <c r="I50" s="286"/>
      <c r="J50" s="290"/>
      <c r="K50" s="286"/>
      <c r="L50" s="287"/>
      <c r="M50" s="290"/>
      <c r="N50" s="296"/>
      <c r="O50" s="290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</row>
    <row r="51" spans="1:26" ht="18" customHeight="1" x14ac:dyDescent="0.2">
      <c r="A51" s="286"/>
      <c r="D51" s="286"/>
      <c r="E51" s="286"/>
      <c r="F51" s="286"/>
      <c r="G51" s="286"/>
      <c r="H51" s="286"/>
      <c r="I51" s="286"/>
      <c r="J51" s="290"/>
      <c r="K51" s="286"/>
      <c r="L51" s="287"/>
      <c r="M51" s="290"/>
      <c r="N51" s="296"/>
      <c r="O51" s="290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</row>
    <row r="52" spans="1:26" ht="18" customHeight="1" x14ac:dyDescent="0.2">
      <c r="A52" s="286"/>
      <c r="D52" s="286"/>
      <c r="E52" s="286"/>
      <c r="F52" s="286"/>
      <c r="G52" s="286"/>
      <c r="H52" s="286"/>
      <c r="I52" s="286"/>
      <c r="J52" s="290"/>
      <c r="K52" s="286"/>
      <c r="L52" s="287"/>
      <c r="M52" s="290"/>
      <c r="N52" s="296"/>
      <c r="O52" s="290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</row>
    <row r="53" spans="1:26" ht="18" customHeight="1" x14ac:dyDescent="0.2">
      <c r="A53" s="286"/>
      <c r="D53" s="286"/>
      <c r="E53" s="286"/>
      <c r="F53" s="286"/>
      <c r="G53" s="286"/>
      <c r="H53" s="286"/>
      <c r="I53" s="286"/>
      <c r="J53" s="286"/>
      <c r="K53" s="286"/>
      <c r="L53" s="287"/>
      <c r="M53" s="290"/>
      <c r="N53" s="290"/>
      <c r="O53" s="290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</row>
    <row r="54" spans="1:26" ht="18" customHeight="1" x14ac:dyDescent="0.2">
      <c r="A54" s="286"/>
      <c r="B54" s="286"/>
      <c r="C54" s="287"/>
      <c r="D54" s="286"/>
      <c r="E54" s="286"/>
      <c r="F54" s="286"/>
      <c r="G54" s="286"/>
      <c r="H54" s="286"/>
      <c r="I54" s="286"/>
      <c r="J54" s="286"/>
      <c r="K54" s="286"/>
      <c r="L54" s="287"/>
      <c r="M54" s="290"/>
      <c r="N54" s="290"/>
      <c r="O54" s="290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</row>
    <row r="55" spans="1:26" ht="18" customHeight="1" x14ac:dyDescent="0.2">
      <c r="A55" s="286"/>
      <c r="B55" s="286"/>
      <c r="C55" s="286"/>
      <c r="D55" s="286"/>
      <c r="E55" s="286"/>
      <c r="F55" s="286"/>
      <c r="G55" s="286"/>
      <c r="H55" s="286"/>
      <c r="I55" s="286"/>
      <c r="J55" s="290"/>
      <c r="K55" s="286"/>
      <c r="L55" s="287"/>
      <c r="M55" s="290"/>
      <c r="N55" s="296"/>
      <c r="O55" s="290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</row>
    <row r="56" spans="1:26" ht="18" customHeight="1" x14ac:dyDescent="0.2">
      <c r="A56" s="286"/>
      <c r="B56" s="286"/>
      <c r="C56" s="286"/>
      <c r="D56" s="286"/>
      <c r="E56" s="286"/>
      <c r="F56" s="286"/>
      <c r="G56" s="286"/>
      <c r="H56" s="286"/>
      <c r="I56" s="286"/>
      <c r="J56" s="290"/>
      <c r="K56" s="286"/>
      <c r="L56" s="287"/>
      <c r="M56" s="290"/>
      <c r="N56" s="296"/>
      <c r="O56" s="290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</row>
    <row r="57" spans="1:26" ht="18" customHeight="1" x14ac:dyDescent="0.2">
      <c r="A57" s="293"/>
      <c r="D57" s="288"/>
      <c r="E57" s="288"/>
      <c r="F57" s="288"/>
      <c r="G57" s="288"/>
      <c r="H57" s="288"/>
      <c r="I57" s="286"/>
      <c r="J57" s="290"/>
      <c r="K57" s="286"/>
      <c r="L57" s="287"/>
      <c r="M57" s="290"/>
      <c r="N57" s="296"/>
      <c r="O57" s="290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</row>
    <row r="58" spans="1:26" ht="18" customHeight="1" x14ac:dyDescent="0.2">
      <c r="A58" s="293"/>
      <c r="B58" s="286"/>
      <c r="C58" s="288"/>
      <c r="D58" s="288"/>
      <c r="E58" s="288"/>
      <c r="F58" s="288"/>
      <c r="G58" s="288"/>
      <c r="H58" s="288"/>
      <c r="I58" s="286"/>
      <c r="J58" s="286"/>
      <c r="K58" s="286"/>
      <c r="L58" s="287"/>
      <c r="M58" s="290"/>
      <c r="N58" s="290"/>
      <c r="O58" s="290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</row>
    <row r="59" spans="1:26" ht="18" customHeight="1" x14ac:dyDescent="0.2">
      <c r="A59" s="293"/>
      <c r="B59" s="286"/>
      <c r="C59" s="288"/>
      <c r="D59" s="288"/>
      <c r="E59" s="288"/>
      <c r="F59" s="288"/>
      <c r="G59" s="288"/>
      <c r="H59" s="288"/>
      <c r="I59" s="286"/>
      <c r="J59" s="290"/>
      <c r="K59" s="286"/>
      <c r="L59" s="287"/>
      <c r="M59" s="290"/>
      <c r="N59" s="296"/>
      <c r="O59" s="290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</row>
    <row r="60" spans="1:26" ht="18" customHeight="1" x14ac:dyDescent="0.2">
      <c r="A60" s="293"/>
      <c r="B60" s="286"/>
      <c r="C60" s="288"/>
      <c r="D60" s="288"/>
      <c r="E60" s="288"/>
      <c r="F60" s="288"/>
      <c r="G60" s="288"/>
      <c r="H60" s="288"/>
      <c r="I60" s="286"/>
      <c r="J60" s="286"/>
      <c r="K60" s="286"/>
      <c r="L60" s="287"/>
      <c r="M60" s="290"/>
      <c r="N60" s="290"/>
      <c r="O60" s="290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</row>
    <row r="61" spans="1:26" ht="18" customHeight="1" x14ac:dyDescent="0.2">
      <c r="A61" s="293"/>
      <c r="B61" s="286"/>
      <c r="C61" s="288"/>
      <c r="D61" s="288"/>
      <c r="E61" s="288"/>
      <c r="F61" s="288"/>
      <c r="G61" s="288"/>
      <c r="H61" s="288"/>
      <c r="I61" s="286"/>
      <c r="J61" s="286"/>
      <c r="K61" s="286"/>
      <c r="L61" s="287"/>
      <c r="M61" s="290"/>
      <c r="N61" s="290"/>
      <c r="O61" s="290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</row>
    <row r="62" spans="1:26" ht="18" customHeight="1" x14ac:dyDescent="0.2">
      <c r="A62" s="293"/>
      <c r="B62" s="286"/>
      <c r="C62" s="288"/>
      <c r="D62" s="288"/>
      <c r="E62" s="288"/>
      <c r="F62" s="288"/>
      <c r="G62" s="288"/>
      <c r="H62" s="288"/>
      <c r="I62" s="286"/>
      <c r="J62" s="290"/>
      <c r="K62" s="286"/>
      <c r="L62" s="287"/>
      <c r="M62" s="290"/>
      <c r="N62" s="296"/>
      <c r="O62" s="290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</row>
    <row r="63" spans="1:26" ht="18" customHeight="1" x14ac:dyDescent="0.2">
      <c r="A63" s="293"/>
      <c r="B63" s="286"/>
      <c r="C63" s="288"/>
      <c r="D63" s="288"/>
      <c r="E63" s="288"/>
      <c r="F63" s="288"/>
      <c r="G63" s="288"/>
      <c r="H63" s="288"/>
      <c r="I63" s="286"/>
      <c r="J63" s="286"/>
      <c r="K63" s="286"/>
      <c r="L63" s="287"/>
      <c r="M63" s="290"/>
      <c r="N63" s="290"/>
      <c r="O63" s="290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</row>
    <row r="64" spans="1:26" ht="18" customHeight="1" x14ac:dyDescent="0.2">
      <c r="A64" s="293"/>
      <c r="B64" s="286"/>
      <c r="C64" s="288"/>
      <c r="D64" s="288"/>
      <c r="E64" s="288"/>
      <c r="F64" s="288"/>
      <c r="G64" s="288"/>
      <c r="H64" s="288"/>
      <c r="I64" s="286"/>
      <c r="J64" s="286"/>
      <c r="K64" s="286"/>
      <c r="L64" s="287"/>
      <c r="M64" s="290"/>
      <c r="N64" s="290"/>
      <c r="O64" s="290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</row>
    <row r="65" spans="1:26" ht="18" customHeight="1" x14ac:dyDescent="0.2">
      <c r="A65" s="293"/>
      <c r="B65" s="286"/>
      <c r="C65" s="288"/>
      <c r="D65" s="288"/>
      <c r="E65" s="288"/>
      <c r="F65" s="288"/>
      <c r="G65" s="288"/>
      <c r="H65" s="288"/>
      <c r="I65" s="286"/>
      <c r="J65" s="286"/>
      <c r="K65" s="286"/>
      <c r="L65" s="287"/>
      <c r="M65" s="290"/>
      <c r="N65" s="290"/>
      <c r="O65" s="290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</row>
    <row r="66" spans="1:26" ht="18" customHeight="1" x14ac:dyDescent="0.2">
      <c r="A66" s="293"/>
      <c r="B66" s="286"/>
      <c r="C66" s="288"/>
      <c r="D66" s="288"/>
      <c r="E66" s="288"/>
      <c r="F66" s="288"/>
      <c r="G66" s="288"/>
      <c r="H66" s="288"/>
      <c r="I66" s="286"/>
      <c r="J66" s="286"/>
      <c r="K66" s="286"/>
      <c r="L66" s="287"/>
      <c r="M66" s="290"/>
      <c r="N66" s="290"/>
      <c r="O66" s="290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</row>
    <row r="67" spans="1:26" ht="18" customHeight="1" x14ac:dyDescent="0.2">
      <c r="A67" s="293"/>
      <c r="B67" s="286"/>
      <c r="C67" s="288"/>
      <c r="D67" s="288"/>
      <c r="E67" s="288"/>
      <c r="F67" s="288"/>
      <c r="G67" s="288"/>
      <c r="H67" s="288"/>
      <c r="I67" s="286"/>
      <c r="J67" s="286"/>
      <c r="K67" s="286"/>
      <c r="L67" s="287"/>
      <c r="M67" s="290"/>
      <c r="N67" s="290"/>
      <c r="O67" s="290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</row>
    <row r="68" spans="1:26" ht="18" customHeight="1" x14ac:dyDescent="0.2">
      <c r="A68" s="293"/>
      <c r="B68" s="286"/>
      <c r="C68" s="288"/>
      <c r="D68" s="295"/>
      <c r="E68" s="295"/>
      <c r="F68" s="295"/>
      <c r="G68" s="295"/>
      <c r="H68" s="295"/>
      <c r="I68" s="286"/>
      <c r="J68" s="286"/>
      <c r="K68" s="286"/>
      <c r="L68" s="287"/>
      <c r="M68" s="290"/>
      <c r="N68" s="294"/>
      <c r="O68" s="294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</row>
    <row r="69" spans="1:26" ht="18" customHeight="1" x14ac:dyDescent="0.2">
      <c r="A69" s="293"/>
      <c r="B69" s="286"/>
      <c r="C69" s="287"/>
      <c r="D69" s="287"/>
      <c r="E69" s="287"/>
      <c r="F69" s="287"/>
      <c r="G69" s="287"/>
      <c r="H69" s="287"/>
      <c r="I69" s="286"/>
      <c r="J69" s="286"/>
      <c r="K69" s="286"/>
      <c r="L69" s="287"/>
      <c r="M69" s="290"/>
      <c r="N69" s="294"/>
      <c r="O69" s="294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</row>
    <row r="70" spans="1:26" ht="18" customHeight="1" x14ac:dyDescent="0.2">
      <c r="A70" s="293"/>
      <c r="B70" s="286"/>
      <c r="C70" s="287"/>
      <c r="D70" s="287"/>
      <c r="E70" s="287"/>
      <c r="F70" s="287"/>
      <c r="G70" s="287"/>
      <c r="H70" s="287"/>
      <c r="I70" s="286"/>
      <c r="J70" s="286"/>
      <c r="K70" s="286"/>
      <c r="L70" s="287"/>
      <c r="M70" s="290"/>
      <c r="N70" s="290"/>
      <c r="O70" s="290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</row>
    <row r="71" spans="1:26" ht="18" customHeight="1" x14ac:dyDescent="0.2">
      <c r="A71" s="293"/>
      <c r="B71" s="286"/>
      <c r="C71" s="288"/>
      <c r="D71" s="288"/>
      <c r="E71" s="288"/>
      <c r="F71" s="288"/>
      <c r="G71" s="288"/>
      <c r="H71" s="288"/>
      <c r="I71" s="286"/>
      <c r="J71" s="286"/>
      <c r="K71" s="286"/>
      <c r="L71" s="287"/>
      <c r="M71" s="290"/>
      <c r="N71" s="290"/>
      <c r="O71" s="290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</row>
    <row r="72" spans="1:26" ht="18" customHeight="1" x14ac:dyDescent="0.2">
      <c r="A72" s="293"/>
      <c r="B72" s="286"/>
      <c r="C72" s="287"/>
      <c r="D72" s="287"/>
      <c r="E72" s="287"/>
      <c r="F72" s="287"/>
      <c r="G72" s="287"/>
      <c r="H72" s="287"/>
      <c r="I72" s="286"/>
      <c r="J72" s="286"/>
      <c r="K72" s="286"/>
      <c r="L72" s="287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</row>
    <row r="73" spans="1:26" ht="18" customHeight="1" x14ac:dyDescent="0.2">
      <c r="A73" s="286"/>
      <c r="B73" s="286"/>
      <c r="C73" s="286"/>
      <c r="D73" s="290"/>
      <c r="E73" s="290"/>
      <c r="F73" s="290"/>
      <c r="G73" s="286"/>
      <c r="H73" s="286"/>
      <c r="I73" s="286"/>
      <c r="J73" s="286"/>
      <c r="K73" s="286"/>
      <c r="L73" s="287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</row>
    <row r="74" spans="1:26" ht="18" customHeight="1" x14ac:dyDescent="0.2">
      <c r="A74" s="286"/>
      <c r="B74" s="292"/>
      <c r="C74" s="291"/>
      <c r="D74" s="286"/>
      <c r="E74" s="290"/>
      <c r="F74" s="290"/>
      <c r="G74" s="290"/>
      <c r="H74" s="286"/>
      <c r="I74" s="286"/>
      <c r="J74" s="286"/>
      <c r="K74" s="286"/>
      <c r="L74" s="287"/>
      <c r="M74" s="289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</row>
    <row r="75" spans="1:26" ht="18" customHeight="1" x14ac:dyDescent="0.2">
      <c r="A75" s="286"/>
      <c r="B75" s="286"/>
      <c r="C75" s="286"/>
      <c r="D75" s="286"/>
      <c r="E75" s="286"/>
      <c r="F75" s="286"/>
      <c r="G75" s="286"/>
      <c r="H75" s="286"/>
      <c r="I75" s="286"/>
      <c r="J75" s="286"/>
      <c r="K75" s="286"/>
      <c r="L75" s="287"/>
      <c r="M75" s="286"/>
      <c r="N75" s="286"/>
      <c r="O75" s="287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</row>
    <row r="76" spans="1:26" ht="18" customHeight="1" x14ac:dyDescent="0.2">
      <c r="A76" s="286"/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7"/>
      <c r="M76" s="286"/>
      <c r="N76" s="286"/>
      <c r="O76" s="287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</row>
    <row r="77" spans="1:26" ht="18" customHeight="1" x14ac:dyDescent="0.2">
      <c r="A77" s="286"/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7"/>
      <c r="M77" s="286"/>
      <c r="N77" s="286"/>
      <c r="O77" s="287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</row>
    <row r="78" spans="1:26" ht="18" customHeight="1" x14ac:dyDescent="0.2">
      <c r="A78" s="286"/>
      <c r="B78" s="286"/>
      <c r="C78" s="286"/>
      <c r="D78" s="286"/>
      <c r="E78" s="286"/>
      <c r="F78" s="286"/>
      <c r="G78" s="286"/>
      <c r="H78" s="286"/>
      <c r="I78" s="286"/>
      <c r="J78" s="286"/>
      <c r="K78" s="286"/>
      <c r="L78" s="287"/>
      <c r="M78" s="286"/>
      <c r="N78" s="286"/>
      <c r="O78" s="287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</row>
    <row r="79" spans="1:26" ht="18" customHeight="1" x14ac:dyDescent="0.2">
      <c r="A79" s="286"/>
      <c r="B79" s="288"/>
      <c r="C79" s="286"/>
      <c r="D79" s="286"/>
      <c r="E79" s="286"/>
      <c r="F79" s="286"/>
      <c r="G79" s="286"/>
      <c r="H79" s="286"/>
      <c r="I79" s="286"/>
      <c r="J79" s="286"/>
      <c r="K79" s="286"/>
      <c r="L79" s="287"/>
      <c r="M79" s="286"/>
      <c r="N79" s="286"/>
      <c r="O79" s="287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</row>
    <row r="80" spans="1:26" ht="18" customHeight="1" x14ac:dyDescent="0.2">
      <c r="A80" s="287"/>
      <c r="B80" s="287"/>
      <c r="C80" s="286"/>
      <c r="D80" s="286"/>
      <c r="E80" s="286"/>
      <c r="F80" s="286"/>
      <c r="G80" s="286"/>
      <c r="H80" s="286"/>
      <c r="I80" s="286"/>
      <c r="J80" s="286"/>
      <c r="K80" s="286"/>
      <c r="L80" s="287"/>
      <c r="M80" s="286"/>
      <c r="N80" s="286"/>
      <c r="O80" s="287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</row>
    <row r="81" spans="1:26" ht="18" customHeight="1" x14ac:dyDescent="0.2">
      <c r="A81" s="287"/>
      <c r="B81" s="286"/>
      <c r="C81" s="286"/>
      <c r="D81" s="286"/>
      <c r="E81" s="286"/>
      <c r="F81" s="286"/>
      <c r="G81" s="286"/>
      <c r="H81" s="286"/>
      <c r="I81" s="286"/>
      <c r="J81" s="286"/>
      <c r="K81" s="286"/>
      <c r="L81" s="287"/>
      <c r="M81" s="286"/>
      <c r="N81" s="286"/>
      <c r="O81" s="287"/>
      <c r="P81" s="286"/>
      <c r="Q81" s="286"/>
      <c r="R81" s="286"/>
      <c r="S81" s="286"/>
      <c r="T81" s="286"/>
      <c r="U81" s="286"/>
      <c r="V81" s="286"/>
      <c r="W81" s="286"/>
      <c r="X81" s="286"/>
      <c r="Y81" s="286"/>
      <c r="Z81" s="286"/>
    </row>
    <row r="82" spans="1:26" ht="18" customHeight="1" x14ac:dyDescent="0.2">
      <c r="A82" s="287"/>
      <c r="B82" s="286"/>
      <c r="C82" s="286"/>
      <c r="D82" s="286"/>
      <c r="E82" s="286"/>
      <c r="F82" s="286"/>
      <c r="G82" s="286"/>
      <c r="H82" s="286"/>
      <c r="I82" s="286"/>
      <c r="J82" s="286"/>
      <c r="K82" s="286"/>
      <c r="L82" s="287"/>
      <c r="M82" s="286"/>
      <c r="N82" s="286"/>
      <c r="O82" s="287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</row>
    <row r="83" spans="1:26" ht="18" customHeight="1" x14ac:dyDescent="0.2">
      <c r="A83" s="287"/>
      <c r="B83" s="286"/>
      <c r="C83" s="286"/>
      <c r="D83" s="286"/>
      <c r="E83" s="286"/>
      <c r="F83" s="286"/>
      <c r="G83" s="286"/>
      <c r="H83" s="286"/>
      <c r="I83" s="286"/>
      <c r="J83" s="286"/>
      <c r="K83" s="286"/>
      <c r="L83" s="287"/>
      <c r="M83" s="286"/>
      <c r="N83" s="286"/>
      <c r="O83" s="287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</row>
    <row r="84" spans="1:26" ht="18" customHeight="1" x14ac:dyDescent="0.2">
      <c r="A84" s="287"/>
      <c r="B84" s="286"/>
      <c r="C84" s="286"/>
      <c r="D84" s="286"/>
      <c r="E84" s="286"/>
      <c r="F84" s="286"/>
      <c r="G84" s="286"/>
      <c r="H84" s="286"/>
      <c r="I84" s="286"/>
      <c r="J84" s="286"/>
      <c r="K84" s="286"/>
      <c r="L84" s="287"/>
      <c r="M84" s="286"/>
      <c r="N84" s="286"/>
      <c r="O84" s="287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</row>
    <row r="85" spans="1:26" ht="18" customHeight="1" x14ac:dyDescent="0.2">
      <c r="A85" s="287"/>
      <c r="B85" s="286"/>
      <c r="C85" s="286"/>
      <c r="D85" s="286"/>
      <c r="E85" s="286"/>
      <c r="F85" s="286"/>
      <c r="G85" s="286"/>
      <c r="H85" s="286"/>
      <c r="I85" s="286"/>
      <c r="J85" s="286"/>
      <c r="K85" s="286"/>
      <c r="L85" s="287"/>
      <c r="M85" s="286"/>
      <c r="N85" s="286"/>
      <c r="O85" s="287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</row>
    <row r="86" spans="1:26" ht="18" customHeight="1" x14ac:dyDescent="0.2">
      <c r="A86" s="287"/>
      <c r="B86" s="286"/>
      <c r="C86" s="286"/>
      <c r="D86" s="286"/>
      <c r="E86" s="286"/>
      <c r="F86" s="286"/>
      <c r="G86" s="286"/>
      <c r="H86" s="286"/>
      <c r="I86" s="286"/>
      <c r="J86" s="286"/>
      <c r="K86" s="286"/>
      <c r="L86" s="287"/>
      <c r="M86" s="286"/>
      <c r="N86" s="286"/>
      <c r="O86" s="287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</row>
    <row r="87" spans="1:26" ht="18" customHeight="1" x14ac:dyDescent="0.2">
      <c r="A87" s="287"/>
      <c r="B87" s="286"/>
      <c r="C87" s="286"/>
      <c r="D87" s="286"/>
      <c r="E87" s="286"/>
      <c r="F87" s="286"/>
      <c r="G87" s="286"/>
      <c r="H87" s="286"/>
      <c r="I87" s="286"/>
      <c r="J87" s="286"/>
      <c r="K87" s="286"/>
      <c r="L87" s="287"/>
      <c r="M87" s="286"/>
      <c r="N87" s="286"/>
      <c r="O87" s="287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</row>
    <row r="88" spans="1:26" ht="18" customHeight="1" x14ac:dyDescent="0.2">
      <c r="A88" s="287"/>
      <c r="B88" s="286"/>
      <c r="C88" s="286"/>
      <c r="D88" s="286"/>
      <c r="E88" s="286"/>
      <c r="F88" s="286"/>
      <c r="G88" s="286"/>
      <c r="H88" s="286"/>
      <c r="I88" s="286"/>
      <c r="J88" s="286"/>
      <c r="K88" s="286"/>
      <c r="L88" s="287"/>
      <c r="M88" s="286"/>
      <c r="N88" s="286"/>
      <c r="O88" s="287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</row>
    <row r="89" spans="1:26" ht="18" customHeight="1" x14ac:dyDescent="0.2">
      <c r="A89" s="287"/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7"/>
      <c r="M89" s="286"/>
      <c r="N89" s="286"/>
      <c r="O89" s="287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</row>
    <row r="90" spans="1:26" ht="18" customHeight="1" x14ac:dyDescent="0.2">
      <c r="A90" s="287"/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7"/>
      <c r="M90" s="286"/>
      <c r="N90" s="286"/>
      <c r="O90" s="287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</row>
    <row r="91" spans="1:26" ht="18" customHeight="1" x14ac:dyDescent="0.2">
      <c r="A91" s="287"/>
      <c r="B91" s="286"/>
      <c r="C91" s="286"/>
      <c r="D91" s="286"/>
      <c r="E91" s="286"/>
      <c r="F91" s="286"/>
      <c r="G91" s="286"/>
      <c r="H91" s="286"/>
      <c r="I91" s="286"/>
      <c r="J91" s="286"/>
      <c r="K91" s="286"/>
      <c r="L91" s="287"/>
      <c r="M91" s="286"/>
      <c r="N91" s="286"/>
      <c r="O91" s="287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</row>
    <row r="92" spans="1:26" ht="18" customHeight="1" x14ac:dyDescent="0.2">
      <c r="A92" s="287"/>
      <c r="B92" s="286"/>
      <c r="C92" s="286"/>
      <c r="D92" s="286"/>
      <c r="E92" s="286"/>
      <c r="F92" s="286"/>
      <c r="G92" s="286"/>
      <c r="H92" s="286"/>
      <c r="I92" s="286"/>
      <c r="J92" s="286"/>
      <c r="K92" s="286"/>
      <c r="L92" s="287"/>
      <c r="M92" s="286"/>
      <c r="N92" s="286"/>
      <c r="O92" s="287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</row>
    <row r="93" spans="1:26" ht="18" customHeight="1" x14ac:dyDescent="0.2">
      <c r="A93" s="287"/>
      <c r="B93" s="286"/>
      <c r="C93" s="286"/>
      <c r="D93" s="286"/>
      <c r="E93" s="286"/>
      <c r="F93" s="286"/>
      <c r="G93" s="286"/>
      <c r="H93" s="286"/>
      <c r="I93" s="286"/>
      <c r="J93" s="286"/>
      <c r="K93" s="286"/>
      <c r="L93" s="287"/>
      <c r="M93" s="286"/>
      <c r="N93" s="286"/>
      <c r="O93" s="287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</row>
    <row r="94" spans="1:26" ht="18" customHeight="1" x14ac:dyDescent="0.2">
      <c r="A94" s="287"/>
      <c r="B94" s="286"/>
      <c r="C94" s="286"/>
      <c r="D94" s="286"/>
      <c r="E94" s="286"/>
      <c r="F94" s="286"/>
      <c r="G94" s="286"/>
      <c r="H94" s="286"/>
      <c r="I94" s="286"/>
      <c r="J94" s="286"/>
      <c r="K94" s="286"/>
      <c r="L94" s="287"/>
      <c r="M94" s="286"/>
      <c r="N94" s="286"/>
      <c r="O94" s="287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</row>
    <row r="95" spans="1:26" ht="18" customHeight="1" x14ac:dyDescent="0.2">
      <c r="A95" s="287"/>
      <c r="B95" s="286"/>
      <c r="C95" s="286"/>
      <c r="D95" s="286"/>
      <c r="E95" s="286"/>
      <c r="F95" s="286"/>
      <c r="G95" s="286"/>
      <c r="H95" s="286"/>
      <c r="I95" s="286"/>
      <c r="J95" s="286"/>
      <c r="K95" s="286"/>
      <c r="L95" s="287"/>
      <c r="M95" s="286"/>
      <c r="N95" s="286"/>
      <c r="O95" s="287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</row>
    <row r="96" spans="1:26" ht="18" customHeight="1" x14ac:dyDescent="0.2">
      <c r="A96" s="287"/>
      <c r="B96" s="286"/>
      <c r="C96" s="286"/>
      <c r="D96" s="286"/>
      <c r="E96" s="286"/>
      <c r="F96" s="286"/>
      <c r="G96" s="286"/>
      <c r="H96" s="286"/>
      <c r="I96" s="286"/>
      <c r="J96" s="286"/>
      <c r="K96" s="286"/>
      <c r="L96" s="287"/>
      <c r="M96" s="286"/>
      <c r="N96" s="286"/>
      <c r="O96" s="287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</row>
    <row r="97" spans="1:26" ht="18" customHeight="1" x14ac:dyDescent="0.2">
      <c r="A97" s="287"/>
      <c r="B97" s="286"/>
      <c r="C97" s="286"/>
      <c r="D97" s="286"/>
      <c r="E97" s="286"/>
      <c r="F97" s="286"/>
      <c r="G97" s="286"/>
      <c r="H97" s="286"/>
      <c r="I97" s="286"/>
      <c r="J97" s="286"/>
      <c r="K97" s="286"/>
      <c r="L97" s="287"/>
      <c r="M97" s="286"/>
      <c r="N97" s="286"/>
      <c r="O97" s="287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</row>
    <row r="98" spans="1:26" ht="18" customHeight="1" x14ac:dyDescent="0.2">
      <c r="A98" s="287"/>
      <c r="B98" s="286"/>
      <c r="C98" s="286"/>
      <c r="D98" s="286"/>
      <c r="E98" s="286"/>
      <c r="F98" s="286"/>
      <c r="G98" s="286"/>
      <c r="H98" s="286"/>
      <c r="I98" s="286"/>
      <c r="J98" s="286"/>
      <c r="K98" s="286"/>
      <c r="L98" s="287"/>
      <c r="M98" s="286"/>
      <c r="N98" s="286"/>
      <c r="O98" s="287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</row>
    <row r="99" spans="1:26" ht="18" customHeight="1" x14ac:dyDescent="0.2">
      <c r="A99" s="287"/>
      <c r="B99" s="286"/>
      <c r="C99" s="286"/>
      <c r="D99" s="286"/>
      <c r="E99" s="286"/>
      <c r="F99" s="286"/>
      <c r="G99" s="286"/>
      <c r="H99" s="286"/>
      <c r="I99" s="286"/>
      <c r="J99" s="286"/>
      <c r="K99" s="286"/>
      <c r="L99" s="287"/>
      <c r="M99" s="286"/>
      <c r="N99" s="286"/>
      <c r="O99" s="287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</row>
    <row r="100" spans="1:26" ht="18" customHeight="1" x14ac:dyDescent="0.2">
      <c r="A100" s="287"/>
      <c r="B100" s="286"/>
      <c r="C100" s="286"/>
      <c r="D100" s="286"/>
      <c r="E100" s="286"/>
      <c r="F100" s="286"/>
      <c r="G100" s="286"/>
      <c r="H100" s="286"/>
      <c r="I100" s="286"/>
      <c r="J100" s="286"/>
      <c r="K100" s="286"/>
      <c r="L100" s="287"/>
      <c r="M100" s="286"/>
      <c r="N100" s="286"/>
      <c r="O100" s="287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</row>
    <row r="101" spans="1:26" ht="18" customHeight="1" x14ac:dyDescent="0.2">
      <c r="A101" s="287"/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7"/>
      <c r="M101" s="286"/>
      <c r="N101" s="286"/>
      <c r="O101" s="287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</row>
    <row r="102" spans="1:26" ht="18" customHeight="1" x14ac:dyDescent="0.2">
      <c r="A102" s="287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7"/>
      <c r="M102" s="286"/>
      <c r="N102" s="286"/>
      <c r="O102" s="287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</row>
    <row r="103" spans="1:26" ht="18" customHeight="1" x14ac:dyDescent="0.2">
      <c r="A103" s="287"/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7"/>
      <c r="M103" s="286"/>
      <c r="N103" s="286"/>
      <c r="O103" s="287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</row>
    <row r="104" spans="1:26" ht="18" customHeight="1" x14ac:dyDescent="0.2">
      <c r="A104" s="287"/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7"/>
      <c r="M104" s="286"/>
      <c r="N104" s="286"/>
      <c r="O104" s="287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</row>
    <row r="105" spans="1:26" ht="18" customHeight="1" x14ac:dyDescent="0.2">
      <c r="A105" s="287"/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7"/>
      <c r="M105" s="286"/>
      <c r="N105" s="286"/>
      <c r="O105" s="287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</row>
    <row r="106" spans="1:26" ht="18" customHeight="1" x14ac:dyDescent="0.2">
      <c r="A106" s="287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7"/>
      <c r="M106" s="286"/>
      <c r="N106" s="286"/>
      <c r="O106" s="287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</row>
    <row r="107" spans="1:26" ht="18" customHeight="1" x14ac:dyDescent="0.2">
      <c r="A107" s="286"/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</row>
    <row r="108" spans="1:26" ht="18" customHeight="1" x14ac:dyDescent="0.2">
      <c r="A108" s="286"/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</row>
    <row r="109" spans="1:26" ht="18" customHeight="1" x14ac:dyDescent="0.2">
      <c r="A109" s="286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</row>
    <row r="110" spans="1:26" ht="18" customHeight="1" x14ac:dyDescent="0.2">
      <c r="A110" s="286"/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</row>
    <row r="111" spans="1:26" ht="18" customHeight="1" x14ac:dyDescent="0.2">
      <c r="A111" s="286"/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</row>
    <row r="112" spans="1:26" ht="18" customHeight="1" x14ac:dyDescent="0.2">
      <c r="A112" s="286"/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</row>
    <row r="113" spans="1:26" ht="18" customHeight="1" x14ac:dyDescent="0.2">
      <c r="A113" s="286"/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</row>
    <row r="114" spans="1:26" ht="18" customHeight="1" x14ac:dyDescent="0.2">
      <c r="A114" s="286"/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</row>
    <row r="115" spans="1:26" ht="18" customHeight="1" x14ac:dyDescent="0.2">
      <c r="A115" s="286"/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</row>
    <row r="116" spans="1:26" ht="18" customHeight="1" x14ac:dyDescent="0.2">
      <c r="A116" s="286"/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</row>
    <row r="117" spans="1:26" ht="18" customHeight="1" x14ac:dyDescent="0.2">
      <c r="A117" s="286"/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</row>
    <row r="118" spans="1:26" ht="18" customHeight="1" x14ac:dyDescent="0.2">
      <c r="A118" s="286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</row>
    <row r="119" spans="1:26" ht="18" customHeight="1" x14ac:dyDescent="0.2">
      <c r="A119" s="286"/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</row>
    <row r="120" spans="1:26" ht="18" customHeight="1" x14ac:dyDescent="0.2">
      <c r="A120" s="286"/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</row>
    <row r="121" spans="1:26" ht="18" customHeight="1" x14ac:dyDescent="0.2">
      <c r="A121" s="286"/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</row>
    <row r="122" spans="1:26" ht="18" customHeight="1" x14ac:dyDescent="0.2">
      <c r="A122" s="286"/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</row>
    <row r="123" spans="1:26" ht="18" customHeight="1" x14ac:dyDescent="0.2">
      <c r="A123" s="286"/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</row>
    <row r="124" spans="1:26" ht="18" customHeight="1" x14ac:dyDescent="0.2">
      <c r="A124" s="286"/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</row>
    <row r="125" spans="1:26" ht="18" customHeight="1" x14ac:dyDescent="0.2">
      <c r="A125" s="286"/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</row>
    <row r="126" spans="1:26" ht="18" customHeight="1" x14ac:dyDescent="0.2">
      <c r="A126" s="286"/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</row>
    <row r="127" spans="1:26" ht="18" customHeight="1" x14ac:dyDescent="0.2">
      <c r="A127" s="286"/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</row>
    <row r="128" spans="1:26" ht="18" customHeight="1" x14ac:dyDescent="0.2">
      <c r="A128" s="286"/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</row>
    <row r="129" spans="1:26" ht="18" customHeight="1" x14ac:dyDescent="0.2">
      <c r="A129" s="286"/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</row>
    <row r="130" spans="1:26" ht="18" customHeight="1" x14ac:dyDescent="0.2">
      <c r="A130" s="286"/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</row>
    <row r="131" spans="1:26" ht="18" customHeight="1" x14ac:dyDescent="0.2">
      <c r="A131" s="286"/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</row>
    <row r="132" spans="1:26" ht="18" customHeight="1" x14ac:dyDescent="0.2">
      <c r="A132" s="286"/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</row>
    <row r="133" spans="1:26" ht="18" customHeight="1" x14ac:dyDescent="0.2">
      <c r="A133" s="286"/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</row>
    <row r="134" spans="1:26" ht="18" customHeight="1" x14ac:dyDescent="0.2">
      <c r="A134" s="286"/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</row>
    <row r="135" spans="1:26" ht="18" customHeight="1" x14ac:dyDescent="0.2">
      <c r="A135" s="286"/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</row>
    <row r="136" spans="1:26" ht="18" customHeight="1" x14ac:dyDescent="0.2">
      <c r="A136" s="286"/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</row>
    <row r="137" spans="1:26" ht="18" customHeight="1" x14ac:dyDescent="0.2">
      <c r="A137" s="286"/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</row>
    <row r="138" spans="1:26" ht="18" customHeight="1" x14ac:dyDescent="0.2">
      <c r="A138" s="286"/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</row>
    <row r="139" spans="1:26" ht="18" customHeight="1" x14ac:dyDescent="0.2">
      <c r="A139" s="286"/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</row>
    <row r="140" spans="1:26" ht="18" customHeight="1" x14ac:dyDescent="0.2">
      <c r="A140" s="286"/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</row>
    <row r="141" spans="1:26" ht="18" customHeight="1" x14ac:dyDescent="0.2">
      <c r="A141" s="286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</row>
    <row r="142" spans="1:26" ht="18" customHeight="1" x14ac:dyDescent="0.2">
      <c r="A142" s="286"/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</row>
    <row r="143" spans="1:26" ht="18" customHeight="1" x14ac:dyDescent="0.2">
      <c r="A143" s="286"/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</row>
    <row r="144" spans="1:26" ht="18" customHeight="1" x14ac:dyDescent="0.2">
      <c r="A144" s="286"/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</row>
    <row r="145" spans="1:26" ht="18" customHeight="1" x14ac:dyDescent="0.2">
      <c r="A145" s="286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</row>
    <row r="146" spans="1:26" ht="18" customHeight="1" x14ac:dyDescent="0.2">
      <c r="A146" s="286"/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</row>
    <row r="147" spans="1:26" ht="18" customHeight="1" x14ac:dyDescent="0.2">
      <c r="A147" s="286"/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</row>
    <row r="148" spans="1:26" ht="18" customHeight="1" x14ac:dyDescent="0.2">
      <c r="A148" s="286"/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</row>
    <row r="149" spans="1:26" ht="18" customHeight="1" x14ac:dyDescent="0.2">
      <c r="A149" s="286"/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</row>
    <row r="150" spans="1:26" ht="18" customHeight="1" x14ac:dyDescent="0.2">
      <c r="A150" s="286"/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</row>
    <row r="151" spans="1:26" ht="18" customHeight="1" x14ac:dyDescent="0.2">
      <c r="A151" s="286"/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</row>
    <row r="152" spans="1:26" ht="18" customHeight="1" x14ac:dyDescent="0.2">
      <c r="A152" s="286"/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</row>
    <row r="153" spans="1:26" ht="18" customHeight="1" x14ac:dyDescent="0.2">
      <c r="A153" s="286"/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</row>
    <row r="154" spans="1:26" ht="18" customHeight="1" x14ac:dyDescent="0.2">
      <c r="A154" s="286"/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</row>
    <row r="155" spans="1:26" ht="18" customHeight="1" x14ac:dyDescent="0.2">
      <c r="A155" s="286"/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</row>
    <row r="156" spans="1:26" ht="18" customHeight="1" x14ac:dyDescent="0.2">
      <c r="A156" s="286"/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</row>
    <row r="157" spans="1:26" ht="18" customHeight="1" x14ac:dyDescent="0.2">
      <c r="A157" s="286"/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</row>
    <row r="158" spans="1:26" ht="18" customHeight="1" x14ac:dyDescent="0.2">
      <c r="A158" s="286"/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</row>
    <row r="159" spans="1:26" ht="18" customHeight="1" x14ac:dyDescent="0.2">
      <c r="A159" s="286"/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</row>
    <row r="160" spans="1:26" ht="18" customHeight="1" x14ac:dyDescent="0.2">
      <c r="A160" s="286"/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</row>
    <row r="161" spans="1:26" ht="18" customHeight="1" x14ac:dyDescent="0.2">
      <c r="A161" s="286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</row>
    <row r="162" spans="1:26" ht="18" customHeight="1" x14ac:dyDescent="0.2">
      <c r="A162" s="286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</row>
    <row r="163" spans="1:26" ht="18" customHeight="1" x14ac:dyDescent="0.2">
      <c r="A163" s="286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</row>
    <row r="164" spans="1:26" ht="18" customHeight="1" x14ac:dyDescent="0.2">
      <c r="A164" s="286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</row>
    <row r="165" spans="1:26" ht="18" customHeight="1" x14ac:dyDescent="0.2">
      <c r="A165" s="286"/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</row>
    <row r="166" spans="1:26" ht="18" customHeight="1" x14ac:dyDescent="0.2">
      <c r="A166" s="286"/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</row>
    <row r="167" spans="1:26" ht="18" customHeight="1" x14ac:dyDescent="0.2">
      <c r="A167" s="286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</row>
    <row r="168" spans="1:26" ht="18" customHeight="1" x14ac:dyDescent="0.2">
      <c r="A168" s="286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</row>
    <row r="169" spans="1:26" ht="18" customHeight="1" x14ac:dyDescent="0.2">
      <c r="A169" s="286"/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</row>
    <row r="170" spans="1:26" ht="18" customHeight="1" x14ac:dyDescent="0.2">
      <c r="A170" s="286"/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</row>
    <row r="171" spans="1:26" ht="18" customHeight="1" x14ac:dyDescent="0.2">
      <c r="A171" s="286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</row>
    <row r="172" spans="1:26" ht="18" customHeight="1" x14ac:dyDescent="0.2">
      <c r="A172" s="286"/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</row>
    <row r="173" spans="1:26" ht="18" customHeight="1" x14ac:dyDescent="0.2">
      <c r="A173" s="286"/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</row>
    <row r="174" spans="1:26" ht="18" customHeight="1" x14ac:dyDescent="0.2">
      <c r="A174" s="286"/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</row>
    <row r="175" spans="1:26" ht="18" customHeight="1" x14ac:dyDescent="0.2">
      <c r="A175" s="286"/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</row>
    <row r="176" spans="1:26" ht="18" customHeight="1" x14ac:dyDescent="0.2">
      <c r="A176" s="286"/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</row>
    <row r="177" spans="1:26" ht="18" customHeight="1" x14ac:dyDescent="0.2">
      <c r="A177" s="286"/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</row>
    <row r="178" spans="1:26" ht="18" customHeight="1" x14ac:dyDescent="0.2">
      <c r="A178" s="286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</row>
    <row r="179" spans="1:26" ht="18" customHeight="1" x14ac:dyDescent="0.2">
      <c r="A179" s="286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</row>
    <row r="180" spans="1:26" ht="18" customHeight="1" x14ac:dyDescent="0.2">
      <c r="A180" s="286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</row>
    <row r="181" spans="1:26" ht="18" customHeight="1" x14ac:dyDescent="0.2">
      <c r="A181" s="286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</row>
    <row r="182" spans="1:26" ht="18" customHeight="1" x14ac:dyDescent="0.2">
      <c r="A182" s="286"/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</row>
    <row r="183" spans="1:26" ht="18" customHeight="1" x14ac:dyDescent="0.2">
      <c r="A183" s="286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</row>
    <row r="184" spans="1:26" ht="18" customHeight="1" x14ac:dyDescent="0.2">
      <c r="A184" s="286"/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</row>
    <row r="185" spans="1:26" ht="18" customHeight="1" x14ac:dyDescent="0.2">
      <c r="A185" s="286"/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</row>
    <row r="186" spans="1:26" ht="18" customHeight="1" x14ac:dyDescent="0.2">
      <c r="A186" s="286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</row>
    <row r="187" spans="1:26" ht="18" customHeight="1" x14ac:dyDescent="0.2">
      <c r="A187" s="286"/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</row>
    <row r="188" spans="1:26" ht="18" customHeight="1" x14ac:dyDescent="0.2">
      <c r="A188" s="286"/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</row>
    <row r="189" spans="1:26" ht="18" customHeight="1" x14ac:dyDescent="0.2">
      <c r="A189" s="286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</row>
    <row r="190" spans="1:26" ht="18" customHeight="1" x14ac:dyDescent="0.2">
      <c r="A190" s="286"/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</row>
    <row r="191" spans="1:26" ht="18" customHeight="1" x14ac:dyDescent="0.2">
      <c r="A191" s="286"/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</row>
    <row r="192" spans="1:26" ht="18" customHeight="1" x14ac:dyDescent="0.2">
      <c r="A192" s="286"/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</row>
    <row r="193" spans="1:26" ht="18" customHeight="1" x14ac:dyDescent="0.2">
      <c r="A193" s="286"/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</row>
    <row r="194" spans="1:26" ht="18" customHeight="1" x14ac:dyDescent="0.2">
      <c r="A194" s="286"/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</row>
    <row r="195" spans="1:26" ht="18" customHeight="1" x14ac:dyDescent="0.2">
      <c r="A195" s="286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</row>
    <row r="196" spans="1:26" ht="18" customHeight="1" x14ac:dyDescent="0.2">
      <c r="A196" s="286"/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</row>
    <row r="197" spans="1:26" ht="18" customHeight="1" x14ac:dyDescent="0.2">
      <c r="A197" s="286"/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</row>
    <row r="198" spans="1:26" ht="18" customHeight="1" x14ac:dyDescent="0.2">
      <c r="A198" s="286"/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</row>
    <row r="199" spans="1:26" ht="18" customHeight="1" x14ac:dyDescent="0.2">
      <c r="A199" s="286"/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</row>
    <row r="200" spans="1:26" ht="18" customHeight="1" x14ac:dyDescent="0.2">
      <c r="A200" s="286"/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</row>
    <row r="201" spans="1:26" ht="18" customHeight="1" x14ac:dyDescent="0.2">
      <c r="A201" s="286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</row>
    <row r="202" spans="1:26" ht="18" customHeight="1" x14ac:dyDescent="0.2">
      <c r="A202" s="286"/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</row>
    <row r="203" spans="1:26" ht="18" customHeight="1" x14ac:dyDescent="0.2">
      <c r="A203" s="286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</row>
    <row r="204" spans="1:26" ht="18" customHeight="1" x14ac:dyDescent="0.2">
      <c r="A204" s="286"/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</row>
    <row r="205" spans="1:26" ht="18" customHeight="1" x14ac:dyDescent="0.2">
      <c r="A205" s="286"/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</row>
    <row r="206" spans="1:26" ht="18" customHeight="1" x14ac:dyDescent="0.2">
      <c r="A206" s="286"/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</row>
    <row r="207" spans="1:26" ht="18" customHeight="1" x14ac:dyDescent="0.2">
      <c r="A207" s="286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</row>
    <row r="208" spans="1:26" ht="18" customHeight="1" x14ac:dyDescent="0.2">
      <c r="A208" s="286"/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</row>
    <row r="209" spans="1:26" ht="18" customHeight="1" x14ac:dyDescent="0.2">
      <c r="A209" s="286"/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</row>
    <row r="210" spans="1:26" ht="18" customHeight="1" x14ac:dyDescent="0.2">
      <c r="A210" s="286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</row>
    <row r="211" spans="1:26" ht="18" customHeight="1" x14ac:dyDescent="0.2">
      <c r="A211" s="286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</row>
    <row r="212" spans="1:26" ht="18" customHeight="1" x14ac:dyDescent="0.2">
      <c r="A212" s="286"/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</row>
    <row r="213" spans="1:26" ht="18" customHeight="1" x14ac:dyDescent="0.2">
      <c r="A213" s="286"/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</row>
    <row r="214" spans="1:26" ht="18" customHeight="1" x14ac:dyDescent="0.2">
      <c r="A214" s="286"/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</row>
    <row r="215" spans="1:26" ht="18" customHeight="1" x14ac:dyDescent="0.2">
      <c r="A215" s="286"/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</row>
    <row r="216" spans="1:26" ht="18" customHeight="1" x14ac:dyDescent="0.2">
      <c r="A216" s="286"/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</row>
    <row r="217" spans="1:26" ht="18" customHeight="1" x14ac:dyDescent="0.2">
      <c r="A217" s="286"/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</row>
    <row r="218" spans="1:26" ht="18" customHeight="1" x14ac:dyDescent="0.2">
      <c r="A218" s="286"/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</row>
    <row r="219" spans="1:26" ht="18" customHeight="1" x14ac:dyDescent="0.2">
      <c r="A219" s="286"/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</row>
    <row r="220" spans="1:26" ht="18" customHeight="1" x14ac:dyDescent="0.2">
      <c r="A220" s="286"/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</row>
    <row r="221" spans="1:26" ht="18" customHeight="1" x14ac:dyDescent="0.2">
      <c r="A221" s="286"/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</row>
    <row r="222" spans="1:26" ht="18" customHeight="1" x14ac:dyDescent="0.2">
      <c r="A222" s="286"/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</row>
    <row r="223" spans="1:26" ht="18" customHeight="1" x14ac:dyDescent="0.2">
      <c r="A223" s="286"/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</row>
    <row r="224" spans="1:26" ht="18" customHeight="1" x14ac:dyDescent="0.2">
      <c r="A224" s="286"/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</row>
    <row r="225" spans="1:26" ht="18" customHeight="1" x14ac:dyDescent="0.2">
      <c r="A225" s="286"/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</row>
    <row r="226" spans="1:26" ht="18" customHeight="1" x14ac:dyDescent="0.2">
      <c r="A226" s="286"/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</row>
    <row r="227" spans="1:26" ht="18" customHeight="1" x14ac:dyDescent="0.2">
      <c r="A227" s="286"/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</row>
    <row r="228" spans="1:26" ht="18" customHeight="1" x14ac:dyDescent="0.2">
      <c r="A228" s="286"/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</row>
    <row r="229" spans="1:26" ht="18" customHeight="1" x14ac:dyDescent="0.2">
      <c r="A229" s="286"/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</row>
    <row r="230" spans="1:26" ht="18" customHeight="1" x14ac:dyDescent="0.2">
      <c r="A230" s="286"/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</row>
    <row r="231" spans="1:26" ht="18" customHeight="1" x14ac:dyDescent="0.2">
      <c r="A231" s="286"/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</row>
    <row r="232" spans="1:26" ht="18" customHeight="1" x14ac:dyDescent="0.2">
      <c r="A232" s="286"/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</row>
    <row r="233" spans="1:26" ht="18" customHeight="1" x14ac:dyDescent="0.2">
      <c r="A233" s="286"/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</row>
    <row r="234" spans="1:26" ht="18" customHeight="1" x14ac:dyDescent="0.2">
      <c r="A234" s="286"/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</row>
    <row r="235" spans="1:26" ht="18" customHeight="1" x14ac:dyDescent="0.2">
      <c r="A235" s="286"/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</row>
    <row r="236" spans="1:26" ht="18" customHeight="1" x14ac:dyDescent="0.2">
      <c r="A236" s="286"/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</row>
    <row r="237" spans="1:26" ht="18" customHeight="1" x14ac:dyDescent="0.2">
      <c r="A237" s="286"/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</row>
    <row r="238" spans="1:26" ht="18" customHeight="1" x14ac:dyDescent="0.2">
      <c r="A238" s="286"/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</row>
    <row r="239" spans="1:26" ht="18" customHeight="1" x14ac:dyDescent="0.2">
      <c r="A239" s="286"/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</row>
    <row r="240" spans="1:26" ht="18" customHeight="1" x14ac:dyDescent="0.2">
      <c r="A240" s="286"/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</row>
    <row r="241" spans="1:26" ht="18" customHeight="1" x14ac:dyDescent="0.2">
      <c r="A241" s="286"/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  <c r="Z241" s="286"/>
    </row>
    <row r="242" spans="1:26" ht="18" customHeight="1" x14ac:dyDescent="0.2">
      <c r="A242" s="286"/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</row>
    <row r="243" spans="1:26" ht="18" customHeight="1" x14ac:dyDescent="0.2">
      <c r="A243" s="286"/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</row>
    <row r="244" spans="1:26" ht="18" customHeight="1" x14ac:dyDescent="0.2">
      <c r="A244" s="286"/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</row>
    <row r="245" spans="1:26" ht="18" customHeight="1" x14ac:dyDescent="0.2">
      <c r="A245" s="286"/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</row>
    <row r="246" spans="1:26" ht="18" customHeight="1" x14ac:dyDescent="0.2">
      <c r="A246" s="286"/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</row>
    <row r="247" spans="1:26" ht="18" customHeight="1" x14ac:dyDescent="0.2">
      <c r="A247" s="286"/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</row>
    <row r="248" spans="1:26" ht="18" customHeight="1" x14ac:dyDescent="0.2">
      <c r="A248" s="286"/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</row>
    <row r="249" spans="1:26" ht="18" customHeight="1" x14ac:dyDescent="0.2">
      <c r="A249" s="286"/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</row>
    <row r="250" spans="1:26" ht="18" customHeight="1" x14ac:dyDescent="0.2">
      <c r="A250" s="286"/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</row>
    <row r="251" spans="1:26" ht="18" customHeight="1" x14ac:dyDescent="0.2">
      <c r="A251" s="286"/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</row>
    <row r="252" spans="1:26" ht="18" customHeight="1" x14ac:dyDescent="0.2">
      <c r="A252" s="286"/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</row>
    <row r="253" spans="1:26" ht="18" customHeight="1" x14ac:dyDescent="0.2">
      <c r="A253" s="286"/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</row>
    <row r="254" spans="1:26" ht="18" customHeight="1" x14ac:dyDescent="0.2">
      <c r="A254" s="286"/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</row>
    <row r="255" spans="1:26" ht="18" customHeight="1" x14ac:dyDescent="0.2">
      <c r="A255" s="286"/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</row>
    <row r="256" spans="1:26" ht="18" customHeight="1" x14ac:dyDescent="0.2">
      <c r="A256" s="286"/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</row>
    <row r="257" spans="1:26" ht="18" customHeight="1" x14ac:dyDescent="0.2">
      <c r="A257" s="286"/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</row>
    <row r="258" spans="1:26" ht="18" customHeight="1" x14ac:dyDescent="0.2">
      <c r="A258" s="286"/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</row>
    <row r="259" spans="1:26" ht="18" customHeight="1" x14ac:dyDescent="0.2">
      <c r="A259" s="286"/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</row>
    <row r="260" spans="1:26" ht="18" customHeight="1" x14ac:dyDescent="0.2">
      <c r="A260" s="286"/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</row>
    <row r="261" spans="1:26" ht="18" customHeight="1" x14ac:dyDescent="0.2">
      <c r="A261" s="286"/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</row>
    <row r="262" spans="1:26" ht="18" customHeight="1" x14ac:dyDescent="0.2">
      <c r="A262" s="286"/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</row>
    <row r="263" spans="1:26" ht="18" customHeight="1" x14ac:dyDescent="0.2">
      <c r="A263" s="286"/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</row>
    <row r="264" spans="1:26" ht="18" customHeight="1" x14ac:dyDescent="0.2">
      <c r="A264" s="286"/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</row>
    <row r="265" spans="1:26" ht="18" customHeight="1" x14ac:dyDescent="0.2">
      <c r="A265" s="286"/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</row>
    <row r="266" spans="1:26" ht="18" customHeight="1" x14ac:dyDescent="0.2">
      <c r="A266" s="286"/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</row>
    <row r="267" spans="1:26" ht="18" customHeight="1" x14ac:dyDescent="0.2">
      <c r="A267" s="286"/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</row>
    <row r="268" spans="1:26" ht="18" customHeight="1" x14ac:dyDescent="0.2">
      <c r="A268" s="286"/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</row>
    <row r="269" spans="1:26" ht="18" customHeight="1" x14ac:dyDescent="0.2">
      <c r="A269" s="286"/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</row>
    <row r="270" spans="1:26" ht="18" customHeight="1" x14ac:dyDescent="0.2">
      <c r="A270" s="286"/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</row>
    <row r="271" spans="1:26" ht="18" customHeight="1" x14ac:dyDescent="0.2">
      <c r="A271" s="286"/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</row>
    <row r="272" spans="1:26" ht="18" customHeight="1" x14ac:dyDescent="0.2">
      <c r="A272" s="286"/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</row>
    <row r="273" spans="1:26" ht="18" customHeight="1" x14ac:dyDescent="0.2">
      <c r="A273" s="286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</row>
    <row r="274" spans="1:26" ht="18" customHeight="1" x14ac:dyDescent="0.2">
      <c r="A274" s="286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</row>
    <row r="275" spans="1:26" ht="18" customHeight="1" x14ac:dyDescent="0.2">
      <c r="A275" s="286"/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</row>
    <row r="276" spans="1:26" ht="18" customHeight="1" x14ac:dyDescent="0.2">
      <c r="A276" s="286"/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  <c r="Z276" s="286"/>
    </row>
    <row r="277" spans="1:26" ht="18" customHeight="1" x14ac:dyDescent="0.2">
      <c r="A277" s="286"/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</row>
    <row r="278" spans="1:26" ht="18" customHeight="1" x14ac:dyDescent="0.2">
      <c r="A278" s="286"/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</row>
    <row r="279" spans="1:26" ht="18" customHeight="1" x14ac:dyDescent="0.2">
      <c r="A279" s="286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</row>
    <row r="280" spans="1:26" ht="18" customHeight="1" x14ac:dyDescent="0.2">
      <c r="A280" s="286"/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</row>
    <row r="281" spans="1:26" ht="18" customHeight="1" x14ac:dyDescent="0.2">
      <c r="A281" s="286"/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</row>
    <row r="282" spans="1:26" ht="18" customHeight="1" x14ac:dyDescent="0.2">
      <c r="A282" s="286"/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</row>
    <row r="283" spans="1:26" ht="18" customHeight="1" x14ac:dyDescent="0.2">
      <c r="A283" s="286"/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</row>
    <row r="284" spans="1:26" ht="18" customHeight="1" x14ac:dyDescent="0.2">
      <c r="A284" s="286"/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</row>
    <row r="285" spans="1:26" ht="18" customHeight="1" x14ac:dyDescent="0.2">
      <c r="A285" s="286"/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</row>
    <row r="286" spans="1:26" ht="18" customHeight="1" x14ac:dyDescent="0.2">
      <c r="A286" s="286"/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</row>
    <row r="287" spans="1:26" ht="18" customHeight="1" x14ac:dyDescent="0.2">
      <c r="A287" s="286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</row>
    <row r="288" spans="1:26" ht="18" customHeight="1" x14ac:dyDescent="0.2">
      <c r="A288" s="286"/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</row>
    <row r="289" spans="1:26" ht="18" customHeight="1" x14ac:dyDescent="0.2">
      <c r="A289" s="286"/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</row>
    <row r="290" spans="1:26" ht="18" customHeight="1" x14ac:dyDescent="0.2">
      <c r="A290" s="286"/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</row>
    <row r="291" spans="1:26" ht="18" customHeight="1" x14ac:dyDescent="0.2">
      <c r="A291" s="286"/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</row>
    <row r="292" spans="1:26" ht="18" customHeight="1" x14ac:dyDescent="0.2">
      <c r="A292" s="286"/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</row>
    <row r="293" spans="1:26" ht="18" customHeight="1" x14ac:dyDescent="0.2">
      <c r="A293" s="286"/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</row>
    <row r="294" spans="1:26" ht="18" customHeight="1" x14ac:dyDescent="0.2">
      <c r="A294" s="286"/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</row>
    <row r="295" spans="1:26" ht="18" customHeight="1" x14ac:dyDescent="0.2">
      <c r="A295" s="286"/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</row>
    <row r="296" spans="1:26" ht="18" customHeight="1" x14ac:dyDescent="0.2">
      <c r="A296" s="286"/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</row>
    <row r="297" spans="1:26" ht="18" customHeight="1" x14ac:dyDescent="0.2">
      <c r="A297" s="286"/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</row>
    <row r="298" spans="1:26" ht="18" customHeight="1" x14ac:dyDescent="0.2">
      <c r="A298" s="286"/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</row>
    <row r="299" spans="1:26" ht="18" customHeight="1" x14ac:dyDescent="0.2">
      <c r="A299" s="286"/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</row>
    <row r="300" spans="1:26" ht="18" customHeight="1" x14ac:dyDescent="0.2">
      <c r="A300" s="286"/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</row>
    <row r="301" spans="1:26" ht="18" customHeight="1" x14ac:dyDescent="0.2">
      <c r="A301" s="286"/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</row>
    <row r="302" spans="1:26" ht="18" customHeight="1" x14ac:dyDescent="0.2">
      <c r="A302" s="286"/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</row>
    <row r="303" spans="1:26" ht="18" customHeight="1" x14ac:dyDescent="0.2">
      <c r="A303" s="286"/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</row>
    <row r="304" spans="1:26" ht="18" customHeight="1" x14ac:dyDescent="0.2">
      <c r="A304" s="286"/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  <c r="Z304" s="286"/>
    </row>
    <row r="305" spans="1:26" ht="18" customHeight="1" x14ac:dyDescent="0.2">
      <c r="A305" s="286"/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</row>
    <row r="306" spans="1:26" ht="18" customHeight="1" x14ac:dyDescent="0.2">
      <c r="A306" s="286"/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</row>
    <row r="307" spans="1:26" ht="18" customHeight="1" x14ac:dyDescent="0.2">
      <c r="A307" s="286"/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</row>
    <row r="308" spans="1:26" ht="18" customHeight="1" x14ac:dyDescent="0.2">
      <c r="A308" s="286"/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</row>
    <row r="309" spans="1:26" ht="18" customHeight="1" x14ac:dyDescent="0.2">
      <c r="A309" s="286"/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</row>
    <row r="310" spans="1:26" ht="18" customHeight="1" x14ac:dyDescent="0.2">
      <c r="A310" s="286"/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</row>
    <row r="311" spans="1:26" ht="18" customHeight="1" x14ac:dyDescent="0.2">
      <c r="A311" s="286"/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</row>
    <row r="312" spans="1:26" ht="18" customHeight="1" x14ac:dyDescent="0.2">
      <c r="A312" s="286"/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</row>
    <row r="313" spans="1:26" ht="18" customHeight="1" x14ac:dyDescent="0.2">
      <c r="A313" s="286"/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</row>
    <row r="314" spans="1:26" ht="18" customHeight="1" x14ac:dyDescent="0.2">
      <c r="A314" s="286"/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</row>
    <row r="315" spans="1:26" ht="18" customHeight="1" x14ac:dyDescent="0.2">
      <c r="A315" s="286"/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</row>
    <row r="316" spans="1:26" ht="18" customHeight="1" x14ac:dyDescent="0.2">
      <c r="A316" s="286"/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</row>
    <row r="317" spans="1:26" ht="18" customHeight="1" x14ac:dyDescent="0.2">
      <c r="A317" s="286"/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</row>
    <row r="318" spans="1:26" ht="18" customHeight="1" x14ac:dyDescent="0.2">
      <c r="A318" s="286"/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</row>
    <row r="319" spans="1:26" ht="18" customHeight="1" x14ac:dyDescent="0.2">
      <c r="A319" s="286"/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</row>
    <row r="320" spans="1:26" ht="18" customHeight="1" x14ac:dyDescent="0.2">
      <c r="A320" s="286"/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</row>
    <row r="321" spans="1:26" ht="18" customHeight="1" x14ac:dyDescent="0.2">
      <c r="A321" s="286"/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</row>
    <row r="322" spans="1:26" ht="18" customHeight="1" x14ac:dyDescent="0.2">
      <c r="A322" s="286"/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</row>
    <row r="323" spans="1:26" ht="18" customHeight="1" x14ac:dyDescent="0.2">
      <c r="A323" s="286"/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</row>
    <row r="324" spans="1:26" ht="18" customHeight="1" x14ac:dyDescent="0.2">
      <c r="A324" s="286"/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</row>
    <row r="325" spans="1:26" ht="18" customHeight="1" x14ac:dyDescent="0.2">
      <c r="A325" s="286"/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</row>
    <row r="326" spans="1:26" ht="18" customHeight="1" x14ac:dyDescent="0.2">
      <c r="A326" s="286"/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</row>
    <row r="327" spans="1:26" ht="18" customHeight="1" x14ac:dyDescent="0.2">
      <c r="A327" s="286"/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</row>
    <row r="328" spans="1:26" ht="18" customHeight="1" x14ac:dyDescent="0.2">
      <c r="A328" s="286"/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</row>
    <row r="329" spans="1:26" ht="18" customHeight="1" x14ac:dyDescent="0.2">
      <c r="A329" s="286"/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</row>
    <row r="330" spans="1:26" ht="18" customHeight="1" x14ac:dyDescent="0.2">
      <c r="A330" s="286"/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</row>
    <row r="331" spans="1:26" ht="18" customHeight="1" x14ac:dyDescent="0.2">
      <c r="A331" s="286"/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</row>
    <row r="332" spans="1:26" ht="18" customHeight="1" x14ac:dyDescent="0.2">
      <c r="A332" s="286"/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</row>
    <row r="333" spans="1:26" ht="18" customHeight="1" x14ac:dyDescent="0.2">
      <c r="A333" s="286"/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</row>
    <row r="334" spans="1:26" ht="18" customHeight="1" x14ac:dyDescent="0.2">
      <c r="A334" s="286"/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</row>
    <row r="335" spans="1:26" ht="18" customHeight="1" x14ac:dyDescent="0.2">
      <c r="A335" s="286"/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</row>
    <row r="336" spans="1:26" ht="18" customHeight="1" x14ac:dyDescent="0.2">
      <c r="A336" s="286"/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</row>
    <row r="337" spans="1:26" ht="18" customHeight="1" x14ac:dyDescent="0.2">
      <c r="A337" s="286"/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</row>
    <row r="338" spans="1:26" ht="18" customHeight="1" x14ac:dyDescent="0.2">
      <c r="A338" s="286"/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</row>
    <row r="339" spans="1:26" ht="18" customHeight="1" x14ac:dyDescent="0.2">
      <c r="A339" s="286"/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</row>
    <row r="340" spans="1:26" ht="18" customHeight="1" x14ac:dyDescent="0.2">
      <c r="A340" s="286"/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</row>
    <row r="341" spans="1:26" ht="18" customHeight="1" x14ac:dyDescent="0.2">
      <c r="A341" s="286"/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</row>
    <row r="342" spans="1:26" ht="18" customHeight="1" x14ac:dyDescent="0.2">
      <c r="A342" s="286"/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</row>
    <row r="343" spans="1:26" ht="18" customHeight="1" x14ac:dyDescent="0.2">
      <c r="A343" s="286"/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</row>
    <row r="344" spans="1:26" ht="18" customHeight="1" x14ac:dyDescent="0.2">
      <c r="A344" s="286"/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</row>
    <row r="345" spans="1:26" ht="18" customHeight="1" x14ac:dyDescent="0.2">
      <c r="A345" s="286"/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</row>
    <row r="346" spans="1:26" ht="18" customHeight="1" x14ac:dyDescent="0.2">
      <c r="A346" s="286"/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</row>
    <row r="347" spans="1:26" ht="18" customHeight="1" x14ac:dyDescent="0.2">
      <c r="A347" s="286"/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</row>
    <row r="348" spans="1:26" ht="18" customHeight="1" x14ac:dyDescent="0.2">
      <c r="A348" s="286"/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</row>
    <row r="349" spans="1:26" ht="18" customHeight="1" x14ac:dyDescent="0.2">
      <c r="A349" s="286"/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</row>
    <row r="350" spans="1:26" ht="18" customHeight="1" x14ac:dyDescent="0.2">
      <c r="A350" s="286"/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</row>
    <row r="351" spans="1:26" ht="18" customHeight="1" x14ac:dyDescent="0.2">
      <c r="A351" s="286"/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</row>
    <row r="352" spans="1:26" ht="18" customHeight="1" x14ac:dyDescent="0.2">
      <c r="A352" s="286"/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</row>
    <row r="353" spans="1:26" ht="18" customHeight="1" x14ac:dyDescent="0.2">
      <c r="A353" s="286"/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</row>
    <row r="354" spans="1:26" ht="18" customHeight="1" x14ac:dyDescent="0.2">
      <c r="A354" s="286"/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</row>
    <row r="355" spans="1:26" ht="18" customHeight="1" x14ac:dyDescent="0.2">
      <c r="A355" s="286"/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</row>
    <row r="356" spans="1:26" ht="18" customHeight="1" x14ac:dyDescent="0.2">
      <c r="A356" s="286"/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</row>
    <row r="357" spans="1:26" ht="18" customHeight="1" x14ac:dyDescent="0.2">
      <c r="A357" s="286"/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</row>
    <row r="358" spans="1:26" ht="18" customHeight="1" x14ac:dyDescent="0.2">
      <c r="A358" s="286"/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</row>
    <row r="359" spans="1:26" ht="18" customHeight="1" x14ac:dyDescent="0.2">
      <c r="A359" s="286"/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</row>
    <row r="360" spans="1:26" ht="18" customHeight="1" x14ac:dyDescent="0.2">
      <c r="A360" s="286"/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</row>
    <row r="361" spans="1:26" ht="18" customHeight="1" x14ac:dyDescent="0.2">
      <c r="A361" s="286"/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</row>
    <row r="362" spans="1:26" ht="18" customHeight="1" x14ac:dyDescent="0.2">
      <c r="A362" s="286"/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</row>
    <row r="363" spans="1:26" ht="18" customHeight="1" x14ac:dyDescent="0.2">
      <c r="A363" s="286"/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</row>
    <row r="364" spans="1:26" ht="18" customHeight="1" x14ac:dyDescent="0.2">
      <c r="A364" s="286"/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</row>
    <row r="365" spans="1:26" ht="18" customHeight="1" x14ac:dyDescent="0.2">
      <c r="A365" s="286"/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</row>
    <row r="366" spans="1:26" ht="18" customHeight="1" x14ac:dyDescent="0.2">
      <c r="A366" s="286"/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</row>
    <row r="367" spans="1:26" ht="18" customHeight="1" x14ac:dyDescent="0.2">
      <c r="A367" s="286"/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</row>
    <row r="368" spans="1:26" ht="18" customHeight="1" x14ac:dyDescent="0.2">
      <c r="A368" s="286"/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</row>
    <row r="369" spans="1:26" ht="18" customHeight="1" x14ac:dyDescent="0.2">
      <c r="A369" s="286"/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</row>
    <row r="370" spans="1:26" ht="18" customHeight="1" x14ac:dyDescent="0.2">
      <c r="A370" s="286"/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</row>
    <row r="371" spans="1:26" ht="18" customHeight="1" x14ac:dyDescent="0.2">
      <c r="A371" s="286"/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</row>
    <row r="372" spans="1:26" ht="18" customHeight="1" x14ac:dyDescent="0.2">
      <c r="A372" s="286"/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</row>
    <row r="373" spans="1:26" ht="18" customHeight="1" x14ac:dyDescent="0.2">
      <c r="A373" s="286"/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</row>
    <row r="374" spans="1:26" ht="18" customHeight="1" x14ac:dyDescent="0.2">
      <c r="A374" s="286"/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</row>
    <row r="375" spans="1:26" ht="18" customHeight="1" x14ac:dyDescent="0.2">
      <c r="A375" s="286"/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</row>
    <row r="376" spans="1:26" ht="18" customHeight="1" x14ac:dyDescent="0.2">
      <c r="A376" s="286"/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</row>
    <row r="377" spans="1:26" ht="18" customHeight="1" x14ac:dyDescent="0.2">
      <c r="A377" s="286"/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</row>
    <row r="378" spans="1:26" ht="18" customHeight="1" x14ac:dyDescent="0.2">
      <c r="A378" s="286"/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</row>
    <row r="379" spans="1:26" ht="18" customHeight="1" x14ac:dyDescent="0.2">
      <c r="A379" s="286"/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</row>
    <row r="380" spans="1:26" ht="18" customHeight="1" x14ac:dyDescent="0.2">
      <c r="A380" s="286"/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</row>
    <row r="381" spans="1:26" ht="18" customHeight="1" x14ac:dyDescent="0.2">
      <c r="A381" s="286"/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</row>
    <row r="382" spans="1:26" ht="18" customHeight="1" x14ac:dyDescent="0.2">
      <c r="A382" s="286"/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</row>
    <row r="383" spans="1:26" ht="18" customHeight="1" x14ac:dyDescent="0.2">
      <c r="A383" s="286"/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</row>
    <row r="384" spans="1:26" ht="18" customHeight="1" x14ac:dyDescent="0.2">
      <c r="A384" s="286"/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</row>
    <row r="385" spans="1:26" ht="18" customHeight="1" x14ac:dyDescent="0.2">
      <c r="A385" s="286"/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</row>
    <row r="386" spans="1:26" ht="18" customHeight="1" x14ac:dyDescent="0.2">
      <c r="A386" s="286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</row>
    <row r="387" spans="1:26" ht="18" customHeight="1" x14ac:dyDescent="0.2">
      <c r="A387" s="286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</row>
    <row r="388" spans="1:26" ht="18" customHeight="1" x14ac:dyDescent="0.2">
      <c r="A388" s="286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</row>
    <row r="389" spans="1:26" ht="18" customHeight="1" x14ac:dyDescent="0.2">
      <c r="A389" s="286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</row>
    <row r="390" spans="1:26" ht="18" customHeight="1" x14ac:dyDescent="0.2">
      <c r="A390" s="286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</row>
    <row r="391" spans="1:26" ht="18" customHeight="1" x14ac:dyDescent="0.2">
      <c r="A391" s="286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</row>
    <row r="392" spans="1:26" ht="18" customHeight="1" x14ac:dyDescent="0.2">
      <c r="A392" s="286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</row>
    <row r="393" spans="1:26" ht="18" customHeight="1" x14ac:dyDescent="0.2">
      <c r="A393" s="286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</row>
    <row r="394" spans="1:26" ht="18" customHeight="1" x14ac:dyDescent="0.2">
      <c r="A394" s="286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</row>
    <row r="395" spans="1:26" ht="18" customHeight="1" x14ac:dyDescent="0.2">
      <c r="A395" s="286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</row>
    <row r="396" spans="1:26" ht="18" customHeight="1" x14ac:dyDescent="0.2">
      <c r="A396" s="286"/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</row>
    <row r="397" spans="1:26" ht="18" customHeight="1" x14ac:dyDescent="0.2">
      <c r="A397" s="286"/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</row>
    <row r="398" spans="1:26" ht="18" customHeight="1" x14ac:dyDescent="0.2">
      <c r="A398" s="286"/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</row>
    <row r="399" spans="1:26" ht="18" customHeight="1" x14ac:dyDescent="0.2">
      <c r="A399" s="286"/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</row>
    <row r="400" spans="1:26" ht="18" customHeight="1" x14ac:dyDescent="0.2">
      <c r="A400" s="286"/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</row>
    <row r="401" spans="1:26" ht="18" customHeight="1" x14ac:dyDescent="0.2">
      <c r="A401" s="286"/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</row>
    <row r="402" spans="1:26" ht="18" customHeight="1" x14ac:dyDescent="0.2">
      <c r="A402" s="286"/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</row>
    <row r="403" spans="1:26" ht="18" customHeight="1" x14ac:dyDescent="0.2">
      <c r="A403" s="286"/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</row>
    <row r="404" spans="1:26" ht="18" customHeight="1" x14ac:dyDescent="0.2">
      <c r="A404" s="286"/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</row>
    <row r="405" spans="1:26" ht="18" customHeight="1" x14ac:dyDescent="0.2">
      <c r="A405" s="286"/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</row>
    <row r="406" spans="1:26" ht="18" customHeight="1" x14ac:dyDescent="0.2">
      <c r="A406" s="286"/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</row>
    <row r="407" spans="1:26" ht="18" customHeight="1" x14ac:dyDescent="0.2">
      <c r="A407" s="286"/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</row>
    <row r="408" spans="1:26" ht="18" customHeight="1" x14ac:dyDescent="0.2">
      <c r="A408" s="286"/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</row>
    <row r="409" spans="1:26" ht="18" customHeight="1" x14ac:dyDescent="0.2">
      <c r="A409" s="286"/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</row>
    <row r="410" spans="1:26" ht="18" customHeight="1" x14ac:dyDescent="0.2">
      <c r="A410" s="286"/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</row>
    <row r="411" spans="1:26" ht="18" customHeight="1" x14ac:dyDescent="0.2">
      <c r="A411" s="286"/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</row>
    <row r="412" spans="1:26" ht="18" customHeight="1" x14ac:dyDescent="0.2">
      <c r="A412" s="286"/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</row>
    <row r="413" spans="1:26" ht="18" customHeight="1" x14ac:dyDescent="0.2">
      <c r="A413" s="286"/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</row>
    <row r="414" spans="1:26" ht="18" customHeight="1" x14ac:dyDescent="0.2">
      <c r="A414" s="286"/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</row>
    <row r="415" spans="1:26" ht="18" customHeight="1" x14ac:dyDescent="0.2">
      <c r="A415" s="286"/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</row>
    <row r="416" spans="1:26" ht="18" customHeight="1" x14ac:dyDescent="0.2">
      <c r="A416" s="286"/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</row>
    <row r="417" spans="1:26" ht="18" customHeight="1" x14ac:dyDescent="0.2">
      <c r="A417" s="286"/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</row>
    <row r="418" spans="1:26" ht="18" customHeight="1" x14ac:dyDescent="0.2">
      <c r="A418" s="286"/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</row>
    <row r="419" spans="1:26" ht="18" customHeight="1" x14ac:dyDescent="0.2">
      <c r="A419" s="286"/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</row>
    <row r="420" spans="1:26" ht="18" customHeight="1" x14ac:dyDescent="0.2">
      <c r="A420" s="286"/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</row>
    <row r="421" spans="1:26" ht="18" customHeight="1" x14ac:dyDescent="0.2">
      <c r="A421" s="286"/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</row>
    <row r="422" spans="1:26" ht="18" customHeight="1" x14ac:dyDescent="0.2">
      <c r="A422" s="286"/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</row>
    <row r="423" spans="1:26" ht="18" customHeight="1" x14ac:dyDescent="0.2">
      <c r="A423" s="286"/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</row>
    <row r="424" spans="1:26" ht="18" customHeight="1" x14ac:dyDescent="0.2">
      <c r="A424" s="286"/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</row>
    <row r="425" spans="1:26" ht="18" customHeight="1" x14ac:dyDescent="0.2">
      <c r="A425" s="286"/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</row>
    <row r="426" spans="1:26" ht="18" customHeight="1" x14ac:dyDescent="0.2">
      <c r="A426" s="286"/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</row>
    <row r="427" spans="1:26" ht="18" customHeight="1" x14ac:dyDescent="0.2">
      <c r="A427" s="286"/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</row>
    <row r="428" spans="1:26" ht="18" customHeight="1" x14ac:dyDescent="0.2">
      <c r="A428" s="286"/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</row>
    <row r="429" spans="1:26" ht="18" customHeight="1" x14ac:dyDescent="0.2">
      <c r="A429" s="286"/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</row>
    <row r="430" spans="1:26" ht="18" customHeight="1" x14ac:dyDescent="0.2">
      <c r="A430" s="286"/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</row>
    <row r="431" spans="1:26" ht="18" customHeight="1" x14ac:dyDescent="0.2">
      <c r="A431" s="286"/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</row>
    <row r="432" spans="1:26" ht="18" customHeight="1" x14ac:dyDescent="0.2">
      <c r="A432" s="286"/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</row>
    <row r="433" spans="1:26" ht="18" customHeight="1" x14ac:dyDescent="0.2">
      <c r="A433" s="286"/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</row>
    <row r="434" spans="1:26" ht="18" customHeight="1" x14ac:dyDescent="0.2">
      <c r="A434" s="286"/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</row>
    <row r="435" spans="1:26" ht="18" customHeight="1" x14ac:dyDescent="0.2">
      <c r="A435" s="286"/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</row>
    <row r="436" spans="1:26" ht="18" customHeight="1" x14ac:dyDescent="0.2">
      <c r="A436" s="286"/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</row>
    <row r="437" spans="1:26" ht="18" customHeight="1" x14ac:dyDescent="0.2">
      <c r="A437" s="286"/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</row>
    <row r="438" spans="1:26" ht="18" customHeight="1" x14ac:dyDescent="0.2">
      <c r="A438" s="286"/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</row>
    <row r="439" spans="1:26" ht="18" customHeight="1" x14ac:dyDescent="0.2">
      <c r="A439" s="286"/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</row>
    <row r="440" spans="1:26" ht="18" customHeight="1" x14ac:dyDescent="0.2">
      <c r="A440" s="286"/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</row>
    <row r="441" spans="1:26" ht="18" customHeight="1" x14ac:dyDescent="0.2">
      <c r="A441" s="286"/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</row>
    <row r="442" spans="1:26" ht="18" customHeight="1" x14ac:dyDescent="0.2">
      <c r="A442" s="286"/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</row>
    <row r="443" spans="1:26" ht="18" customHeight="1" x14ac:dyDescent="0.2">
      <c r="A443" s="286"/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</row>
    <row r="444" spans="1:26" ht="18" customHeight="1" x14ac:dyDescent="0.2">
      <c r="A444" s="286"/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</row>
    <row r="445" spans="1:26" ht="18" customHeight="1" x14ac:dyDescent="0.2">
      <c r="A445" s="286"/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</row>
    <row r="446" spans="1:26" ht="18" customHeight="1" x14ac:dyDescent="0.2">
      <c r="A446" s="286"/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</row>
    <row r="447" spans="1:26" ht="18" customHeight="1" x14ac:dyDescent="0.2">
      <c r="A447" s="286"/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</row>
    <row r="448" spans="1:26" ht="18" customHeight="1" x14ac:dyDescent="0.2">
      <c r="A448" s="286"/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</row>
    <row r="449" spans="1:26" ht="18" customHeight="1" x14ac:dyDescent="0.2">
      <c r="A449" s="286"/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</row>
    <row r="450" spans="1:26" ht="18" customHeight="1" x14ac:dyDescent="0.2">
      <c r="A450" s="286"/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</row>
    <row r="451" spans="1:26" ht="18" customHeight="1" x14ac:dyDescent="0.2">
      <c r="A451" s="286"/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</row>
    <row r="452" spans="1:26" ht="18" customHeight="1" x14ac:dyDescent="0.2">
      <c r="A452" s="286"/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</row>
    <row r="453" spans="1:26" ht="18" customHeight="1" x14ac:dyDescent="0.2">
      <c r="A453" s="286"/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</row>
    <row r="454" spans="1:26" ht="18" customHeight="1" x14ac:dyDescent="0.2">
      <c r="A454" s="286"/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</row>
    <row r="455" spans="1:26" ht="18" customHeight="1" x14ac:dyDescent="0.2">
      <c r="A455" s="286"/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</row>
    <row r="456" spans="1:26" ht="18" customHeight="1" x14ac:dyDescent="0.2">
      <c r="A456" s="286"/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</row>
    <row r="457" spans="1:26" ht="18" customHeight="1" x14ac:dyDescent="0.2">
      <c r="A457" s="286"/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</row>
    <row r="458" spans="1:26" ht="18" customHeight="1" x14ac:dyDescent="0.2">
      <c r="A458" s="286"/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</row>
    <row r="459" spans="1:26" ht="18" customHeight="1" x14ac:dyDescent="0.2">
      <c r="A459" s="286"/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</row>
    <row r="460" spans="1:26" ht="18" customHeight="1" x14ac:dyDescent="0.2">
      <c r="A460" s="286"/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</row>
    <row r="461" spans="1:26" ht="18" customHeight="1" x14ac:dyDescent="0.2">
      <c r="A461" s="286"/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</row>
    <row r="462" spans="1:26" ht="18" customHeight="1" x14ac:dyDescent="0.2">
      <c r="A462" s="286"/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</row>
    <row r="463" spans="1:26" ht="18" customHeight="1" x14ac:dyDescent="0.2">
      <c r="A463" s="286"/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</row>
    <row r="464" spans="1:26" ht="18" customHeight="1" x14ac:dyDescent="0.2">
      <c r="A464" s="286"/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</row>
    <row r="465" spans="1:26" ht="18" customHeight="1" x14ac:dyDescent="0.2">
      <c r="A465" s="286"/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</row>
    <row r="466" spans="1:26" ht="18" customHeight="1" x14ac:dyDescent="0.2">
      <c r="A466" s="286"/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</row>
    <row r="467" spans="1:26" ht="18" customHeight="1" x14ac:dyDescent="0.2">
      <c r="A467" s="286"/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</row>
    <row r="468" spans="1:26" ht="18" customHeight="1" x14ac:dyDescent="0.2">
      <c r="A468" s="286"/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</row>
    <row r="469" spans="1:26" ht="18" customHeight="1" x14ac:dyDescent="0.2">
      <c r="A469" s="286"/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</row>
    <row r="470" spans="1:26" ht="18" customHeight="1" x14ac:dyDescent="0.2">
      <c r="A470" s="286"/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</row>
    <row r="471" spans="1:26" ht="18" customHeight="1" x14ac:dyDescent="0.2">
      <c r="A471" s="286"/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</row>
    <row r="472" spans="1:26" ht="18" customHeight="1" x14ac:dyDescent="0.2">
      <c r="A472" s="286"/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</row>
    <row r="473" spans="1:26" ht="18" customHeight="1" x14ac:dyDescent="0.2">
      <c r="A473" s="286"/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</row>
    <row r="474" spans="1:26" ht="18" customHeight="1" x14ac:dyDescent="0.2">
      <c r="A474" s="286"/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</row>
    <row r="475" spans="1:26" ht="18" customHeight="1" x14ac:dyDescent="0.2">
      <c r="A475" s="286"/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</row>
    <row r="476" spans="1:26" ht="18" customHeight="1" x14ac:dyDescent="0.2">
      <c r="A476" s="286"/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</row>
    <row r="477" spans="1:26" ht="18" customHeight="1" x14ac:dyDescent="0.2">
      <c r="A477" s="286"/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</row>
    <row r="478" spans="1:26" ht="18" customHeight="1" x14ac:dyDescent="0.2">
      <c r="A478" s="286"/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</row>
    <row r="479" spans="1:26" ht="18" customHeight="1" x14ac:dyDescent="0.2">
      <c r="A479" s="286"/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</row>
    <row r="480" spans="1:26" ht="18" customHeight="1" x14ac:dyDescent="0.2">
      <c r="A480" s="286"/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</row>
    <row r="481" spans="1:26" ht="18" customHeight="1" x14ac:dyDescent="0.2">
      <c r="A481" s="286"/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</row>
    <row r="482" spans="1:26" ht="18" customHeight="1" x14ac:dyDescent="0.2">
      <c r="A482" s="286"/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</row>
    <row r="483" spans="1:26" ht="18" customHeight="1" x14ac:dyDescent="0.2">
      <c r="A483" s="286"/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</row>
    <row r="484" spans="1:26" ht="18" customHeight="1" x14ac:dyDescent="0.2">
      <c r="A484" s="286"/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</row>
    <row r="485" spans="1:26" ht="18" customHeight="1" x14ac:dyDescent="0.2">
      <c r="A485" s="286"/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</row>
    <row r="486" spans="1:26" ht="18" customHeight="1" x14ac:dyDescent="0.2">
      <c r="A486" s="286"/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</row>
    <row r="487" spans="1:26" ht="18" customHeight="1" x14ac:dyDescent="0.2">
      <c r="A487" s="286"/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</row>
    <row r="488" spans="1:26" ht="18" customHeight="1" x14ac:dyDescent="0.2">
      <c r="A488" s="286"/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</row>
    <row r="489" spans="1:26" ht="18" customHeight="1" x14ac:dyDescent="0.2">
      <c r="A489" s="286"/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</row>
    <row r="490" spans="1:26" ht="18" customHeight="1" x14ac:dyDescent="0.2">
      <c r="A490" s="286"/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</row>
    <row r="491" spans="1:26" ht="18" customHeight="1" x14ac:dyDescent="0.2">
      <c r="A491" s="286"/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</row>
    <row r="492" spans="1:26" ht="18" customHeight="1" x14ac:dyDescent="0.2">
      <c r="A492" s="286"/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</row>
    <row r="493" spans="1:26" ht="18" customHeight="1" x14ac:dyDescent="0.2">
      <c r="A493" s="286"/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</row>
    <row r="494" spans="1:26" ht="18" customHeight="1" x14ac:dyDescent="0.2">
      <c r="A494" s="286"/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</row>
    <row r="495" spans="1:26" ht="18" customHeight="1" x14ac:dyDescent="0.2">
      <c r="A495" s="286"/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</row>
    <row r="496" spans="1:26" ht="18" customHeight="1" x14ac:dyDescent="0.2">
      <c r="A496" s="286"/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</row>
    <row r="497" spans="1:26" ht="18" customHeight="1" x14ac:dyDescent="0.2">
      <c r="A497" s="286"/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</row>
    <row r="498" spans="1:26" ht="18" customHeight="1" x14ac:dyDescent="0.2">
      <c r="A498" s="286"/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</row>
    <row r="499" spans="1:26" ht="18" customHeight="1" x14ac:dyDescent="0.2">
      <c r="A499" s="286"/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</row>
    <row r="500" spans="1:26" ht="18" customHeight="1" x14ac:dyDescent="0.2">
      <c r="A500" s="286"/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</row>
    <row r="501" spans="1:26" ht="18" customHeight="1" x14ac:dyDescent="0.2">
      <c r="A501" s="286"/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</row>
    <row r="502" spans="1:26" ht="18" customHeight="1" x14ac:dyDescent="0.2">
      <c r="A502" s="286"/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</row>
    <row r="503" spans="1:26" ht="18" customHeight="1" x14ac:dyDescent="0.2">
      <c r="A503" s="286"/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</row>
    <row r="504" spans="1:26" ht="18" customHeight="1" x14ac:dyDescent="0.2">
      <c r="A504" s="286"/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</row>
    <row r="505" spans="1:26" ht="18" customHeight="1" x14ac:dyDescent="0.2">
      <c r="A505" s="286"/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</row>
    <row r="506" spans="1:26" ht="18" customHeight="1" x14ac:dyDescent="0.2">
      <c r="A506" s="286"/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</row>
    <row r="507" spans="1:26" ht="18" customHeight="1" x14ac:dyDescent="0.2">
      <c r="A507" s="286"/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</row>
    <row r="508" spans="1:26" ht="18" customHeight="1" x14ac:dyDescent="0.2">
      <c r="A508" s="286"/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</row>
    <row r="509" spans="1:26" ht="18" customHeight="1" x14ac:dyDescent="0.2">
      <c r="A509" s="286"/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</row>
    <row r="510" spans="1:26" ht="18" customHeight="1" x14ac:dyDescent="0.2">
      <c r="A510" s="286"/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</row>
    <row r="511" spans="1:26" ht="18" customHeight="1" x14ac:dyDescent="0.2">
      <c r="A511" s="286"/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</row>
    <row r="512" spans="1:26" ht="18" customHeight="1" x14ac:dyDescent="0.2">
      <c r="A512" s="286"/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</row>
    <row r="513" spans="1:26" ht="18" customHeight="1" x14ac:dyDescent="0.2">
      <c r="A513" s="286"/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</row>
    <row r="514" spans="1:26" ht="18" customHeight="1" x14ac:dyDescent="0.2">
      <c r="A514" s="286"/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</row>
    <row r="515" spans="1:26" ht="18" customHeight="1" x14ac:dyDescent="0.2">
      <c r="A515" s="286"/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</row>
    <row r="516" spans="1:26" ht="18" customHeight="1" x14ac:dyDescent="0.2">
      <c r="A516" s="286"/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</row>
    <row r="517" spans="1:26" ht="18" customHeight="1" x14ac:dyDescent="0.2">
      <c r="A517" s="286"/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</row>
    <row r="518" spans="1:26" ht="18" customHeight="1" x14ac:dyDescent="0.2">
      <c r="A518" s="286"/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</row>
    <row r="519" spans="1:26" ht="18" customHeight="1" x14ac:dyDescent="0.2">
      <c r="A519" s="286"/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</row>
    <row r="520" spans="1:26" ht="18" customHeight="1" x14ac:dyDescent="0.2">
      <c r="A520" s="286"/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</row>
    <row r="521" spans="1:26" ht="18" customHeight="1" x14ac:dyDescent="0.2">
      <c r="A521" s="286"/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</row>
    <row r="522" spans="1:26" ht="18" customHeight="1" x14ac:dyDescent="0.2">
      <c r="A522" s="286"/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</row>
    <row r="523" spans="1:26" ht="18" customHeight="1" x14ac:dyDescent="0.2">
      <c r="A523" s="286"/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</row>
    <row r="524" spans="1:26" ht="18" customHeight="1" x14ac:dyDescent="0.2">
      <c r="A524" s="286"/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</row>
    <row r="525" spans="1:26" ht="18" customHeight="1" x14ac:dyDescent="0.2">
      <c r="A525" s="286"/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</row>
    <row r="526" spans="1:26" ht="18" customHeight="1" x14ac:dyDescent="0.2">
      <c r="A526" s="286"/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</row>
    <row r="527" spans="1:26" ht="18" customHeight="1" x14ac:dyDescent="0.2">
      <c r="A527" s="286"/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</row>
    <row r="528" spans="1:26" ht="18" customHeight="1" x14ac:dyDescent="0.2">
      <c r="A528" s="286"/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</row>
    <row r="529" spans="1:26" ht="18" customHeight="1" x14ac:dyDescent="0.2">
      <c r="A529" s="286"/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</row>
    <row r="530" spans="1:26" ht="18" customHeight="1" x14ac:dyDescent="0.2">
      <c r="A530" s="286"/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</row>
    <row r="531" spans="1:26" ht="18" customHeight="1" x14ac:dyDescent="0.2">
      <c r="A531" s="286"/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</row>
    <row r="532" spans="1:26" ht="18" customHeight="1" x14ac:dyDescent="0.2">
      <c r="A532" s="286"/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</row>
    <row r="533" spans="1:26" ht="18" customHeight="1" x14ac:dyDescent="0.2">
      <c r="A533" s="286"/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</row>
    <row r="534" spans="1:26" ht="18" customHeight="1" x14ac:dyDescent="0.2">
      <c r="A534" s="286"/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</row>
    <row r="535" spans="1:26" ht="18" customHeight="1" x14ac:dyDescent="0.2">
      <c r="A535" s="286"/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</row>
    <row r="536" spans="1:26" ht="18" customHeight="1" x14ac:dyDescent="0.2">
      <c r="A536" s="286"/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</row>
    <row r="537" spans="1:26" ht="18" customHeight="1" x14ac:dyDescent="0.2">
      <c r="A537" s="286"/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</row>
    <row r="538" spans="1:26" ht="18" customHeight="1" x14ac:dyDescent="0.2">
      <c r="A538" s="286"/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</row>
    <row r="539" spans="1:26" ht="18" customHeight="1" x14ac:dyDescent="0.2">
      <c r="A539" s="286"/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</row>
    <row r="540" spans="1:26" ht="18" customHeight="1" x14ac:dyDescent="0.2">
      <c r="A540" s="286"/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</row>
    <row r="541" spans="1:26" ht="18" customHeight="1" x14ac:dyDescent="0.2">
      <c r="A541" s="286"/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</row>
    <row r="542" spans="1:26" ht="18" customHeight="1" x14ac:dyDescent="0.2">
      <c r="A542" s="286"/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</row>
    <row r="543" spans="1:26" ht="18" customHeight="1" x14ac:dyDescent="0.2">
      <c r="A543" s="286"/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</row>
    <row r="544" spans="1:26" ht="18" customHeight="1" x14ac:dyDescent="0.2">
      <c r="A544" s="286"/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</row>
    <row r="545" spans="1:26" ht="18" customHeight="1" x14ac:dyDescent="0.2">
      <c r="A545" s="286"/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</row>
    <row r="546" spans="1:26" ht="18" customHeight="1" x14ac:dyDescent="0.2">
      <c r="A546" s="286"/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</row>
    <row r="547" spans="1:26" ht="18" customHeight="1" x14ac:dyDescent="0.2">
      <c r="A547" s="286"/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</row>
    <row r="548" spans="1:26" ht="18" customHeight="1" x14ac:dyDescent="0.2">
      <c r="A548" s="286"/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</row>
    <row r="549" spans="1:26" ht="18" customHeight="1" x14ac:dyDescent="0.2">
      <c r="A549" s="286"/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</row>
    <row r="550" spans="1:26" ht="18" customHeight="1" x14ac:dyDescent="0.2">
      <c r="A550" s="286"/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</row>
    <row r="551" spans="1:26" ht="18" customHeight="1" x14ac:dyDescent="0.2">
      <c r="A551" s="286"/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</row>
    <row r="552" spans="1:26" ht="18" customHeight="1" x14ac:dyDescent="0.2">
      <c r="A552" s="286"/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</row>
    <row r="553" spans="1:26" ht="18" customHeight="1" x14ac:dyDescent="0.2">
      <c r="A553" s="286"/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</row>
    <row r="554" spans="1:26" ht="18" customHeight="1" x14ac:dyDescent="0.2">
      <c r="A554" s="286"/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</row>
    <row r="555" spans="1:26" ht="18" customHeight="1" x14ac:dyDescent="0.2">
      <c r="A555" s="286"/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</row>
    <row r="556" spans="1:26" ht="18" customHeight="1" x14ac:dyDescent="0.2">
      <c r="A556" s="286"/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</row>
    <row r="557" spans="1:26" ht="18" customHeight="1" x14ac:dyDescent="0.2">
      <c r="A557" s="286"/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</row>
    <row r="558" spans="1:26" ht="18" customHeight="1" x14ac:dyDescent="0.2">
      <c r="A558" s="286"/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</row>
    <row r="559" spans="1:26" ht="18" customHeight="1" x14ac:dyDescent="0.2">
      <c r="A559" s="286"/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</row>
    <row r="560" spans="1:26" ht="18" customHeight="1" x14ac:dyDescent="0.2">
      <c r="A560" s="286"/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</row>
    <row r="561" spans="1:26" ht="18" customHeight="1" x14ac:dyDescent="0.2">
      <c r="A561" s="286"/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</row>
    <row r="562" spans="1:26" ht="18" customHeight="1" x14ac:dyDescent="0.2">
      <c r="A562" s="286"/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</row>
    <row r="563" spans="1:26" ht="18" customHeight="1" x14ac:dyDescent="0.2">
      <c r="A563" s="286"/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</row>
    <row r="564" spans="1:26" ht="18" customHeight="1" x14ac:dyDescent="0.2">
      <c r="A564" s="286"/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</row>
    <row r="565" spans="1:26" ht="18" customHeight="1" x14ac:dyDescent="0.2">
      <c r="A565" s="286"/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</row>
    <row r="566" spans="1:26" ht="18" customHeight="1" x14ac:dyDescent="0.2">
      <c r="A566" s="286"/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</row>
    <row r="567" spans="1:26" ht="18" customHeight="1" x14ac:dyDescent="0.2">
      <c r="A567" s="286"/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</row>
    <row r="568" spans="1:26" ht="18" customHeight="1" x14ac:dyDescent="0.2">
      <c r="A568" s="286"/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</row>
    <row r="569" spans="1:26" ht="18" customHeight="1" x14ac:dyDescent="0.2">
      <c r="A569" s="286"/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</row>
    <row r="570" spans="1:26" ht="18" customHeight="1" x14ac:dyDescent="0.2">
      <c r="A570" s="286"/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</row>
    <row r="571" spans="1:26" ht="18" customHeight="1" x14ac:dyDescent="0.2">
      <c r="A571" s="286"/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</row>
    <row r="572" spans="1:26" ht="18" customHeight="1" x14ac:dyDescent="0.2">
      <c r="A572" s="286"/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</row>
    <row r="573" spans="1:26" ht="18" customHeight="1" x14ac:dyDescent="0.2">
      <c r="A573" s="286"/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</row>
    <row r="574" spans="1:26" ht="18" customHeight="1" x14ac:dyDescent="0.2">
      <c r="A574" s="286"/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</row>
    <row r="575" spans="1:26" ht="18" customHeight="1" x14ac:dyDescent="0.2">
      <c r="A575" s="286"/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</row>
    <row r="576" spans="1:26" ht="18" customHeight="1" x14ac:dyDescent="0.2">
      <c r="A576" s="286"/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</row>
    <row r="577" spans="1:26" ht="18" customHeight="1" x14ac:dyDescent="0.2">
      <c r="A577" s="286"/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</row>
    <row r="578" spans="1:26" ht="18" customHeight="1" x14ac:dyDescent="0.2">
      <c r="A578" s="286"/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</row>
    <row r="579" spans="1:26" ht="18" customHeight="1" x14ac:dyDescent="0.2">
      <c r="A579" s="286"/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</row>
    <row r="580" spans="1:26" ht="18" customHeight="1" x14ac:dyDescent="0.2">
      <c r="A580" s="286"/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</row>
    <row r="581" spans="1:26" ht="18" customHeight="1" x14ac:dyDescent="0.2">
      <c r="A581" s="286"/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</row>
    <row r="582" spans="1:26" ht="18" customHeight="1" x14ac:dyDescent="0.2">
      <c r="A582" s="286"/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</row>
    <row r="583" spans="1:26" ht="18" customHeight="1" x14ac:dyDescent="0.2">
      <c r="A583" s="286"/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</row>
    <row r="584" spans="1:26" ht="18" customHeight="1" x14ac:dyDescent="0.2">
      <c r="A584" s="286"/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</row>
    <row r="585" spans="1:26" ht="18" customHeight="1" x14ac:dyDescent="0.2">
      <c r="A585" s="286"/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</row>
    <row r="586" spans="1:26" ht="18" customHeight="1" x14ac:dyDescent="0.2">
      <c r="A586" s="286"/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</row>
    <row r="587" spans="1:26" ht="18" customHeight="1" x14ac:dyDescent="0.2">
      <c r="A587" s="286"/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</row>
    <row r="588" spans="1:26" ht="18" customHeight="1" x14ac:dyDescent="0.2">
      <c r="A588" s="286"/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</row>
    <row r="589" spans="1:26" ht="18" customHeight="1" x14ac:dyDescent="0.2">
      <c r="A589" s="286"/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</row>
    <row r="590" spans="1:26" ht="18" customHeight="1" x14ac:dyDescent="0.2">
      <c r="A590" s="286"/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</row>
    <row r="591" spans="1:26" ht="18" customHeight="1" x14ac:dyDescent="0.2">
      <c r="A591" s="286"/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</row>
    <row r="592" spans="1:26" ht="18" customHeight="1" x14ac:dyDescent="0.2">
      <c r="A592" s="286"/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</row>
    <row r="593" spans="1:26" ht="18" customHeight="1" x14ac:dyDescent="0.2">
      <c r="A593" s="286"/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</row>
    <row r="594" spans="1:26" ht="18" customHeight="1" x14ac:dyDescent="0.2">
      <c r="A594" s="286"/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</row>
    <row r="595" spans="1:26" ht="18" customHeight="1" x14ac:dyDescent="0.2">
      <c r="A595" s="286"/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</row>
    <row r="596" spans="1:26" ht="18" customHeight="1" x14ac:dyDescent="0.2">
      <c r="A596" s="286"/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</row>
    <row r="597" spans="1:26" ht="18" customHeight="1" x14ac:dyDescent="0.2">
      <c r="A597" s="286"/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</row>
    <row r="598" spans="1:26" ht="18" customHeight="1" x14ac:dyDescent="0.2">
      <c r="A598" s="286"/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</row>
    <row r="599" spans="1:26" ht="18" customHeight="1" x14ac:dyDescent="0.2">
      <c r="A599" s="286"/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</row>
    <row r="600" spans="1:26" ht="18" customHeight="1" x14ac:dyDescent="0.2">
      <c r="A600" s="286"/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</row>
    <row r="601" spans="1:26" ht="18" customHeight="1" x14ac:dyDescent="0.2">
      <c r="A601" s="286"/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</row>
    <row r="602" spans="1:26" ht="18" customHeight="1" x14ac:dyDescent="0.2">
      <c r="A602" s="286"/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</row>
    <row r="603" spans="1:26" ht="18" customHeight="1" x14ac:dyDescent="0.2">
      <c r="A603" s="286"/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</row>
    <row r="604" spans="1:26" ht="18" customHeight="1" x14ac:dyDescent="0.2">
      <c r="A604" s="286"/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</row>
    <row r="605" spans="1:26" ht="18" customHeight="1" x14ac:dyDescent="0.2">
      <c r="A605" s="286"/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</row>
    <row r="606" spans="1:26" ht="18" customHeight="1" x14ac:dyDescent="0.2">
      <c r="A606" s="286"/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</row>
    <row r="607" spans="1:26" ht="18" customHeight="1" x14ac:dyDescent="0.2">
      <c r="A607" s="286"/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</row>
    <row r="608" spans="1:26" ht="18" customHeight="1" x14ac:dyDescent="0.2">
      <c r="A608" s="286"/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</row>
    <row r="609" spans="1:26" ht="18" customHeight="1" x14ac:dyDescent="0.2">
      <c r="A609" s="286"/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</row>
    <row r="610" spans="1:26" ht="18" customHeight="1" x14ac:dyDescent="0.2">
      <c r="A610" s="286"/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</row>
    <row r="611" spans="1:26" ht="18" customHeight="1" x14ac:dyDescent="0.2">
      <c r="A611" s="286"/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</row>
    <row r="612" spans="1:26" ht="18" customHeight="1" x14ac:dyDescent="0.2">
      <c r="A612" s="286"/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</row>
    <row r="613" spans="1:26" ht="18" customHeight="1" x14ac:dyDescent="0.2">
      <c r="A613" s="286"/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</row>
    <row r="614" spans="1:26" ht="18" customHeight="1" x14ac:dyDescent="0.2">
      <c r="A614" s="286"/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</row>
    <row r="615" spans="1:26" ht="18" customHeight="1" x14ac:dyDescent="0.2">
      <c r="A615" s="286"/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</row>
    <row r="616" spans="1:26" ht="18" customHeight="1" x14ac:dyDescent="0.2">
      <c r="A616" s="286"/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</row>
    <row r="617" spans="1:26" ht="18" customHeight="1" x14ac:dyDescent="0.2">
      <c r="A617" s="286"/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</row>
    <row r="618" spans="1:26" ht="18" customHeight="1" x14ac:dyDescent="0.2">
      <c r="A618" s="286"/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</row>
    <row r="619" spans="1:26" ht="18" customHeight="1" x14ac:dyDescent="0.2">
      <c r="A619" s="286"/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</row>
    <row r="620" spans="1:26" ht="18" customHeight="1" x14ac:dyDescent="0.2">
      <c r="A620" s="286"/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</row>
    <row r="621" spans="1:26" ht="18" customHeight="1" x14ac:dyDescent="0.2">
      <c r="A621" s="286"/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</row>
    <row r="622" spans="1:26" ht="18" customHeight="1" x14ac:dyDescent="0.2">
      <c r="A622" s="286"/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</row>
    <row r="623" spans="1:26" ht="18" customHeight="1" x14ac:dyDescent="0.2">
      <c r="A623" s="286"/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</row>
    <row r="624" spans="1:26" ht="18" customHeight="1" x14ac:dyDescent="0.2">
      <c r="A624" s="286"/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</row>
    <row r="625" spans="1:26" ht="18" customHeight="1" x14ac:dyDescent="0.2">
      <c r="A625" s="286"/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</row>
    <row r="626" spans="1:26" ht="18" customHeight="1" x14ac:dyDescent="0.2">
      <c r="A626" s="286"/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</row>
    <row r="627" spans="1:26" ht="18" customHeight="1" x14ac:dyDescent="0.2">
      <c r="A627" s="286"/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</row>
    <row r="628" spans="1:26" ht="18" customHeight="1" x14ac:dyDescent="0.2">
      <c r="A628" s="286"/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</row>
    <row r="629" spans="1:26" ht="18" customHeight="1" x14ac:dyDescent="0.2">
      <c r="A629" s="286"/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</row>
    <row r="630" spans="1:26" ht="18" customHeight="1" x14ac:dyDescent="0.2">
      <c r="A630" s="286"/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</row>
    <row r="631" spans="1:26" ht="18" customHeight="1" x14ac:dyDescent="0.2">
      <c r="A631" s="286"/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</row>
    <row r="632" spans="1:26" ht="18" customHeight="1" x14ac:dyDescent="0.2">
      <c r="A632" s="286"/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</row>
    <row r="633" spans="1:26" ht="18" customHeight="1" x14ac:dyDescent="0.2">
      <c r="A633" s="286"/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</row>
    <row r="634" spans="1:26" ht="18" customHeight="1" x14ac:dyDescent="0.2">
      <c r="A634" s="286"/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</row>
    <row r="635" spans="1:26" ht="18" customHeight="1" x14ac:dyDescent="0.2">
      <c r="A635" s="286"/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</row>
    <row r="636" spans="1:26" ht="18" customHeight="1" x14ac:dyDescent="0.2">
      <c r="A636" s="286"/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</row>
    <row r="637" spans="1:26" ht="18" customHeight="1" x14ac:dyDescent="0.2">
      <c r="A637" s="286"/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</row>
    <row r="638" spans="1:26" ht="18" customHeight="1" x14ac:dyDescent="0.2">
      <c r="A638" s="286"/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</row>
    <row r="639" spans="1:26" ht="18" customHeight="1" x14ac:dyDescent="0.2">
      <c r="A639" s="286"/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</row>
    <row r="640" spans="1:26" ht="18" customHeight="1" x14ac:dyDescent="0.2">
      <c r="A640" s="286"/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</row>
    <row r="641" spans="1:26" ht="18" customHeight="1" x14ac:dyDescent="0.2">
      <c r="A641" s="286"/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</row>
    <row r="642" spans="1:26" ht="18" customHeight="1" x14ac:dyDescent="0.2">
      <c r="A642" s="286"/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</row>
    <row r="643" spans="1:26" ht="18" customHeight="1" x14ac:dyDescent="0.2">
      <c r="A643" s="286"/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</row>
    <row r="644" spans="1:26" ht="18" customHeight="1" x14ac:dyDescent="0.2">
      <c r="A644" s="286"/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</row>
    <row r="645" spans="1:26" ht="18" customHeight="1" x14ac:dyDescent="0.2">
      <c r="A645" s="286"/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</row>
    <row r="646" spans="1:26" ht="18" customHeight="1" x14ac:dyDescent="0.2">
      <c r="A646" s="286"/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</row>
    <row r="647" spans="1:26" ht="18" customHeight="1" x14ac:dyDescent="0.2">
      <c r="A647" s="286"/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</row>
    <row r="648" spans="1:26" ht="18" customHeight="1" x14ac:dyDescent="0.2">
      <c r="A648" s="286"/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</row>
    <row r="649" spans="1:26" ht="18" customHeight="1" x14ac:dyDescent="0.2">
      <c r="A649" s="286"/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</row>
    <row r="650" spans="1:26" ht="18" customHeight="1" x14ac:dyDescent="0.2">
      <c r="A650" s="286"/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</row>
    <row r="651" spans="1:26" ht="18" customHeight="1" x14ac:dyDescent="0.2">
      <c r="A651" s="286"/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</row>
    <row r="652" spans="1:26" ht="18" customHeight="1" x14ac:dyDescent="0.2">
      <c r="A652" s="286"/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</row>
    <row r="653" spans="1:26" ht="18" customHeight="1" x14ac:dyDescent="0.2">
      <c r="A653" s="286"/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</row>
    <row r="654" spans="1:26" ht="18" customHeight="1" x14ac:dyDescent="0.2">
      <c r="A654" s="286"/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</row>
    <row r="655" spans="1:26" ht="18" customHeight="1" x14ac:dyDescent="0.2">
      <c r="A655" s="286"/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</row>
    <row r="656" spans="1:26" ht="18" customHeight="1" x14ac:dyDescent="0.2">
      <c r="A656" s="286"/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</row>
    <row r="657" spans="1:26" ht="18" customHeight="1" x14ac:dyDescent="0.2">
      <c r="A657" s="286"/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</row>
    <row r="658" spans="1:26" ht="18" customHeight="1" x14ac:dyDescent="0.2">
      <c r="A658" s="286"/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</row>
    <row r="659" spans="1:26" ht="18" customHeight="1" x14ac:dyDescent="0.2">
      <c r="A659" s="286"/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</row>
    <row r="660" spans="1:26" ht="18" customHeight="1" x14ac:dyDescent="0.2">
      <c r="A660" s="286"/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</row>
    <row r="661" spans="1:26" ht="18" customHeight="1" x14ac:dyDescent="0.2">
      <c r="A661" s="286"/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</row>
    <row r="662" spans="1:26" ht="18" customHeight="1" x14ac:dyDescent="0.2">
      <c r="A662" s="286"/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</row>
    <row r="663" spans="1:26" ht="18" customHeight="1" x14ac:dyDescent="0.2">
      <c r="A663" s="286"/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</row>
    <row r="664" spans="1:26" ht="18" customHeight="1" x14ac:dyDescent="0.2">
      <c r="A664" s="286"/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</row>
    <row r="665" spans="1:26" ht="18" customHeight="1" x14ac:dyDescent="0.2">
      <c r="A665" s="286"/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</row>
    <row r="666" spans="1:26" ht="18" customHeight="1" x14ac:dyDescent="0.2">
      <c r="A666" s="286"/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</row>
    <row r="667" spans="1:26" ht="18" customHeight="1" x14ac:dyDescent="0.2">
      <c r="A667" s="286"/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</row>
    <row r="668" spans="1:26" ht="18" customHeight="1" x14ac:dyDescent="0.2">
      <c r="A668" s="286"/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</row>
    <row r="669" spans="1:26" ht="18" customHeight="1" x14ac:dyDescent="0.2">
      <c r="A669" s="286"/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</row>
    <row r="670" spans="1:26" ht="18" customHeight="1" x14ac:dyDescent="0.2">
      <c r="A670" s="286"/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</row>
    <row r="671" spans="1:26" ht="18" customHeight="1" x14ac:dyDescent="0.2">
      <c r="A671" s="286"/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</row>
    <row r="672" spans="1:26" ht="18" customHeight="1" x14ac:dyDescent="0.2">
      <c r="A672" s="286"/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</row>
    <row r="673" spans="1:26" ht="18" customHeight="1" x14ac:dyDescent="0.2">
      <c r="A673" s="286"/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</row>
    <row r="674" spans="1:26" ht="18" customHeight="1" x14ac:dyDescent="0.2">
      <c r="A674" s="286"/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</row>
    <row r="675" spans="1:26" ht="18" customHeight="1" x14ac:dyDescent="0.2">
      <c r="A675" s="286"/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</row>
    <row r="676" spans="1:26" ht="18" customHeight="1" x14ac:dyDescent="0.2">
      <c r="A676" s="286"/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</row>
    <row r="677" spans="1:26" ht="18" customHeight="1" x14ac:dyDescent="0.2">
      <c r="A677" s="286"/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</row>
    <row r="678" spans="1:26" ht="18" customHeight="1" x14ac:dyDescent="0.2">
      <c r="A678" s="286"/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</row>
    <row r="679" spans="1:26" ht="18" customHeight="1" x14ac:dyDescent="0.2">
      <c r="A679" s="286"/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</row>
    <row r="680" spans="1:26" ht="18" customHeight="1" x14ac:dyDescent="0.2">
      <c r="A680" s="286"/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</row>
    <row r="681" spans="1:26" ht="18" customHeight="1" x14ac:dyDescent="0.2">
      <c r="A681" s="286"/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</row>
    <row r="682" spans="1:26" ht="18" customHeight="1" x14ac:dyDescent="0.2">
      <c r="A682" s="286"/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</row>
    <row r="683" spans="1:26" ht="18" customHeight="1" x14ac:dyDescent="0.2">
      <c r="A683" s="286"/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</row>
    <row r="684" spans="1:26" ht="18" customHeight="1" x14ac:dyDescent="0.2">
      <c r="A684" s="286"/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</row>
    <row r="685" spans="1:26" ht="18" customHeight="1" x14ac:dyDescent="0.2">
      <c r="A685" s="286"/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</row>
    <row r="686" spans="1:26" ht="18" customHeight="1" x14ac:dyDescent="0.2">
      <c r="A686" s="286"/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</row>
    <row r="687" spans="1:26" ht="18" customHeight="1" x14ac:dyDescent="0.2">
      <c r="A687" s="286"/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</row>
    <row r="688" spans="1:26" ht="18" customHeight="1" x14ac:dyDescent="0.2">
      <c r="A688" s="286"/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</row>
    <row r="689" spans="1:26" ht="18" customHeight="1" x14ac:dyDescent="0.2">
      <c r="A689" s="286"/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</row>
    <row r="690" spans="1:26" ht="18" customHeight="1" x14ac:dyDescent="0.2">
      <c r="A690" s="286"/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</row>
    <row r="691" spans="1:26" ht="18" customHeight="1" x14ac:dyDescent="0.2">
      <c r="A691" s="286"/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</row>
    <row r="692" spans="1:26" ht="18" customHeight="1" x14ac:dyDescent="0.2">
      <c r="A692" s="286"/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</row>
    <row r="693" spans="1:26" ht="18" customHeight="1" x14ac:dyDescent="0.2">
      <c r="A693" s="286"/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</row>
    <row r="694" spans="1:26" ht="18" customHeight="1" x14ac:dyDescent="0.2">
      <c r="A694" s="286"/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</row>
    <row r="695" spans="1:26" ht="18" customHeight="1" x14ac:dyDescent="0.2">
      <c r="A695" s="286"/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</row>
    <row r="696" spans="1:26" ht="18" customHeight="1" x14ac:dyDescent="0.2">
      <c r="A696" s="286"/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</row>
    <row r="697" spans="1:26" ht="18" customHeight="1" x14ac:dyDescent="0.2">
      <c r="A697" s="286"/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</row>
    <row r="698" spans="1:26" ht="18" customHeight="1" x14ac:dyDescent="0.2">
      <c r="A698" s="286"/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</row>
    <row r="699" spans="1:26" ht="18" customHeight="1" x14ac:dyDescent="0.2">
      <c r="A699" s="286"/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</row>
    <row r="700" spans="1:26" ht="18" customHeight="1" x14ac:dyDescent="0.2">
      <c r="A700" s="286"/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</row>
    <row r="701" spans="1:26" ht="18" customHeight="1" x14ac:dyDescent="0.2">
      <c r="A701" s="286"/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</row>
    <row r="702" spans="1:26" ht="18" customHeight="1" x14ac:dyDescent="0.2">
      <c r="A702" s="286"/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</row>
    <row r="703" spans="1:26" ht="18" customHeight="1" x14ac:dyDescent="0.2">
      <c r="A703" s="286"/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</row>
    <row r="704" spans="1:26" ht="18" customHeight="1" x14ac:dyDescent="0.2">
      <c r="A704" s="286"/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</row>
    <row r="705" spans="1:26" ht="18" customHeight="1" x14ac:dyDescent="0.2">
      <c r="A705" s="286"/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</row>
    <row r="706" spans="1:26" ht="18" customHeight="1" x14ac:dyDescent="0.2">
      <c r="A706" s="286"/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</row>
    <row r="707" spans="1:26" ht="18" customHeight="1" x14ac:dyDescent="0.2">
      <c r="A707" s="286"/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</row>
    <row r="708" spans="1:26" ht="18" customHeight="1" x14ac:dyDescent="0.2">
      <c r="A708" s="286"/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</row>
    <row r="709" spans="1:26" ht="18" customHeight="1" x14ac:dyDescent="0.2">
      <c r="A709" s="286"/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</row>
    <row r="710" spans="1:26" ht="18" customHeight="1" x14ac:dyDescent="0.2">
      <c r="A710" s="286"/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</row>
    <row r="711" spans="1:26" ht="18" customHeight="1" x14ac:dyDescent="0.2">
      <c r="A711" s="286"/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</row>
    <row r="712" spans="1:26" ht="18" customHeight="1" x14ac:dyDescent="0.2">
      <c r="A712" s="286"/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</row>
    <row r="713" spans="1:26" ht="18" customHeight="1" x14ac:dyDescent="0.2">
      <c r="A713" s="286"/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</row>
    <row r="714" spans="1:26" ht="18" customHeight="1" x14ac:dyDescent="0.2">
      <c r="A714" s="286"/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</row>
    <row r="715" spans="1:26" ht="18" customHeight="1" x14ac:dyDescent="0.2">
      <c r="A715" s="286"/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</row>
    <row r="716" spans="1:26" ht="18" customHeight="1" x14ac:dyDescent="0.2">
      <c r="A716" s="286"/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</row>
    <row r="717" spans="1:26" ht="18" customHeight="1" x14ac:dyDescent="0.2">
      <c r="A717" s="286"/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</row>
    <row r="718" spans="1:26" ht="18" customHeight="1" x14ac:dyDescent="0.2">
      <c r="A718" s="286"/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</row>
    <row r="719" spans="1:26" ht="18" customHeight="1" x14ac:dyDescent="0.2">
      <c r="A719" s="286"/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</row>
    <row r="720" spans="1:26" ht="18" customHeight="1" x14ac:dyDescent="0.2">
      <c r="A720" s="286"/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</row>
    <row r="721" spans="1:26" ht="18" customHeight="1" x14ac:dyDescent="0.2">
      <c r="A721" s="286"/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</row>
    <row r="722" spans="1:26" ht="18" customHeight="1" x14ac:dyDescent="0.2">
      <c r="A722" s="286"/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</row>
    <row r="723" spans="1:26" ht="18" customHeight="1" x14ac:dyDescent="0.2">
      <c r="A723" s="286"/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</row>
    <row r="724" spans="1:26" ht="18" customHeight="1" x14ac:dyDescent="0.2">
      <c r="A724" s="286"/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</row>
    <row r="725" spans="1:26" ht="18" customHeight="1" x14ac:dyDescent="0.2">
      <c r="A725" s="286"/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</row>
    <row r="726" spans="1:26" ht="18" customHeight="1" x14ac:dyDescent="0.2">
      <c r="A726" s="286"/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</row>
    <row r="727" spans="1:26" ht="18" customHeight="1" x14ac:dyDescent="0.2">
      <c r="A727" s="286"/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</row>
    <row r="728" spans="1:26" ht="18" customHeight="1" x14ac:dyDescent="0.2">
      <c r="A728" s="286"/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</row>
    <row r="729" spans="1:26" ht="18" customHeight="1" x14ac:dyDescent="0.2">
      <c r="A729" s="286"/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</row>
    <row r="730" spans="1:26" ht="18" customHeight="1" x14ac:dyDescent="0.2">
      <c r="A730" s="286"/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</row>
    <row r="731" spans="1:26" ht="18" customHeight="1" x14ac:dyDescent="0.2">
      <c r="A731" s="286"/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</row>
    <row r="732" spans="1:26" ht="18" customHeight="1" x14ac:dyDescent="0.2">
      <c r="A732" s="286"/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</row>
    <row r="733" spans="1:26" ht="18" customHeight="1" x14ac:dyDescent="0.2">
      <c r="A733" s="286"/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</row>
    <row r="734" spans="1:26" ht="18" customHeight="1" x14ac:dyDescent="0.2">
      <c r="A734" s="286"/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</row>
    <row r="735" spans="1:26" ht="18" customHeight="1" x14ac:dyDescent="0.2">
      <c r="A735" s="286"/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</row>
    <row r="736" spans="1:26" ht="18" customHeight="1" x14ac:dyDescent="0.2">
      <c r="A736" s="286"/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</row>
    <row r="737" spans="1:26" ht="18" customHeight="1" x14ac:dyDescent="0.2">
      <c r="A737" s="286"/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</row>
    <row r="738" spans="1:26" ht="18" customHeight="1" x14ac:dyDescent="0.2">
      <c r="A738" s="286"/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</row>
    <row r="739" spans="1:26" ht="18" customHeight="1" x14ac:dyDescent="0.2">
      <c r="A739" s="286"/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</row>
    <row r="740" spans="1:26" ht="18" customHeight="1" x14ac:dyDescent="0.2">
      <c r="A740" s="286"/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</row>
    <row r="741" spans="1:26" ht="18" customHeight="1" x14ac:dyDescent="0.2">
      <c r="A741" s="286"/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</row>
    <row r="742" spans="1:26" ht="18" customHeight="1" x14ac:dyDescent="0.2">
      <c r="A742" s="286"/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</row>
    <row r="743" spans="1:26" ht="18" customHeight="1" x14ac:dyDescent="0.2">
      <c r="A743" s="286"/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</row>
    <row r="744" spans="1:26" ht="18" customHeight="1" x14ac:dyDescent="0.2">
      <c r="A744" s="286"/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</row>
    <row r="745" spans="1:26" ht="18" customHeight="1" x14ac:dyDescent="0.2">
      <c r="A745" s="286"/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</row>
    <row r="746" spans="1:26" ht="18" customHeight="1" x14ac:dyDescent="0.2">
      <c r="A746" s="286"/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</row>
    <row r="747" spans="1:26" ht="18" customHeight="1" x14ac:dyDescent="0.2">
      <c r="A747" s="286"/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</row>
    <row r="748" spans="1:26" ht="18" customHeight="1" x14ac:dyDescent="0.2">
      <c r="A748" s="286"/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</row>
    <row r="749" spans="1:26" ht="18" customHeight="1" x14ac:dyDescent="0.2">
      <c r="A749" s="286"/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</row>
    <row r="750" spans="1:26" ht="18" customHeight="1" x14ac:dyDescent="0.2">
      <c r="A750" s="286"/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</row>
    <row r="751" spans="1:26" ht="18" customHeight="1" x14ac:dyDescent="0.2">
      <c r="A751" s="286"/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</row>
    <row r="752" spans="1:26" ht="18" customHeight="1" x14ac:dyDescent="0.2">
      <c r="A752" s="286"/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</row>
    <row r="753" spans="1:26" ht="18" customHeight="1" x14ac:dyDescent="0.2">
      <c r="A753" s="286"/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</row>
    <row r="754" spans="1:26" ht="18" customHeight="1" x14ac:dyDescent="0.2">
      <c r="A754" s="286"/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</row>
    <row r="755" spans="1:26" ht="18" customHeight="1" x14ac:dyDescent="0.2">
      <c r="A755" s="286"/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</row>
    <row r="756" spans="1:26" ht="18" customHeight="1" x14ac:dyDescent="0.2">
      <c r="A756" s="286"/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</row>
    <row r="757" spans="1:26" ht="18" customHeight="1" x14ac:dyDescent="0.2">
      <c r="A757" s="286"/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</row>
    <row r="758" spans="1:26" ht="18" customHeight="1" x14ac:dyDescent="0.2">
      <c r="A758" s="286"/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</row>
    <row r="759" spans="1:26" ht="18" customHeight="1" x14ac:dyDescent="0.2">
      <c r="A759" s="286"/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</row>
    <row r="760" spans="1:26" ht="18" customHeight="1" x14ac:dyDescent="0.2">
      <c r="A760" s="286"/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</row>
    <row r="761" spans="1:26" ht="18" customHeight="1" x14ac:dyDescent="0.2">
      <c r="A761" s="286"/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</row>
    <row r="762" spans="1:26" ht="18" customHeight="1" x14ac:dyDescent="0.2">
      <c r="A762" s="286"/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</row>
    <row r="763" spans="1:26" ht="18" customHeight="1" x14ac:dyDescent="0.2">
      <c r="A763" s="286"/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</row>
    <row r="764" spans="1:26" ht="18" customHeight="1" x14ac:dyDescent="0.2">
      <c r="A764" s="286"/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</row>
    <row r="765" spans="1:26" ht="18" customHeight="1" x14ac:dyDescent="0.2">
      <c r="A765" s="286"/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</row>
    <row r="766" spans="1:26" ht="18" customHeight="1" x14ac:dyDescent="0.2">
      <c r="A766" s="286"/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</row>
    <row r="767" spans="1:26" ht="18" customHeight="1" x14ac:dyDescent="0.2">
      <c r="A767" s="286"/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</row>
    <row r="768" spans="1:26" ht="18" customHeight="1" x14ac:dyDescent="0.2">
      <c r="A768" s="286"/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</row>
    <row r="769" spans="1:26" ht="18" customHeight="1" x14ac:dyDescent="0.2">
      <c r="A769" s="286"/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</row>
    <row r="770" spans="1:26" ht="18" customHeight="1" x14ac:dyDescent="0.2">
      <c r="A770" s="286"/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</row>
    <row r="771" spans="1:26" ht="18" customHeight="1" x14ac:dyDescent="0.2">
      <c r="A771" s="286"/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</row>
    <row r="772" spans="1:26" ht="18" customHeight="1" x14ac:dyDescent="0.2">
      <c r="A772" s="286"/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</row>
    <row r="773" spans="1:26" ht="18" customHeight="1" x14ac:dyDescent="0.2">
      <c r="A773" s="286"/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</row>
    <row r="774" spans="1:26" ht="18" customHeight="1" x14ac:dyDescent="0.2">
      <c r="A774" s="286"/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</row>
    <row r="775" spans="1:26" ht="18" customHeight="1" x14ac:dyDescent="0.2">
      <c r="A775" s="286"/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</row>
    <row r="776" spans="1:26" ht="18" customHeight="1" x14ac:dyDescent="0.2">
      <c r="A776" s="286"/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</row>
    <row r="777" spans="1:26" ht="18" customHeight="1" x14ac:dyDescent="0.2">
      <c r="A777" s="286"/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</row>
    <row r="778" spans="1:26" ht="18" customHeight="1" x14ac:dyDescent="0.2">
      <c r="A778" s="286"/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</row>
    <row r="779" spans="1:26" ht="18" customHeight="1" x14ac:dyDescent="0.2">
      <c r="A779" s="286"/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</row>
    <row r="780" spans="1:26" ht="18" customHeight="1" x14ac:dyDescent="0.2">
      <c r="A780" s="286"/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</row>
    <row r="781" spans="1:26" ht="18" customHeight="1" x14ac:dyDescent="0.2">
      <c r="A781" s="286"/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</row>
    <row r="782" spans="1:26" ht="18" customHeight="1" x14ac:dyDescent="0.2">
      <c r="A782" s="286"/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</row>
    <row r="783" spans="1:26" ht="18" customHeight="1" x14ac:dyDescent="0.2">
      <c r="A783" s="286"/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</row>
    <row r="784" spans="1:26" ht="18" customHeight="1" x14ac:dyDescent="0.2">
      <c r="A784" s="286"/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</row>
    <row r="785" spans="1:26" ht="18" customHeight="1" x14ac:dyDescent="0.2">
      <c r="A785" s="286"/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</row>
    <row r="786" spans="1:26" ht="18" customHeight="1" x14ac:dyDescent="0.2">
      <c r="A786" s="286"/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</row>
    <row r="787" spans="1:26" ht="18" customHeight="1" x14ac:dyDescent="0.2">
      <c r="A787" s="286"/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</row>
    <row r="788" spans="1:26" ht="18" customHeight="1" x14ac:dyDescent="0.2">
      <c r="A788" s="286"/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</row>
    <row r="789" spans="1:26" ht="18" customHeight="1" x14ac:dyDescent="0.2">
      <c r="A789" s="286"/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</row>
    <row r="790" spans="1:26" ht="18" customHeight="1" x14ac:dyDescent="0.2">
      <c r="A790" s="286"/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</row>
    <row r="791" spans="1:26" ht="18" customHeight="1" x14ac:dyDescent="0.2">
      <c r="A791" s="286"/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</row>
    <row r="792" spans="1:26" ht="18" customHeight="1" x14ac:dyDescent="0.2">
      <c r="A792" s="286"/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</row>
    <row r="793" spans="1:26" ht="18" customHeight="1" x14ac:dyDescent="0.2">
      <c r="A793" s="286"/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</row>
    <row r="794" spans="1:26" ht="18" customHeight="1" x14ac:dyDescent="0.2">
      <c r="A794" s="286"/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</row>
    <row r="795" spans="1:26" ht="18" customHeight="1" x14ac:dyDescent="0.2">
      <c r="A795" s="286"/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</row>
    <row r="796" spans="1:26" ht="18" customHeight="1" x14ac:dyDescent="0.2">
      <c r="A796" s="286"/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</row>
    <row r="797" spans="1:26" ht="18" customHeight="1" x14ac:dyDescent="0.2">
      <c r="A797" s="286"/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</row>
    <row r="798" spans="1:26" ht="18" customHeight="1" x14ac:dyDescent="0.2">
      <c r="A798" s="286"/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</row>
    <row r="799" spans="1:26" ht="18" customHeight="1" x14ac:dyDescent="0.2">
      <c r="A799" s="286"/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</row>
    <row r="800" spans="1:26" ht="18" customHeight="1" x14ac:dyDescent="0.2">
      <c r="A800" s="286"/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</row>
    <row r="801" spans="1:26" ht="18" customHeight="1" x14ac:dyDescent="0.2">
      <c r="A801" s="286"/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</row>
    <row r="802" spans="1:26" ht="18" customHeight="1" x14ac:dyDescent="0.2">
      <c r="A802" s="286"/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</row>
    <row r="803" spans="1:26" ht="18" customHeight="1" x14ac:dyDescent="0.2">
      <c r="A803" s="286"/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</row>
    <row r="804" spans="1:26" ht="18" customHeight="1" x14ac:dyDescent="0.2">
      <c r="A804" s="286"/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</row>
    <row r="805" spans="1:26" ht="18" customHeight="1" x14ac:dyDescent="0.2">
      <c r="A805" s="286"/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</row>
    <row r="806" spans="1:26" ht="18" customHeight="1" x14ac:dyDescent="0.2">
      <c r="A806" s="286"/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</row>
    <row r="807" spans="1:26" ht="18" customHeight="1" x14ac:dyDescent="0.2">
      <c r="A807" s="286"/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</row>
    <row r="808" spans="1:26" ht="18" customHeight="1" x14ac:dyDescent="0.2">
      <c r="A808" s="286"/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</row>
    <row r="809" spans="1:26" ht="18" customHeight="1" x14ac:dyDescent="0.2">
      <c r="A809" s="286"/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</row>
    <row r="810" spans="1:26" ht="18" customHeight="1" x14ac:dyDescent="0.2">
      <c r="A810" s="286"/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</row>
    <row r="811" spans="1:26" ht="18" customHeight="1" x14ac:dyDescent="0.2">
      <c r="A811" s="286"/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</row>
    <row r="812" spans="1:26" ht="18" customHeight="1" x14ac:dyDescent="0.2">
      <c r="A812" s="286"/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</row>
    <row r="813" spans="1:26" ht="18" customHeight="1" x14ac:dyDescent="0.2">
      <c r="A813" s="286"/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</row>
    <row r="814" spans="1:26" ht="18" customHeight="1" x14ac:dyDescent="0.2">
      <c r="A814" s="286"/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</row>
    <row r="815" spans="1:26" ht="18" customHeight="1" x14ac:dyDescent="0.2">
      <c r="A815" s="286"/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</row>
    <row r="816" spans="1:26" ht="18" customHeight="1" x14ac:dyDescent="0.2">
      <c r="A816" s="286"/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</row>
    <row r="817" spans="1:26" ht="18" customHeight="1" x14ac:dyDescent="0.2">
      <c r="A817" s="286"/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</row>
    <row r="818" spans="1:26" ht="18" customHeight="1" x14ac:dyDescent="0.2">
      <c r="A818" s="286"/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</row>
    <row r="819" spans="1:26" ht="18" customHeight="1" x14ac:dyDescent="0.2">
      <c r="A819" s="286"/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</row>
    <row r="820" spans="1:26" ht="18" customHeight="1" x14ac:dyDescent="0.2">
      <c r="A820" s="286"/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</row>
    <row r="821" spans="1:26" ht="18" customHeight="1" x14ac:dyDescent="0.2">
      <c r="A821" s="286"/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</row>
    <row r="822" spans="1:26" ht="18" customHeight="1" x14ac:dyDescent="0.2">
      <c r="A822" s="286"/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</row>
    <row r="823" spans="1:26" ht="18" customHeight="1" x14ac:dyDescent="0.2">
      <c r="A823" s="286"/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</row>
    <row r="824" spans="1:26" ht="18" customHeight="1" x14ac:dyDescent="0.2">
      <c r="A824" s="286"/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</row>
    <row r="825" spans="1:26" ht="18" customHeight="1" x14ac:dyDescent="0.2">
      <c r="A825" s="286"/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</row>
    <row r="826" spans="1:26" ht="18" customHeight="1" x14ac:dyDescent="0.2">
      <c r="A826" s="286"/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</row>
    <row r="827" spans="1:26" ht="18" customHeight="1" x14ac:dyDescent="0.2">
      <c r="A827" s="286"/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</row>
    <row r="828" spans="1:26" ht="18" customHeight="1" x14ac:dyDescent="0.2">
      <c r="A828" s="286"/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</row>
    <row r="829" spans="1:26" ht="18" customHeight="1" x14ac:dyDescent="0.2">
      <c r="A829" s="286"/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</row>
    <row r="830" spans="1:26" ht="18" customHeight="1" x14ac:dyDescent="0.2">
      <c r="A830" s="286"/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</row>
    <row r="831" spans="1:26" ht="18" customHeight="1" x14ac:dyDescent="0.2">
      <c r="A831" s="286"/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</row>
    <row r="832" spans="1:26" ht="18" customHeight="1" x14ac:dyDescent="0.2">
      <c r="A832" s="286"/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</row>
    <row r="833" spans="1:26" ht="18" customHeight="1" x14ac:dyDescent="0.2">
      <c r="A833" s="286"/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</row>
    <row r="834" spans="1:26" ht="18" customHeight="1" x14ac:dyDescent="0.2">
      <c r="A834" s="286"/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</row>
    <row r="835" spans="1:26" ht="18" customHeight="1" x14ac:dyDescent="0.2">
      <c r="A835" s="286"/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</row>
    <row r="836" spans="1:26" ht="18" customHeight="1" x14ac:dyDescent="0.2">
      <c r="A836" s="286"/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</row>
    <row r="837" spans="1:26" ht="18" customHeight="1" x14ac:dyDescent="0.2">
      <c r="A837" s="286"/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</row>
    <row r="838" spans="1:26" ht="18" customHeight="1" x14ac:dyDescent="0.2">
      <c r="A838" s="286"/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</row>
    <row r="839" spans="1:26" ht="18" customHeight="1" x14ac:dyDescent="0.2">
      <c r="A839" s="286"/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</row>
    <row r="840" spans="1:26" ht="18" customHeight="1" x14ac:dyDescent="0.2">
      <c r="A840" s="286"/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</row>
    <row r="841" spans="1:26" ht="18" customHeight="1" x14ac:dyDescent="0.2">
      <c r="A841" s="286"/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</row>
    <row r="842" spans="1:26" ht="18" customHeight="1" x14ac:dyDescent="0.2">
      <c r="A842" s="286"/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</row>
    <row r="843" spans="1:26" ht="18" customHeight="1" x14ac:dyDescent="0.2">
      <c r="A843" s="286"/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</row>
    <row r="844" spans="1:26" ht="18" customHeight="1" x14ac:dyDescent="0.2">
      <c r="A844" s="286"/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</row>
    <row r="845" spans="1:26" ht="18" customHeight="1" x14ac:dyDescent="0.2">
      <c r="A845" s="286"/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</row>
    <row r="846" spans="1:26" ht="18" customHeight="1" x14ac:dyDescent="0.2">
      <c r="A846" s="286"/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</row>
    <row r="847" spans="1:26" ht="18" customHeight="1" x14ac:dyDescent="0.2">
      <c r="A847" s="286"/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</row>
    <row r="848" spans="1:26" ht="18" customHeight="1" x14ac:dyDescent="0.2">
      <c r="A848" s="286"/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</row>
    <row r="849" spans="1:26" ht="18" customHeight="1" x14ac:dyDescent="0.2">
      <c r="A849" s="286"/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</row>
    <row r="850" spans="1:26" ht="18" customHeight="1" x14ac:dyDescent="0.2">
      <c r="A850" s="286"/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</row>
    <row r="851" spans="1:26" ht="18" customHeight="1" x14ac:dyDescent="0.2">
      <c r="A851" s="286"/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</row>
    <row r="852" spans="1:26" ht="18" customHeight="1" x14ac:dyDescent="0.2">
      <c r="A852" s="286"/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</row>
    <row r="853" spans="1:26" ht="18" customHeight="1" x14ac:dyDescent="0.2">
      <c r="A853" s="286"/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</row>
    <row r="854" spans="1:26" ht="18" customHeight="1" x14ac:dyDescent="0.2">
      <c r="A854" s="286"/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</row>
    <row r="855" spans="1:26" ht="18" customHeight="1" x14ac:dyDescent="0.2">
      <c r="A855" s="286"/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</row>
    <row r="856" spans="1:26" ht="18" customHeight="1" x14ac:dyDescent="0.2">
      <c r="A856" s="286"/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</row>
    <row r="857" spans="1:26" ht="18" customHeight="1" x14ac:dyDescent="0.2">
      <c r="A857" s="286"/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</row>
    <row r="858" spans="1:26" ht="18" customHeight="1" x14ac:dyDescent="0.2">
      <c r="A858" s="286"/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</row>
    <row r="859" spans="1:26" ht="18" customHeight="1" x14ac:dyDescent="0.2">
      <c r="A859" s="286"/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</row>
    <row r="860" spans="1:26" ht="18" customHeight="1" x14ac:dyDescent="0.2">
      <c r="A860" s="286"/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</row>
    <row r="861" spans="1:26" ht="18" customHeight="1" x14ac:dyDescent="0.2">
      <c r="A861" s="286"/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</row>
    <row r="862" spans="1:26" ht="18" customHeight="1" x14ac:dyDescent="0.2">
      <c r="A862" s="286"/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</row>
    <row r="863" spans="1:26" ht="18" customHeight="1" x14ac:dyDescent="0.2">
      <c r="A863" s="286"/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</row>
    <row r="864" spans="1:26" ht="18" customHeight="1" x14ac:dyDescent="0.2">
      <c r="A864" s="286"/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</row>
    <row r="865" spans="1:26" ht="18" customHeight="1" x14ac:dyDescent="0.2">
      <c r="A865" s="286"/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</row>
    <row r="866" spans="1:26" ht="18" customHeight="1" x14ac:dyDescent="0.2">
      <c r="A866" s="286"/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</row>
    <row r="867" spans="1:26" ht="18" customHeight="1" x14ac:dyDescent="0.2">
      <c r="A867" s="286"/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</row>
    <row r="868" spans="1:26" ht="18" customHeight="1" x14ac:dyDescent="0.2">
      <c r="A868" s="286"/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</row>
    <row r="869" spans="1:26" ht="18" customHeight="1" x14ac:dyDescent="0.2">
      <c r="A869" s="286"/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</row>
    <row r="870" spans="1:26" ht="18" customHeight="1" x14ac:dyDescent="0.2">
      <c r="A870" s="286"/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</row>
    <row r="871" spans="1:26" ht="18" customHeight="1" x14ac:dyDescent="0.2">
      <c r="A871" s="286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</row>
    <row r="872" spans="1:26" ht="18" customHeight="1" x14ac:dyDescent="0.2">
      <c r="A872" s="286"/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</row>
    <row r="873" spans="1:26" ht="18" customHeight="1" x14ac:dyDescent="0.2">
      <c r="A873" s="286"/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</row>
    <row r="874" spans="1:26" ht="18" customHeight="1" x14ac:dyDescent="0.2">
      <c r="A874" s="286"/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</row>
    <row r="875" spans="1:26" ht="18" customHeight="1" x14ac:dyDescent="0.2">
      <c r="A875" s="286"/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</row>
    <row r="876" spans="1:26" ht="18" customHeight="1" x14ac:dyDescent="0.2">
      <c r="A876" s="286"/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</row>
    <row r="877" spans="1:26" ht="18" customHeight="1" x14ac:dyDescent="0.2">
      <c r="A877" s="286"/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</row>
    <row r="878" spans="1:26" ht="18" customHeight="1" x14ac:dyDescent="0.2">
      <c r="A878" s="286"/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</row>
    <row r="879" spans="1:26" ht="18" customHeight="1" x14ac:dyDescent="0.2">
      <c r="A879" s="286"/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</row>
    <row r="880" spans="1:26" ht="18" customHeight="1" x14ac:dyDescent="0.2">
      <c r="A880" s="286"/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</row>
    <row r="881" spans="1:26" ht="18" customHeight="1" x14ac:dyDescent="0.2">
      <c r="A881" s="286"/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</row>
    <row r="882" spans="1:26" ht="18" customHeight="1" x14ac:dyDescent="0.2">
      <c r="A882" s="286"/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</row>
    <row r="883" spans="1:26" ht="18" customHeight="1" x14ac:dyDescent="0.2">
      <c r="A883" s="286"/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</row>
    <row r="884" spans="1:26" ht="18" customHeight="1" x14ac:dyDescent="0.2">
      <c r="A884" s="286"/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</row>
    <row r="885" spans="1:26" ht="18" customHeight="1" x14ac:dyDescent="0.2">
      <c r="A885" s="286"/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</row>
    <row r="886" spans="1:26" ht="18" customHeight="1" x14ac:dyDescent="0.2">
      <c r="A886" s="286"/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</row>
    <row r="887" spans="1:26" ht="18" customHeight="1" x14ac:dyDescent="0.2">
      <c r="A887" s="286"/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</row>
    <row r="888" spans="1:26" ht="18" customHeight="1" x14ac:dyDescent="0.2">
      <c r="A888" s="286"/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</row>
    <row r="889" spans="1:26" ht="18" customHeight="1" x14ac:dyDescent="0.2">
      <c r="A889" s="286"/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</row>
    <row r="890" spans="1:26" ht="18" customHeight="1" x14ac:dyDescent="0.2">
      <c r="A890" s="286"/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</row>
    <row r="891" spans="1:26" ht="18" customHeight="1" x14ac:dyDescent="0.2">
      <c r="A891" s="286"/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</row>
    <row r="892" spans="1:26" ht="18" customHeight="1" x14ac:dyDescent="0.2">
      <c r="A892" s="286"/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</row>
    <row r="893" spans="1:26" ht="18" customHeight="1" x14ac:dyDescent="0.2">
      <c r="A893" s="286"/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</row>
    <row r="894" spans="1:26" ht="18" customHeight="1" x14ac:dyDescent="0.2">
      <c r="A894" s="286"/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</row>
    <row r="895" spans="1:26" ht="18" customHeight="1" x14ac:dyDescent="0.2">
      <c r="A895" s="286"/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</row>
    <row r="896" spans="1:26" ht="18" customHeight="1" x14ac:dyDescent="0.2">
      <c r="A896" s="286"/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</row>
    <row r="897" spans="1:26" ht="18" customHeight="1" x14ac:dyDescent="0.2">
      <c r="A897" s="286"/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</row>
    <row r="898" spans="1:26" ht="18" customHeight="1" x14ac:dyDescent="0.2">
      <c r="A898" s="286"/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</row>
    <row r="899" spans="1:26" ht="18" customHeight="1" x14ac:dyDescent="0.2">
      <c r="A899" s="286"/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</row>
    <row r="900" spans="1:26" ht="18" customHeight="1" x14ac:dyDescent="0.2">
      <c r="A900" s="286"/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</row>
    <row r="901" spans="1:26" ht="18" customHeight="1" x14ac:dyDescent="0.2">
      <c r="A901" s="286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</row>
    <row r="902" spans="1:26" ht="18" customHeight="1" x14ac:dyDescent="0.2">
      <c r="A902" s="286"/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</row>
    <row r="903" spans="1:26" ht="18" customHeight="1" x14ac:dyDescent="0.2">
      <c r="A903" s="286"/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</row>
    <row r="904" spans="1:26" ht="18" customHeight="1" x14ac:dyDescent="0.2">
      <c r="A904" s="286"/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</row>
    <row r="905" spans="1:26" ht="18" customHeight="1" x14ac:dyDescent="0.2">
      <c r="A905" s="286"/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</row>
    <row r="906" spans="1:26" ht="18" customHeight="1" x14ac:dyDescent="0.2">
      <c r="A906" s="286"/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</row>
    <row r="907" spans="1:26" ht="18" customHeight="1" x14ac:dyDescent="0.2">
      <c r="A907" s="286"/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</row>
    <row r="908" spans="1:26" ht="18" customHeight="1" x14ac:dyDescent="0.2">
      <c r="A908" s="286"/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</row>
    <row r="909" spans="1:26" ht="18" customHeight="1" x14ac:dyDescent="0.2">
      <c r="A909" s="286"/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</row>
    <row r="910" spans="1:26" ht="18" customHeight="1" x14ac:dyDescent="0.2">
      <c r="A910" s="286"/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</row>
    <row r="911" spans="1:26" ht="18" customHeight="1" x14ac:dyDescent="0.2">
      <c r="A911" s="286"/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</row>
    <row r="912" spans="1:26" ht="18" customHeight="1" x14ac:dyDescent="0.2">
      <c r="A912" s="286"/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</row>
    <row r="913" spans="1:26" ht="18" customHeight="1" x14ac:dyDescent="0.2">
      <c r="A913" s="286"/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</row>
    <row r="914" spans="1:26" ht="18" customHeight="1" x14ac:dyDescent="0.2">
      <c r="A914" s="286"/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</row>
    <row r="915" spans="1:26" ht="18" customHeight="1" x14ac:dyDescent="0.2">
      <c r="A915" s="286"/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</row>
    <row r="916" spans="1:26" ht="18" customHeight="1" x14ac:dyDescent="0.2">
      <c r="A916" s="286"/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</row>
    <row r="917" spans="1:26" ht="18" customHeight="1" x14ac:dyDescent="0.2">
      <c r="A917" s="286"/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</row>
    <row r="918" spans="1:26" ht="18" customHeight="1" x14ac:dyDescent="0.2">
      <c r="A918" s="286"/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</row>
    <row r="919" spans="1:26" ht="18" customHeight="1" x14ac:dyDescent="0.2">
      <c r="A919" s="286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</row>
    <row r="920" spans="1:26" ht="18" customHeight="1" x14ac:dyDescent="0.2">
      <c r="A920" s="286"/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</row>
    <row r="921" spans="1:26" ht="18" customHeight="1" x14ac:dyDescent="0.2">
      <c r="A921" s="286"/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</row>
    <row r="922" spans="1:26" ht="18" customHeight="1" x14ac:dyDescent="0.2">
      <c r="A922" s="286"/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</row>
    <row r="923" spans="1:26" ht="18" customHeight="1" x14ac:dyDescent="0.2">
      <c r="A923" s="286"/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</row>
    <row r="924" spans="1:26" ht="18" customHeight="1" x14ac:dyDescent="0.2">
      <c r="A924" s="286"/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</row>
    <row r="925" spans="1:26" ht="18" customHeight="1" x14ac:dyDescent="0.2">
      <c r="A925" s="286"/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</row>
    <row r="926" spans="1:26" ht="18" customHeight="1" x14ac:dyDescent="0.2">
      <c r="A926" s="286"/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</row>
    <row r="927" spans="1:26" ht="18" customHeight="1" x14ac:dyDescent="0.2">
      <c r="A927" s="286"/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</row>
    <row r="928" spans="1:26" ht="18" customHeight="1" x14ac:dyDescent="0.2">
      <c r="A928" s="286"/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</row>
    <row r="929" spans="1:26" ht="18" customHeight="1" x14ac:dyDescent="0.2">
      <c r="A929" s="286"/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</row>
    <row r="930" spans="1:26" ht="18" customHeight="1" x14ac:dyDescent="0.2">
      <c r="A930" s="286"/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</row>
    <row r="931" spans="1:26" ht="18" customHeight="1" x14ac:dyDescent="0.2">
      <c r="A931" s="286"/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</row>
    <row r="932" spans="1:26" ht="18" customHeight="1" x14ac:dyDescent="0.2">
      <c r="A932" s="286"/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</row>
    <row r="933" spans="1:26" ht="18" customHeight="1" x14ac:dyDescent="0.2">
      <c r="A933" s="286"/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</row>
    <row r="934" spans="1:26" ht="18" customHeight="1" x14ac:dyDescent="0.2">
      <c r="A934" s="286"/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</row>
    <row r="935" spans="1:26" ht="18" customHeight="1" x14ac:dyDescent="0.2">
      <c r="A935" s="286"/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</row>
    <row r="936" spans="1:26" ht="18" customHeight="1" x14ac:dyDescent="0.2">
      <c r="A936" s="286"/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</row>
    <row r="937" spans="1:26" ht="18" customHeight="1" x14ac:dyDescent="0.2">
      <c r="A937" s="286"/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</row>
    <row r="938" spans="1:26" ht="18" customHeight="1" x14ac:dyDescent="0.2">
      <c r="A938" s="286"/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</row>
    <row r="939" spans="1:26" ht="18" customHeight="1" x14ac:dyDescent="0.2">
      <c r="A939" s="286"/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</row>
    <row r="940" spans="1:26" ht="18" customHeight="1" x14ac:dyDescent="0.2">
      <c r="A940" s="286"/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</row>
    <row r="941" spans="1:26" ht="18" customHeight="1" x14ac:dyDescent="0.2">
      <c r="A941" s="286"/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</row>
    <row r="942" spans="1:26" ht="18" customHeight="1" x14ac:dyDescent="0.2">
      <c r="A942" s="286"/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</row>
    <row r="943" spans="1:26" ht="18" customHeight="1" x14ac:dyDescent="0.2">
      <c r="A943" s="286"/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</row>
    <row r="944" spans="1:26" ht="18" customHeight="1" x14ac:dyDescent="0.2">
      <c r="A944" s="286"/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</row>
    <row r="945" spans="1:26" ht="18" customHeight="1" x14ac:dyDescent="0.2">
      <c r="A945" s="286"/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</row>
    <row r="946" spans="1:26" ht="18" customHeight="1" x14ac:dyDescent="0.2">
      <c r="A946" s="286"/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</row>
    <row r="947" spans="1:26" ht="18" customHeight="1" x14ac:dyDescent="0.2">
      <c r="A947" s="286"/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</row>
    <row r="948" spans="1:26" ht="18" customHeight="1" x14ac:dyDescent="0.2">
      <c r="A948" s="286"/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</row>
    <row r="949" spans="1:26" ht="18" customHeight="1" x14ac:dyDescent="0.2">
      <c r="A949" s="286"/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</row>
    <row r="950" spans="1:26" ht="18" customHeight="1" x14ac:dyDescent="0.2">
      <c r="A950" s="286"/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</row>
    <row r="951" spans="1:26" ht="18" customHeight="1" x14ac:dyDescent="0.2">
      <c r="A951" s="286"/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</row>
    <row r="952" spans="1:26" ht="18" customHeight="1" x14ac:dyDescent="0.2">
      <c r="A952" s="286"/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</row>
    <row r="953" spans="1:26" ht="18" customHeight="1" x14ac:dyDescent="0.2">
      <c r="A953" s="286"/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</row>
    <row r="954" spans="1:26" ht="18" customHeight="1" x14ac:dyDescent="0.2">
      <c r="A954" s="286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</row>
    <row r="955" spans="1:26" ht="18" customHeight="1" x14ac:dyDescent="0.2">
      <c r="A955" s="286"/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</row>
    <row r="956" spans="1:26" ht="18" customHeight="1" x14ac:dyDescent="0.2">
      <c r="A956" s="286"/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</row>
    <row r="957" spans="1:26" ht="18" customHeight="1" x14ac:dyDescent="0.2">
      <c r="A957" s="286"/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</row>
    <row r="958" spans="1:26" ht="18" customHeight="1" x14ac:dyDescent="0.2">
      <c r="A958" s="286"/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</row>
    <row r="959" spans="1:26" ht="18" customHeight="1" x14ac:dyDescent="0.2">
      <c r="A959" s="286"/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</row>
    <row r="960" spans="1:26" ht="18" customHeight="1" x14ac:dyDescent="0.2">
      <c r="A960" s="286"/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</row>
    <row r="961" spans="1:26" ht="18" customHeight="1" x14ac:dyDescent="0.2">
      <c r="A961" s="286"/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</row>
    <row r="962" spans="1:26" ht="18" customHeight="1" x14ac:dyDescent="0.2">
      <c r="A962" s="286"/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</row>
    <row r="963" spans="1:26" ht="18" customHeight="1" x14ac:dyDescent="0.2">
      <c r="A963" s="286"/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</row>
    <row r="964" spans="1:26" ht="18" customHeight="1" x14ac:dyDescent="0.2">
      <c r="A964" s="286"/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</row>
    <row r="965" spans="1:26" ht="18" customHeight="1" x14ac:dyDescent="0.2">
      <c r="A965" s="286"/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</row>
    <row r="966" spans="1:26" ht="18" customHeight="1" x14ac:dyDescent="0.2">
      <c r="A966" s="286"/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</row>
    <row r="967" spans="1:26" ht="18" customHeight="1" x14ac:dyDescent="0.2">
      <c r="A967" s="286"/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</row>
    <row r="968" spans="1:26" ht="18" customHeight="1" x14ac:dyDescent="0.2">
      <c r="A968" s="286"/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</row>
    <row r="969" spans="1:26" ht="18" customHeight="1" x14ac:dyDescent="0.2">
      <c r="A969" s="286"/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</row>
    <row r="970" spans="1:26" ht="18" customHeight="1" x14ac:dyDescent="0.2">
      <c r="A970" s="286"/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</row>
    <row r="971" spans="1:26" ht="18" customHeight="1" x14ac:dyDescent="0.2">
      <c r="A971" s="286"/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</row>
    <row r="972" spans="1:26" ht="18" customHeight="1" x14ac:dyDescent="0.2">
      <c r="A972" s="286"/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</row>
    <row r="973" spans="1:26" ht="18" customHeight="1" x14ac:dyDescent="0.2">
      <c r="A973" s="286"/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</row>
    <row r="974" spans="1:26" ht="18" customHeight="1" x14ac:dyDescent="0.2">
      <c r="A974" s="286"/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</row>
    <row r="975" spans="1:26" ht="18" customHeight="1" x14ac:dyDescent="0.2">
      <c r="A975" s="286"/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</row>
    <row r="976" spans="1:26" ht="18" customHeight="1" x14ac:dyDescent="0.2">
      <c r="A976" s="286"/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</row>
    <row r="977" spans="1:26" ht="18" customHeight="1" x14ac:dyDescent="0.2">
      <c r="A977" s="286"/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</row>
    <row r="978" spans="1:26" ht="18" customHeight="1" x14ac:dyDescent="0.2">
      <c r="A978" s="286"/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</row>
    <row r="979" spans="1:26" ht="18" customHeight="1" x14ac:dyDescent="0.2">
      <c r="A979" s="286"/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</row>
    <row r="980" spans="1:26" ht="18" customHeight="1" x14ac:dyDescent="0.2">
      <c r="A980" s="286"/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</row>
    <row r="981" spans="1:26" ht="18" customHeight="1" x14ac:dyDescent="0.2">
      <c r="A981" s="286"/>
      <c r="B981" s="286"/>
      <c r="C981" s="286"/>
      <c r="D981" s="286"/>
      <c r="E981" s="286"/>
      <c r="F981" s="286"/>
      <c r="G981" s="286"/>
      <c r="H981" s="286"/>
      <c r="I981" s="286"/>
      <c r="J981" s="286"/>
      <c r="K981" s="286"/>
      <c r="L981" s="286"/>
      <c r="M981" s="286"/>
      <c r="N981" s="286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</row>
    <row r="982" spans="1:26" ht="18" customHeight="1" x14ac:dyDescent="0.2">
      <c r="A982" s="286"/>
      <c r="B982" s="286"/>
      <c r="C982" s="286"/>
      <c r="D982" s="286"/>
      <c r="E982" s="286"/>
      <c r="F982" s="286"/>
      <c r="G982" s="286"/>
      <c r="H982" s="286"/>
      <c r="I982" s="286"/>
      <c r="J982" s="286"/>
      <c r="K982" s="286"/>
      <c r="L982" s="286"/>
      <c r="M982" s="286"/>
      <c r="N982" s="286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</row>
    <row r="983" spans="1:26" ht="18" customHeight="1" x14ac:dyDescent="0.2">
      <c r="A983" s="286"/>
      <c r="B983" s="286"/>
      <c r="C983" s="286"/>
      <c r="D983" s="286"/>
      <c r="E983" s="286"/>
      <c r="F983" s="286"/>
      <c r="G983" s="286"/>
      <c r="H983" s="286"/>
      <c r="I983" s="286"/>
      <c r="J983" s="286"/>
      <c r="K983" s="286"/>
      <c r="L983" s="286"/>
      <c r="M983" s="286"/>
      <c r="N983" s="286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</row>
    <row r="984" spans="1:26" ht="18" customHeight="1" x14ac:dyDescent="0.2">
      <c r="A984" s="286"/>
      <c r="B984" s="286"/>
      <c r="C984" s="286"/>
      <c r="D984" s="286"/>
      <c r="E984" s="286"/>
      <c r="F984" s="286"/>
      <c r="G984" s="286"/>
      <c r="H984" s="286"/>
      <c r="I984" s="286"/>
      <c r="J984" s="286"/>
      <c r="K984" s="286"/>
      <c r="L984" s="286"/>
      <c r="M984" s="286"/>
      <c r="N984" s="286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</row>
    <row r="985" spans="1:26" ht="18" customHeight="1" x14ac:dyDescent="0.2">
      <c r="A985" s="286"/>
      <c r="B985" s="286"/>
      <c r="C985" s="286"/>
      <c r="D985" s="286"/>
      <c r="E985" s="286"/>
      <c r="F985" s="286"/>
      <c r="G985" s="286"/>
      <c r="H985" s="286"/>
      <c r="I985" s="286"/>
      <c r="J985" s="286"/>
      <c r="K985" s="286"/>
      <c r="L985" s="286"/>
      <c r="M985" s="286"/>
      <c r="N985" s="286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</row>
    <row r="986" spans="1:26" ht="18" customHeight="1" x14ac:dyDescent="0.2">
      <c r="A986" s="286"/>
      <c r="B986" s="286"/>
      <c r="C986" s="286"/>
      <c r="D986" s="286"/>
      <c r="E986" s="286"/>
      <c r="F986" s="286"/>
      <c r="G986" s="286"/>
      <c r="H986" s="286"/>
      <c r="I986" s="286"/>
      <c r="J986" s="286"/>
      <c r="K986" s="286"/>
      <c r="L986" s="286"/>
      <c r="M986" s="286"/>
      <c r="N986" s="286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</row>
  </sheetData>
  <mergeCells count="6">
    <mergeCell ref="A43:A47"/>
    <mergeCell ref="B15:H15"/>
    <mergeCell ref="A1:A5"/>
    <mergeCell ref="A8:A10"/>
    <mergeCell ref="A16:A32"/>
    <mergeCell ref="A33:A40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473-DE22-A14C-AB98-AFD4C04E4591}">
  <sheetPr>
    <outlinePr summaryBelow="0" summaryRight="0"/>
  </sheetPr>
  <dimension ref="A1:L52"/>
  <sheetViews>
    <sheetView showGridLines="0" zoomScale="65" workbookViewId="0">
      <selection activeCell="H54" sqref="H54"/>
    </sheetView>
  </sheetViews>
  <sheetFormatPr baseColWidth="10" defaultColWidth="12.6640625" defaultRowHeight="15.75" customHeight="1" x14ac:dyDescent="0.2"/>
  <cols>
    <col min="1" max="1" width="12.6640625" style="126"/>
    <col min="2" max="2" width="26.83203125" style="126" customWidth="1"/>
    <col min="3" max="3" width="28.6640625" style="126" customWidth="1"/>
    <col min="4" max="4" width="21.6640625" style="126" customWidth="1"/>
    <col min="5" max="5" width="19.6640625" style="126" customWidth="1"/>
    <col min="6" max="6" width="14.1640625" style="126" customWidth="1"/>
    <col min="7" max="7" width="12.6640625" style="126"/>
    <col min="8" max="8" width="34.5" style="126" customWidth="1"/>
    <col min="9" max="9" width="28.33203125" style="126" customWidth="1"/>
    <col min="10" max="10" width="29.6640625" style="126" customWidth="1"/>
    <col min="11" max="11" width="26.6640625" style="126" customWidth="1"/>
    <col min="12" max="12" width="13.83203125" style="126" customWidth="1"/>
    <col min="13" max="16384" width="12.6640625" style="126"/>
  </cols>
  <sheetData>
    <row r="1" spans="1:12" s="128" customFormat="1" ht="88" customHeight="1" x14ac:dyDescent="0.2">
      <c r="A1" s="733" t="s">
        <v>236</v>
      </c>
      <c r="B1" s="554" t="s">
        <v>162</v>
      </c>
      <c r="C1" s="129" t="s">
        <v>163</v>
      </c>
      <c r="D1" s="129" t="s">
        <v>164</v>
      </c>
      <c r="E1" s="129" t="s">
        <v>165</v>
      </c>
      <c r="F1" s="129" t="s">
        <v>166</v>
      </c>
      <c r="G1" s="129" t="s">
        <v>167</v>
      </c>
      <c r="H1" s="129" t="s">
        <v>168</v>
      </c>
      <c r="I1" s="129" t="s">
        <v>169</v>
      </c>
      <c r="J1" s="129" t="s">
        <v>170</v>
      </c>
      <c r="K1" s="129" t="s">
        <v>171</v>
      </c>
      <c r="L1" s="129" t="s">
        <v>172</v>
      </c>
    </row>
    <row r="2" spans="1:12" ht="18" x14ac:dyDescent="0.2">
      <c r="A2" s="736"/>
      <c r="B2" s="555" t="s">
        <v>173</v>
      </c>
      <c r="C2" s="127">
        <v>1140</v>
      </c>
      <c r="D2" s="127">
        <v>164</v>
      </c>
      <c r="E2" s="127">
        <v>0</v>
      </c>
      <c r="F2" s="127">
        <v>2000</v>
      </c>
      <c r="G2" s="125"/>
      <c r="H2" s="127">
        <v>0.8</v>
      </c>
      <c r="I2" s="127"/>
      <c r="J2" s="127">
        <v>0.9</v>
      </c>
      <c r="K2" s="127"/>
      <c r="L2" s="552">
        <f>(C2 * H2) / J2</f>
        <v>1013.3333333333333</v>
      </c>
    </row>
    <row r="3" spans="1:12" ht="18" x14ac:dyDescent="0.2">
      <c r="A3" s="736"/>
      <c r="B3" s="556" t="s">
        <v>174</v>
      </c>
      <c r="C3" s="127">
        <v>600</v>
      </c>
      <c r="D3" s="127">
        <v>164</v>
      </c>
      <c r="E3" s="127">
        <v>0</v>
      </c>
      <c r="F3" s="127">
        <v>4000</v>
      </c>
      <c r="G3" s="125"/>
      <c r="H3" s="127">
        <v>0.85</v>
      </c>
      <c r="I3" s="127"/>
      <c r="J3" s="127">
        <v>0.9</v>
      </c>
      <c r="K3" s="127"/>
      <c r="L3" s="552">
        <f>(C3 * H3) / J3</f>
        <v>566.66666666666663</v>
      </c>
    </row>
    <row r="4" spans="1:12" ht="18" x14ac:dyDescent="0.2">
      <c r="A4" s="736"/>
      <c r="B4" s="557" t="s">
        <v>175</v>
      </c>
      <c r="C4" s="127">
        <v>600</v>
      </c>
      <c r="D4" s="127">
        <v>164</v>
      </c>
      <c r="E4" s="127">
        <v>0</v>
      </c>
      <c r="F4" s="127">
        <v>4500</v>
      </c>
      <c r="G4" s="125"/>
      <c r="H4" s="127">
        <v>0.85</v>
      </c>
      <c r="I4" s="127"/>
      <c r="J4" s="127">
        <v>0.9</v>
      </c>
      <c r="K4" s="127"/>
      <c r="L4" s="552">
        <f>(C4 * H4) / J4</f>
        <v>566.66666666666663</v>
      </c>
    </row>
    <row r="5" spans="1:12" ht="18" x14ac:dyDescent="0.2">
      <c r="A5" s="736"/>
      <c r="B5" s="558" t="s">
        <v>176</v>
      </c>
      <c r="C5" s="127">
        <v>650</v>
      </c>
      <c r="D5" s="127">
        <v>164</v>
      </c>
      <c r="E5" s="127">
        <v>0</v>
      </c>
      <c r="F5" s="127">
        <v>5000</v>
      </c>
      <c r="G5" s="125"/>
      <c r="H5" s="127">
        <v>0.8</v>
      </c>
      <c r="I5" s="127"/>
      <c r="J5" s="127">
        <v>0.9</v>
      </c>
      <c r="K5" s="127"/>
      <c r="L5" s="552">
        <f>(C5 * H5) / J5</f>
        <v>577.77777777777771</v>
      </c>
    </row>
    <row r="6" spans="1:12" ht="18" x14ac:dyDescent="0.2">
      <c r="A6" s="736"/>
      <c r="B6" s="559" t="s">
        <v>177</v>
      </c>
      <c r="C6" s="127">
        <v>1050</v>
      </c>
      <c r="D6" s="127">
        <v>140</v>
      </c>
      <c r="E6" s="127">
        <v>12</v>
      </c>
      <c r="F6" s="127">
        <v>11000</v>
      </c>
      <c r="G6" s="127">
        <v>70000</v>
      </c>
      <c r="H6" s="127">
        <v>0.85</v>
      </c>
      <c r="I6" s="127">
        <v>0.6</v>
      </c>
      <c r="J6" s="127">
        <v>0.9</v>
      </c>
      <c r="K6" s="127">
        <v>0.8</v>
      </c>
      <c r="L6" s="552">
        <f>C6 * (D6 * H6 + E6 * I6) / (D6 * J6 + E6 * K6)</f>
        <v>977.21238938053102</v>
      </c>
    </row>
    <row r="7" spans="1:12" ht="18" x14ac:dyDescent="0.2">
      <c r="A7" s="736"/>
      <c r="B7" s="559" t="s">
        <v>178</v>
      </c>
      <c r="C7" s="127">
        <v>960</v>
      </c>
      <c r="D7" s="127">
        <v>140</v>
      </c>
      <c r="E7" s="127">
        <v>12</v>
      </c>
      <c r="F7" s="127">
        <v>7500</v>
      </c>
      <c r="G7" s="127">
        <v>45000</v>
      </c>
      <c r="H7" s="127">
        <v>0.85</v>
      </c>
      <c r="I7" s="127">
        <v>0.4</v>
      </c>
      <c r="J7" s="127">
        <v>0.9</v>
      </c>
      <c r="K7" s="127">
        <v>0.8</v>
      </c>
      <c r="L7" s="552">
        <f>C7 * (D7 * H7 + E7 * I7) / (D7 * J7 + E7 * K7)</f>
        <v>876.46017699115043</v>
      </c>
    </row>
    <row r="8" spans="1:12" ht="18" x14ac:dyDescent="0.2">
      <c r="A8" s="736"/>
      <c r="B8" s="558" t="s">
        <v>179</v>
      </c>
      <c r="C8" s="127">
        <v>760</v>
      </c>
      <c r="D8" s="127">
        <v>164</v>
      </c>
      <c r="E8" s="127">
        <v>0</v>
      </c>
      <c r="F8" s="127">
        <v>5500</v>
      </c>
      <c r="G8" s="125"/>
      <c r="H8" s="127">
        <v>0.75</v>
      </c>
      <c r="I8" s="127"/>
      <c r="J8" s="127">
        <v>0.9</v>
      </c>
      <c r="K8" s="127"/>
      <c r="L8" s="552">
        <f>(C8 * H8) / J8</f>
        <v>633.33333333333337</v>
      </c>
    </row>
    <row r="9" spans="1:12" ht="18" x14ac:dyDescent="0.2">
      <c r="A9" s="736"/>
      <c r="B9" s="556" t="s">
        <v>180</v>
      </c>
      <c r="C9" s="127">
        <v>860</v>
      </c>
      <c r="D9" s="127">
        <v>164</v>
      </c>
      <c r="E9" s="127">
        <v>0</v>
      </c>
      <c r="F9" s="127">
        <v>4000</v>
      </c>
      <c r="G9" s="125"/>
      <c r="H9" s="127">
        <v>0.85</v>
      </c>
      <c r="I9" s="127"/>
      <c r="J9" s="127">
        <v>0.9</v>
      </c>
      <c r="K9" s="127"/>
      <c r="L9" s="552">
        <f>(C9 * H9) / J9</f>
        <v>812.22222222222217</v>
      </c>
    </row>
    <row r="10" spans="1:12" ht="18" x14ac:dyDescent="0.2">
      <c r="A10" s="736"/>
      <c r="B10" s="560" t="s">
        <v>181</v>
      </c>
      <c r="C10" s="127">
        <v>760</v>
      </c>
      <c r="D10" s="127">
        <v>164</v>
      </c>
      <c r="E10" s="127">
        <v>0</v>
      </c>
      <c r="F10" s="127">
        <v>4500</v>
      </c>
      <c r="G10" s="125"/>
      <c r="H10" s="127">
        <v>0.7</v>
      </c>
      <c r="I10" s="127"/>
      <c r="J10" s="127">
        <v>0.9</v>
      </c>
      <c r="K10" s="127"/>
      <c r="L10" s="552">
        <f>(C10 * H10) / J10</f>
        <v>591.11111111111109</v>
      </c>
    </row>
    <row r="11" spans="1:12" ht="19" thickBot="1" x14ac:dyDescent="0.25">
      <c r="A11" s="737"/>
      <c r="B11" s="561" t="s">
        <v>182</v>
      </c>
      <c r="C11" s="127">
        <v>750</v>
      </c>
      <c r="D11" s="127">
        <v>164</v>
      </c>
      <c r="E11" s="127">
        <v>0</v>
      </c>
      <c r="F11" s="127">
        <v>5000</v>
      </c>
      <c r="G11" s="125"/>
      <c r="H11" s="127">
        <v>0.65</v>
      </c>
      <c r="I11" s="127"/>
      <c r="J11" s="127">
        <v>0.9</v>
      </c>
      <c r="K11" s="127"/>
      <c r="L11" s="552">
        <f>(C11 * H11) / J11</f>
        <v>541.66666666666663</v>
      </c>
    </row>
    <row r="12" spans="1:12" ht="18" x14ac:dyDescent="0.2">
      <c r="A12" s="553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</row>
    <row r="13" spans="1:12" ht="19" thickBot="1" x14ac:dyDescent="0.25">
      <c r="A13" s="553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</row>
    <row r="14" spans="1:12" ht="38" x14ac:dyDescent="0.2">
      <c r="A14" s="733" t="s">
        <v>237</v>
      </c>
      <c r="B14" s="554" t="s">
        <v>162</v>
      </c>
      <c r="C14" s="129" t="s">
        <v>196</v>
      </c>
      <c r="D14" s="129" t="s">
        <v>197</v>
      </c>
      <c r="E14" s="129" t="s">
        <v>198</v>
      </c>
      <c r="F14" s="129" t="s">
        <v>199</v>
      </c>
      <c r="G14" s="129" t="s">
        <v>200</v>
      </c>
      <c r="H14" s="129" t="s">
        <v>201</v>
      </c>
    </row>
    <row r="15" spans="1:12" ht="18" x14ac:dyDescent="0.2">
      <c r="A15" s="734"/>
      <c r="B15" s="560" t="s">
        <v>202</v>
      </c>
      <c r="C15" s="125" t="str">
        <f>Циклы!B2</f>
        <v>Москва - Санкт-Петербург</v>
      </c>
      <c r="D15" s="127">
        <f>Циклы!C2</f>
        <v>1140</v>
      </c>
      <c r="E15" s="125" t="str">
        <f>Циклы!B4</f>
        <v>Москва - Сочи</v>
      </c>
      <c r="F15" s="125">
        <f>Циклы!C4</f>
        <v>600</v>
      </c>
      <c r="G15" s="125" t="s">
        <v>133</v>
      </c>
      <c r="H15" s="125">
        <f>MIN(D15,F15)</f>
        <v>600</v>
      </c>
    </row>
    <row r="16" spans="1:12" ht="18" x14ac:dyDescent="0.2">
      <c r="A16" s="734"/>
      <c r="B16" s="560" t="s">
        <v>203</v>
      </c>
      <c r="C16" s="125" t="str">
        <f>Циклы!B11</f>
        <v>Москва - Калиниград</v>
      </c>
      <c r="D16" s="125">
        <f>Циклы!C11</f>
        <v>750</v>
      </c>
      <c r="E16" s="125" t="str">
        <f>Циклы!B2</f>
        <v>Москва - Санкт-Петербург</v>
      </c>
      <c r="F16" s="125">
        <f>Циклы!C2</f>
        <v>1140</v>
      </c>
      <c r="G16" s="125" t="s">
        <v>134</v>
      </c>
      <c r="H16" s="125">
        <f>MIN(D16,F16,D15-H15)</f>
        <v>540</v>
      </c>
    </row>
    <row r="17" spans="1:9" ht="18" x14ac:dyDescent="0.2">
      <c r="A17" s="734"/>
      <c r="B17" s="560" t="s">
        <v>204</v>
      </c>
      <c r="C17" s="125" t="str">
        <f>Циклы!B6</f>
        <v>Москва - Новосибирск</v>
      </c>
      <c r="D17" s="125">
        <f>Циклы!C6</f>
        <v>1050</v>
      </c>
      <c r="E17" s="125" t="str">
        <f>Циклы!B7</f>
        <v>Москва - Красноярск</v>
      </c>
      <c r="F17" s="125">
        <f>Циклы!C7</f>
        <v>960</v>
      </c>
      <c r="G17" s="125" t="s">
        <v>131</v>
      </c>
      <c r="H17" s="125">
        <f>MIN(D17,F17)</f>
        <v>960</v>
      </c>
    </row>
    <row r="18" spans="1:9" ht="18" x14ac:dyDescent="0.2">
      <c r="A18" s="734"/>
      <c r="B18" s="560" t="s">
        <v>205</v>
      </c>
      <c r="C18" s="125" t="str">
        <f>Циклы!B3</f>
        <v>Москва- Минеральные воды</v>
      </c>
      <c r="D18" s="125">
        <f>Циклы!C3</f>
        <v>600</v>
      </c>
      <c r="E18" s="125" t="str">
        <f>Циклы!B9</f>
        <v>Москва - Екатеринбург</v>
      </c>
      <c r="F18" s="125">
        <f>Циклы!C9</f>
        <v>860</v>
      </c>
      <c r="G18" s="125" t="s">
        <v>132</v>
      </c>
      <c r="H18" s="125">
        <f>MIN(D18,F18)</f>
        <v>600</v>
      </c>
    </row>
    <row r="19" spans="1:9" ht="58" thickBot="1" x14ac:dyDescent="0.25">
      <c r="A19" s="735"/>
      <c r="B19" s="554" t="s">
        <v>210</v>
      </c>
      <c r="C19" s="125" t="str">
        <f>Циклы!B5</f>
        <v>Москва - Краснодар</v>
      </c>
      <c r="D19" s="125">
        <f>Циклы!C5</f>
        <v>650</v>
      </c>
      <c r="E19" s="125" t="str">
        <f>Циклы!B8</f>
        <v>Москва- Уфа</v>
      </c>
      <c r="F19" s="125">
        <f>Циклы!C8</f>
        <v>760</v>
      </c>
      <c r="G19" s="125" t="s">
        <v>209</v>
      </c>
      <c r="H19" s="125">
        <f>MIN(D19,F19)</f>
        <v>650</v>
      </c>
    </row>
    <row r="20" spans="1:9" ht="18" x14ac:dyDescent="0.2"/>
    <row r="21" spans="1:9" ht="19" thickBot="1" x14ac:dyDescent="0.25"/>
    <row r="22" spans="1:9" ht="38" x14ac:dyDescent="0.2">
      <c r="A22" s="733" t="s">
        <v>238</v>
      </c>
      <c r="B22" s="562" t="s">
        <v>162</v>
      </c>
      <c r="C22" s="157" t="s">
        <v>163</v>
      </c>
      <c r="D22" s="157" t="s">
        <v>164</v>
      </c>
      <c r="E22" s="157" t="s">
        <v>165</v>
      </c>
      <c r="F22" s="157" t="s">
        <v>166</v>
      </c>
      <c r="G22" s="157" t="s">
        <v>167</v>
      </c>
      <c r="H22" s="157" t="s">
        <v>170</v>
      </c>
      <c r="I22" s="156" t="s">
        <v>171</v>
      </c>
    </row>
    <row r="23" spans="1:9" ht="18" x14ac:dyDescent="0.2">
      <c r="A23" s="734"/>
      <c r="B23" s="557" t="s">
        <v>173</v>
      </c>
      <c r="C23" s="127">
        <f>Циклы!H15</f>
        <v>600</v>
      </c>
      <c r="D23" s="127">
        <v>164</v>
      </c>
      <c r="E23" s="127">
        <v>0</v>
      </c>
      <c r="F23" s="127">
        <v>2000</v>
      </c>
      <c r="G23" s="125"/>
      <c r="H23" s="127">
        <v>0.9</v>
      </c>
      <c r="I23" s="140"/>
    </row>
    <row r="24" spans="1:9" ht="18" x14ac:dyDescent="0.2">
      <c r="A24" s="734"/>
      <c r="B24" s="556" t="s">
        <v>174</v>
      </c>
      <c r="C24" s="127">
        <f>Циклы!H18</f>
        <v>600</v>
      </c>
      <c r="D24" s="127">
        <v>164</v>
      </c>
      <c r="E24" s="127">
        <v>0</v>
      </c>
      <c r="F24" s="127">
        <v>4000</v>
      </c>
      <c r="G24" s="125"/>
      <c r="H24" s="127">
        <v>0.9</v>
      </c>
      <c r="I24" s="140"/>
    </row>
    <row r="25" spans="1:9" ht="18" x14ac:dyDescent="0.2">
      <c r="A25" s="734"/>
      <c r="B25" s="557" t="s">
        <v>175</v>
      </c>
      <c r="C25" s="127">
        <f>Циклы!C4</f>
        <v>600</v>
      </c>
      <c r="D25" s="127">
        <v>164</v>
      </c>
      <c r="E25" s="127">
        <v>0</v>
      </c>
      <c r="F25" s="127">
        <v>4500</v>
      </c>
      <c r="G25" s="125"/>
      <c r="H25" s="127">
        <v>0.9</v>
      </c>
      <c r="I25" s="140"/>
    </row>
    <row r="26" spans="1:9" ht="18" x14ac:dyDescent="0.2">
      <c r="A26" s="734"/>
      <c r="B26" s="558" t="s">
        <v>176</v>
      </c>
      <c r="C26" s="127">
        <f>Циклы!H19</f>
        <v>650</v>
      </c>
      <c r="D26" s="127">
        <v>164</v>
      </c>
      <c r="E26" s="127">
        <v>0</v>
      </c>
      <c r="F26" s="127">
        <v>5000</v>
      </c>
      <c r="G26" s="125"/>
      <c r="H26" s="127">
        <v>0.9</v>
      </c>
      <c r="I26" s="140"/>
    </row>
    <row r="27" spans="1:9" ht="18" x14ac:dyDescent="0.2">
      <c r="A27" s="734"/>
      <c r="B27" s="559" t="s">
        <v>177</v>
      </c>
      <c r="C27" s="127">
        <f>Циклы!H17</f>
        <v>960</v>
      </c>
      <c r="D27" s="127">
        <v>140</v>
      </c>
      <c r="E27" s="127">
        <v>12</v>
      </c>
      <c r="F27" s="127">
        <v>11000</v>
      </c>
      <c r="G27" s="127">
        <v>70000</v>
      </c>
      <c r="H27" s="127">
        <v>0.9</v>
      </c>
      <c r="I27" s="140">
        <v>0.8</v>
      </c>
    </row>
    <row r="28" spans="1:9" ht="18" x14ac:dyDescent="0.2">
      <c r="A28" s="734"/>
      <c r="B28" s="559" t="s">
        <v>178</v>
      </c>
      <c r="C28" s="127">
        <f>C27</f>
        <v>960</v>
      </c>
      <c r="D28" s="127">
        <v>140</v>
      </c>
      <c r="E28" s="127">
        <v>12</v>
      </c>
      <c r="F28" s="127">
        <v>7500</v>
      </c>
      <c r="G28" s="127">
        <v>45000</v>
      </c>
      <c r="H28" s="127">
        <v>0.9</v>
      </c>
      <c r="I28" s="140">
        <v>0.8</v>
      </c>
    </row>
    <row r="29" spans="1:9" ht="18" x14ac:dyDescent="0.2">
      <c r="A29" s="734"/>
      <c r="B29" s="558" t="s">
        <v>211</v>
      </c>
      <c r="C29" s="127">
        <f>Циклы!H19</f>
        <v>650</v>
      </c>
      <c r="D29" s="127">
        <v>164</v>
      </c>
      <c r="E29" s="127">
        <v>0</v>
      </c>
      <c r="F29" s="127">
        <v>5500</v>
      </c>
      <c r="G29" s="125"/>
      <c r="H29" s="127">
        <v>0.9</v>
      </c>
      <c r="I29" s="140"/>
    </row>
    <row r="30" spans="1:9" ht="15.75" customHeight="1" x14ac:dyDescent="0.2">
      <c r="A30" s="734"/>
      <c r="B30" s="556" t="s">
        <v>180</v>
      </c>
      <c r="C30" s="127">
        <f>C24</f>
        <v>600</v>
      </c>
      <c r="D30" s="127">
        <v>164</v>
      </c>
      <c r="E30" s="127">
        <v>0</v>
      </c>
      <c r="F30" s="127">
        <v>4000</v>
      </c>
      <c r="G30" s="125"/>
      <c r="H30" s="127">
        <v>0.9</v>
      </c>
      <c r="I30" s="140"/>
    </row>
    <row r="31" spans="1:9" ht="15.75" customHeight="1" x14ac:dyDescent="0.2">
      <c r="A31" s="734"/>
      <c r="B31" s="560" t="s">
        <v>181</v>
      </c>
      <c r="C31" s="127">
        <v>760</v>
      </c>
      <c r="D31" s="127">
        <v>164</v>
      </c>
      <c r="E31" s="127">
        <v>0</v>
      </c>
      <c r="F31" s="127">
        <v>4500</v>
      </c>
      <c r="G31" s="125"/>
      <c r="H31" s="127">
        <v>0.9</v>
      </c>
      <c r="I31" s="140"/>
    </row>
    <row r="32" spans="1:9" ht="15.75" customHeight="1" x14ac:dyDescent="0.2">
      <c r="A32" s="734"/>
      <c r="B32" s="561" t="s">
        <v>182</v>
      </c>
      <c r="C32" s="127">
        <f>Циклы!H16</f>
        <v>540</v>
      </c>
      <c r="D32" s="127">
        <v>164</v>
      </c>
      <c r="E32" s="127">
        <v>0</v>
      </c>
      <c r="F32" s="127">
        <v>5000</v>
      </c>
      <c r="G32" s="125"/>
      <c r="H32" s="127">
        <v>0.9</v>
      </c>
      <c r="I32" s="140"/>
    </row>
    <row r="33" spans="1:9" ht="15.75" customHeight="1" thickBot="1" x14ac:dyDescent="0.25">
      <c r="A33" s="734"/>
      <c r="B33" s="563" t="s">
        <v>173</v>
      </c>
      <c r="C33" s="138">
        <f>C32</f>
        <v>540</v>
      </c>
      <c r="D33" s="138">
        <v>164</v>
      </c>
      <c r="E33" s="138">
        <v>0</v>
      </c>
      <c r="F33" s="138">
        <v>2000</v>
      </c>
      <c r="G33" s="139"/>
      <c r="H33" s="138">
        <v>0.9</v>
      </c>
      <c r="I33" s="137"/>
    </row>
    <row r="34" spans="1:9" ht="15.75" customHeight="1" x14ac:dyDescent="0.2">
      <c r="A34" s="734"/>
      <c r="B34" s="564" t="s">
        <v>209</v>
      </c>
      <c r="C34" s="154">
        <f>C26</f>
        <v>650</v>
      </c>
      <c r="D34" s="154"/>
      <c r="E34" s="154"/>
      <c r="F34" s="155">
        <v>8100</v>
      </c>
      <c r="G34" s="147"/>
      <c r="H34" s="154"/>
      <c r="I34" s="153"/>
    </row>
    <row r="35" spans="1:9" ht="15.75" customHeight="1" x14ac:dyDescent="0.2">
      <c r="A35" s="734"/>
      <c r="B35" s="565" t="s">
        <v>134</v>
      </c>
      <c r="C35" s="143">
        <f>C32</f>
        <v>540</v>
      </c>
      <c r="D35" s="143">
        <v>164</v>
      </c>
      <c r="E35" s="143">
        <v>0</v>
      </c>
      <c r="F35" s="152">
        <v>9572</v>
      </c>
      <c r="G35" s="143"/>
      <c r="H35" s="143"/>
      <c r="I35" s="144"/>
    </row>
    <row r="36" spans="1:9" ht="15.75" customHeight="1" x14ac:dyDescent="0.2">
      <c r="A36" s="734"/>
      <c r="B36" s="560" t="s">
        <v>131</v>
      </c>
      <c r="C36" s="125">
        <f>C27</f>
        <v>960</v>
      </c>
      <c r="D36" s="125">
        <v>164</v>
      </c>
      <c r="E36" s="127">
        <v>12</v>
      </c>
      <c r="F36" s="151">
        <v>5760</v>
      </c>
      <c r="G36" s="125"/>
      <c r="H36" s="125"/>
      <c r="I36" s="150"/>
    </row>
    <row r="37" spans="1:9" ht="15.75" customHeight="1" x14ac:dyDescent="0.2">
      <c r="A37" s="734"/>
      <c r="B37" s="560" t="s">
        <v>132</v>
      </c>
      <c r="C37" s="125">
        <f>C24</f>
        <v>600</v>
      </c>
      <c r="D37" s="125">
        <v>164</v>
      </c>
      <c r="E37" s="125">
        <v>0</v>
      </c>
      <c r="F37" s="151">
        <v>6332</v>
      </c>
      <c r="G37" s="125"/>
      <c r="H37" s="125"/>
      <c r="I37" s="150"/>
    </row>
    <row r="38" spans="1:9" ht="15.75" customHeight="1" thickBot="1" x14ac:dyDescent="0.25">
      <c r="A38" s="734"/>
      <c r="B38" s="566" t="s">
        <v>133</v>
      </c>
      <c r="C38" s="139">
        <f>C23</f>
        <v>600</v>
      </c>
      <c r="D38" s="139">
        <v>164</v>
      </c>
      <c r="E38" s="139">
        <v>0</v>
      </c>
      <c r="F38" s="149">
        <v>12990</v>
      </c>
      <c r="G38" s="139"/>
      <c r="H38" s="139"/>
      <c r="I38" s="148"/>
    </row>
    <row r="39" spans="1:9" ht="15.75" customHeight="1" thickBot="1" x14ac:dyDescent="0.25">
      <c r="A39" s="734"/>
      <c r="B39" s="564" t="s">
        <v>176</v>
      </c>
      <c r="C39" s="147">
        <f>Циклы!C5-C26</f>
        <v>0</v>
      </c>
      <c r="D39" s="145">
        <v>164</v>
      </c>
      <c r="E39" s="145">
        <v>0</v>
      </c>
      <c r="F39" s="147"/>
      <c r="G39" s="147"/>
      <c r="H39" s="147"/>
      <c r="I39" s="146"/>
    </row>
    <row r="40" spans="1:9" ht="15.75" customHeight="1" thickBot="1" x14ac:dyDescent="0.25">
      <c r="A40" s="734"/>
      <c r="B40" s="565" t="s">
        <v>211</v>
      </c>
      <c r="C40" s="143">
        <f>Циклы!C8-C29</f>
        <v>110</v>
      </c>
      <c r="D40" s="145">
        <v>164</v>
      </c>
      <c r="E40" s="145">
        <v>0</v>
      </c>
      <c r="F40" s="143"/>
      <c r="G40" s="143"/>
      <c r="H40" s="143"/>
      <c r="I40" s="144"/>
    </row>
    <row r="41" spans="1:9" ht="15.75" customHeight="1" x14ac:dyDescent="0.2">
      <c r="A41" s="734"/>
      <c r="B41" s="565" t="s">
        <v>173</v>
      </c>
      <c r="C41" s="142">
        <f>Циклы!C2-C23-C33</f>
        <v>0</v>
      </c>
      <c r="D41" s="142">
        <v>164</v>
      </c>
      <c r="E41" s="142">
        <v>0</v>
      </c>
      <c r="F41" s="142">
        <v>2000</v>
      </c>
      <c r="G41" s="143"/>
      <c r="H41" s="142">
        <v>0.9</v>
      </c>
      <c r="I41" s="141"/>
    </row>
    <row r="42" spans="1:9" ht="15.75" customHeight="1" x14ac:dyDescent="0.2">
      <c r="A42" s="734"/>
      <c r="B42" s="560" t="s">
        <v>174</v>
      </c>
      <c r="C42" s="127">
        <f>Циклы!C3-C24</f>
        <v>0</v>
      </c>
      <c r="D42" s="127">
        <v>164</v>
      </c>
      <c r="E42" s="127">
        <v>0</v>
      </c>
      <c r="F42" s="127">
        <v>4000</v>
      </c>
      <c r="G42" s="125"/>
      <c r="H42" s="127">
        <v>0.9</v>
      </c>
      <c r="I42" s="140"/>
    </row>
    <row r="43" spans="1:9" ht="15.75" customHeight="1" x14ac:dyDescent="0.2">
      <c r="A43" s="734"/>
      <c r="B43" s="560" t="s">
        <v>175</v>
      </c>
      <c r="C43" s="127">
        <f>Циклы!C4-C25</f>
        <v>0</v>
      </c>
      <c r="D43" s="127">
        <v>164</v>
      </c>
      <c r="E43" s="127">
        <v>0</v>
      </c>
      <c r="F43" s="127">
        <v>4500</v>
      </c>
      <c r="G43" s="125"/>
      <c r="H43" s="127">
        <v>0.9</v>
      </c>
      <c r="I43" s="140"/>
    </row>
    <row r="44" spans="1:9" ht="15.75" customHeight="1" x14ac:dyDescent="0.2">
      <c r="A44" s="734"/>
      <c r="B44" s="560" t="s">
        <v>177</v>
      </c>
      <c r="C44" s="127">
        <f>Циклы!C6-C27</f>
        <v>90</v>
      </c>
      <c r="D44" s="127">
        <v>140</v>
      </c>
      <c r="E44" s="127">
        <v>12</v>
      </c>
      <c r="F44" s="127">
        <v>11000</v>
      </c>
      <c r="G44" s="127">
        <v>70000</v>
      </c>
      <c r="H44" s="127">
        <v>0.9</v>
      </c>
      <c r="I44" s="140">
        <v>0.8</v>
      </c>
    </row>
    <row r="45" spans="1:9" ht="15.75" customHeight="1" x14ac:dyDescent="0.2">
      <c r="A45" s="734"/>
      <c r="B45" s="560" t="s">
        <v>178</v>
      </c>
      <c r="C45" s="127">
        <f>Циклы!C7-C28</f>
        <v>0</v>
      </c>
      <c r="D45" s="127">
        <v>140</v>
      </c>
      <c r="E45" s="127">
        <v>12</v>
      </c>
      <c r="F45" s="127">
        <v>7500</v>
      </c>
      <c r="G45" s="127">
        <v>45000</v>
      </c>
      <c r="H45" s="127">
        <v>0.9</v>
      </c>
      <c r="I45" s="140">
        <v>0.8</v>
      </c>
    </row>
    <row r="46" spans="1:9" ht="15.75" customHeight="1" x14ac:dyDescent="0.2">
      <c r="A46" s="734"/>
      <c r="B46" s="560" t="s">
        <v>180</v>
      </c>
      <c r="C46" s="127">
        <f>Циклы!C9-C30</f>
        <v>260</v>
      </c>
      <c r="D46" s="127">
        <v>164</v>
      </c>
      <c r="E46" s="127">
        <v>0</v>
      </c>
      <c r="F46" s="127">
        <v>4000</v>
      </c>
      <c r="G46" s="125"/>
      <c r="H46" s="127">
        <v>0.9</v>
      </c>
      <c r="I46" s="140"/>
    </row>
    <row r="47" spans="1:9" ht="15.75" customHeight="1" thickBot="1" x14ac:dyDescent="0.25">
      <c r="A47" s="734"/>
      <c r="B47" s="566" t="s">
        <v>182</v>
      </c>
      <c r="C47" s="138">
        <f>Циклы!C11-C32</f>
        <v>210</v>
      </c>
      <c r="D47" s="138">
        <v>164</v>
      </c>
      <c r="E47" s="138">
        <v>0</v>
      </c>
      <c r="F47" s="138">
        <v>5000</v>
      </c>
      <c r="G47" s="139"/>
      <c r="H47" s="138">
        <v>0.9</v>
      </c>
      <c r="I47" s="137"/>
    </row>
    <row r="48" spans="1:9" ht="15.75" customHeight="1" x14ac:dyDescent="0.2">
      <c r="A48" s="734"/>
      <c r="B48" s="130"/>
      <c r="C48" s="136"/>
      <c r="D48" s="136"/>
      <c r="E48" s="136"/>
      <c r="F48" s="136"/>
      <c r="G48" s="130"/>
      <c r="H48" s="136"/>
      <c r="I48" s="136"/>
    </row>
    <row r="49" spans="1:9" ht="15.75" customHeight="1" x14ac:dyDescent="0.2">
      <c r="A49" s="734"/>
      <c r="B49" s="130"/>
      <c r="C49" s="136"/>
      <c r="D49" s="136"/>
      <c r="E49" s="136"/>
      <c r="F49" s="136"/>
      <c r="G49" s="130"/>
      <c r="H49" s="136"/>
      <c r="I49" s="136"/>
    </row>
    <row r="50" spans="1:9" ht="15.75" customHeight="1" x14ac:dyDescent="0.2">
      <c r="A50" s="734"/>
      <c r="B50" s="135"/>
      <c r="C50" s="130" t="s">
        <v>206</v>
      </c>
    </row>
    <row r="51" spans="1:9" ht="15.75" customHeight="1" x14ac:dyDescent="0.2">
      <c r="A51" s="734"/>
    </row>
    <row r="52" spans="1:9" ht="15.75" customHeight="1" thickBot="1" x14ac:dyDescent="0.25">
      <c r="A52" s="735"/>
      <c r="B52" s="134"/>
      <c r="C52" s="133"/>
      <c r="D52" s="132"/>
      <c r="E52" s="131"/>
      <c r="F52" s="130" t="s">
        <v>207</v>
      </c>
    </row>
  </sheetData>
  <mergeCells count="3">
    <mergeCell ref="A14:A19"/>
    <mergeCell ref="A22:A52"/>
    <mergeCell ref="A1:A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81B3-4157-6C43-A8B1-F43D8B9958D5}">
  <dimension ref="A1:Y990"/>
  <sheetViews>
    <sheetView showGridLines="0" topLeftCell="C13" zoomScale="50" workbookViewId="0">
      <selection activeCell="L51" sqref="L51"/>
    </sheetView>
  </sheetViews>
  <sheetFormatPr baseColWidth="10" defaultColWidth="11.1640625" defaultRowHeight="15" customHeight="1" x14ac:dyDescent="0.2"/>
  <cols>
    <col min="1" max="1" width="11.1640625" style="285"/>
    <col min="2" max="2" width="17" style="285" customWidth="1"/>
    <col min="3" max="3" width="39" style="285" customWidth="1"/>
    <col min="4" max="4" width="19.33203125" style="285" customWidth="1"/>
    <col min="5" max="5" width="20.6640625" style="285" customWidth="1"/>
    <col min="6" max="6" width="28.83203125" style="285" customWidth="1"/>
    <col min="7" max="7" width="29.1640625" style="285" customWidth="1"/>
    <col min="8" max="8" width="23.6640625" style="285" customWidth="1"/>
    <col min="9" max="9" width="23.5" style="285" customWidth="1"/>
    <col min="10" max="10" width="18.33203125" style="285" customWidth="1"/>
    <col min="11" max="11" width="14.83203125" style="285" customWidth="1"/>
    <col min="12" max="12" width="14.1640625" style="285" customWidth="1"/>
    <col min="13" max="13" width="10.83203125" style="285" customWidth="1"/>
    <col min="14" max="14" width="22.6640625" style="285" customWidth="1"/>
    <col min="15" max="15" width="26.1640625" style="285" customWidth="1"/>
    <col min="16" max="16" width="24.6640625" style="285" customWidth="1"/>
    <col min="17" max="17" width="22.33203125" style="285" customWidth="1"/>
    <col min="18" max="18" width="23.5" style="285" customWidth="1"/>
    <col min="19" max="19" width="24.33203125" style="285" customWidth="1"/>
    <col min="20" max="20" width="23.1640625" style="285" customWidth="1"/>
    <col min="21" max="21" width="25.33203125" style="285" customWidth="1"/>
    <col min="22" max="22" width="25.1640625" style="285" customWidth="1"/>
    <col min="23" max="23" width="24.33203125" style="285" customWidth="1"/>
    <col min="24" max="24" width="24" style="285" customWidth="1"/>
    <col min="25" max="25" width="24.6640625" style="285" customWidth="1"/>
    <col min="26" max="16384" width="11.1640625" style="285"/>
  </cols>
  <sheetData>
    <row r="1" spans="1:25" ht="54.75" customHeight="1" thickBot="1" x14ac:dyDescent="0.25">
      <c r="A1" s="752" t="s">
        <v>235</v>
      </c>
      <c r="B1" s="545"/>
      <c r="C1" s="484" t="s">
        <v>96</v>
      </c>
      <c r="D1" s="483" t="s">
        <v>62</v>
      </c>
      <c r="E1" s="483" t="s">
        <v>97</v>
      </c>
      <c r="F1" s="483" t="s">
        <v>98</v>
      </c>
      <c r="G1" s="483" t="s">
        <v>99</v>
      </c>
      <c r="H1" s="485" t="s">
        <v>100</v>
      </c>
      <c r="I1" s="484" t="s">
        <v>102</v>
      </c>
      <c r="J1" s="483" t="s">
        <v>104</v>
      </c>
      <c r="K1" s="483" t="s">
        <v>105</v>
      </c>
      <c r="L1" s="483" t="s">
        <v>106</v>
      </c>
      <c r="M1" s="483" t="s">
        <v>107</v>
      </c>
      <c r="N1" s="483" t="s">
        <v>108</v>
      </c>
      <c r="O1" s="436" t="s">
        <v>109</v>
      </c>
      <c r="P1" s="483" t="s">
        <v>110</v>
      </c>
      <c r="Q1" s="483" t="s">
        <v>111</v>
      </c>
      <c r="R1" s="483" t="s">
        <v>112</v>
      </c>
      <c r="S1" s="483" t="s">
        <v>113</v>
      </c>
      <c r="T1" s="483" t="s">
        <v>114</v>
      </c>
      <c r="U1" s="436" t="s">
        <v>115</v>
      </c>
      <c r="V1" s="436" t="s">
        <v>116</v>
      </c>
      <c r="W1" s="436" t="s">
        <v>24</v>
      </c>
      <c r="X1" s="435" t="s">
        <v>161</v>
      </c>
      <c r="Y1" s="363"/>
    </row>
    <row r="2" spans="1:25" ht="18" customHeight="1" x14ac:dyDescent="0.2">
      <c r="A2" s="753"/>
      <c r="B2" s="749" t="s">
        <v>233</v>
      </c>
      <c r="C2" s="459" t="s">
        <v>117</v>
      </c>
      <c r="D2" s="459">
        <v>5</v>
      </c>
      <c r="E2" s="459" t="s">
        <v>118</v>
      </c>
      <c r="F2" s="459">
        <v>1</v>
      </c>
      <c r="G2" s="459">
        <v>1140</v>
      </c>
      <c r="H2" s="480">
        <v>2000</v>
      </c>
      <c r="I2" s="481"/>
      <c r="J2" s="459">
        <v>164</v>
      </c>
      <c r="K2" s="481"/>
      <c r="L2" s="458">
        <v>0.8</v>
      </c>
      <c r="M2" s="481"/>
      <c r="N2" s="480">
        <v>17100000</v>
      </c>
      <c r="O2" s="456">
        <f t="shared" ref="O2:O27" si="0">N2+(M2*K2*I2+L2*H2*J2)*G2</f>
        <v>316236000</v>
      </c>
      <c r="P2" s="476">
        <v>42000</v>
      </c>
      <c r="Q2" s="475">
        <v>6000</v>
      </c>
      <c r="R2" s="474">
        <v>2</v>
      </c>
      <c r="S2" s="475">
        <v>2000</v>
      </c>
      <c r="T2" s="474">
        <v>4</v>
      </c>
      <c r="U2" s="473">
        <v>2600</v>
      </c>
      <c r="V2" s="472">
        <f t="shared" ref="V2:V27" si="1">U2*G2*F2</f>
        <v>2964000</v>
      </c>
      <c r="W2" s="471">
        <f t="shared" ref="W2:W27" si="2">P2*G2</f>
        <v>47880000</v>
      </c>
      <c r="X2" s="470">
        <f t="shared" ref="X2:X11" si="3">(S2*T2+Q2*R2)*G2*F2</f>
        <v>22800000</v>
      </c>
      <c r="Y2" s="286"/>
    </row>
    <row r="3" spans="1:25" ht="18" customHeight="1" x14ac:dyDescent="0.2">
      <c r="A3" s="753"/>
      <c r="B3" s="750"/>
      <c r="C3" s="459" t="s">
        <v>119</v>
      </c>
      <c r="D3" s="459">
        <v>5</v>
      </c>
      <c r="E3" s="459" t="s">
        <v>118</v>
      </c>
      <c r="F3" s="459">
        <v>4</v>
      </c>
      <c r="G3" s="459">
        <v>600</v>
      </c>
      <c r="H3" s="480">
        <v>4000</v>
      </c>
      <c r="I3" s="481"/>
      <c r="J3" s="459">
        <v>164</v>
      </c>
      <c r="K3" s="481"/>
      <c r="L3" s="458">
        <v>0.85</v>
      </c>
      <c r="M3" s="481"/>
      <c r="N3" s="480">
        <v>9000000</v>
      </c>
      <c r="O3" s="456">
        <f t="shared" si="0"/>
        <v>343560000</v>
      </c>
      <c r="P3" s="476">
        <v>42000</v>
      </c>
      <c r="Q3" s="475">
        <v>6000</v>
      </c>
      <c r="R3" s="474">
        <v>2</v>
      </c>
      <c r="S3" s="475">
        <v>2000</v>
      </c>
      <c r="T3" s="474">
        <v>4</v>
      </c>
      <c r="U3" s="473">
        <v>2600</v>
      </c>
      <c r="V3" s="472">
        <f t="shared" si="1"/>
        <v>6240000</v>
      </c>
      <c r="W3" s="471">
        <f t="shared" si="2"/>
        <v>25200000</v>
      </c>
      <c r="X3" s="470">
        <f t="shared" si="3"/>
        <v>48000000</v>
      </c>
      <c r="Y3" s="286"/>
    </row>
    <row r="4" spans="1:25" ht="18" customHeight="1" x14ac:dyDescent="0.2">
      <c r="A4" s="753"/>
      <c r="B4" s="750"/>
      <c r="C4" s="459" t="s">
        <v>120</v>
      </c>
      <c r="D4" s="459">
        <v>6</v>
      </c>
      <c r="E4" s="459" t="s">
        <v>118</v>
      </c>
      <c r="F4" s="459">
        <v>4</v>
      </c>
      <c r="G4" s="459">
        <v>600</v>
      </c>
      <c r="H4" s="480">
        <v>4500</v>
      </c>
      <c r="I4" s="481"/>
      <c r="J4" s="459">
        <v>164</v>
      </c>
      <c r="K4" s="481"/>
      <c r="L4" s="458">
        <v>0.85</v>
      </c>
      <c r="M4" s="481"/>
      <c r="N4" s="480">
        <v>9000000</v>
      </c>
      <c r="O4" s="456">
        <f t="shared" si="0"/>
        <v>385380000</v>
      </c>
      <c r="P4" s="476">
        <v>42000</v>
      </c>
      <c r="Q4" s="475">
        <v>6000</v>
      </c>
      <c r="R4" s="474">
        <v>2</v>
      </c>
      <c r="S4" s="475">
        <v>2000</v>
      </c>
      <c r="T4" s="474">
        <v>4</v>
      </c>
      <c r="U4" s="473">
        <v>2600</v>
      </c>
      <c r="V4" s="472">
        <f t="shared" si="1"/>
        <v>6240000</v>
      </c>
      <c r="W4" s="471">
        <f t="shared" si="2"/>
        <v>25200000</v>
      </c>
      <c r="X4" s="470">
        <f t="shared" si="3"/>
        <v>48000000</v>
      </c>
      <c r="Y4" s="286"/>
    </row>
    <row r="5" spans="1:25" ht="18" customHeight="1" x14ac:dyDescent="0.2">
      <c r="A5" s="753"/>
      <c r="B5" s="750"/>
      <c r="C5" s="459" t="s">
        <v>121</v>
      </c>
      <c r="D5" s="459">
        <v>6</v>
      </c>
      <c r="E5" s="459" t="s">
        <v>118</v>
      </c>
      <c r="F5" s="459">
        <v>2.5</v>
      </c>
      <c r="G5" s="459">
        <v>650</v>
      </c>
      <c r="H5" s="480">
        <v>5000</v>
      </c>
      <c r="I5" s="481"/>
      <c r="J5" s="459">
        <v>164</v>
      </c>
      <c r="K5" s="481"/>
      <c r="L5" s="458">
        <v>0.8</v>
      </c>
      <c r="M5" s="481"/>
      <c r="N5" s="480">
        <v>9750000</v>
      </c>
      <c r="O5" s="456">
        <f t="shared" si="0"/>
        <v>436150000</v>
      </c>
      <c r="P5" s="476">
        <v>42000</v>
      </c>
      <c r="Q5" s="475">
        <v>6000</v>
      </c>
      <c r="R5" s="474">
        <v>2</v>
      </c>
      <c r="S5" s="475">
        <v>2000</v>
      </c>
      <c r="T5" s="474">
        <v>4</v>
      </c>
      <c r="U5" s="473">
        <v>2600</v>
      </c>
      <c r="V5" s="472">
        <f t="shared" si="1"/>
        <v>4225000</v>
      </c>
      <c r="W5" s="471">
        <f t="shared" si="2"/>
        <v>27300000</v>
      </c>
      <c r="X5" s="470">
        <f t="shared" si="3"/>
        <v>32500000</v>
      </c>
      <c r="Y5" s="286"/>
    </row>
    <row r="6" spans="1:25" ht="18" customHeight="1" x14ac:dyDescent="0.2">
      <c r="A6" s="753"/>
      <c r="B6" s="750"/>
      <c r="C6" s="459" t="s">
        <v>122</v>
      </c>
      <c r="D6" s="459">
        <v>7</v>
      </c>
      <c r="E6" s="459" t="s">
        <v>118</v>
      </c>
      <c r="F6" s="459">
        <v>4</v>
      </c>
      <c r="G6" s="459">
        <v>1050</v>
      </c>
      <c r="H6" s="480">
        <v>11000</v>
      </c>
      <c r="I6" s="457">
        <v>70000</v>
      </c>
      <c r="J6" s="459">
        <v>140</v>
      </c>
      <c r="K6" s="459">
        <v>12</v>
      </c>
      <c r="L6" s="458">
        <v>0.85</v>
      </c>
      <c r="M6" s="458">
        <v>0.6</v>
      </c>
      <c r="N6" s="480">
        <v>15750000</v>
      </c>
      <c r="O6" s="456">
        <f t="shared" si="0"/>
        <v>1919400000</v>
      </c>
      <c r="P6" s="476">
        <v>42000</v>
      </c>
      <c r="Q6" s="475">
        <v>6000</v>
      </c>
      <c r="R6" s="474">
        <v>2</v>
      </c>
      <c r="S6" s="475">
        <v>2000</v>
      </c>
      <c r="T6" s="474">
        <v>4</v>
      </c>
      <c r="U6" s="473">
        <v>2600</v>
      </c>
      <c r="V6" s="472">
        <f t="shared" si="1"/>
        <v>10920000</v>
      </c>
      <c r="W6" s="471">
        <f t="shared" si="2"/>
        <v>44100000</v>
      </c>
      <c r="X6" s="470">
        <f t="shared" si="3"/>
        <v>84000000</v>
      </c>
      <c r="Y6" s="286"/>
    </row>
    <row r="7" spans="1:25" ht="18" customHeight="1" x14ac:dyDescent="0.2">
      <c r="A7" s="753"/>
      <c r="B7" s="750"/>
      <c r="C7" s="459" t="s">
        <v>123</v>
      </c>
      <c r="D7" s="459">
        <v>8</v>
      </c>
      <c r="E7" s="459" t="s">
        <v>118</v>
      </c>
      <c r="F7" s="459">
        <v>4.5</v>
      </c>
      <c r="G7" s="459">
        <v>960</v>
      </c>
      <c r="H7" s="480">
        <v>7500</v>
      </c>
      <c r="I7" s="457">
        <v>45000</v>
      </c>
      <c r="J7" s="459">
        <v>140</v>
      </c>
      <c r="K7" s="459">
        <v>12</v>
      </c>
      <c r="L7" s="458">
        <v>0.85</v>
      </c>
      <c r="M7" s="458">
        <v>0.4</v>
      </c>
      <c r="N7" s="480">
        <v>14400000</v>
      </c>
      <c r="O7" s="456">
        <f t="shared" si="0"/>
        <v>1078560000</v>
      </c>
      <c r="P7" s="476">
        <v>42000</v>
      </c>
      <c r="Q7" s="475">
        <v>6000</v>
      </c>
      <c r="R7" s="474">
        <v>2</v>
      </c>
      <c r="S7" s="475">
        <v>2000</v>
      </c>
      <c r="T7" s="474">
        <v>4</v>
      </c>
      <c r="U7" s="473">
        <v>2600</v>
      </c>
      <c r="V7" s="472">
        <f t="shared" si="1"/>
        <v>11232000</v>
      </c>
      <c r="W7" s="471">
        <f t="shared" si="2"/>
        <v>40320000</v>
      </c>
      <c r="X7" s="470">
        <f t="shared" si="3"/>
        <v>86400000</v>
      </c>
      <c r="Y7" s="286"/>
    </row>
    <row r="8" spans="1:25" ht="18" customHeight="1" x14ac:dyDescent="0.2">
      <c r="A8" s="753"/>
      <c r="B8" s="750"/>
      <c r="C8" s="459" t="s">
        <v>124</v>
      </c>
      <c r="D8" s="459">
        <v>9</v>
      </c>
      <c r="E8" s="459" t="s">
        <v>118</v>
      </c>
      <c r="F8" s="459">
        <v>2</v>
      </c>
      <c r="G8" s="459">
        <v>760</v>
      </c>
      <c r="H8" s="480">
        <v>5500</v>
      </c>
      <c r="I8" s="481"/>
      <c r="J8" s="459">
        <v>164</v>
      </c>
      <c r="K8" s="481"/>
      <c r="L8" s="458">
        <v>0.75</v>
      </c>
      <c r="M8" s="481"/>
      <c r="N8" s="480">
        <v>11400000</v>
      </c>
      <c r="O8" s="456">
        <f t="shared" si="0"/>
        <v>525540000</v>
      </c>
      <c r="P8" s="476">
        <v>42000</v>
      </c>
      <c r="Q8" s="475">
        <v>6000</v>
      </c>
      <c r="R8" s="474">
        <v>2</v>
      </c>
      <c r="S8" s="475">
        <v>2000</v>
      </c>
      <c r="T8" s="474">
        <v>4</v>
      </c>
      <c r="U8" s="473">
        <v>2600</v>
      </c>
      <c r="V8" s="472">
        <f t="shared" si="1"/>
        <v>3952000</v>
      </c>
      <c r="W8" s="471">
        <f t="shared" si="2"/>
        <v>31920000</v>
      </c>
      <c r="X8" s="470">
        <f t="shared" si="3"/>
        <v>30400000</v>
      </c>
      <c r="Y8" s="286"/>
    </row>
    <row r="9" spans="1:25" ht="18" customHeight="1" x14ac:dyDescent="0.2">
      <c r="A9" s="753"/>
      <c r="B9" s="750"/>
      <c r="C9" s="459" t="s">
        <v>125</v>
      </c>
      <c r="D9" s="459">
        <v>9</v>
      </c>
      <c r="E9" s="459" t="s">
        <v>118</v>
      </c>
      <c r="F9" s="459">
        <v>2.5</v>
      </c>
      <c r="G9" s="459">
        <v>860</v>
      </c>
      <c r="H9" s="480">
        <v>4000</v>
      </c>
      <c r="I9" s="481"/>
      <c r="J9" s="459">
        <v>164</v>
      </c>
      <c r="K9" s="481"/>
      <c r="L9" s="458">
        <v>0.85</v>
      </c>
      <c r="M9" s="481"/>
      <c r="N9" s="480">
        <v>12900000</v>
      </c>
      <c r="O9" s="456">
        <f t="shared" si="0"/>
        <v>492436000</v>
      </c>
      <c r="P9" s="476">
        <v>42000</v>
      </c>
      <c r="Q9" s="475">
        <v>6000</v>
      </c>
      <c r="R9" s="474">
        <v>2</v>
      </c>
      <c r="S9" s="475">
        <v>2000</v>
      </c>
      <c r="T9" s="474">
        <v>4</v>
      </c>
      <c r="U9" s="473">
        <v>2600</v>
      </c>
      <c r="V9" s="472">
        <f t="shared" si="1"/>
        <v>5590000</v>
      </c>
      <c r="W9" s="471">
        <f t="shared" si="2"/>
        <v>36120000</v>
      </c>
      <c r="X9" s="470">
        <f t="shared" si="3"/>
        <v>43000000</v>
      </c>
      <c r="Y9" s="286"/>
    </row>
    <row r="10" spans="1:25" ht="18" customHeight="1" x14ac:dyDescent="0.2">
      <c r="A10" s="753"/>
      <c r="B10" s="750"/>
      <c r="C10" s="482" t="s">
        <v>128</v>
      </c>
      <c r="D10" s="459">
        <v>10</v>
      </c>
      <c r="E10" s="459" t="s">
        <v>118</v>
      </c>
      <c r="F10" s="459">
        <v>2</v>
      </c>
      <c r="G10" s="459">
        <v>760</v>
      </c>
      <c r="H10" s="480">
        <v>4500</v>
      </c>
      <c r="I10" s="481"/>
      <c r="J10" s="459">
        <v>164</v>
      </c>
      <c r="K10" s="481"/>
      <c r="L10" s="458">
        <v>0.7</v>
      </c>
      <c r="M10" s="481"/>
      <c r="N10" s="480">
        <v>11400000</v>
      </c>
      <c r="O10" s="456">
        <f t="shared" si="0"/>
        <v>404016000</v>
      </c>
      <c r="P10" s="476">
        <v>42000</v>
      </c>
      <c r="Q10" s="475">
        <v>6000</v>
      </c>
      <c r="R10" s="474">
        <v>2</v>
      </c>
      <c r="S10" s="475">
        <v>2000</v>
      </c>
      <c r="T10" s="474">
        <v>4</v>
      </c>
      <c r="U10" s="473">
        <v>2600</v>
      </c>
      <c r="V10" s="472">
        <f t="shared" si="1"/>
        <v>3952000</v>
      </c>
      <c r="W10" s="471">
        <f t="shared" si="2"/>
        <v>31920000</v>
      </c>
      <c r="X10" s="470">
        <f t="shared" si="3"/>
        <v>30400000</v>
      </c>
      <c r="Y10" s="286"/>
    </row>
    <row r="11" spans="1:25" ht="18" customHeight="1" thickBot="1" x14ac:dyDescent="0.25">
      <c r="A11" s="753"/>
      <c r="B11" s="751"/>
      <c r="C11" s="479" t="s">
        <v>129</v>
      </c>
      <c r="D11" s="453">
        <v>10</v>
      </c>
      <c r="E11" s="453" t="s">
        <v>118</v>
      </c>
      <c r="F11" s="453">
        <v>3</v>
      </c>
      <c r="G11" s="453">
        <v>750</v>
      </c>
      <c r="H11" s="477">
        <v>5000</v>
      </c>
      <c r="I11" s="478"/>
      <c r="J11" s="453">
        <v>164</v>
      </c>
      <c r="K11" s="478"/>
      <c r="L11" s="452">
        <v>0.65</v>
      </c>
      <c r="M11" s="478"/>
      <c r="N11" s="477">
        <v>11250000</v>
      </c>
      <c r="O11" s="456">
        <f t="shared" si="0"/>
        <v>411000000</v>
      </c>
      <c r="P11" s="476">
        <v>42000</v>
      </c>
      <c r="Q11" s="475">
        <v>6000</v>
      </c>
      <c r="R11" s="474">
        <v>2</v>
      </c>
      <c r="S11" s="475">
        <v>2000</v>
      </c>
      <c r="T11" s="474">
        <v>4</v>
      </c>
      <c r="U11" s="473">
        <v>2600</v>
      </c>
      <c r="V11" s="472">
        <f t="shared" si="1"/>
        <v>5850000</v>
      </c>
      <c r="W11" s="471">
        <f t="shared" si="2"/>
        <v>31500000</v>
      </c>
      <c r="X11" s="470">
        <f t="shared" si="3"/>
        <v>45000000</v>
      </c>
      <c r="Y11" s="286"/>
    </row>
    <row r="12" spans="1:25" ht="18" customHeight="1" x14ac:dyDescent="0.2">
      <c r="A12" s="753"/>
      <c r="B12" s="755" t="s">
        <v>135</v>
      </c>
      <c r="C12" s="459" t="s">
        <v>136</v>
      </c>
      <c r="D12" s="459">
        <v>1</v>
      </c>
      <c r="E12" s="459" t="s">
        <v>71</v>
      </c>
      <c r="F12" s="459">
        <v>14</v>
      </c>
      <c r="G12" s="459">
        <v>140</v>
      </c>
      <c r="H12" s="457">
        <v>35000</v>
      </c>
      <c r="I12" s="457">
        <v>80000</v>
      </c>
      <c r="J12" s="459">
        <v>220</v>
      </c>
      <c r="K12" s="459">
        <v>26</v>
      </c>
      <c r="L12" s="458">
        <v>0.85</v>
      </c>
      <c r="M12" s="458">
        <v>0.65</v>
      </c>
      <c r="N12" s="457">
        <v>3500000</v>
      </c>
      <c r="O12" s="456">
        <f t="shared" si="0"/>
        <v>1109080000</v>
      </c>
      <c r="P12" s="469">
        <v>55000</v>
      </c>
      <c r="Q12" s="468">
        <v>8000</v>
      </c>
      <c r="R12" s="467">
        <v>2</v>
      </c>
      <c r="S12" s="468">
        <v>2500</v>
      </c>
      <c r="T12" s="467">
        <v>8</v>
      </c>
      <c r="U12" s="466">
        <v>4800</v>
      </c>
      <c r="V12" s="465">
        <f t="shared" si="1"/>
        <v>9408000</v>
      </c>
      <c r="W12" s="464">
        <f t="shared" si="2"/>
        <v>7700000</v>
      </c>
      <c r="X12" s="463">
        <f t="shared" ref="X12:X27" si="4">G12*(R12*Q12+S12*T12)*F12</f>
        <v>70560000</v>
      </c>
      <c r="Y12" s="286"/>
    </row>
    <row r="13" spans="1:25" ht="18" customHeight="1" x14ac:dyDescent="0.2">
      <c r="A13" s="753"/>
      <c r="B13" s="756"/>
      <c r="C13" s="459" t="s">
        <v>137</v>
      </c>
      <c r="D13" s="459">
        <v>1</v>
      </c>
      <c r="E13" s="459" t="s">
        <v>71</v>
      </c>
      <c r="F13" s="459">
        <v>12</v>
      </c>
      <c r="G13" s="459">
        <v>120</v>
      </c>
      <c r="H13" s="457">
        <v>40000</v>
      </c>
      <c r="I13" s="457">
        <v>90000</v>
      </c>
      <c r="J13" s="459">
        <v>220</v>
      </c>
      <c r="K13" s="459">
        <v>26</v>
      </c>
      <c r="L13" s="458">
        <v>0.85</v>
      </c>
      <c r="M13" s="458">
        <v>0.6</v>
      </c>
      <c r="N13" s="457">
        <v>3000000</v>
      </c>
      <c r="O13" s="456">
        <f t="shared" si="0"/>
        <v>1069080000</v>
      </c>
      <c r="P13" s="462">
        <v>55000</v>
      </c>
      <c r="Q13" s="461">
        <v>8000</v>
      </c>
      <c r="R13" s="460">
        <v>2</v>
      </c>
      <c r="S13" s="461">
        <v>2500</v>
      </c>
      <c r="T13" s="460">
        <v>8</v>
      </c>
      <c r="U13" s="429">
        <v>4800</v>
      </c>
      <c r="V13" s="431">
        <f t="shared" si="1"/>
        <v>6912000</v>
      </c>
      <c r="W13" s="402">
        <f t="shared" si="2"/>
        <v>6600000</v>
      </c>
      <c r="X13" s="401">
        <f t="shared" si="4"/>
        <v>51840000</v>
      </c>
      <c r="Y13" s="286"/>
    </row>
    <row r="14" spans="1:25" ht="18" customHeight="1" x14ac:dyDescent="0.2">
      <c r="A14" s="753"/>
      <c r="B14" s="756"/>
      <c r="C14" s="459" t="s">
        <v>138</v>
      </c>
      <c r="D14" s="459">
        <v>1</v>
      </c>
      <c r="E14" s="459" t="s">
        <v>71</v>
      </c>
      <c r="F14" s="459">
        <v>14</v>
      </c>
      <c r="G14" s="459">
        <v>100</v>
      </c>
      <c r="H14" s="457">
        <v>35000</v>
      </c>
      <c r="I14" s="457">
        <v>85000</v>
      </c>
      <c r="J14" s="459">
        <v>220</v>
      </c>
      <c r="K14" s="459">
        <v>26</v>
      </c>
      <c r="L14" s="458">
        <v>0.75</v>
      </c>
      <c r="M14" s="458">
        <v>0.65</v>
      </c>
      <c r="N14" s="457">
        <v>2500000</v>
      </c>
      <c r="O14" s="456">
        <f t="shared" si="0"/>
        <v>723650000</v>
      </c>
      <c r="P14" s="455">
        <v>55000</v>
      </c>
      <c r="Q14" s="422">
        <v>8000</v>
      </c>
      <c r="R14" s="454">
        <v>2</v>
      </c>
      <c r="S14" s="422">
        <v>2500</v>
      </c>
      <c r="T14" s="454">
        <v>8</v>
      </c>
      <c r="U14" s="308">
        <v>4800</v>
      </c>
      <c r="V14" s="412">
        <f t="shared" si="1"/>
        <v>6720000</v>
      </c>
      <c r="W14" s="418">
        <f t="shared" si="2"/>
        <v>5500000</v>
      </c>
      <c r="X14" s="417">
        <f t="shared" si="4"/>
        <v>50400000</v>
      </c>
      <c r="Y14" s="286"/>
    </row>
    <row r="15" spans="1:25" ht="18" customHeight="1" x14ac:dyDescent="0.2">
      <c r="A15" s="753"/>
      <c r="B15" s="756"/>
      <c r="C15" s="459" t="s">
        <v>139</v>
      </c>
      <c r="D15" s="459">
        <v>2</v>
      </c>
      <c r="E15" s="459" t="s">
        <v>71</v>
      </c>
      <c r="F15" s="459">
        <v>9</v>
      </c>
      <c r="G15" s="459">
        <v>150</v>
      </c>
      <c r="H15" s="457">
        <v>40000</v>
      </c>
      <c r="I15" s="457">
        <v>110000</v>
      </c>
      <c r="J15" s="459">
        <v>220</v>
      </c>
      <c r="K15" s="459">
        <v>26</v>
      </c>
      <c r="L15" s="458">
        <v>0.8</v>
      </c>
      <c r="M15" s="458">
        <v>0.6</v>
      </c>
      <c r="N15" s="457">
        <v>3750000</v>
      </c>
      <c r="O15" s="456">
        <f t="shared" si="0"/>
        <v>1317150000</v>
      </c>
      <c r="P15" s="455">
        <v>55000</v>
      </c>
      <c r="Q15" s="422">
        <v>8000</v>
      </c>
      <c r="R15" s="454">
        <v>2</v>
      </c>
      <c r="S15" s="422">
        <v>2500</v>
      </c>
      <c r="T15" s="454">
        <v>8</v>
      </c>
      <c r="U15" s="308">
        <v>4800</v>
      </c>
      <c r="V15" s="412">
        <f t="shared" si="1"/>
        <v>6480000</v>
      </c>
      <c r="W15" s="418">
        <f t="shared" si="2"/>
        <v>8250000</v>
      </c>
      <c r="X15" s="417">
        <f t="shared" si="4"/>
        <v>48600000</v>
      </c>
      <c r="Y15" s="286"/>
    </row>
    <row r="16" spans="1:25" ht="18" customHeight="1" x14ac:dyDescent="0.2">
      <c r="A16" s="753"/>
      <c r="B16" s="756"/>
      <c r="C16" s="459" t="s">
        <v>140</v>
      </c>
      <c r="D16" s="459">
        <v>2</v>
      </c>
      <c r="E16" s="459" t="s">
        <v>71</v>
      </c>
      <c r="F16" s="459">
        <v>14</v>
      </c>
      <c r="G16" s="459">
        <v>140</v>
      </c>
      <c r="H16" s="457">
        <v>35000</v>
      </c>
      <c r="I16" s="457">
        <v>90000</v>
      </c>
      <c r="J16" s="459">
        <v>220</v>
      </c>
      <c r="K16" s="459">
        <v>26</v>
      </c>
      <c r="L16" s="458">
        <v>0.8</v>
      </c>
      <c r="M16" s="458">
        <v>0.55000000000000004</v>
      </c>
      <c r="N16" s="457">
        <v>3500000</v>
      </c>
      <c r="O16" s="456">
        <f t="shared" si="0"/>
        <v>1046080000</v>
      </c>
      <c r="P16" s="455">
        <v>55000</v>
      </c>
      <c r="Q16" s="422">
        <v>8000</v>
      </c>
      <c r="R16" s="454">
        <v>2</v>
      </c>
      <c r="S16" s="422">
        <v>2500</v>
      </c>
      <c r="T16" s="454">
        <v>8</v>
      </c>
      <c r="U16" s="308">
        <v>4800</v>
      </c>
      <c r="V16" s="412">
        <f t="shared" si="1"/>
        <v>9408000</v>
      </c>
      <c r="W16" s="418">
        <f t="shared" si="2"/>
        <v>7700000</v>
      </c>
      <c r="X16" s="417">
        <f t="shared" si="4"/>
        <v>70560000</v>
      </c>
      <c r="Y16" s="286"/>
    </row>
    <row r="17" spans="1:25" ht="18" customHeight="1" x14ac:dyDescent="0.2">
      <c r="A17" s="753"/>
      <c r="B17" s="756"/>
      <c r="C17" s="459" t="s">
        <v>141</v>
      </c>
      <c r="D17" s="459">
        <v>2</v>
      </c>
      <c r="E17" s="459" t="s">
        <v>71</v>
      </c>
      <c r="F17" s="459">
        <v>5</v>
      </c>
      <c r="G17" s="459">
        <v>160</v>
      </c>
      <c r="H17" s="457">
        <v>30000</v>
      </c>
      <c r="I17" s="457">
        <v>100000</v>
      </c>
      <c r="J17" s="459">
        <v>240</v>
      </c>
      <c r="K17" s="459">
        <v>16</v>
      </c>
      <c r="L17" s="458">
        <v>0.85</v>
      </c>
      <c r="M17" s="458">
        <v>0.7</v>
      </c>
      <c r="N17" s="457">
        <v>4000000</v>
      </c>
      <c r="O17" s="456">
        <f t="shared" si="0"/>
        <v>1162400000</v>
      </c>
      <c r="P17" s="455">
        <v>55000</v>
      </c>
      <c r="Q17" s="422">
        <v>8000</v>
      </c>
      <c r="R17" s="454">
        <v>2</v>
      </c>
      <c r="S17" s="422">
        <v>2500</v>
      </c>
      <c r="T17" s="454">
        <v>8</v>
      </c>
      <c r="U17" s="308">
        <v>4800</v>
      </c>
      <c r="V17" s="412">
        <f t="shared" si="1"/>
        <v>3840000</v>
      </c>
      <c r="W17" s="418">
        <f t="shared" si="2"/>
        <v>8800000</v>
      </c>
      <c r="X17" s="417">
        <f t="shared" si="4"/>
        <v>28800000</v>
      </c>
      <c r="Y17" s="286"/>
    </row>
    <row r="18" spans="1:25" ht="18" customHeight="1" x14ac:dyDescent="0.2">
      <c r="A18" s="753"/>
      <c r="B18" s="756"/>
      <c r="C18" s="459" t="s">
        <v>142</v>
      </c>
      <c r="D18" s="459">
        <v>3</v>
      </c>
      <c r="E18" s="459" t="s">
        <v>76</v>
      </c>
      <c r="F18" s="459">
        <v>6</v>
      </c>
      <c r="G18" s="459">
        <v>80</v>
      </c>
      <c r="H18" s="457">
        <v>45000</v>
      </c>
      <c r="I18" s="457">
        <v>120000</v>
      </c>
      <c r="J18" s="459">
        <v>240</v>
      </c>
      <c r="K18" s="459">
        <v>16</v>
      </c>
      <c r="L18" s="458">
        <v>0.85</v>
      </c>
      <c r="M18" s="458">
        <v>0.6</v>
      </c>
      <c r="N18" s="457">
        <v>2000000</v>
      </c>
      <c r="O18" s="456">
        <f t="shared" si="0"/>
        <v>828560000</v>
      </c>
      <c r="P18" s="455">
        <v>55000</v>
      </c>
      <c r="Q18" s="422">
        <v>8000</v>
      </c>
      <c r="R18" s="454">
        <v>2</v>
      </c>
      <c r="S18" s="422">
        <v>2500</v>
      </c>
      <c r="T18" s="454">
        <v>8</v>
      </c>
      <c r="U18" s="308">
        <v>5600</v>
      </c>
      <c r="V18" s="412">
        <f t="shared" si="1"/>
        <v>2688000</v>
      </c>
      <c r="W18" s="418">
        <f t="shared" si="2"/>
        <v>4400000</v>
      </c>
      <c r="X18" s="417">
        <f t="shared" si="4"/>
        <v>17280000</v>
      </c>
      <c r="Y18" s="286"/>
    </row>
    <row r="19" spans="1:25" ht="18" customHeight="1" x14ac:dyDescent="0.2">
      <c r="A19" s="753"/>
      <c r="B19" s="756"/>
      <c r="C19" s="459" t="s">
        <v>143</v>
      </c>
      <c r="D19" s="459">
        <v>3</v>
      </c>
      <c r="E19" s="459" t="s">
        <v>76</v>
      </c>
      <c r="F19" s="459">
        <v>10</v>
      </c>
      <c r="G19" s="459">
        <v>100</v>
      </c>
      <c r="H19" s="457">
        <v>35000</v>
      </c>
      <c r="I19" s="457">
        <v>75000</v>
      </c>
      <c r="J19" s="459">
        <v>240</v>
      </c>
      <c r="K19" s="459">
        <v>16</v>
      </c>
      <c r="L19" s="458">
        <v>0.75</v>
      </c>
      <c r="M19" s="458">
        <v>0.7</v>
      </c>
      <c r="N19" s="457">
        <v>2500000</v>
      </c>
      <c r="O19" s="456">
        <f t="shared" si="0"/>
        <v>716500000</v>
      </c>
      <c r="P19" s="455">
        <v>55000</v>
      </c>
      <c r="Q19" s="422">
        <v>8000</v>
      </c>
      <c r="R19" s="454">
        <v>2</v>
      </c>
      <c r="S19" s="422">
        <v>2500</v>
      </c>
      <c r="T19" s="454">
        <v>8</v>
      </c>
      <c r="U19" s="308">
        <v>5600</v>
      </c>
      <c r="V19" s="412">
        <f t="shared" si="1"/>
        <v>5600000</v>
      </c>
      <c r="W19" s="418">
        <f t="shared" si="2"/>
        <v>5500000</v>
      </c>
      <c r="X19" s="417">
        <f t="shared" si="4"/>
        <v>36000000</v>
      </c>
      <c r="Y19" s="286"/>
    </row>
    <row r="20" spans="1:25" ht="18" customHeight="1" x14ac:dyDescent="0.2">
      <c r="A20" s="753"/>
      <c r="B20" s="756"/>
      <c r="C20" s="459" t="s">
        <v>144</v>
      </c>
      <c r="D20" s="459">
        <v>3</v>
      </c>
      <c r="E20" s="459" t="s">
        <v>76</v>
      </c>
      <c r="F20" s="459">
        <v>9</v>
      </c>
      <c r="G20" s="459">
        <v>160</v>
      </c>
      <c r="H20" s="457">
        <v>30000</v>
      </c>
      <c r="I20" s="457">
        <v>80000</v>
      </c>
      <c r="J20" s="459">
        <v>240</v>
      </c>
      <c r="K20" s="459">
        <v>16</v>
      </c>
      <c r="L20" s="458">
        <v>0.85</v>
      </c>
      <c r="M20" s="458">
        <v>0.6</v>
      </c>
      <c r="N20" s="457">
        <v>4000000</v>
      </c>
      <c r="O20" s="456">
        <f t="shared" si="0"/>
        <v>1106080000</v>
      </c>
      <c r="P20" s="455">
        <v>55000</v>
      </c>
      <c r="Q20" s="422">
        <v>8000</v>
      </c>
      <c r="R20" s="454">
        <v>2</v>
      </c>
      <c r="S20" s="422">
        <v>2500</v>
      </c>
      <c r="T20" s="454">
        <v>8</v>
      </c>
      <c r="U20" s="308">
        <v>5600</v>
      </c>
      <c r="V20" s="412">
        <f t="shared" si="1"/>
        <v>8064000</v>
      </c>
      <c r="W20" s="418">
        <f t="shared" si="2"/>
        <v>8800000</v>
      </c>
      <c r="X20" s="417">
        <f t="shared" si="4"/>
        <v>51840000</v>
      </c>
      <c r="Y20" s="286"/>
    </row>
    <row r="21" spans="1:25" ht="18" customHeight="1" x14ac:dyDescent="0.2">
      <c r="A21" s="753"/>
      <c r="B21" s="756"/>
      <c r="C21" s="459" t="s">
        <v>145</v>
      </c>
      <c r="D21" s="459">
        <v>3</v>
      </c>
      <c r="E21" s="459" t="s">
        <v>76</v>
      </c>
      <c r="F21" s="459">
        <v>9</v>
      </c>
      <c r="G21" s="459">
        <v>160</v>
      </c>
      <c r="H21" s="457">
        <v>25000</v>
      </c>
      <c r="I21" s="457">
        <v>70000</v>
      </c>
      <c r="J21" s="459">
        <v>240</v>
      </c>
      <c r="K21" s="459">
        <v>16</v>
      </c>
      <c r="L21" s="458">
        <v>0.85</v>
      </c>
      <c r="M21" s="458">
        <v>0.55000000000000004</v>
      </c>
      <c r="N21" s="457">
        <v>4000000</v>
      </c>
      <c r="O21" s="456">
        <f t="shared" si="0"/>
        <v>918560000</v>
      </c>
      <c r="P21" s="455">
        <v>55000</v>
      </c>
      <c r="Q21" s="422">
        <v>8000</v>
      </c>
      <c r="R21" s="454">
        <v>2</v>
      </c>
      <c r="S21" s="422">
        <v>2500</v>
      </c>
      <c r="T21" s="454">
        <v>8</v>
      </c>
      <c r="U21" s="308">
        <v>5600</v>
      </c>
      <c r="V21" s="412">
        <f t="shared" si="1"/>
        <v>8064000</v>
      </c>
      <c r="W21" s="418">
        <f t="shared" si="2"/>
        <v>8800000</v>
      </c>
      <c r="X21" s="417">
        <f t="shared" si="4"/>
        <v>51840000</v>
      </c>
      <c r="Y21" s="286"/>
    </row>
    <row r="22" spans="1:25" ht="18" customHeight="1" x14ac:dyDescent="0.2">
      <c r="A22" s="753"/>
      <c r="B22" s="756"/>
      <c r="C22" s="459" t="s">
        <v>146</v>
      </c>
      <c r="D22" s="459">
        <v>4</v>
      </c>
      <c r="E22" s="459" t="s">
        <v>76</v>
      </c>
      <c r="F22" s="459">
        <v>4.5</v>
      </c>
      <c r="G22" s="459">
        <v>150</v>
      </c>
      <c r="H22" s="457">
        <v>15000</v>
      </c>
      <c r="I22" s="457">
        <v>75000</v>
      </c>
      <c r="J22" s="459">
        <v>240</v>
      </c>
      <c r="K22" s="459">
        <v>16</v>
      </c>
      <c r="L22" s="458">
        <v>0.8</v>
      </c>
      <c r="M22" s="458">
        <v>0.6</v>
      </c>
      <c r="N22" s="457">
        <v>3750000</v>
      </c>
      <c r="O22" s="456">
        <f t="shared" si="0"/>
        <v>543750000</v>
      </c>
      <c r="P22" s="455">
        <v>55000</v>
      </c>
      <c r="Q22" s="422">
        <v>8000</v>
      </c>
      <c r="R22" s="454">
        <v>2</v>
      </c>
      <c r="S22" s="422">
        <v>2500</v>
      </c>
      <c r="T22" s="454">
        <v>8</v>
      </c>
      <c r="U22" s="308">
        <v>5600</v>
      </c>
      <c r="V22" s="412">
        <f t="shared" si="1"/>
        <v>3780000</v>
      </c>
      <c r="W22" s="418">
        <f t="shared" si="2"/>
        <v>8250000</v>
      </c>
      <c r="X22" s="417">
        <f t="shared" si="4"/>
        <v>24300000</v>
      </c>
      <c r="Y22" s="286"/>
    </row>
    <row r="23" spans="1:25" ht="18" customHeight="1" x14ac:dyDescent="0.2">
      <c r="A23" s="753"/>
      <c r="B23" s="756"/>
      <c r="C23" s="459" t="s">
        <v>147</v>
      </c>
      <c r="D23" s="459">
        <v>4</v>
      </c>
      <c r="E23" s="459" t="s">
        <v>76</v>
      </c>
      <c r="F23" s="459">
        <v>4.5</v>
      </c>
      <c r="G23" s="459">
        <v>140</v>
      </c>
      <c r="H23" s="457">
        <v>15000</v>
      </c>
      <c r="I23" s="457">
        <v>75000</v>
      </c>
      <c r="J23" s="459">
        <v>240</v>
      </c>
      <c r="K23" s="459">
        <v>16</v>
      </c>
      <c r="L23" s="458">
        <v>0.85</v>
      </c>
      <c r="M23" s="458">
        <v>0.6</v>
      </c>
      <c r="N23" s="457">
        <v>3500000</v>
      </c>
      <c r="O23" s="456">
        <f t="shared" si="0"/>
        <v>532700000</v>
      </c>
      <c r="P23" s="455">
        <v>55000</v>
      </c>
      <c r="Q23" s="422">
        <v>8000</v>
      </c>
      <c r="R23" s="454">
        <v>2</v>
      </c>
      <c r="S23" s="422">
        <v>2500</v>
      </c>
      <c r="T23" s="454">
        <v>8</v>
      </c>
      <c r="U23" s="308">
        <v>5600</v>
      </c>
      <c r="V23" s="412">
        <f t="shared" si="1"/>
        <v>3528000</v>
      </c>
      <c r="W23" s="418">
        <f t="shared" si="2"/>
        <v>7700000</v>
      </c>
      <c r="X23" s="417">
        <f t="shared" si="4"/>
        <v>22680000</v>
      </c>
      <c r="Y23" s="286"/>
    </row>
    <row r="24" spans="1:25" ht="18" customHeight="1" x14ac:dyDescent="0.2">
      <c r="A24" s="753"/>
      <c r="B24" s="756"/>
      <c r="C24" s="459" t="s">
        <v>148</v>
      </c>
      <c r="D24" s="459">
        <v>4</v>
      </c>
      <c r="E24" s="459" t="s">
        <v>76</v>
      </c>
      <c r="F24" s="459">
        <v>5</v>
      </c>
      <c r="G24" s="459">
        <v>130</v>
      </c>
      <c r="H24" s="457">
        <v>15000</v>
      </c>
      <c r="I24" s="457">
        <v>70000</v>
      </c>
      <c r="J24" s="459">
        <v>240</v>
      </c>
      <c r="K24" s="459">
        <v>16</v>
      </c>
      <c r="L24" s="458">
        <v>0.85</v>
      </c>
      <c r="M24" s="458">
        <v>0.5</v>
      </c>
      <c r="N24" s="457">
        <v>3250000</v>
      </c>
      <c r="O24" s="456">
        <f t="shared" si="0"/>
        <v>473850000</v>
      </c>
      <c r="P24" s="455">
        <v>55000</v>
      </c>
      <c r="Q24" s="422">
        <v>8000</v>
      </c>
      <c r="R24" s="454">
        <v>2</v>
      </c>
      <c r="S24" s="422">
        <v>2500</v>
      </c>
      <c r="T24" s="454">
        <v>8</v>
      </c>
      <c r="U24" s="308">
        <v>5600</v>
      </c>
      <c r="V24" s="412">
        <f t="shared" si="1"/>
        <v>3640000</v>
      </c>
      <c r="W24" s="418">
        <f t="shared" si="2"/>
        <v>7150000</v>
      </c>
      <c r="X24" s="417">
        <f t="shared" si="4"/>
        <v>23400000</v>
      </c>
      <c r="Y24" s="286"/>
    </row>
    <row r="25" spans="1:25" ht="18" customHeight="1" x14ac:dyDescent="0.2">
      <c r="A25" s="753"/>
      <c r="B25" s="756"/>
      <c r="C25" s="459" t="s">
        <v>149</v>
      </c>
      <c r="D25" s="459">
        <v>4</v>
      </c>
      <c r="E25" s="459" t="s">
        <v>76</v>
      </c>
      <c r="F25" s="459">
        <v>5</v>
      </c>
      <c r="G25" s="459">
        <v>130</v>
      </c>
      <c r="H25" s="457">
        <v>15000</v>
      </c>
      <c r="I25" s="457">
        <v>70000</v>
      </c>
      <c r="J25" s="459">
        <v>240</v>
      </c>
      <c r="K25" s="459">
        <v>16</v>
      </c>
      <c r="L25" s="458">
        <v>0.8</v>
      </c>
      <c r="M25" s="458">
        <v>0.55000000000000004</v>
      </c>
      <c r="N25" s="457">
        <v>3250000</v>
      </c>
      <c r="O25" s="456">
        <f t="shared" si="0"/>
        <v>457730000</v>
      </c>
      <c r="P25" s="455">
        <v>55000</v>
      </c>
      <c r="Q25" s="422">
        <v>8000</v>
      </c>
      <c r="R25" s="454">
        <v>2</v>
      </c>
      <c r="S25" s="422">
        <v>2500</v>
      </c>
      <c r="T25" s="454">
        <v>8</v>
      </c>
      <c r="U25" s="308">
        <v>5600</v>
      </c>
      <c r="V25" s="412">
        <f t="shared" si="1"/>
        <v>3640000</v>
      </c>
      <c r="W25" s="418">
        <f t="shared" si="2"/>
        <v>7150000</v>
      </c>
      <c r="X25" s="417">
        <f t="shared" si="4"/>
        <v>23400000</v>
      </c>
      <c r="Y25" s="286"/>
    </row>
    <row r="26" spans="1:25" ht="18" customHeight="1" x14ac:dyDescent="0.2">
      <c r="A26" s="753"/>
      <c r="B26" s="756"/>
      <c r="C26" s="459" t="s">
        <v>208</v>
      </c>
      <c r="D26" s="459">
        <v>4</v>
      </c>
      <c r="E26" s="459" t="s">
        <v>76</v>
      </c>
      <c r="F26" s="459">
        <v>5</v>
      </c>
      <c r="G26" s="459">
        <v>130</v>
      </c>
      <c r="H26" s="457">
        <v>15000</v>
      </c>
      <c r="I26" s="457">
        <v>70000</v>
      </c>
      <c r="J26" s="459">
        <v>240</v>
      </c>
      <c r="K26" s="459">
        <v>16</v>
      </c>
      <c r="L26" s="458">
        <v>0.8</v>
      </c>
      <c r="M26" s="458">
        <v>0.55000000000000004</v>
      </c>
      <c r="N26" s="457">
        <v>3250000</v>
      </c>
      <c r="O26" s="456">
        <f t="shared" si="0"/>
        <v>457730000</v>
      </c>
      <c r="P26" s="455">
        <v>55000</v>
      </c>
      <c r="Q26" s="422">
        <v>8000</v>
      </c>
      <c r="R26" s="454">
        <v>2</v>
      </c>
      <c r="S26" s="422">
        <v>2500</v>
      </c>
      <c r="T26" s="454">
        <v>8</v>
      </c>
      <c r="U26" s="308">
        <v>5600</v>
      </c>
      <c r="V26" s="412">
        <f t="shared" si="1"/>
        <v>3640000</v>
      </c>
      <c r="W26" s="418">
        <f t="shared" si="2"/>
        <v>7150000</v>
      </c>
      <c r="X26" s="417">
        <f t="shared" si="4"/>
        <v>23400000</v>
      </c>
      <c r="Y26" s="286"/>
    </row>
    <row r="27" spans="1:25" ht="18" customHeight="1" thickBot="1" x14ac:dyDescent="0.25">
      <c r="A27" s="753"/>
      <c r="B27" s="757"/>
      <c r="C27" s="453" t="s">
        <v>151</v>
      </c>
      <c r="D27" s="453">
        <v>4</v>
      </c>
      <c r="E27" s="453" t="s">
        <v>76</v>
      </c>
      <c r="F27" s="453">
        <v>8</v>
      </c>
      <c r="G27" s="453">
        <v>80</v>
      </c>
      <c r="H27" s="451">
        <v>20000</v>
      </c>
      <c r="I27" s="451">
        <v>110000</v>
      </c>
      <c r="J27" s="453">
        <v>240</v>
      </c>
      <c r="K27" s="453">
        <v>16</v>
      </c>
      <c r="L27" s="452">
        <v>0.75</v>
      </c>
      <c r="M27" s="452">
        <v>0.6</v>
      </c>
      <c r="N27" s="451">
        <v>2000000</v>
      </c>
      <c r="O27" s="450">
        <f t="shared" si="0"/>
        <v>374480000</v>
      </c>
      <c r="P27" s="449">
        <v>55000</v>
      </c>
      <c r="Q27" s="448">
        <v>8000</v>
      </c>
      <c r="R27" s="447">
        <v>2</v>
      </c>
      <c r="S27" s="448">
        <v>2500</v>
      </c>
      <c r="T27" s="447">
        <v>8</v>
      </c>
      <c r="U27" s="394">
        <v>5600</v>
      </c>
      <c r="V27" s="446">
        <f t="shared" si="1"/>
        <v>3584000</v>
      </c>
      <c r="W27" s="393">
        <f t="shared" si="2"/>
        <v>4400000</v>
      </c>
      <c r="X27" s="392">
        <f t="shared" si="4"/>
        <v>23040000</v>
      </c>
      <c r="Y27" s="286"/>
    </row>
    <row r="28" spans="1:25" ht="14" customHeight="1" thickBot="1" x14ac:dyDescent="0.25">
      <c r="A28" s="753"/>
      <c r="B28" s="286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</row>
    <row r="29" spans="1:25" ht="43" customHeight="1" x14ac:dyDescent="0.2">
      <c r="A29" s="753"/>
      <c r="B29" s="546"/>
      <c r="C29" s="445" t="s">
        <v>18</v>
      </c>
      <c r="D29" s="445" t="s">
        <v>160</v>
      </c>
      <c r="E29" s="445" t="s">
        <v>161</v>
      </c>
      <c r="F29" s="444" t="s">
        <v>24</v>
      </c>
      <c r="G29" s="363"/>
      <c r="H29" s="363"/>
      <c r="I29" s="363"/>
      <c r="J29" s="363"/>
      <c r="K29" s="363"/>
      <c r="L29" s="363"/>
      <c r="M29" s="363"/>
      <c r="N29" s="363"/>
      <c r="O29" s="363"/>
      <c r="P29" s="363"/>
      <c r="Q29" s="363"/>
      <c r="R29" s="363"/>
      <c r="S29" s="363"/>
      <c r="T29" s="363"/>
      <c r="U29" s="363"/>
      <c r="V29" s="363"/>
      <c r="W29" s="363"/>
      <c r="X29" s="363"/>
      <c r="Y29" s="363"/>
    </row>
    <row r="30" spans="1:25" ht="39" customHeight="1" x14ac:dyDescent="0.2">
      <c r="A30" s="753"/>
      <c r="B30" s="547" t="s">
        <v>19</v>
      </c>
      <c r="C30" s="418">
        <f>SUM(O2:O11)</f>
        <v>6312278000</v>
      </c>
      <c r="D30" s="418">
        <f>SUM(V2:V11)</f>
        <v>61165000</v>
      </c>
      <c r="E30" s="418">
        <f>SUM(X2:X11)</f>
        <v>470500000</v>
      </c>
      <c r="F30" s="443">
        <f>SUM(W2:W11)</f>
        <v>341460000</v>
      </c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6"/>
    </row>
    <row r="31" spans="1:25" ht="31.5" customHeight="1" x14ac:dyDescent="0.2">
      <c r="A31" s="753"/>
      <c r="B31" s="547" t="s">
        <v>20</v>
      </c>
      <c r="C31" s="418">
        <f>SUM(O12:O27)</f>
        <v>12837380000</v>
      </c>
      <c r="D31" s="418">
        <f>SUM(V12:V27)</f>
        <v>88996000</v>
      </c>
      <c r="E31" s="418">
        <f>SUM(X12:X27)</f>
        <v>617940000</v>
      </c>
      <c r="F31" s="443">
        <f>SUM(W12:W27)</f>
        <v>113850000</v>
      </c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</row>
    <row r="32" spans="1:25" ht="18" customHeight="1" thickBot="1" x14ac:dyDescent="0.25">
      <c r="A32" s="754"/>
      <c r="B32" s="494"/>
      <c r="C32" s="408"/>
      <c r="D32" s="408"/>
      <c r="E32" s="408"/>
      <c r="F32" s="442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</row>
    <row r="33" spans="1:25" ht="18" customHeight="1" x14ac:dyDescent="0.2">
      <c r="B33" s="286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</row>
    <row r="34" spans="1:25" ht="18" customHeight="1" thickBot="1" x14ac:dyDescent="0.25">
      <c r="B34" s="286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6"/>
    </row>
    <row r="35" spans="1:25" ht="18" customHeight="1" thickBot="1" x14ac:dyDescent="0.25">
      <c r="A35" s="752" t="s">
        <v>234</v>
      </c>
      <c r="B35" s="548" t="s">
        <v>58</v>
      </c>
      <c r="C35" s="441" t="s">
        <v>59</v>
      </c>
      <c r="D35" s="441" t="s">
        <v>60</v>
      </c>
      <c r="E35" s="441" t="s">
        <v>61</v>
      </c>
      <c r="F35" s="440" t="s">
        <v>62</v>
      </c>
      <c r="G35" s="440" t="s">
        <v>63</v>
      </c>
      <c r="H35" s="440" t="s">
        <v>64</v>
      </c>
      <c r="I35" s="440" t="s">
        <v>65</v>
      </c>
      <c r="J35" s="440" t="s">
        <v>66</v>
      </c>
      <c r="K35" s="440" t="s">
        <v>67</v>
      </c>
      <c r="L35" s="439" t="s">
        <v>68</v>
      </c>
      <c r="M35" s="438" t="s">
        <v>69</v>
      </c>
      <c r="N35" s="438" t="s">
        <v>70</v>
      </c>
      <c r="O35" s="406" t="s">
        <v>6</v>
      </c>
      <c r="P35" s="437">
        <v>2020</v>
      </c>
      <c r="Q35" s="436">
        <v>2021</v>
      </c>
      <c r="R35" s="436">
        <v>2022</v>
      </c>
      <c r="S35" s="436">
        <v>2023</v>
      </c>
      <c r="T35" s="436">
        <v>2024</v>
      </c>
      <c r="U35" s="436">
        <v>2025</v>
      </c>
      <c r="V35" s="435">
        <v>2026</v>
      </c>
      <c r="W35" s="286"/>
      <c r="X35" s="286"/>
      <c r="Y35" s="286"/>
    </row>
    <row r="36" spans="1:25" ht="18" customHeight="1" x14ac:dyDescent="0.2">
      <c r="A36" s="753"/>
      <c r="B36" s="549">
        <v>1</v>
      </c>
      <c r="C36" s="432" t="s">
        <v>71</v>
      </c>
      <c r="D36" s="432" t="s">
        <v>72</v>
      </c>
      <c r="E36" s="432">
        <v>5</v>
      </c>
      <c r="F36" s="432">
        <v>1</v>
      </c>
      <c r="G36" s="432" t="s">
        <v>73</v>
      </c>
      <c r="H36" s="434">
        <v>1800000000</v>
      </c>
      <c r="I36" s="433">
        <f>H36/usd</f>
        <v>24590163.934426229</v>
      </c>
      <c r="J36" s="432">
        <v>220</v>
      </c>
      <c r="K36" s="432">
        <v>26</v>
      </c>
      <c r="L36" s="431">
        <f>SUMPRODUCT('Изначальные данные'!F12:F14,'Изначальные данные'!G12:G14)</f>
        <v>4800</v>
      </c>
      <c r="M36" s="429"/>
      <c r="N36" s="383"/>
      <c r="O36" s="738" t="s">
        <v>30</v>
      </c>
      <c r="P36" s="430"/>
      <c r="Q36" s="429"/>
      <c r="R36" s="429"/>
      <c r="S36" s="429"/>
      <c r="T36" s="429"/>
      <c r="U36" s="429"/>
      <c r="V36" s="428"/>
      <c r="W36" s="286"/>
      <c r="X36" s="286"/>
      <c r="Y36" s="286"/>
    </row>
    <row r="37" spans="1:25" ht="18" customHeight="1" x14ac:dyDescent="0.2">
      <c r="A37" s="753"/>
      <c r="B37" s="550">
        <v>2</v>
      </c>
      <c r="C37" s="359" t="s">
        <v>71</v>
      </c>
      <c r="D37" s="359" t="s">
        <v>72</v>
      </c>
      <c r="E37" s="359">
        <v>5</v>
      </c>
      <c r="F37" s="359">
        <v>2</v>
      </c>
      <c r="G37" s="359" t="s">
        <v>73</v>
      </c>
      <c r="H37" s="425">
        <v>1800000000</v>
      </c>
      <c r="I37" s="421">
        <f>H37/usd</f>
        <v>24590163.934426229</v>
      </c>
      <c r="J37" s="359">
        <v>220</v>
      </c>
      <c r="K37" s="359">
        <v>26</v>
      </c>
      <c r="L37" s="412">
        <f>SUMPRODUCT('Изначальные данные'!F15:F17,'Изначальные данные'!G15:G17)</f>
        <v>4110</v>
      </c>
      <c r="M37" s="308"/>
      <c r="N37" s="423"/>
      <c r="O37" s="739"/>
      <c r="P37" s="427"/>
      <c r="Q37" s="308"/>
      <c r="R37" s="308"/>
      <c r="S37" s="308"/>
      <c r="T37" s="308"/>
      <c r="U37" s="308"/>
      <c r="V37" s="426"/>
      <c r="W37" s="286"/>
      <c r="X37" s="286"/>
      <c r="Y37" s="286"/>
    </row>
    <row r="38" spans="1:25" ht="18" customHeight="1" x14ac:dyDescent="0.2">
      <c r="A38" s="753"/>
      <c r="B38" s="550">
        <v>3</v>
      </c>
      <c r="C38" s="359" t="s">
        <v>71</v>
      </c>
      <c r="D38" s="359" t="s">
        <v>72</v>
      </c>
      <c r="E38" s="359" t="s">
        <v>74</v>
      </c>
      <c r="F38" s="359">
        <v>11</v>
      </c>
      <c r="G38" s="359" t="s">
        <v>75</v>
      </c>
      <c r="H38" s="422" t="s">
        <v>75</v>
      </c>
      <c r="I38" s="421"/>
      <c r="J38" s="359">
        <v>220</v>
      </c>
      <c r="K38" s="359">
        <v>26</v>
      </c>
      <c r="L38" s="412">
        <v>0</v>
      </c>
      <c r="M38" s="420">
        <v>296400000</v>
      </c>
      <c r="N38" s="423">
        <f>M38*usd</f>
        <v>21696480000</v>
      </c>
      <c r="O38" s="739"/>
      <c r="P38" s="409">
        <f>Q38/(1+inf_2020)</f>
        <v>20762181818.18182</v>
      </c>
      <c r="Q38" s="418">
        <f>N38*(1+'Без инициатив'!C4)^'Без инициатив'!C3</f>
        <v>21696480000</v>
      </c>
      <c r="R38" s="418">
        <f>N38*(1+'Без инициатив'!D4)^'Без инициатив'!D3</f>
        <v>23464743119.999996</v>
      </c>
      <c r="S38" s="418">
        <f>N38*(1+'Без инициатив'!E4)^'Без инициатив'!E3</f>
        <v>25499283016.708801</v>
      </c>
      <c r="T38" s="418">
        <f>S38*(1-depreciation_rate)*(1+'Без инициатив'!F5)</f>
        <v>26297937322.190781</v>
      </c>
      <c r="U38" s="418">
        <f>T38*(1-depreciation_rate)*(1+'Без инициатив'!G5)</f>
        <v>27106600276.993237</v>
      </c>
      <c r="V38" s="417">
        <f>U38*(1-depreciation_rate)*(1+'Без инициатив'!H5)</f>
        <v>27945280863.827667</v>
      </c>
      <c r="W38" s="286"/>
      <c r="X38" s="286"/>
      <c r="Y38" s="286"/>
    </row>
    <row r="39" spans="1:25" ht="18" customHeight="1" x14ac:dyDescent="0.2">
      <c r="A39" s="753"/>
      <c r="B39" s="550">
        <v>4</v>
      </c>
      <c r="C39" s="359" t="s">
        <v>71</v>
      </c>
      <c r="D39" s="359" t="s">
        <v>72</v>
      </c>
      <c r="E39" s="359" t="s">
        <v>74</v>
      </c>
      <c r="F39" s="359">
        <v>12</v>
      </c>
      <c r="G39" s="359" t="s">
        <v>75</v>
      </c>
      <c r="H39" s="422" t="s">
        <v>75</v>
      </c>
      <c r="I39" s="421"/>
      <c r="J39" s="359">
        <v>220</v>
      </c>
      <c r="K39" s="359">
        <v>26</v>
      </c>
      <c r="L39" s="412">
        <v>0</v>
      </c>
      <c r="M39" s="420">
        <v>296400000</v>
      </c>
      <c r="N39" s="423">
        <f>M39*usd</f>
        <v>21696480000</v>
      </c>
      <c r="O39" s="739"/>
      <c r="P39" s="409">
        <f>Q39/(1+inf_2020)</f>
        <v>20762181818.18182</v>
      </c>
      <c r="Q39" s="418">
        <f>N39*(1+'Без инициатив'!C4)^'Без инициатив'!C3</f>
        <v>21696480000</v>
      </c>
      <c r="R39" s="418">
        <f>N39*(1+'Без инициатив'!D4)^'Без инициатив'!D3</f>
        <v>23464743119.999996</v>
      </c>
      <c r="S39" s="418">
        <f>N39*(1+'Без инициатив'!E4)^'Без инициатив'!E3</f>
        <v>25499283016.708801</v>
      </c>
      <c r="T39" s="418">
        <f>S39*(1-depreciation_rate)*(1+'Без инициатив'!F5)</f>
        <v>26297937322.190781</v>
      </c>
      <c r="U39" s="418">
        <f>T39*(1-depreciation_rate)*(1+'Без инициатив'!G5)</f>
        <v>27106600276.993237</v>
      </c>
      <c r="V39" s="417">
        <f>U39*(1-depreciation_rate)*(1+'Без инициатив'!H5)</f>
        <v>27945280863.827667</v>
      </c>
      <c r="W39" s="286"/>
      <c r="X39" s="286"/>
      <c r="Y39" s="286"/>
    </row>
    <row r="40" spans="1:25" ht="18" customHeight="1" x14ac:dyDescent="0.2">
      <c r="A40" s="753"/>
      <c r="B40" s="550">
        <v>5</v>
      </c>
      <c r="C40" s="359" t="s">
        <v>76</v>
      </c>
      <c r="D40" s="359" t="s">
        <v>72</v>
      </c>
      <c r="E40" s="359">
        <v>20</v>
      </c>
      <c r="F40" s="359">
        <v>3</v>
      </c>
      <c r="G40" s="359" t="s">
        <v>77</v>
      </c>
      <c r="H40" s="422" t="s">
        <v>75</v>
      </c>
      <c r="I40" s="421"/>
      <c r="J40" s="359">
        <v>240</v>
      </c>
      <c r="K40" s="359">
        <v>16</v>
      </c>
      <c r="L40" s="412">
        <f>SUMPRODUCT('Изначальные данные'!F18:F21,'Изначальные данные'!G18:G21)</f>
        <v>4360</v>
      </c>
      <c r="M40" s="420">
        <v>221700000</v>
      </c>
      <c r="N40" s="423">
        <f>M40*usd</f>
        <v>16228440000</v>
      </c>
      <c r="O40" s="739"/>
      <c r="P40" s="409">
        <f>Q40/((1-depreciation_rate)*(1+inf_2020))</f>
        <v>5860153394.7637196</v>
      </c>
      <c r="Q40" s="418">
        <f>N40*(1-depreciation_rate)^E40</f>
        <v>5817667282.6516819</v>
      </c>
      <c r="R40" s="418">
        <f>Q40*(1-depreciation_rate)*(1+'Без инициатив'!D5)</f>
        <v>5977216807.8784037</v>
      </c>
      <c r="S40" s="418">
        <f>R40*(1-depreciation_rate)*(1+'Без инициатив'!E5)</f>
        <v>6170704922.8717136</v>
      </c>
      <c r="T40" s="418">
        <f>S40*(1-depreciation_rate)*(1+'Без инициатив'!F5)</f>
        <v>6363975457.234621</v>
      </c>
      <c r="U40" s="418">
        <f>T40*(1-depreciation_rate)*(1+'Без инициатив'!G5)</f>
        <v>6559668037.017107</v>
      </c>
      <c r="V40" s="417">
        <f>U40*(1-depreciation_rate)*(1+'Без инициатив'!H5)</f>
        <v>6762624740.6430473</v>
      </c>
      <c r="W40" s="286"/>
      <c r="X40" s="286"/>
      <c r="Y40" s="286"/>
    </row>
    <row r="41" spans="1:25" ht="18" customHeight="1" x14ac:dyDescent="0.2">
      <c r="A41" s="753"/>
      <c r="B41" s="550">
        <v>6</v>
      </c>
      <c r="C41" s="359" t="s">
        <v>76</v>
      </c>
      <c r="D41" s="359" t="s">
        <v>72</v>
      </c>
      <c r="E41" s="359">
        <v>20</v>
      </c>
      <c r="F41" s="359">
        <v>4</v>
      </c>
      <c r="G41" s="359" t="s">
        <v>77</v>
      </c>
      <c r="H41" s="422" t="s">
        <v>75</v>
      </c>
      <c r="I41" s="421"/>
      <c r="J41" s="359">
        <v>240</v>
      </c>
      <c r="K41" s="359">
        <v>16</v>
      </c>
      <c r="L41" s="412">
        <f>SUMPRODUCT('Изначальные данные'!F22:F27,'Изначальные данные'!G22:G27)</f>
        <v>3895</v>
      </c>
      <c r="M41" s="420">
        <v>221700000</v>
      </c>
      <c r="N41" s="423">
        <f>M41*usd</f>
        <v>16228440000</v>
      </c>
      <c r="O41" s="739"/>
      <c r="P41" s="409">
        <f>Q41/(1-depreciation_rate)/(1+inf_2020)</f>
        <v>5860153394.7637196</v>
      </c>
      <c r="Q41" s="418">
        <f>N41*(1-depreciation_rate)^E41</f>
        <v>5817667282.6516819</v>
      </c>
      <c r="R41" s="418">
        <f>Q41*(1-depreciation_rate)*(1+'Без инициатив'!D5)</f>
        <v>5977216807.8784037</v>
      </c>
      <c r="S41" s="418">
        <f>R41*(1-depreciation_rate)*(1+'Без инициатив'!E5)</f>
        <v>6170704922.8717136</v>
      </c>
      <c r="T41" s="418">
        <f>S41*(1-depreciation_rate)*(1+'Без инициатив'!F5)</f>
        <v>6363975457.234621</v>
      </c>
      <c r="U41" s="418">
        <f>T41*(1-depreciation_rate)*(1+'Без инициатив'!G5)</f>
        <v>6559668037.017107</v>
      </c>
      <c r="V41" s="417">
        <f>U41*(1-depreciation_rate)*(1+'Без инициатив'!H5)</f>
        <v>6762624740.6430473</v>
      </c>
      <c r="W41" s="286"/>
      <c r="X41" s="286"/>
      <c r="Y41" s="286"/>
    </row>
    <row r="42" spans="1:25" ht="18" customHeight="1" x14ac:dyDescent="0.2">
      <c r="A42" s="753"/>
      <c r="B42" s="550">
        <v>7</v>
      </c>
      <c r="C42" s="359" t="s">
        <v>78</v>
      </c>
      <c r="D42" s="359" t="s">
        <v>79</v>
      </c>
      <c r="E42" s="359">
        <v>17</v>
      </c>
      <c r="F42" s="359">
        <v>5</v>
      </c>
      <c r="G42" s="359" t="s">
        <v>73</v>
      </c>
      <c r="H42" s="425">
        <v>500000000</v>
      </c>
      <c r="I42" s="421">
        <f>H42/usd</f>
        <v>6830601.0928961746</v>
      </c>
      <c r="J42" s="359">
        <v>164</v>
      </c>
      <c r="K42" s="359">
        <v>0</v>
      </c>
      <c r="L42" s="412">
        <f>SUMPRODUCT('Изначальные данные'!F2:F3,'Изначальные данные'!G2:G3)</f>
        <v>3540</v>
      </c>
      <c r="M42" s="424"/>
      <c r="N42" s="423"/>
      <c r="O42" s="739"/>
      <c r="P42" s="409"/>
      <c r="Q42" s="418"/>
      <c r="R42" s="418"/>
      <c r="S42" s="418"/>
      <c r="T42" s="418"/>
      <c r="U42" s="418"/>
      <c r="V42" s="417"/>
      <c r="W42" s="286"/>
      <c r="X42" s="286"/>
      <c r="Y42" s="286"/>
    </row>
    <row r="43" spans="1:25" ht="18" customHeight="1" x14ac:dyDescent="0.2">
      <c r="A43" s="753"/>
      <c r="B43" s="550">
        <v>8</v>
      </c>
      <c r="C43" s="359" t="s">
        <v>78</v>
      </c>
      <c r="D43" s="359" t="s">
        <v>79</v>
      </c>
      <c r="E43" s="359">
        <v>17</v>
      </c>
      <c r="F43" s="359">
        <v>6</v>
      </c>
      <c r="G43" s="359" t="s">
        <v>73</v>
      </c>
      <c r="H43" s="425">
        <v>500000000</v>
      </c>
      <c r="I43" s="421">
        <f>H43/usd</f>
        <v>6830601.0928961746</v>
      </c>
      <c r="J43" s="359">
        <v>164</v>
      </c>
      <c r="K43" s="359">
        <v>0</v>
      </c>
      <c r="L43" s="412">
        <f>SUMPRODUCT('Изначальные данные'!F4:F5,'Изначальные данные'!G4:G5)</f>
        <v>4025</v>
      </c>
      <c r="M43" s="424"/>
      <c r="N43" s="423"/>
      <c r="O43" s="739"/>
      <c r="P43" s="409"/>
      <c r="Q43" s="418"/>
      <c r="R43" s="418"/>
      <c r="S43" s="418"/>
      <c r="T43" s="418"/>
      <c r="U43" s="418"/>
      <c r="V43" s="417"/>
      <c r="W43" s="286"/>
      <c r="X43" s="286"/>
      <c r="Y43" s="286"/>
    </row>
    <row r="44" spans="1:25" ht="18" customHeight="1" x14ac:dyDescent="0.2">
      <c r="A44" s="753"/>
      <c r="B44" s="550">
        <v>9</v>
      </c>
      <c r="C44" s="359" t="s">
        <v>78</v>
      </c>
      <c r="D44" s="359" t="s">
        <v>79</v>
      </c>
      <c r="E44" s="359">
        <v>8</v>
      </c>
      <c r="F44" s="359">
        <v>7</v>
      </c>
      <c r="G44" s="359" t="s">
        <v>73</v>
      </c>
      <c r="H44" s="425">
        <v>500000000</v>
      </c>
      <c r="I44" s="421">
        <f>H44/usd</f>
        <v>6830601.0928961746</v>
      </c>
      <c r="J44" s="359">
        <v>140</v>
      </c>
      <c r="K44" s="359">
        <v>12</v>
      </c>
      <c r="L44" s="412">
        <f>SUMPRODUCT('Изначальные данные'!F6:F6,'Изначальные данные'!G6:G6)</f>
        <v>4200</v>
      </c>
      <c r="M44" s="424"/>
      <c r="N44" s="423"/>
      <c r="O44" s="739"/>
      <c r="P44" s="409"/>
      <c r="Q44" s="418"/>
      <c r="R44" s="418"/>
      <c r="S44" s="418"/>
      <c r="T44" s="418"/>
      <c r="U44" s="418"/>
      <c r="V44" s="417"/>
      <c r="W44" s="286"/>
      <c r="X44" s="286"/>
      <c r="Y44" s="286"/>
    </row>
    <row r="45" spans="1:25" ht="18" customHeight="1" x14ac:dyDescent="0.2">
      <c r="A45" s="753"/>
      <c r="B45" s="550">
        <v>10</v>
      </c>
      <c r="C45" s="359" t="s">
        <v>78</v>
      </c>
      <c r="D45" s="359" t="s">
        <v>79</v>
      </c>
      <c r="E45" s="359">
        <v>7</v>
      </c>
      <c r="F45" s="359">
        <v>8</v>
      </c>
      <c r="G45" s="359" t="s">
        <v>73</v>
      </c>
      <c r="H45" s="425">
        <v>500000000</v>
      </c>
      <c r="I45" s="421">
        <f>H45/usd</f>
        <v>6830601.0928961746</v>
      </c>
      <c r="J45" s="359">
        <v>140</v>
      </c>
      <c r="K45" s="359">
        <v>12</v>
      </c>
      <c r="L45" s="412">
        <f>SUMPRODUCT('Изначальные данные'!F7,'Изначальные данные'!G7)</f>
        <v>4320</v>
      </c>
      <c r="M45" s="424"/>
      <c r="N45" s="423"/>
      <c r="O45" s="739"/>
      <c r="P45" s="409"/>
      <c r="Q45" s="418"/>
      <c r="R45" s="418"/>
      <c r="S45" s="418"/>
      <c r="T45" s="418"/>
      <c r="U45" s="418"/>
      <c r="V45" s="417"/>
      <c r="W45" s="286"/>
      <c r="X45" s="286"/>
      <c r="Y45" s="286"/>
    </row>
    <row r="46" spans="1:25" ht="18" customHeight="1" x14ac:dyDescent="0.2">
      <c r="A46" s="753"/>
      <c r="B46" s="550">
        <v>11</v>
      </c>
      <c r="C46" s="359" t="s">
        <v>78</v>
      </c>
      <c r="D46" s="359" t="s">
        <v>79</v>
      </c>
      <c r="E46" s="359">
        <v>15</v>
      </c>
      <c r="F46" s="359">
        <v>9</v>
      </c>
      <c r="G46" s="359" t="s">
        <v>77</v>
      </c>
      <c r="H46" s="422" t="s">
        <v>75</v>
      </c>
      <c r="I46" s="421"/>
      <c r="J46" s="359">
        <v>164</v>
      </c>
      <c r="K46" s="359">
        <v>0</v>
      </c>
      <c r="L46" s="412">
        <f>SUMPRODUCT('Изначальные данные'!F8:F9,'Изначальные данные'!G8:G9)</f>
        <v>3670</v>
      </c>
      <c r="M46" s="420">
        <v>93900000</v>
      </c>
      <c r="N46" s="419">
        <f>M46*usd</f>
        <v>6873480000</v>
      </c>
      <c r="O46" s="739"/>
      <c r="P46" s="409">
        <f>Q46/(1-depreciation_rate)/(1+inf_2020)</f>
        <v>3207678675.0727386</v>
      </c>
      <c r="Q46" s="418">
        <f>N46*(1-depreciation_rate)^E46</f>
        <v>3184423004.6784611</v>
      </c>
      <c r="R46" s="418">
        <f>Q46*(1-depreciation_rate)*(1+'Без инициатив'!D4)^'Без инициатив'!D3</f>
        <v>3271755805.5817676</v>
      </c>
      <c r="S46" s="418">
        <f>R46*(1-depreciation_rate)*(1+'Без инициатив'!E5)</f>
        <v>3377665610.0757313</v>
      </c>
      <c r="T46" s="418">
        <f>S46*(1-depreciation_rate)*(1+'Без инициатив'!F5)</f>
        <v>3483456317.2182717</v>
      </c>
      <c r="U46" s="418">
        <f>T46*(1-depreciation_rate)*(1+'Без инициатив'!G5)</f>
        <v>3590572782.0533295</v>
      </c>
      <c r="V46" s="417">
        <f>U46*(1-depreciation_rate)*(1+'Без инициатив'!H5)</f>
        <v>3701665418.4279504</v>
      </c>
      <c r="W46" s="286"/>
      <c r="X46" s="286"/>
      <c r="Y46" s="286"/>
    </row>
    <row r="47" spans="1:25" ht="18" customHeight="1" thickBot="1" x14ac:dyDescent="0.25">
      <c r="A47" s="753"/>
      <c r="B47" s="551">
        <v>12</v>
      </c>
      <c r="C47" s="413" t="s">
        <v>78</v>
      </c>
      <c r="D47" s="413" t="s">
        <v>79</v>
      </c>
      <c r="E47" s="413">
        <v>9</v>
      </c>
      <c r="F47" s="413">
        <v>10</v>
      </c>
      <c r="G47" s="416" t="s">
        <v>77</v>
      </c>
      <c r="H47" s="415" t="s">
        <v>75</v>
      </c>
      <c r="I47" s="414"/>
      <c r="J47" s="413">
        <v>164</v>
      </c>
      <c r="K47" s="413">
        <v>0</v>
      </c>
      <c r="L47" s="412">
        <f>SUMPRODUCT('Изначальные данные'!F10:F11,'Изначальные данные'!G10:G11)</f>
        <v>3770</v>
      </c>
      <c r="M47" s="411">
        <v>93900000</v>
      </c>
      <c r="N47" s="410">
        <f>M47*usd</f>
        <v>6873480000</v>
      </c>
      <c r="O47" s="740"/>
      <c r="P47" s="409">
        <f>Q47/(1-depreciation_rate)/(1+inf_2020)</f>
        <v>4363643125.4131527</v>
      </c>
      <c r="Q47" s="408">
        <f>N47*(1-depreciation_rate)^E47</f>
        <v>4332006712.7539072</v>
      </c>
      <c r="R47" s="408">
        <f>Q47*(1-depreciation_rate)*(1+'Без инициатив'!D4)^'Без инициатив'!D3</f>
        <v>4450811996.851182</v>
      </c>
      <c r="S47" s="408">
        <f>R47*(1-depreciation_rate)*(1+'Без инициатив'!E5)</f>
        <v>4594888956.2690248</v>
      </c>
      <c r="T47" s="408">
        <f>S47*(1-depreciation_rate)</f>
        <v>4365144508.4555731</v>
      </c>
      <c r="U47" s="408">
        <f>T47*(1-depreciation_rate)</f>
        <v>4146887283.032794</v>
      </c>
      <c r="V47" s="407">
        <f>U47*(1-depreciation_rate)</f>
        <v>3939542918.8811541</v>
      </c>
      <c r="W47" s="286"/>
      <c r="X47" s="286"/>
      <c r="Y47" s="286"/>
    </row>
    <row r="48" spans="1:25" ht="18" customHeight="1" thickBot="1" x14ac:dyDescent="0.25">
      <c r="A48" s="753"/>
      <c r="B48" s="286"/>
      <c r="C48" s="286"/>
      <c r="D48" s="286"/>
      <c r="E48" s="286"/>
      <c r="F48" s="286"/>
      <c r="G48" s="406" t="s">
        <v>80</v>
      </c>
      <c r="H48" s="405">
        <f>SUM(H36:H47)</f>
        <v>5600000000</v>
      </c>
      <c r="I48" s="404">
        <f>SUM(I36:I47)</f>
        <v>76502732.240437165</v>
      </c>
      <c r="J48" s="286"/>
      <c r="K48" s="286"/>
      <c r="L48" s="286"/>
      <c r="M48" s="286"/>
      <c r="N48" s="286"/>
      <c r="O48" s="403" t="s">
        <v>81</v>
      </c>
      <c r="P48" s="402">
        <f t="shared" ref="P48:V48" si="5">SUM(P36:P47)</f>
        <v>60815992226.376968</v>
      </c>
      <c r="Q48" s="402">
        <f t="shared" si="5"/>
        <v>62544724282.735725</v>
      </c>
      <c r="R48" s="402">
        <f t="shared" si="5"/>
        <v>66606487658.189743</v>
      </c>
      <c r="S48" s="402">
        <f t="shared" si="5"/>
        <v>71312530445.505783</v>
      </c>
      <c r="T48" s="402">
        <f t="shared" si="5"/>
        <v>73172426384.524643</v>
      </c>
      <c r="U48" s="402">
        <f t="shared" si="5"/>
        <v>75069996693.106796</v>
      </c>
      <c r="V48" s="401">
        <f t="shared" si="5"/>
        <v>77057019546.250534</v>
      </c>
      <c r="W48" s="286"/>
      <c r="X48" s="286"/>
      <c r="Y48" s="286"/>
    </row>
    <row r="49" spans="1:25" ht="18" customHeight="1" thickBot="1" x14ac:dyDescent="0.25">
      <c r="A49" s="753"/>
      <c r="B49" s="286"/>
      <c r="C49" s="286"/>
      <c r="D49" s="286"/>
      <c r="E49" s="286"/>
      <c r="F49" s="286"/>
      <c r="G49" s="286"/>
      <c r="H49" s="286"/>
      <c r="I49" s="286"/>
      <c r="J49" s="286"/>
      <c r="K49" s="400" t="s">
        <v>84</v>
      </c>
      <c r="L49" s="399">
        <f>16*365</f>
        <v>5840</v>
      </c>
      <c r="M49" s="286"/>
      <c r="N49" s="286"/>
      <c r="O49" s="324" t="s">
        <v>82</v>
      </c>
      <c r="P49" s="398" t="s">
        <v>8</v>
      </c>
      <c r="Q49" s="397">
        <f t="shared" ref="Q49:V49" si="6">Q48-P48</f>
        <v>1728732056.358757</v>
      </c>
      <c r="R49" s="397">
        <f t="shared" si="6"/>
        <v>4061763375.4540176</v>
      </c>
      <c r="S49" s="397">
        <f t="shared" si="6"/>
        <v>4706042787.31604</v>
      </c>
      <c r="T49" s="397">
        <f t="shared" si="6"/>
        <v>1859895939.0188599</v>
      </c>
      <c r="U49" s="397">
        <f t="shared" si="6"/>
        <v>1897570308.5821533</v>
      </c>
      <c r="V49" s="396">
        <f t="shared" si="6"/>
        <v>1987022853.1437378</v>
      </c>
      <c r="W49" s="286"/>
      <c r="X49" s="286"/>
      <c r="Y49" s="286"/>
    </row>
    <row r="50" spans="1:25" ht="18" customHeight="1" x14ac:dyDescent="0.2">
      <c r="A50" s="753"/>
      <c r="B50" s="286"/>
      <c r="C50" s="286"/>
      <c r="D50" s="286"/>
      <c r="E50" s="286"/>
      <c r="F50" s="286"/>
      <c r="G50" s="286"/>
      <c r="H50" s="286"/>
      <c r="I50" s="286"/>
      <c r="J50" s="286"/>
      <c r="K50" s="286" t="s">
        <v>318</v>
      </c>
      <c r="L50" s="364">
        <f>SUM(L36:L47)/10</f>
        <v>4069</v>
      </c>
      <c r="M50" s="286"/>
      <c r="N50" s="741" t="s">
        <v>44</v>
      </c>
      <c r="O50" s="321" t="s">
        <v>83</v>
      </c>
      <c r="P50" s="395">
        <f>P48*(1+inf_2020)</f>
        <v>63552711876.563927</v>
      </c>
      <c r="Q50" s="395">
        <f>Q48</f>
        <v>62544724282.735725</v>
      </c>
      <c r="R50" s="395">
        <f>R48/(1+'Без инициатив'!D4)^'Без инициатив'!D3</f>
        <v>61587136068.598938</v>
      </c>
      <c r="S50" s="395">
        <f>S48/(1+'Без инициатив'!E4)^'Без инициатив'!E3</f>
        <v>60677427265.168991</v>
      </c>
      <c r="T50" s="395">
        <f>T48/(1+'Без инициатив'!F4)^'Без инициатив'!F3</f>
        <v>57350691152.894684</v>
      </c>
      <c r="U50" s="395">
        <f>U48/(1+'Без инициатив'!G4)^'Без инициатив'!G3</f>
        <v>54228530518.417877</v>
      </c>
      <c r="V50" s="391">
        <f>V48/(1+'Без инициатив'!H4)^'Без инициатив'!H3</f>
        <v>51293676033.470345</v>
      </c>
      <c r="W50" s="286"/>
      <c r="X50" s="286"/>
      <c r="Y50" s="286"/>
    </row>
    <row r="51" spans="1:25" ht="18" customHeight="1" thickBot="1" x14ac:dyDescent="0.25">
      <c r="A51" s="753"/>
      <c r="B51" s="286"/>
      <c r="C51" s="286"/>
      <c r="D51" s="286"/>
      <c r="E51" s="286"/>
      <c r="F51" s="286"/>
      <c r="G51" s="286"/>
      <c r="H51" s="286"/>
      <c r="I51" s="286"/>
      <c r="J51" s="286"/>
      <c r="M51" s="286"/>
      <c r="N51" s="742"/>
      <c r="O51" s="313" t="s">
        <v>85</v>
      </c>
      <c r="P51" s="394" t="s">
        <v>8</v>
      </c>
      <c r="Q51" s="393">
        <f t="shared" ref="Q51:V51" si="7">Q50-P50</f>
        <v>-1007987593.8282013</v>
      </c>
      <c r="R51" s="393">
        <f t="shared" si="7"/>
        <v>-957588214.13678741</v>
      </c>
      <c r="S51" s="393">
        <f t="shared" si="7"/>
        <v>-909708803.4299469</v>
      </c>
      <c r="T51" s="393">
        <f t="shared" si="7"/>
        <v>-3326736112.2743073</v>
      </c>
      <c r="U51" s="393">
        <f t="shared" si="7"/>
        <v>-3122160634.4768066</v>
      </c>
      <c r="V51" s="392">
        <f t="shared" si="7"/>
        <v>-2934854484.9475327</v>
      </c>
      <c r="W51" s="286"/>
      <c r="X51" s="286"/>
      <c r="Y51" s="286"/>
    </row>
    <row r="52" spans="1:25" ht="18" customHeight="1" thickBot="1" x14ac:dyDescent="0.25">
      <c r="A52" s="753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</row>
    <row r="53" spans="1:25" ht="18" customHeight="1" x14ac:dyDescent="0.2">
      <c r="A53" s="753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743" t="s">
        <v>86</v>
      </c>
      <c r="P53" s="744"/>
      <c r="Q53" s="391">
        <f>Q49:V49</f>
        <v>1728732056.358757</v>
      </c>
      <c r="R53" s="286"/>
      <c r="S53" s="286"/>
      <c r="T53" s="286"/>
      <c r="U53" s="286"/>
      <c r="V53" s="286"/>
      <c r="W53" s="286"/>
      <c r="X53" s="286"/>
      <c r="Y53" s="286"/>
    </row>
    <row r="54" spans="1:25" ht="18" customHeight="1" x14ac:dyDescent="0.2">
      <c r="A54" s="753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745" t="s">
        <v>87</v>
      </c>
      <c r="P54" s="746"/>
      <c r="Q54" s="390">
        <f>SUM(Q51:V51)</f>
        <v>-12259035843.093582</v>
      </c>
      <c r="R54" s="286"/>
      <c r="S54" s="286"/>
      <c r="T54" s="286"/>
      <c r="U54" s="286"/>
      <c r="V54" s="286"/>
      <c r="W54" s="286"/>
      <c r="X54" s="286"/>
      <c r="Y54" s="286"/>
    </row>
    <row r="55" spans="1:25" ht="18" customHeight="1" thickBot="1" x14ac:dyDescent="0.25">
      <c r="A55" s="753"/>
      <c r="B55" s="286"/>
      <c r="C55" s="286"/>
      <c r="D55" s="286"/>
      <c r="E55" s="286"/>
      <c r="F55" s="286"/>
      <c r="G55" s="286"/>
      <c r="H55" s="286"/>
      <c r="I55" s="286"/>
      <c r="J55" s="349"/>
      <c r="K55" s="286"/>
      <c r="L55" s="286"/>
      <c r="M55" s="286"/>
      <c r="N55" s="286"/>
      <c r="O55" s="747" t="s">
        <v>88</v>
      </c>
      <c r="P55" s="748"/>
      <c r="Q55" s="311">
        <v>0.05</v>
      </c>
      <c r="R55" s="286"/>
      <c r="S55" s="286"/>
      <c r="T55" s="286"/>
      <c r="U55" s="286"/>
      <c r="V55" s="286"/>
      <c r="W55" s="286"/>
      <c r="X55" s="286"/>
      <c r="Y55" s="286"/>
    </row>
    <row r="56" spans="1:25" ht="18" customHeight="1" thickBot="1" x14ac:dyDescent="0.25">
      <c r="A56" s="753"/>
      <c r="B56" s="758" t="s">
        <v>6</v>
      </c>
      <c r="C56" s="759"/>
      <c r="D56" s="389">
        <v>2021</v>
      </c>
      <c r="E56" s="388">
        <v>2022</v>
      </c>
      <c r="F56" s="388">
        <v>2023</v>
      </c>
      <c r="G56" s="388">
        <v>2024</v>
      </c>
      <c r="H56" s="388">
        <v>2025</v>
      </c>
      <c r="I56" s="387">
        <v>2026</v>
      </c>
      <c r="J56" s="386" t="s">
        <v>89</v>
      </c>
      <c r="K56" s="385" t="s">
        <v>90</v>
      </c>
      <c r="L56" s="384" t="s">
        <v>91</v>
      </c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</row>
    <row r="57" spans="1:25" ht="18" customHeight="1" thickBot="1" x14ac:dyDescent="0.25">
      <c r="A57" s="753"/>
      <c r="B57" s="760" t="s">
        <v>92</v>
      </c>
      <c r="C57" s="383" t="s">
        <v>213</v>
      </c>
      <c r="D57" s="382">
        <f>SUM(L42:L47)</f>
        <v>23525</v>
      </c>
      <c r="E57" s="381">
        <f>SUM(L42:L47)</f>
        <v>23525</v>
      </c>
      <c r="F57" s="382">
        <f>SUM(L42:L47)</f>
        <v>23525</v>
      </c>
      <c r="G57" s="381">
        <f>SUM(L42:L47)</f>
        <v>23525</v>
      </c>
      <c r="H57" s="382">
        <f>SUM(L42:L47)</f>
        <v>23525</v>
      </c>
      <c r="I57" s="381">
        <f>SUM(L42:L47)</f>
        <v>23525</v>
      </c>
      <c r="J57" s="378">
        <f>1500*usd_inf</f>
        <v>2595</v>
      </c>
      <c r="K57" s="380">
        <f>1500</f>
        <v>1500</v>
      </c>
      <c r="L57" s="379">
        <v>1.73</v>
      </c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</row>
    <row r="58" spans="1:25" ht="18" customHeight="1" x14ac:dyDescent="0.2">
      <c r="A58" s="753"/>
      <c r="B58" s="761"/>
      <c r="C58" s="372" t="s">
        <v>214</v>
      </c>
      <c r="D58" s="377">
        <f>SUM(L40:L41)</f>
        <v>8255</v>
      </c>
      <c r="E58" s="345">
        <f>SUM(L40:L41)</f>
        <v>8255</v>
      </c>
      <c r="F58" s="376">
        <f>SUM(L40:L41)</f>
        <v>8255</v>
      </c>
      <c r="G58" s="376">
        <f>SUM(L40:L41)</f>
        <v>8255</v>
      </c>
      <c r="H58" s="376">
        <f>SUM(L40:L41)</f>
        <v>8255</v>
      </c>
      <c r="I58" s="375">
        <f>SUM(L40:L41)</f>
        <v>8255</v>
      </c>
      <c r="J58" s="378">
        <f>2200*usd_inf</f>
        <v>3806</v>
      </c>
      <c r="K58" s="378">
        <f>2200</f>
        <v>2200</v>
      </c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</row>
    <row r="59" spans="1:25" ht="18" customHeight="1" thickBot="1" x14ac:dyDescent="0.25">
      <c r="A59" s="753"/>
      <c r="B59" s="761"/>
      <c r="C59" s="372" t="s">
        <v>215</v>
      </c>
      <c r="D59" s="377">
        <f>SUM(L36:L39)</f>
        <v>8910</v>
      </c>
      <c r="E59" s="345">
        <f>SUM(L36:L39)</f>
        <v>8910</v>
      </c>
      <c r="F59" s="376">
        <f>SUM(L36:L39)</f>
        <v>8910</v>
      </c>
      <c r="G59" s="376">
        <f>SUM(L36:L39)</f>
        <v>8910</v>
      </c>
      <c r="H59" s="376">
        <f>SUM(L36:L39)</f>
        <v>8910</v>
      </c>
      <c r="I59" s="375">
        <f>SUM(L36:L39)</f>
        <v>8910</v>
      </c>
      <c r="J59" s="374">
        <f>maintanance_hour330/M40*M39</f>
        <v>2779.5628115015975</v>
      </c>
      <c r="K59" s="374">
        <f>K58/N40*N39</f>
        <v>2941.2719891745601</v>
      </c>
      <c r="L59" s="373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</row>
    <row r="60" spans="1:25" ht="18" customHeight="1" x14ac:dyDescent="0.2">
      <c r="A60" s="753"/>
      <c r="B60" s="761"/>
      <c r="C60" s="372" t="s">
        <v>93</v>
      </c>
      <c r="D60" s="371">
        <f t="shared" ref="D60:I60" si="8">D57*maintanance_hour320+D58*maintanance_hour330+D59*maintanance_hour330neo</f>
        <v>62643834.199680507</v>
      </c>
      <c r="E60" s="370">
        <f t="shared" si="8"/>
        <v>62643834.199680507</v>
      </c>
      <c r="F60" s="370">
        <f t="shared" si="8"/>
        <v>62643834.199680507</v>
      </c>
      <c r="G60" s="370">
        <f t="shared" si="8"/>
        <v>62643834.199680507</v>
      </c>
      <c r="H60" s="370">
        <f t="shared" si="8"/>
        <v>62643834.199680507</v>
      </c>
      <c r="I60" s="369">
        <f t="shared" si="8"/>
        <v>62643834.199680507</v>
      </c>
      <c r="J60" s="364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</row>
    <row r="61" spans="1:25" ht="18" customHeight="1" thickBot="1" x14ac:dyDescent="0.25">
      <c r="A61" s="754"/>
      <c r="B61" s="762"/>
      <c r="C61" s="368" t="s">
        <v>94</v>
      </c>
      <c r="D61" s="367">
        <f>D60*usd</f>
        <v>4585528663.4166136</v>
      </c>
      <c r="E61" s="366">
        <f>E60*'Без инициатив'!D9</f>
        <v>4814805096.5874434</v>
      </c>
      <c r="F61" s="366">
        <f>F60*'Без инициатив'!E9</f>
        <v>5055545351.4168158</v>
      </c>
      <c r="G61" s="366">
        <f>G60*'Без инициатив'!F9</f>
        <v>5308322618.9876575</v>
      </c>
      <c r="H61" s="366">
        <f>H60*'Без инициатив'!G9</f>
        <v>5573738749.9370403</v>
      </c>
      <c r="I61" s="365">
        <f>I60*'Без инициатив'!H9</f>
        <v>5852425687.4338923</v>
      </c>
      <c r="J61" s="364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</row>
    <row r="62" spans="1:25" ht="18" customHeight="1" x14ac:dyDescent="0.2">
      <c r="B62" s="286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</row>
    <row r="63" spans="1:25" ht="18" customHeight="1" x14ac:dyDescent="0.2">
      <c r="B63" s="28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</row>
    <row r="64" spans="1:25" ht="18" customHeight="1" x14ac:dyDescent="0.2">
      <c r="B64" s="286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</row>
    <row r="65" spans="2:25" ht="18" customHeight="1" x14ac:dyDescent="0.2">
      <c r="B65" s="286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</row>
    <row r="66" spans="2:25" ht="18" customHeight="1" x14ac:dyDescent="0.2">
      <c r="B66" s="286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</row>
    <row r="67" spans="2:25" ht="18" customHeight="1" x14ac:dyDescent="0.2">
      <c r="B67" s="286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</row>
    <row r="68" spans="2:25" ht="18" customHeight="1" x14ac:dyDescent="0.2">
      <c r="B68" s="28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</row>
    <row r="69" spans="2:25" ht="18" customHeight="1" x14ac:dyDescent="0.2"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</row>
    <row r="70" spans="2:25" ht="18" customHeight="1" x14ac:dyDescent="0.2">
      <c r="B70" s="286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</row>
    <row r="71" spans="2:25" ht="18" customHeight="1" x14ac:dyDescent="0.2">
      <c r="B71" s="286"/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</row>
    <row r="72" spans="2:25" ht="18" customHeight="1" x14ac:dyDescent="0.2">
      <c r="B72" s="286"/>
      <c r="C72" s="286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</row>
    <row r="73" spans="2:25" ht="18" customHeight="1" x14ac:dyDescent="0.2">
      <c r="B73" s="286"/>
      <c r="C73" s="286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</row>
    <row r="74" spans="2:25" ht="18" customHeight="1" x14ac:dyDescent="0.2">
      <c r="B74" s="286"/>
      <c r="C74" s="286"/>
      <c r="D74" s="286"/>
      <c r="E74" s="286"/>
      <c r="F74" s="286"/>
      <c r="G74" s="286"/>
      <c r="H74" s="286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</row>
    <row r="75" spans="2:25" ht="18" customHeight="1" x14ac:dyDescent="0.2">
      <c r="B75" s="286"/>
      <c r="C75" s="286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</row>
    <row r="76" spans="2:25" ht="18" customHeight="1" x14ac:dyDescent="0.2"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</row>
    <row r="77" spans="2:25" ht="18" customHeight="1" x14ac:dyDescent="0.2"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</row>
    <row r="78" spans="2:25" ht="18" customHeight="1" x14ac:dyDescent="0.2">
      <c r="B78" s="286"/>
      <c r="C78" s="286"/>
      <c r="D78" s="286"/>
      <c r="E78" s="286"/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</row>
    <row r="79" spans="2:25" ht="18" customHeight="1" x14ac:dyDescent="0.2"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</row>
    <row r="80" spans="2:25" ht="18" customHeight="1" x14ac:dyDescent="0.2">
      <c r="B80" s="286"/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</row>
    <row r="81" spans="2:25" ht="18" customHeight="1" x14ac:dyDescent="0.2">
      <c r="B81" s="286"/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286"/>
      <c r="R81" s="286"/>
      <c r="S81" s="286"/>
      <c r="T81" s="286"/>
      <c r="U81" s="286"/>
      <c r="V81" s="286"/>
      <c r="W81" s="286"/>
      <c r="X81" s="286"/>
      <c r="Y81" s="286"/>
    </row>
    <row r="82" spans="2:25" ht="18" customHeight="1" x14ac:dyDescent="0.2">
      <c r="B82" s="286"/>
      <c r="C82" s="286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</row>
    <row r="83" spans="2:25" ht="18" customHeight="1" x14ac:dyDescent="0.2">
      <c r="B83" s="286"/>
      <c r="C83" s="286"/>
      <c r="D83" s="286"/>
      <c r="E83" s="286"/>
      <c r="F83" s="286"/>
      <c r="G83" s="286"/>
      <c r="H83" s="286"/>
      <c r="I83" s="286"/>
      <c r="J83" s="286"/>
      <c r="K83" s="286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</row>
    <row r="84" spans="2:25" ht="18" customHeight="1" x14ac:dyDescent="0.2">
      <c r="B84" s="286"/>
      <c r="C84" s="286"/>
      <c r="D84" s="286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</row>
    <row r="85" spans="2:25" ht="18" customHeight="1" x14ac:dyDescent="0.2">
      <c r="B85" s="286"/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</row>
    <row r="86" spans="2:25" ht="18" customHeight="1" x14ac:dyDescent="0.2">
      <c r="B86" s="286"/>
      <c r="C86" s="286"/>
      <c r="D86" s="286"/>
      <c r="E86" s="286"/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</row>
    <row r="87" spans="2:25" ht="18" customHeight="1" x14ac:dyDescent="0.2">
      <c r="B87" s="286"/>
      <c r="C87" s="286"/>
      <c r="D87" s="286"/>
      <c r="E87" s="286"/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</row>
    <row r="88" spans="2:25" ht="18" customHeight="1" x14ac:dyDescent="0.2">
      <c r="B88" s="286"/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</row>
    <row r="89" spans="2:25" ht="18" customHeight="1" x14ac:dyDescent="0.2"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6"/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</row>
    <row r="90" spans="2:25" ht="18" customHeight="1" x14ac:dyDescent="0.2"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</row>
    <row r="91" spans="2:25" ht="18" customHeight="1" x14ac:dyDescent="0.2">
      <c r="B91" s="286"/>
      <c r="C91" s="286"/>
      <c r="D91" s="286"/>
      <c r="E91" s="286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</row>
    <row r="92" spans="2:25" ht="18" customHeight="1" x14ac:dyDescent="0.2">
      <c r="B92" s="286"/>
      <c r="C92" s="286"/>
      <c r="D92" s="286"/>
      <c r="E92" s="286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</row>
    <row r="93" spans="2:25" ht="18" customHeight="1" x14ac:dyDescent="0.2">
      <c r="B93" s="286"/>
      <c r="C93" s="286"/>
      <c r="D93" s="286"/>
      <c r="E93" s="286"/>
      <c r="F93" s="286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</row>
    <row r="94" spans="2:25" ht="18" customHeight="1" x14ac:dyDescent="0.2">
      <c r="B94" s="286"/>
      <c r="C94" s="286"/>
      <c r="D94" s="286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</row>
    <row r="95" spans="2:25" ht="18" customHeight="1" x14ac:dyDescent="0.2">
      <c r="B95" s="286"/>
      <c r="C95" s="286"/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</row>
    <row r="96" spans="2:25" ht="18" customHeight="1" x14ac:dyDescent="0.2">
      <c r="B96" s="286"/>
      <c r="C96" s="286"/>
      <c r="D96" s="286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</row>
    <row r="97" spans="2:25" ht="18" customHeight="1" x14ac:dyDescent="0.2">
      <c r="B97" s="286"/>
      <c r="C97" s="286"/>
      <c r="D97" s="286"/>
      <c r="E97" s="286"/>
      <c r="F97" s="286"/>
      <c r="G97" s="286"/>
      <c r="H97" s="286"/>
      <c r="I97" s="286"/>
      <c r="J97" s="286"/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</row>
    <row r="98" spans="2:25" ht="18" customHeight="1" x14ac:dyDescent="0.2">
      <c r="B98" s="286"/>
      <c r="C98" s="286"/>
      <c r="D98" s="286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</row>
    <row r="99" spans="2:25" ht="18" customHeight="1" x14ac:dyDescent="0.2">
      <c r="B99" s="286"/>
      <c r="C99" s="286"/>
      <c r="D99" s="286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</row>
    <row r="100" spans="2:25" ht="18" customHeight="1" x14ac:dyDescent="0.2">
      <c r="B100" s="286"/>
      <c r="C100" s="286"/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</row>
    <row r="101" spans="2:25" ht="18" customHeight="1" x14ac:dyDescent="0.2"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</row>
    <row r="102" spans="2:25" ht="18" customHeight="1" x14ac:dyDescent="0.2"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</row>
    <row r="103" spans="2:25" ht="18" customHeight="1" x14ac:dyDescent="0.2"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</row>
    <row r="104" spans="2:25" ht="18" customHeight="1" x14ac:dyDescent="0.2"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</row>
    <row r="105" spans="2:25" ht="18" customHeight="1" x14ac:dyDescent="0.2"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</row>
    <row r="106" spans="2:25" ht="18" customHeight="1" x14ac:dyDescent="0.2"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</row>
    <row r="107" spans="2:25" ht="18" customHeight="1" x14ac:dyDescent="0.2"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</row>
    <row r="108" spans="2:25" ht="18" customHeight="1" x14ac:dyDescent="0.2"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</row>
    <row r="109" spans="2:25" ht="18" customHeight="1" x14ac:dyDescent="0.2"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</row>
    <row r="110" spans="2:25" ht="18" customHeight="1" x14ac:dyDescent="0.2"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</row>
    <row r="111" spans="2:25" ht="18" customHeight="1" x14ac:dyDescent="0.2"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</row>
    <row r="112" spans="2:25" ht="18" customHeight="1" x14ac:dyDescent="0.2"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</row>
    <row r="113" spans="2:25" ht="18" customHeight="1" x14ac:dyDescent="0.2"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</row>
    <row r="114" spans="2:25" ht="18" customHeight="1" x14ac:dyDescent="0.2"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</row>
    <row r="115" spans="2:25" ht="18" customHeight="1" x14ac:dyDescent="0.2"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</row>
    <row r="116" spans="2:25" ht="18" customHeight="1" x14ac:dyDescent="0.2"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</row>
    <row r="117" spans="2:25" ht="18" customHeight="1" x14ac:dyDescent="0.2"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</row>
    <row r="118" spans="2:25" ht="18" customHeight="1" x14ac:dyDescent="0.2"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</row>
    <row r="119" spans="2:25" ht="18" customHeight="1" x14ac:dyDescent="0.2"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</row>
    <row r="120" spans="2:25" ht="18" customHeight="1" x14ac:dyDescent="0.2"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</row>
    <row r="121" spans="2:25" ht="18" customHeight="1" x14ac:dyDescent="0.2"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</row>
    <row r="122" spans="2:25" ht="18" customHeight="1" x14ac:dyDescent="0.2"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</row>
    <row r="123" spans="2:25" ht="18" customHeight="1" x14ac:dyDescent="0.2"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</row>
    <row r="124" spans="2:25" ht="18" customHeight="1" x14ac:dyDescent="0.2"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</row>
    <row r="125" spans="2:25" ht="18" customHeight="1" x14ac:dyDescent="0.2"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</row>
    <row r="126" spans="2:25" ht="18" customHeight="1" x14ac:dyDescent="0.2"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</row>
    <row r="127" spans="2:25" ht="18" customHeight="1" x14ac:dyDescent="0.2"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</row>
    <row r="128" spans="2:25" ht="18" customHeight="1" x14ac:dyDescent="0.2"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</row>
    <row r="129" spans="2:25" ht="18" customHeight="1" x14ac:dyDescent="0.2"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</row>
    <row r="130" spans="2:25" ht="18" customHeight="1" x14ac:dyDescent="0.2"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</row>
    <row r="131" spans="2:25" ht="18" customHeight="1" x14ac:dyDescent="0.2"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</row>
    <row r="132" spans="2:25" ht="18" customHeight="1" x14ac:dyDescent="0.2"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</row>
    <row r="133" spans="2:25" ht="18" customHeight="1" x14ac:dyDescent="0.2"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</row>
    <row r="134" spans="2:25" ht="18" customHeight="1" x14ac:dyDescent="0.2"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</row>
    <row r="135" spans="2:25" ht="18" customHeight="1" x14ac:dyDescent="0.2"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</row>
    <row r="136" spans="2:25" ht="18" customHeight="1" x14ac:dyDescent="0.2"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</row>
    <row r="137" spans="2:25" ht="18" customHeight="1" x14ac:dyDescent="0.2"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</row>
    <row r="138" spans="2:25" ht="18" customHeight="1" x14ac:dyDescent="0.2"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</row>
    <row r="139" spans="2:25" ht="18" customHeight="1" x14ac:dyDescent="0.2"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</row>
    <row r="140" spans="2:25" ht="18" customHeight="1" x14ac:dyDescent="0.2"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</row>
    <row r="141" spans="2:25" ht="18" customHeight="1" x14ac:dyDescent="0.2"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</row>
    <row r="142" spans="2:25" ht="18" customHeight="1" x14ac:dyDescent="0.2"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</row>
    <row r="143" spans="2:25" ht="18" customHeight="1" x14ac:dyDescent="0.2"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</row>
    <row r="144" spans="2:25" ht="18" customHeight="1" x14ac:dyDescent="0.2"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</row>
    <row r="145" spans="2:25" ht="18" customHeight="1" x14ac:dyDescent="0.2"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</row>
    <row r="146" spans="2:25" ht="18" customHeight="1" x14ac:dyDescent="0.2"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</row>
    <row r="147" spans="2:25" ht="18" customHeight="1" x14ac:dyDescent="0.2"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</row>
    <row r="148" spans="2:25" ht="18" customHeight="1" x14ac:dyDescent="0.2"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</row>
    <row r="149" spans="2:25" ht="18" customHeight="1" x14ac:dyDescent="0.2"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</row>
    <row r="150" spans="2:25" ht="18" customHeight="1" x14ac:dyDescent="0.2"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</row>
    <row r="151" spans="2:25" ht="18" customHeight="1" x14ac:dyDescent="0.2"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</row>
    <row r="152" spans="2:25" ht="18" customHeight="1" x14ac:dyDescent="0.2"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</row>
    <row r="153" spans="2:25" ht="18" customHeight="1" x14ac:dyDescent="0.2"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</row>
    <row r="154" spans="2:25" ht="18" customHeight="1" x14ac:dyDescent="0.2"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</row>
    <row r="155" spans="2:25" ht="18" customHeight="1" x14ac:dyDescent="0.2"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</row>
    <row r="156" spans="2:25" ht="18" customHeight="1" x14ac:dyDescent="0.2"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</row>
    <row r="157" spans="2:25" ht="18" customHeight="1" x14ac:dyDescent="0.2"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</row>
    <row r="158" spans="2:25" ht="18" customHeight="1" x14ac:dyDescent="0.2"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</row>
    <row r="159" spans="2:25" ht="18" customHeight="1" x14ac:dyDescent="0.2"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</row>
    <row r="160" spans="2:25" ht="18" customHeight="1" x14ac:dyDescent="0.2"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</row>
    <row r="161" spans="2:25" ht="18" customHeight="1" x14ac:dyDescent="0.2"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</row>
    <row r="162" spans="2:25" ht="18" customHeight="1" x14ac:dyDescent="0.2"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</row>
    <row r="163" spans="2:25" ht="18" customHeight="1" x14ac:dyDescent="0.2"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</row>
    <row r="164" spans="2:25" ht="18" customHeight="1" x14ac:dyDescent="0.2"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</row>
    <row r="165" spans="2:25" ht="18" customHeight="1" x14ac:dyDescent="0.2"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</row>
    <row r="166" spans="2:25" ht="18" customHeight="1" x14ac:dyDescent="0.2"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</row>
    <row r="167" spans="2:25" ht="18" customHeight="1" x14ac:dyDescent="0.2"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</row>
    <row r="168" spans="2:25" ht="18" customHeight="1" x14ac:dyDescent="0.2"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</row>
    <row r="169" spans="2:25" ht="18" customHeight="1" x14ac:dyDescent="0.2"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</row>
    <row r="170" spans="2:25" ht="18" customHeight="1" x14ac:dyDescent="0.2"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</row>
    <row r="171" spans="2:25" ht="18" customHeight="1" x14ac:dyDescent="0.2"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</row>
    <row r="172" spans="2:25" ht="18" customHeight="1" x14ac:dyDescent="0.2"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</row>
    <row r="173" spans="2:25" ht="18" customHeight="1" x14ac:dyDescent="0.2"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</row>
    <row r="174" spans="2:25" ht="18" customHeight="1" x14ac:dyDescent="0.2"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</row>
    <row r="175" spans="2:25" ht="18" customHeight="1" x14ac:dyDescent="0.2"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</row>
    <row r="176" spans="2:25" ht="18" customHeight="1" x14ac:dyDescent="0.2"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</row>
    <row r="177" spans="2:25" ht="18" customHeight="1" x14ac:dyDescent="0.2"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</row>
    <row r="178" spans="2:25" ht="18" customHeight="1" x14ac:dyDescent="0.2"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</row>
    <row r="179" spans="2:25" ht="18" customHeight="1" x14ac:dyDescent="0.2"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</row>
    <row r="180" spans="2:25" ht="18" customHeight="1" x14ac:dyDescent="0.2"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</row>
    <row r="181" spans="2:25" ht="18" customHeight="1" x14ac:dyDescent="0.2"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</row>
    <row r="182" spans="2:25" ht="18" customHeight="1" x14ac:dyDescent="0.2"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</row>
    <row r="183" spans="2:25" ht="18" customHeight="1" x14ac:dyDescent="0.2"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</row>
    <row r="184" spans="2:25" ht="18" customHeight="1" x14ac:dyDescent="0.2"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</row>
    <row r="185" spans="2:25" ht="18" customHeight="1" x14ac:dyDescent="0.2"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</row>
    <row r="186" spans="2:25" ht="18" customHeight="1" x14ac:dyDescent="0.2"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</row>
    <row r="187" spans="2:25" ht="18" customHeight="1" x14ac:dyDescent="0.2"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</row>
    <row r="188" spans="2:25" ht="18" customHeight="1" x14ac:dyDescent="0.2"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</row>
    <row r="189" spans="2:25" ht="18" customHeight="1" x14ac:dyDescent="0.2"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</row>
    <row r="190" spans="2:25" ht="18" customHeight="1" x14ac:dyDescent="0.2"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</row>
    <row r="191" spans="2:25" ht="18" customHeight="1" x14ac:dyDescent="0.2"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</row>
    <row r="192" spans="2:25" ht="18" customHeight="1" x14ac:dyDescent="0.2"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</row>
    <row r="193" spans="2:25" ht="18" customHeight="1" x14ac:dyDescent="0.2"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</row>
    <row r="194" spans="2:25" ht="18" customHeight="1" x14ac:dyDescent="0.2"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</row>
    <row r="195" spans="2:25" ht="18" customHeight="1" x14ac:dyDescent="0.2"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</row>
    <row r="196" spans="2:25" ht="18" customHeight="1" x14ac:dyDescent="0.2"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</row>
    <row r="197" spans="2:25" ht="18" customHeight="1" x14ac:dyDescent="0.2"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</row>
    <row r="198" spans="2:25" ht="18" customHeight="1" x14ac:dyDescent="0.2"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</row>
    <row r="199" spans="2:25" ht="18" customHeight="1" x14ac:dyDescent="0.2"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</row>
    <row r="200" spans="2:25" ht="18" customHeight="1" x14ac:dyDescent="0.2"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</row>
    <row r="201" spans="2:25" ht="18" customHeight="1" x14ac:dyDescent="0.2"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</row>
    <row r="202" spans="2:25" ht="18" customHeight="1" x14ac:dyDescent="0.2"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</row>
    <row r="203" spans="2:25" ht="18" customHeight="1" x14ac:dyDescent="0.2"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</row>
    <row r="204" spans="2:25" ht="18" customHeight="1" x14ac:dyDescent="0.2"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</row>
    <row r="205" spans="2:25" ht="18" customHeight="1" x14ac:dyDescent="0.2"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</row>
    <row r="206" spans="2:25" ht="18" customHeight="1" x14ac:dyDescent="0.2"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</row>
    <row r="207" spans="2:25" ht="18" customHeight="1" x14ac:dyDescent="0.2"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</row>
    <row r="208" spans="2:25" ht="18" customHeight="1" x14ac:dyDescent="0.2"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</row>
    <row r="209" spans="2:25" ht="18" customHeight="1" x14ac:dyDescent="0.2"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</row>
    <row r="210" spans="2:25" ht="18" customHeight="1" x14ac:dyDescent="0.2"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</row>
    <row r="211" spans="2:25" ht="18" customHeight="1" x14ac:dyDescent="0.2"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</row>
    <row r="212" spans="2:25" ht="18" customHeight="1" x14ac:dyDescent="0.2"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</row>
    <row r="213" spans="2:25" ht="18" customHeight="1" x14ac:dyDescent="0.2"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</row>
    <row r="214" spans="2:25" ht="18" customHeight="1" x14ac:dyDescent="0.2"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</row>
    <row r="215" spans="2:25" ht="18" customHeight="1" x14ac:dyDescent="0.2"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</row>
    <row r="216" spans="2:25" ht="18" customHeight="1" x14ac:dyDescent="0.2"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</row>
    <row r="217" spans="2:25" ht="18" customHeight="1" x14ac:dyDescent="0.2"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</row>
    <row r="218" spans="2:25" ht="18" customHeight="1" x14ac:dyDescent="0.2"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</row>
    <row r="219" spans="2:25" ht="18" customHeight="1" x14ac:dyDescent="0.2"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</row>
    <row r="220" spans="2:25" ht="18" customHeight="1" x14ac:dyDescent="0.2"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</row>
    <row r="221" spans="2:25" ht="18" customHeight="1" x14ac:dyDescent="0.2"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</row>
    <row r="222" spans="2:25" ht="18" customHeight="1" x14ac:dyDescent="0.2"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</row>
    <row r="223" spans="2:25" ht="18" customHeight="1" x14ac:dyDescent="0.2"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</row>
    <row r="224" spans="2:25" ht="18" customHeight="1" x14ac:dyDescent="0.2"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</row>
    <row r="225" spans="2:25" ht="18" customHeight="1" x14ac:dyDescent="0.2"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</row>
    <row r="226" spans="2:25" ht="18" customHeight="1" x14ac:dyDescent="0.2"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</row>
    <row r="227" spans="2:25" ht="18" customHeight="1" x14ac:dyDescent="0.2"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</row>
    <row r="228" spans="2:25" ht="18" customHeight="1" x14ac:dyDescent="0.2"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</row>
    <row r="229" spans="2:25" ht="18" customHeight="1" x14ac:dyDescent="0.2"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</row>
    <row r="230" spans="2:25" ht="18" customHeight="1" x14ac:dyDescent="0.2"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</row>
    <row r="231" spans="2:25" ht="18" customHeight="1" x14ac:dyDescent="0.2"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</row>
    <row r="232" spans="2:25" ht="18" customHeight="1" x14ac:dyDescent="0.2"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</row>
    <row r="233" spans="2:25" ht="18" customHeight="1" x14ac:dyDescent="0.2"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</row>
    <row r="234" spans="2:25" ht="18" customHeight="1" x14ac:dyDescent="0.2"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</row>
    <row r="235" spans="2:25" ht="18" customHeight="1" x14ac:dyDescent="0.2"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</row>
    <row r="236" spans="2:25" ht="18" customHeight="1" x14ac:dyDescent="0.2"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</row>
    <row r="237" spans="2:25" ht="18" customHeight="1" x14ac:dyDescent="0.2"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</row>
    <row r="238" spans="2:25" ht="18" customHeight="1" x14ac:dyDescent="0.2"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</row>
    <row r="239" spans="2:25" ht="18" customHeight="1" x14ac:dyDescent="0.2"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</row>
    <row r="240" spans="2:25" ht="18" customHeight="1" x14ac:dyDescent="0.2"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</row>
    <row r="241" spans="2:25" ht="18" customHeight="1" x14ac:dyDescent="0.2"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</row>
    <row r="242" spans="2:25" ht="18" customHeight="1" x14ac:dyDescent="0.2"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</row>
    <row r="243" spans="2:25" ht="18" customHeight="1" x14ac:dyDescent="0.2"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</row>
    <row r="244" spans="2:25" ht="18" customHeight="1" x14ac:dyDescent="0.2"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</row>
    <row r="245" spans="2:25" ht="18" customHeight="1" x14ac:dyDescent="0.2"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</row>
    <row r="246" spans="2:25" ht="18" customHeight="1" x14ac:dyDescent="0.2"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</row>
    <row r="247" spans="2:25" ht="18" customHeight="1" x14ac:dyDescent="0.2"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</row>
    <row r="248" spans="2:25" ht="18" customHeight="1" x14ac:dyDescent="0.2"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</row>
    <row r="249" spans="2:25" ht="18" customHeight="1" x14ac:dyDescent="0.2"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</row>
    <row r="250" spans="2:25" ht="18" customHeight="1" x14ac:dyDescent="0.2"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</row>
    <row r="251" spans="2:25" ht="18" customHeight="1" x14ac:dyDescent="0.2"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</row>
    <row r="252" spans="2:25" ht="18" customHeight="1" x14ac:dyDescent="0.2"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</row>
    <row r="253" spans="2:25" ht="18" customHeight="1" x14ac:dyDescent="0.2"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</row>
    <row r="254" spans="2:25" ht="18" customHeight="1" x14ac:dyDescent="0.2"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</row>
    <row r="255" spans="2:25" ht="18" customHeight="1" x14ac:dyDescent="0.2"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</row>
    <row r="256" spans="2:25" ht="18" customHeight="1" x14ac:dyDescent="0.2"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</row>
    <row r="257" spans="2:25" ht="18" customHeight="1" x14ac:dyDescent="0.2"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</row>
    <row r="258" spans="2:25" ht="18" customHeight="1" x14ac:dyDescent="0.2"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</row>
    <row r="259" spans="2:25" ht="18" customHeight="1" x14ac:dyDescent="0.2"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</row>
    <row r="260" spans="2:25" ht="18" customHeight="1" x14ac:dyDescent="0.2"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</row>
    <row r="261" spans="2:25" ht="18" customHeight="1" x14ac:dyDescent="0.2"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</row>
    <row r="262" spans="2:25" ht="18" customHeight="1" x14ac:dyDescent="0.2"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</row>
    <row r="263" spans="2:25" ht="18" customHeight="1" x14ac:dyDescent="0.2"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</row>
    <row r="264" spans="2:25" ht="18" customHeight="1" x14ac:dyDescent="0.2"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</row>
    <row r="265" spans="2:25" ht="18" customHeight="1" x14ac:dyDescent="0.2"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</row>
    <row r="266" spans="2:25" ht="18" customHeight="1" x14ac:dyDescent="0.2"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</row>
    <row r="267" spans="2:25" ht="18" customHeight="1" x14ac:dyDescent="0.2"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</row>
    <row r="268" spans="2:25" ht="18" customHeight="1" x14ac:dyDescent="0.2"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</row>
    <row r="269" spans="2:25" ht="18" customHeight="1" x14ac:dyDescent="0.2"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</row>
    <row r="270" spans="2:25" ht="18" customHeight="1" x14ac:dyDescent="0.2"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</row>
    <row r="271" spans="2:25" ht="18" customHeight="1" x14ac:dyDescent="0.2"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</row>
    <row r="272" spans="2:25" ht="18" customHeight="1" x14ac:dyDescent="0.2"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</row>
    <row r="273" spans="2:25" ht="18" customHeight="1" x14ac:dyDescent="0.2"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</row>
    <row r="274" spans="2:25" ht="18" customHeight="1" x14ac:dyDescent="0.2"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</row>
    <row r="275" spans="2:25" ht="18" customHeight="1" x14ac:dyDescent="0.2"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</row>
    <row r="276" spans="2:25" ht="18" customHeight="1" x14ac:dyDescent="0.2"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</row>
    <row r="277" spans="2:25" ht="18" customHeight="1" x14ac:dyDescent="0.2"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</row>
    <row r="278" spans="2:25" ht="18" customHeight="1" x14ac:dyDescent="0.2"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</row>
    <row r="279" spans="2:25" ht="18" customHeight="1" x14ac:dyDescent="0.2"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</row>
    <row r="280" spans="2:25" ht="18" customHeight="1" x14ac:dyDescent="0.2"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</row>
    <row r="281" spans="2:25" ht="18" customHeight="1" x14ac:dyDescent="0.2"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</row>
    <row r="282" spans="2:25" ht="18" customHeight="1" x14ac:dyDescent="0.2"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</row>
    <row r="283" spans="2:25" ht="18" customHeight="1" x14ac:dyDescent="0.2"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</row>
    <row r="284" spans="2:25" ht="18" customHeight="1" x14ac:dyDescent="0.2"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</row>
    <row r="285" spans="2:25" ht="18" customHeight="1" x14ac:dyDescent="0.2"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</row>
    <row r="286" spans="2:25" ht="18" customHeight="1" x14ac:dyDescent="0.2"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</row>
    <row r="287" spans="2:25" ht="18" customHeight="1" x14ac:dyDescent="0.2"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</row>
    <row r="288" spans="2:25" ht="18" customHeight="1" x14ac:dyDescent="0.2"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</row>
    <row r="289" spans="2:25" ht="18" customHeight="1" x14ac:dyDescent="0.2"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</row>
    <row r="290" spans="2:25" ht="18" customHeight="1" x14ac:dyDescent="0.2"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</row>
    <row r="291" spans="2:25" ht="18" customHeight="1" x14ac:dyDescent="0.2"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</row>
    <row r="292" spans="2:25" ht="18" customHeight="1" x14ac:dyDescent="0.2"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</row>
    <row r="293" spans="2:25" ht="18" customHeight="1" x14ac:dyDescent="0.2"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</row>
    <row r="294" spans="2:25" ht="18" customHeight="1" x14ac:dyDescent="0.2"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</row>
    <row r="295" spans="2:25" ht="18" customHeight="1" x14ac:dyDescent="0.2"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</row>
    <row r="296" spans="2:25" ht="18" customHeight="1" x14ac:dyDescent="0.2"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</row>
    <row r="297" spans="2:25" ht="18" customHeight="1" x14ac:dyDescent="0.2"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</row>
    <row r="298" spans="2:25" ht="18" customHeight="1" x14ac:dyDescent="0.2"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</row>
    <row r="299" spans="2:25" ht="18" customHeight="1" x14ac:dyDescent="0.2"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</row>
    <row r="300" spans="2:25" ht="18" customHeight="1" x14ac:dyDescent="0.2"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</row>
    <row r="301" spans="2:25" ht="18" customHeight="1" x14ac:dyDescent="0.2"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</row>
    <row r="302" spans="2:25" ht="18" customHeight="1" x14ac:dyDescent="0.2"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</row>
    <row r="303" spans="2:25" ht="18" customHeight="1" x14ac:dyDescent="0.2"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</row>
    <row r="304" spans="2:25" ht="18" customHeight="1" x14ac:dyDescent="0.2"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</row>
    <row r="305" spans="2:25" ht="18" customHeight="1" x14ac:dyDescent="0.2"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</row>
    <row r="306" spans="2:25" ht="18" customHeight="1" x14ac:dyDescent="0.2"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</row>
    <row r="307" spans="2:25" ht="18" customHeight="1" x14ac:dyDescent="0.2"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</row>
    <row r="308" spans="2:25" ht="18" customHeight="1" x14ac:dyDescent="0.2"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</row>
    <row r="309" spans="2:25" ht="18" customHeight="1" x14ac:dyDescent="0.2"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</row>
    <row r="310" spans="2:25" ht="18" customHeight="1" x14ac:dyDescent="0.2"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</row>
    <row r="311" spans="2:25" ht="18" customHeight="1" x14ac:dyDescent="0.2"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</row>
    <row r="312" spans="2:25" ht="18" customHeight="1" x14ac:dyDescent="0.2"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</row>
    <row r="313" spans="2:25" ht="18" customHeight="1" x14ac:dyDescent="0.2"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</row>
    <row r="314" spans="2:25" ht="18" customHeight="1" x14ac:dyDescent="0.2"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</row>
    <row r="315" spans="2:25" ht="18" customHeight="1" x14ac:dyDescent="0.2"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</row>
    <row r="316" spans="2:25" ht="18" customHeight="1" x14ac:dyDescent="0.2"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</row>
    <row r="317" spans="2:25" ht="18" customHeight="1" x14ac:dyDescent="0.2"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</row>
    <row r="318" spans="2:25" ht="18" customHeight="1" x14ac:dyDescent="0.2"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</row>
    <row r="319" spans="2:25" ht="18" customHeight="1" x14ac:dyDescent="0.2"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</row>
    <row r="320" spans="2:25" ht="18" customHeight="1" x14ac:dyDescent="0.2"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</row>
    <row r="321" spans="2:25" ht="18" customHeight="1" x14ac:dyDescent="0.2"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</row>
    <row r="322" spans="2:25" ht="18" customHeight="1" x14ac:dyDescent="0.2"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</row>
    <row r="323" spans="2:25" ht="18" customHeight="1" x14ac:dyDescent="0.2"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</row>
    <row r="324" spans="2:25" ht="18" customHeight="1" x14ac:dyDescent="0.2"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</row>
    <row r="325" spans="2:25" ht="18" customHeight="1" x14ac:dyDescent="0.2"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</row>
    <row r="326" spans="2:25" ht="18" customHeight="1" x14ac:dyDescent="0.2"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</row>
    <row r="327" spans="2:25" ht="18" customHeight="1" x14ac:dyDescent="0.2"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</row>
    <row r="328" spans="2:25" ht="18" customHeight="1" x14ac:dyDescent="0.2"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</row>
    <row r="329" spans="2:25" ht="18" customHeight="1" x14ac:dyDescent="0.2"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</row>
    <row r="330" spans="2:25" ht="18" customHeight="1" x14ac:dyDescent="0.2"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</row>
    <row r="331" spans="2:25" ht="18" customHeight="1" x14ac:dyDescent="0.2"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</row>
    <row r="332" spans="2:25" ht="18" customHeight="1" x14ac:dyDescent="0.2"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</row>
    <row r="333" spans="2:25" ht="18" customHeight="1" x14ac:dyDescent="0.2"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</row>
    <row r="334" spans="2:25" ht="18" customHeight="1" x14ac:dyDescent="0.2"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</row>
    <row r="335" spans="2:25" ht="18" customHeight="1" x14ac:dyDescent="0.2"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</row>
    <row r="336" spans="2:25" ht="18" customHeight="1" x14ac:dyDescent="0.2"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</row>
    <row r="337" spans="2:25" ht="18" customHeight="1" x14ac:dyDescent="0.2"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</row>
    <row r="338" spans="2:25" ht="18" customHeight="1" x14ac:dyDescent="0.2"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</row>
    <row r="339" spans="2:25" ht="18" customHeight="1" x14ac:dyDescent="0.2"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</row>
    <row r="340" spans="2:25" ht="18" customHeight="1" x14ac:dyDescent="0.2"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</row>
    <row r="341" spans="2:25" ht="18" customHeight="1" x14ac:dyDescent="0.2"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</row>
    <row r="342" spans="2:25" ht="18" customHeight="1" x14ac:dyDescent="0.2"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</row>
    <row r="343" spans="2:25" ht="18" customHeight="1" x14ac:dyDescent="0.2"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</row>
    <row r="344" spans="2:25" ht="18" customHeight="1" x14ac:dyDescent="0.2"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</row>
    <row r="345" spans="2:25" ht="18" customHeight="1" x14ac:dyDescent="0.2"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</row>
    <row r="346" spans="2:25" ht="18" customHeight="1" x14ac:dyDescent="0.2"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</row>
    <row r="347" spans="2:25" ht="18" customHeight="1" x14ac:dyDescent="0.2"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</row>
    <row r="348" spans="2:25" ht="18" customHeight="1" x14ac:dyDescent="0.2"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</row>
    <row r="349" spans="2:25" ht="18" customHeight="1" x14ac:dyDescent="0.2"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</row>
    <row r="350" spans="2:25" ht="18" customHeight="1" x14ac:dyDescent="0.2"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</row>
    <row r="351" spans="2:25" ht="18" customHeight="1" x14ac:dyDescent="0.2"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</row>
    <row r="352" spans="2:25" ht="18" customHeight="1" x14ac:dyDescent="0.2"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</row>
    <row r="353" spans="2:25" ht="18" customHeight="1" x14ac:dyDescent="0.2"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</row>
    <row r="354" spans="2:25" ht="18" customHeight="1" x14ac:dyDescent="0.2"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</row>
    <row r="355" spans="2:25" ht="18" customHeight="1" x14ac:dyDescent="0.2"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</row>
    <row r="356" spans="2:25" ht="18" customHeight="1" x14ac:dyDescent="0.2"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</row>
    <row r="357" spans="2:25" ht="18" customHeight="1" x14ac:dyDescent="0.2"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</row>
    <row r="358" spans="2:25" ht="18" customHeight="1" x14ac:dyDescent="0.2"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</row>
    <row r="359" spans="2:25" ht="18" customHeight="1" x14ac:dyDescent="0.2"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</row>
    <row r="360" spans="2:25" ht="18" customHeight="1" x14ac:dyDescent="0.2"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</row>
    <row r="361" spans="2:25" ht="18" customHeight="1" x14ac:dyDescent="0.2"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</row>
    <row r="362" spans="2:25" ht="18" customHeight="1" x14ac:dyDescent="0.2"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</row>
    <row r="363" spans="2:25" ht="18" customHeight="1" x14ac:dyDescent="0.2"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</row>
    <row r="364" spans="2:25" ht="18" customHeight="1" x14ac:dyDescent="0.2"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</row>
    <row r="365" spans="2:25" ht="18" customHeight="1" x14ac:dyDescent="0.2"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</row>
    <row r="366" spans="2:25" ht="18" customHeight="1" x14ac:dyDescent="0.2"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</row>
    <row r="367" spans="2:25" ht="18" customHeight="1" x14ac:dyDescent="0.2"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</row>
    <row r="368" spans="2:25" ht="18" customHeight="1" x14ac:dyDescent="0.2"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</row>
    <row r="369" spans="2:25" ht="18" customHeight="1" x14ac:dyDescent="0.2"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</row>
    <row r="370" spans="2:25" ht="18" customHeight="1" x14ac:dyDescent="0.2"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</row>
    <row r="371" spans="2:25" ht="18" customHeight="1" x14ac:dyDescent="0.2"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</row>
    <row r="372" spans="2:25" ht="18" customHeight="1" x14ac:dyDescent="0.2"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</row>
    <row r="373" spans="2:25" ht="18" customHeight="1" x14ac:dyDescent="0.2"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</row>
    <row r="374" spans="2:25" ht="18" customHeight="1" x14ac:dyDescent="0.2"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</row>
    <row r="375" spans="2:25" ht="18" customHeight="1" x14ac:dyDescent="0.2"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</row>
    <row r="376" spans="2:25" ht="18" customHeight="1" x14ac:dyDescent="0.2"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</row>
    <row r="377" spans="2:25" ht="18" customHeight="1" x14ac:dyDescent="0.2"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</row>
    <row r="378" spans="2:25" ht="18" customHeight="1" x14ac:dyDescent="0.2"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</row>
    <row r="379" spans="2:25" ht="18" customHeight="1" x14ac:dyDescent="0.2"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</row>
    <row r="380" spans="2:25" ht="18" customHeight="1" x14ac:dyDescent="0.2"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</row>
    <row r="381" spans="2:25" ht="18" customHeight="1" x14ac:dyDescent="0.2"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</row>
    <row r="382" spans="2:25" ht="18" customHeight="1" x14ac:dyDescent="0.2"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</row>
    <row r="383" spans="2:25" ht="18" customHeight="1" x14ac:dyDescent="0.2"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</row>
    <row r="384" spans="2:25" ht="18" customHeight="1" x14ac:dyDescent="0.2"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</row>
    <row r="385" spans="2:25" ht="18" customHeight="1" x14ac:dyDescent="0.2"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</row>
    <row r="386" spans="2:25" ht="18" customHeight="1" x14ac:dyDescent="0.2"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</row>
    <row r="387" spans="2:25" ht="18" customHeight="1" x14ac:dyDescent="0.2"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</row>
    <row r="388" spans="2:25" ht="18" customHeight="1" x14ac:dyDescent="0.2"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</row>
    <row r="389" spans="2:25" ht="18" customHeight="1" x14ac:dyDescent="0.2"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</row>
    <row r="390" spans="2:25" ht="18" customHeight="1" x14ac:dyDescent="0.2"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</row>
    <row r="391" spans="2:25" ht="18" customHeight="1" x14ac:dyDescent="0.2"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</row>
    <row r="392" spans="2:25" ht="18" customHeight="1" x14ac:dyDescent="0.2"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</row>
    <row r="393" spans="2:25" ht="18" customHeight="1" x14ac:dyDescent="0.2"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</row>
    <row r="394" spans="2:25" ht="18" customHeight="1" x14ac:dyDescent="0.2"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</row>
    <row r="395" spans="2:25" ht="18" customHeight="1" x14ac:dyDescent="0.2"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</row>
    <row r="396" spans="2:25" ht="18" customHeight="1" x14ac:dyDescent="0.2"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</row>
    <row r="397" spans="2:25" ht="18" customHeight="1" x14ac:dyDescent="0.2"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</row>
    <row r="398" spans="2:25" ht="18" customHeight="1" x14ac:dyDescent="0.2"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</row>
    <row r="399" spans="2:25" ht="18" customHeight="1" x14ac:dyDescent="0.2"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</row>
    <row r="400" spans="2:25" ht="18" customHeight="1" x14ac:dyDescent="0.2"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</row>
    <row r="401" spans="2:25" ht="18" customHeight="1" x14ac:dyDescent="0.2"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</row>
    <row r="402" spans="2:25" ht="18" customHeight="1" x14ac:dyDescent="0.2"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</row>
    <row r="403" spans="2:25" ht="18" customHeight="1" x14ac:dyDescent="0.2"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</row>
    <row r="404" spans="2:25" ht="18" customHeight="1" x14ac:dyDescent="0.2"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</row>
    <row r="405" spans="2:25" ht="18" customHeight="1" x14ac:dyDescent="0.2"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</row>
    <row r="406" spans="2:25" ht="18" customHeight="1" x14ac:dyDescent="0.2"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</row>
    <row r="407" spans="2:25" ht="18" customHeight="1" x14ac:dyDescent="0.2"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</row>
    <row r="408" spans="2:25" ht="18" customHeight="1" x14ac:dyDescent="0.2"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</row>
    <row r="409" spans="2:25" ht="18" customHeight="1" x14ac:dyDescent="0.2"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</row>
    <row r="410" spans="2:25" ht="18" customHeight="1" x14ac:dyDescent="0.2"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</row>
    <row r="411" spans="2:25" ht="18" customHeight="1" x14ac:dyDescent="0.2"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</row>
    <row r="412" spans="2:25" ht="18" customHeight="1" x14ac:dyDescent="0.2"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</row>
    <row r="413" spans="2:25" ht="18" customHeight="1" x14ac:dyDescent="0.2"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</row>
    <row r="414" spans="2:25" ht="18" customHeight="1" x14ac:dyDescent="0.2"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</row>
    <row r="415" spans="2:25" ht="18" customHeight="1" x14ac:dyDescent="0.2"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</row>
    <row r="416" spans="2:25" ht="18" customHeight="1" x14ac:dyDescent="0.2"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</row>
    <row r="417" spans="2:25" ht="18" customHeight="1" x14ac:dyDescent="0.2"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</row>
    <row r="418" spans="2:25" ht="18" customHeight="1" x14ac:dyDescent="0.2"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</row>
    <row r="419" spans="2:25" ht="18" customHeight="1" x14ac:dyDescent="0.2"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</row>
    <row r="420" spans="2:25" ht="18" customHeight="1" x14ac:dyDescent="0.2"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</row>
    <row r="421" spans="2:25" ht="18" customHeight="1" x14ac:dyDescent="0.2"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</row>
    <row r="422" spans="2:25" ht="18" customHeight="1" x14ac:dyDescent="0.2"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</row>
    <row r="423" spans="2:25" ht="18" customHeight="1" x14ac:dyDescent="0.2"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</row>
    <row r="424" spans="2:25" ht="18" customHeight="1" x14ac:dyDescent="0.2"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</row>
    <row r="425" spans="2:25" ht="18" customHeight="1" x14ac:dyDescent="0.2"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</row>
    <row r="426" spans="2:25" ht="18" customHeight="1" x14ac:dyDescent="0.2"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</row>
    <row r="427" spans="2:25" ht="18" customHeight="1" x14ac:dyDescent="0.2"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</row>
    <row r="428" spans="2:25" ht="18" customHeight="1" x14ac:dyDescent="0.2"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</row>
    <row r="429" spans="2:25" ht="18" customHeight="1" x14ac:dyDescent="0.2"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</row>
    <row r="430" spans="2:25" ht="18" customHeight="1" x14ac:dyDescent="0.2"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</row>
    <row r="431" spans="2:25" ht="18" customHeight="1" x14ac:dyDescent="0.2"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</row>
    <row r="432" spans="2:25" ht="18" customHeight="1" x14ac:dyDescent="0.2"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</row>
    <row r="433" spans="2:25" ht="18" customHeight="1" x14ac:dyDescent="0.2"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</row>
    <row r="434" spans="2:25" ht="18" customHeight="1" x14ac:dyDescent="0.2"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</row>
    <row r="435" spans="2:25" ht="18" customHeight="1" x14ac:dyDescent="0.2"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</row>
    <row r="436" spans="2:25" ht="18" customHeight="1" x14ac:dyDescent="0.2"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</row>
    <row r="437" spans="2:25" ht="18" customHeight="1" x14ac:dyDescent="0.2"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</row>
    <row r="438" spans="2:25" ht="18" customHeight="1" x14ac:dyDescent="0.2"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</row>
    <row r="439" spans="2:25" ht="18" customHeight="1" x14ac:dyDescent="0.2"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</row>
    <row r="440" spans="2:25" ht="18" customHeight="1" x14ac:dyDescent="0.2"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</row>
    <row r="441" spans="2:25" ht="18" customHeight="1" x14ac:dyDescent="0.2"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</row>
    <row r="442" spans="2:25" ht="18" customHeight="1" x14ac:dyDescent="0.2"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</row>
    <row r="443" spans="2:25" ht="18" customHeight="1" x14ac:dyDescent="0.2"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</row>
    <row r="444" spans="2:25" ht="18" customHeight="1" x14ac:dyDescent="0.2"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</row>
    <row r="445" spans="2:25" ht="18" customHeight="1" x14ac:dyDescent="0.2"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</row>
    <row r="446" spans="2:25" ht="18" customHeight="1" x14ac:dyDescent="0.2"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</row>
    <row r="447" spans="2:25" ht="18" customHeight="1" x14ac:dyDescent="0.2"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</row>
    <row r="448" spans="2:25" ht="18" customHeight="1" x14ac:dyDescent="0.2"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</row>
    <row r="449" spans="2:25" ht="18" customHeight="1" x14ac:dyDescent="0.2"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</row>
    <row r="450" spans="2:25" ht="18" customHeight="1" x14ac:dyDescent="0.2"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</row>
    <row r="451" spans="2:25" ht="18" customHeight="1" x14ac:dyDescent="0.2"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</row>
    <row r="452" spans="2:25" ht="18" customHeight="1" x14ac:dyDescent="0.2"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</row>
    <row r="453" spans="2:25" ht="18" customHeight="1" x14ac:dyDescent="0.2"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</row>
    <row r="454" spans="2:25" ht="18" customHeight="1" x14ac:dyDescent="0.2"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</row>
    <row r="455" spans="2:25" ht="18" customHeight="1" x14ac:dyDescent="0.2"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</row>
    <row r="456" spans="2:25" ht="18" customHeight="1" x14ac:dyDescent="0.2"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</row>
    <row r="457" spans="2:25" ht="18" customHeight="1" x14ac:dyDescent="0.2"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</row>
    <row r="458" spans="2:25" ht="18" customHeight="1" x14ac:dyDescent="0.2"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</row>
    <row r="459" spans="2:25" ht="18" customHeight="1" x14ac:dyDescent="0.2"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</row>
    <row r="460" spans="2:25" ht="18" customHeight="1" x14ac:dyDescent="0.2"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</row>
    <row r="461" spans="2:25" ht="18" customHeight="1" x14ac:dyDescent="0.2"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</row>
    <row r="462" spans="2:25" ht="18" customHeight="1" x14ac:dyDescent="0.2"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</row>
    <row r="463" spans="2:25" ht="18" customHeight="1" x14ac:dyDescent="0.2"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</row>
    <row r="464" spans="2:25" ht="18" customHeight="1" x14ac:dyDescent="0.2"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</row>
    <row r="465" spans="2:25" ht="18" customHeight="1" x14ac:dyDescent="0.2"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</row>
    <row r="466" spans="2:25" ht="18" customHeight="1" x14ac:dyDescent="0.2"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</row>
    <row r="467" spans="2:25" ht="18" customHeight="1" x14ac:dyDescent="0.2"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</row>
    <row r="468" spans="2:25" ht="18" customHeight="1" x14ac:dyDescent="0.2"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</row>
    <row r="469" spans="2:25" ht="18" customHeight="1" x14ac:dyDescent="0.2"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</row>
    <row r="470" spans="2:25" ht="18" customHeight="1" x14ac:dyDescent="0.2"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</row>
    <row r="471" spans="2:25" ht="18" customHeight="1" x14ac:dyDescent="0.2"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</row>
    <row r="472" spans="2:25" ht="18" customHeight="1" x14ac:dyDescent="0.2"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</row>
    <row r="473" spans="2:25" ht="18" customHeight="1" x14ac:dyDescent="0.2"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</row>
    <row r="474" spans="2:25" ht="18" customHeight="1" x14ac:dyDescent="0.2"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</row>
    <row r="475" spans="2:25" ht="18" customHeight="1" x14ac:dyDescent="0.2"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</row>
    <row r="476" spans="2:25" ht="18" customHeight="1" x14ac:dyDescent="0.2"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</row>
    <row r="477" spans="2:25" ht="18" customHeight="1" x14ac:dyDescent="0.2"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</row>
    <row r="478" spans="2:25" ht="18" customHeight="1" x14ac:dyDescent="0.2"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</row>
    <row r="479" spans="2:25" ht="18" customHeight="1" x14ac:dyDescent="0.2"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</row>
    <row r="480" spans="2:25" ht="18" customHeight="1" x14ac:dyDescent="0.2"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</row>
    <row r="481" spans="2:25" ht="18" customHeight="1" x14ac:dyDescent="0.2"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</row>
    <row r="482" spans="2:25" ht="18" customHeight="1" x14ac:dyDescent="0.2"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</row>
    <row r="483" spans="2:25" ht="18" customHeight="1" x14ac:dyDescent="0.2"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</row>
    <row r="484" spans="2:25" ht="18" customHeight="1" x14ac:dyDescent="0.2"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</row>
    <row r="485" spans="2:25" ht="18" customHeight="1" x14ac:dyDescent="0.2"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</row>
    <row r="486" spans="2:25" ht="18" customHeight="1" x14ac:dyDescent="0.2"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</row>
    <row r="487" spans="2:25" ht="18" customHeight="1" x14ac:dyDescent="0.2"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</row>
    <row r="488" spans="2:25" ht="18" customHeight="1" x14ac:dyDescent="0.2"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</row>
    <row r="489" spans="2:25" ht="18" customHeight="1" x14ac:dyDescent="0.2"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</row>
    <row r="490" spans="2:25" ht="18" customHeight="1" x14ac:dyDescent="0.2"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</row>
    <row r="491" spans="2:25" ht="18" customHeight="1" x14ac:dyDescent="0.2"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</row>
    <row r="492" spans="2:25" ht="18" customHeight="1" x14ac:dyDescent="0.2"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</row>
    <row r="493" spans="2:25" ht="18" customHeight="1" x14ac:dyDescent="0.2"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</row>
    <row r="494" spans="2:25" ht="18" customHeight="1" x14ac:dyDescent="0.2"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</row>
    <row r="495" spans="2:25" ht="18" customHeight="1" x14ac:dyDescent="0.2"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</row>
    <row r="496" spans="2:25" ht="18" customHeight="1" x14ac:dyDescent="0.2"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</row>
    <row r="497" spans="2:25" ht="18" customHeight="1" x14ac:dyDescent="0.2"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</row>
    <row r="498" spans="2:25" ht="18" customHeight="1" x14ac:dyDescent="0.2"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</row>
    <row r="499" spans="2:25" ht="18" customHeight="1" x14ac:dyDescent="0.2"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</row>
    <row r="500" spans="2:25" ht="18" customHeight="1" x14ac:dyDescent="0.2"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</row>
    <row r="501" spans="2:25" ht="18" customHeight="1" x14ac:dyDescent="0.2"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</row>
    <row r="502" spans="2:25" ht="18" customHeight="1" x14ac:dyDescent="0.2"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</row>
    <row r="503" spans="2:25" ht="18" customHeight="1" x14ac:dyDescent="0.2"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</row>
    <row r="504" spans="2:25" ht="18" customHeight="1" x14ac:dyDescent="0.2"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</row>
    <row r="505" spans="2:25" ht="18" customHeight="1" x14ac:dyDescent="0.2"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</row>
    <row r="506" spans="2:25" ht="18" customHeight="1" x14ac:dyDescent="0.2"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</row>
    <row r="507" spans="2:25" ht="18" customHeight="1" x14ac:dyDescent="0.2"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</row>
    <row r="508" spans="2:25" ht="18" customHeight="1" x14ac:dyDescent="0.2"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</row>
    <row r="509" spans="2:25" ht="18" customHeight="1" x14ac:dyDescent="0.2"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</row>
    <row r="510" spans="2:25" ht="18" customHeight="1" x14ac:dyDescent="0.2"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</row>
    <row r="511" spans="2:25" ht="18" customHeight="1" x14ac:dyDescent="0.2"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</row>
    <row r="512" spans="2:25" ht="18" customHeight="1" x14ac:dyDescent="0.2"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</row>
    <row r="513" spans="2:25" ht="18" customHeight="1" x14ac:dyDescent="0.2"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</row>
    <row r="514" spans="2:25" ht="18" customHeight="1" x14ac:dyDescent="0.2"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</row>
    <row r="515" spans="2:25" ht="18" customHeight="1" x14ac:dyDescent="0.2"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</row>
    <row r="516" spans="2:25" ht="18" customHeight="1" x14ac:dyDescent="0.2"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</row>
    <row r="517" spans="2:25" ht="18" customHeight="1" x14ac:dyDescent="0.2"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</row>
    <row r="518" spans="2:25" ht="18" customHeight="1" x14ac:dyDescent="0.2"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</row>
    <row r="519" spans="2:25" ht="18" customHeight="1" x14ac:dyDescent="0.2"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</row>
    <row r="520" spans="2:25" ht="18" customHeight="1" x14ac:dyDescent="0.2"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</row>
    <row r="521" spans="2:25" ht="18" customHeight="1" x14ac:dyDescent="0.2"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</row>
    <row r="522" spans="2:25" ht="18" customHeight="1" x14ac:dyDescent="0.2"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</row>
    <row r="523" spans="2:25" ht="18" customHeight="1" x14ac:dyDescent="0.2"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</row>
    <row r="524" spans="2:25" ht="18" customHeight="1" x14ac:dyDescent="0.2"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</row>
    <row r="525" spans="2:25" ht="18" customHeight="1" x14ac:dyDescent="0.2"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</row>
    <row r="526" spans="2:25" ht="18" customHeight="1" x14ac:dyDescent="0.2"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</row>
    <row r="527" spans="2:25" ht="18" customHeight="1" x14ac:dyDescent="0.2"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</row>
    <row r="528" spans="2:25" ht="18" customHeight="1" x14ac:dyDescent="0.2"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</row>
    <row r="529" spans="2:25" ht="18" customHeight="1" x14ac:dyDescent="0.2"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</row>
    <row r="530" spans="2:25" ht="18" customHeight="1" x14ac:dyDescent="0.2"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</row>
    <row r="531" spans="2:25" ht="18" customHeight="1" x14ac:dyDescent="0.2"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</row>
    <row r="532" spans="2:25" ht="18" customHeight="1" x14ac:dyDescent="0.2"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</row>
    <row r="533" spans="2:25" ht="18" customHeight="1" x14ac:dyDescent="0.2"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</row>
    <row r="534" spans="2:25" ht="18" customHeight="1" x14ac:dyDescent="0.2"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</row>
    <row r="535" spans="2:25" ht="18" customHeight="1" x14ac:dyDescent="0.2"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</row>
    <row r="536" spans="2:25" ht="18" customHeight="1" x14ac:dyDescent="0.2"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</row>
    <row r="537" spans="2:25" ht="18" customHeight="1" x14ac:dyDescent="0.2"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</row>
    <row r="538" spans="2:25" ht="18" customHeight="1" x14ac:dyDescent="0.2"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</row>
    <row r="539" spans="2:25" ht="18" customHeight="1" x14ac:dyDescent="0.2"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</row>
    <row r="540" spans="2:25" ht="18" customHeight="1" x14ac:dyDescent="0.2"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</row>
    <row r="541" spans="2:25" ht="18" customHeight="1" x14ac:dyDescent="0.2"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</row>
    <row r="542" spans="2:25" ht="18" customHeight="1" x14ac:dyDescent="0.2"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</row>
    <row r="543" spans="2:25" ht="18" customHeight="1" x14ac:dyDescent="0.2"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</row>
    <row r="544" spans="2:25" ht="18" customHeight="1" x14ac:dyDescent="0.2"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</row>
    <row r="545" spans="2:25" ht="18" customHeight="1" x14ac:dyDescent="0.2"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</row>
    <row r="546" spans="2:25" ht="18" customHeight="1" x14ac:dyDescent="0.2"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</row>
    <row r="547" spans="2:25" ht="18" customHeight="1" x14ac:dyDescent="0.2"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</row>
    <row r="548" spans="2:25" ht="18" customHeight="1" x14ac:dyDescent="0.2"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</row>
    <row r="549" spans="2:25" ht="18" customHeight="1" x14ac:dyDescent="0.2"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</row>
    <row r="550" spans="2:25" ht="18" customHeight="1" x14ac:dyDescent="0.2"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</row>
    <row r="551" spans="2:25" ht="18" customHeight="1" x14ac:dyDescent="0.2"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</row>
    <row r="552" spans="2:25" ht="18" customHeight="1" x14ac:dyDescent="0.2"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</row>
    <row r="553" spans="2:25" ht="18" customHeight="1" x14ac:dyDescent="0.2"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</row>
    <row r="554" spans="2:25" ht="18" customHeight="1" x14ac:dyDescent="0.2"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</row>
    <row r="555" spans="2:25" ht="18" customHeight="1" x14ac:dyDescent="0.2"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</row>
    <row r="556" spans="2:25" ht="18" customHeight="1" x14ac:dyDescent="0.2"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</row>
    <row r="557" spans="2:25" ht="18" customHeight="1" x14ac:dyDescent="0.2"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</row>
    <row r="558" spans="2:25" ht="18" customHeight="1" x14ac:dyDescent="0.2"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</row>
    <row r="559" spans="2:25" ht="18" customHeight="1" x14ac:dyDescent="0.2"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</row>
    <row r="560" spans="2:25" ht="18" customHeight="1" x14ac:dyDescent="0.2"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</row>
    <row r="561" spans="2:25" ht="18" customHeight="1" x14ac:dyDescent="0.2"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</row>
    <row r="562" spans="2:25" ht="18" customHeight="1" x14ac:dyDescent="0.2"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</row>
    <row r="563" spans="2:25" ht="18" customHeight="1" x14ac:dyDescent="0.2"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</row>
    <row r="564" spans="2:25" ht="18" customHeight="1" x14ac:dyDescent="0.2"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</row>
    <row r="565" spans="2:25" ht="18" customHeight="1" x14ac:dyDescent="0.2"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</row>
    <row r="566" spans="2:25" ht="18" customHeight="1" x14ac:dyDescent="0.2"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</row>
    <row r="567" spans="2:25" ht="18" customHeight="1" x14ac:dyDescent="0.2"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</row>
    <row r="568" spans="2:25" ht="18" customHeight="1" x14ac:dyDescent="0.2"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</row>
    <row r="569" spans="2:25" ht="18" customHeight="1" x14ac:dyDescent="0.2"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</row>
    <row r="570" spans="2:25" ht="18" customHeight="1" x14ac:dyDescent="0.2"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</row>
    <row r="571" spans="2:25" ht="18" customHeight="1" x14ac:dyDescent="0.2"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</row>
    <row r="572" spans="2:25" ht="18" customHeight="1" x14ac:dyDescent="0.2"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</row>
    <row r="573" spans="2:25" ht="18" customHeight="1" x14ac:dyDescent="0.2"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</row>
    <row r="574" spans="2:25" ht="18" customHeight="1" x14ac:dyDescent="0.2"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</row>
    <row r="575" spans="2:25" ht="18" customHeight="1" x14ac:dyDescent="0.2"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</row>
    <row r="576" spans="2:25" ht="18" customHeight="1" x14ac:dyDescent="0.2"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</row>
    <row r="577" spans="2:25" ht="18" customHeight="1" x14ac:dyDescent="0.2"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</row>
    <row r="578" spans="2:25" ht="18" customHeight="1" x14ac:dyDescent="0.2"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</row>
    <row r="579" spans="2:25" ht="18" customHeight="1" x14ac:dyDescent="0.2"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</row>
    <row r="580" spans="2:25" ht="18" customHeight="1" x14ac:dyDescent="0.2"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</row>
    <row r="581" spans="2:25" ht="18" customHeight="1" x14ac:dyDescent="0.2"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</row>
    <row r="582" spans="2:25" ht="18" customHeight="1" x14ac:dyDescent="0.2"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</row>
    <row r="583" spans="2:25" ht="18" customHeight="1" x14ac:dyDescent="0.2"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</row>
    <row r="584" spans="2:25" ht="18" customHeight="1" x14ac:dyDescent="0.2"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</row>
    <row r="585" spans="2:25" ht="18" customHeight="1" x14ac:dyDescent="0.2"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</row>
    <row r="586" spans="2:25" ht="18" customHeight="1" x14ac:dyDescent="0.2"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</row>
    <row r="587" spans="2:25" ht="18" customHeight="1" x14ac:dyDescent="0.2"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</row>
    <row r="588" spans="2:25" ht="18" customHeight="1" x14ac:dyDescent="0.2"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</row>
    <row r="589" spans="2:25" ht="18" customHeight="1" x14ac:dyDescent="0.2"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</row>
    <row r="590" spans="2:25" ht="18" customHeight="1" x14ac:dyDescent="0.2"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</row>
    <row r="591" spans="2:25" ht="18" customHeight="1" x14ac:dyDescent="0.2"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</row>
    <row r="592" spans="2:25" ht="18" customHeight="1" x14ac:dyDescent="0.2"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</row>
    <row r="593" spans="2:25" ht="18" customHeight="1" x14ac:dyDescent="0.2"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</row>
    <row r="594" spans="2:25" ht="18" customHeight="1" x14ac:dyDescent="0.2"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</row>
    <row r="595" spans="2:25" ht="18" customHeight="1" x14ac:dyDescent="0.2"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</row>
    <row r="596" spans="2:25" ht="18" customHeight="1" x14ac:dyDescent="0.2"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</row>
    <row r="597" spans="2:25" ht="18" customHeight="1" x14ac:dyDescent="0.2"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</row>
    <row r="598" spans="2:25" ht="18" customHeight="1" x14ac:dyDescent="0.2"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</row>
    <row r="599" spans="2:25" ht="18" customHeight="1" x14ac:dyDescent="0.2"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</row>
    <row r="600" spans="2:25" ht="18" customHeight="1" x14ac:dyDescent="0.2"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</row>
    <row r="601" spans="2:25" ht="18" customHeight="1" x14ac:dyDescent="0.2"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</row>
    <row r="602" spans="2:25" ht="18" customHeight="1" x14ac:dyDescent="0.2"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</row>
    <row r="603" spans="2:25" ht="18" customHeight="1" x14ac:dyDescent="0.2"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</row>
    <row r="604" spans="2:25" ht="18" customHeight="1" x14ac:dyDescent="0.2"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</row>
    <row r="605" spans="2:25" ht="18" customHeight="1" x14ac:dyDescent="0.2"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</row>
    <row r="606" spans="2:25" ht="18" customHeight="1" x14ac:dyDescent="0.2"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</row>
    <row r="607" spans="2:25" ht="18" customHeight="1" x14ac:dyDescent="0.2"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</row>
    <row r="608" spans="2:25" ht="18" customHeight="1" x14ac:dyDescent="0.2"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</row>
    <row r="609" spans="2:25" ht="18" customHeight="1" x14ac:dyDescent="0.2"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</row>
    <row r="610" spans="2:25" ht="18" customHeight="1" x14ac:dyDescent="0.2"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</row>
    <row r="611" spans="2:25" ht="18" customHeight="1" x14ac:dyDescent="0.2"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</row>
    <row r="612" spans="2:25" ht="18" customHeight="1" x14ac:dyDescent="0.2"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</row>
    <row r="613" spans="2:25" ht="18" customHeight="1" x14ac:dyDescent="0.2"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</row>
    <row r="614" spans="2:25" ht="18" customHeight="1" x14ac:dyDescent="0.2"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</row>
    <row r="615" spans="2:25" ht="18" customHeight="1" x14ac:dyDescent="0.2"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</row>
    <row r="616" spans="2:25" ht="18" customHeight="1" x14ac:dyDescent="0.2"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</row>
    <row r="617" spans="2:25" ht="18" customHeight="1" x14ac:dyDescent="0.2"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</row>
    <row r="618" spans="2:25" ht="18" customHeight="1" x14ac:dyDescent="0.2"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</row>
    <row r="619" spans="2:25" ht="18" customHeight="1" x14ac:dyDescent="0.2"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</row>
    <row r="620" spans="2:25" ht="18" customHeight="1" x14ac:dyDescent="0.2"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</row>
    <row r="621" spans="2:25" ht="18" customHeight="1" x14ac:dyDescent="0.2"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</row>
    <row r="622" spans="2:25" ht="18" customHeight="1" x14ac:dyDescent="0.2"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</row>
    <row r="623" spans="2:25" ht="18" customHeight="1" x14ac:dyDescent="0.2"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</row>
    <row r="624" spans="2:25" ht="18" customHeight="1" x14ac:dyDescent="0.2"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</row>
    <row r="625" spans="2:25" ht="18" customHeight="1" x14ac:dyDescent="0.2"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</row>
    <row r="626" spans="2:25" ht="18" customHeight="1" x14ac:dyDescent="0.2"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</row>
    <row r="627" spans="2:25" ht="18" customHeight="1" x14ac:dyDescent="0.2"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</row>
    <row r="628" spans="2:25" ht="18" customHeight="1" x14ac:dyDescent="0.2"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</row>
    <row r="629" spans="2:25" ht="18" customHeight="1" x14ac:dyDescent="0.2"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</row>
    <row r="630" spans="2:25" ht="18" customHeight="1" x14ac:dyDescent="0.2"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</row>
    <row r="631" spans="2:25" ht="18" customHeight="1" x14ac:dyDescent="0.2"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</row>
    <row r="632" spans="2:25" ht="18" customHeight="1" x14ac:dyDescent="0.2"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</row>
    <row r="633" spans="2:25" ht="18" customHeight="1" x14ac:dyDescent="0.2"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</row>
    <row r="634" spans="2:25" ht="18" customHeight="1" x14ac:dyDescent="0.2"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</row>
    <row r="635" spans="2:25" ht="18" customHeight="1" x14ac:dyDescent="0.2"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</row>
    <row r="636" spans="2:25" ht="18" customHeight="1" x14ac:dyDescent="0.2"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</row>
    <row r="637" spans="2:25" ht="18" customHeight="1" x14ac:dyDescent="0.2"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</row>
    <row r="638" spans="2:25" ht="18" customHeight="1" x14ac:dyDescent="0.2"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</row>
    <row r="639" spans="2:25" ht="18" customHeight="1" x14ac:dyDescent="0.2"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</row>
    <row r="640" spans="2:25" ht="18" customHeight="1" x14ac:dyDescent="0.2"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</row>
    <row r="641" spans="2:25" ht="18" customHeight="1" x14ac:dyDescent="0.2"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</row>
    <row r="642" spans="2:25" ht="18" customHeight="1" x14ac:dyDescent="0.2"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</row>
    <row r="643" spans="2:25" ht="18" customHeight="1" x14ac:dyDescent="0.2"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</row>
    <row r="644" spans="2:25" ht="18" customHeight="1" x14ac:dyDescent="0.2"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</row>
    <row r="645" spans="2:25" ht="18" customHeight="1" x14ac:dyDescent="0.2"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</row>
    <row r="646" spans="2:25" ht="18" customHeight="1" x14ac:dyDescent="0.2"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</row>
    <row r="647" spans="2:25" ht="18" customHeight="1" x14ac:dyDescent="0.2"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</row>
    <row r="648" spans="2:25" ht="18" customHeight="1" x14ac:dyDescent="0.2"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</row>
    <row r="649" spans="2:25" ht="18" customHeight="1" x14ac:dyDescent="0.2"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</row>
    <row r="650" spans="2:25" ht="18" customHeight="1" x14ac:dyDescent="0.2"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</row>
    <row r="651" spans="2:25" ht="18" customHeight="1" x14ac:dyDescent="0.2"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</row>
    <row r="652" spans="2:25" ht="18" customHeight="1" x14ac:dyDescent="0.2"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</row>
    <row r="653" spans="2:25" ht="18" customHeight="1" x14ac:dyDescent="0.2"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</row>
    <row r="654" spans="2:25" ht="18" customHeight="1" x14ac:dyDescent="0.2"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</row>
    <row r="655" spans="2:25" ht="18" customHeight="1" x14ac:dyDescent="0.2"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</row>
    <row r="656" spans="2:25" ht="18" customHeight="1" x14ac:dyDescent="0.2"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</row>
    <row r="657" spans="2:25" ht="18" customHeight="1" x14ac:dyDescent="0.2"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</row>
    <row r="658" spans="2:25" ht="18" customHeight="1" x14ac:dyDescent="0.2"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</row>
    <row r="659" spans="2:25" ht="18" customHeight="1" x14ac:dyDescent="0.2"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</row>
    <row r="660" spans="2:25" ht="18" customHeight="1" x14ac:dyDescent="0.2"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</row>
    <row r="661" spans="2:25" ht="18" customHeight="1" x14ac:dyDescent="0.2"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</row>
    <row r="662" spans="2:25" ht="18" customHeight="1" x14ac:dyDescent="0.2"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</row>
    <row r="663" spans="2:25" ht="18" customHeight="1" x14ac:dyDescent="0.2"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</row>
    <row r="664" spans="2:25" ht="18" customHeight="1" x14ac:dyDescent="0.2"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</row>
    <row r="665" spans="2:25" ht="18" customHeight="1" x14ac:dyDescent="0.2"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</row>
    <row r="666" spans="2:25" ht="18" customHeight="1" x14ac:dyDescent="0.2"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</row>
    <row r="667" spans="2:25" ht="18" customHeight="1" x14ac:dyDescent="0.2"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</row>
    <row r="668" spans="2:25" ht="18" customHeight="1" x14ac:dyDescent="0.2"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</row>
    <row r="669" spans="2:25" ht="18" customHeight="1" x14ac:dyDescent="0.2"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</row>
    <row r="670" spans="2:25" ht="18" customHeight="1" x14ac:dyDescent="0.2"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</row>
    <row r="671" spans="2:25" ht="18" customHeight="1" x14ac:dyDescent="0.2"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</row>
    <row r="672" spans="2:25" ht="18" customHeight="1" x14ac:dyDescent="0.2"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</row>
    <row r="673" spans="2:25" ht="18" customHeight="1" x14ac:dyDescent="0.2"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</row>
    <row r="674" spans="2:25" ht="18" customHeight="1" x14ac:dyDescent="0.2"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</row>
    <row r="675" spans="2:25" ht="18" customHeight="1" x14ac:dyDescent="0.2"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</row>
    <row r="676" spans="2:25" ht="18" customHeight="1" x14ac:dyDescent="0.2"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</row>
    <row r="677" spans="2:25" ht="18" customHeight="1" x14ac:dyDescent="0.2"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</row>
    <row r="678" spans="2:25" ht="18" customHeight="1" x14ac:dyDescent="0.2"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</row>
    <row r="679" spans="2:25" ht="18" customHeight="1" x14ac:dyDescent="0.2"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</row>
    <row r="680" spans="2:25" ht="18" customHeight="1" x14ac:dyDescent="0.2"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</row>
    <row r="681" spans="2:25" ht="18" customHeight="1" x14ac:dyDescent="0.2"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</row>
    <row r="682" spans="2:25" ht="18" customHeight="1" x14ac:dyDescent="0.2"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</row>
    <row r="683" spans="2:25" ht="18" customHeight="1" x14ac:dyDescent="0.2"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</row>
    <row r="684" spans="2:25" ht="18" customHeight="1" x14ac:dyDescent="0.2"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</row>
    <row r="685" spans="2:25" ht="18" customHeight="1" x14ac:dyDescent="0.2"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</row>
    <row r="686" spans="2:25" ht="18" customHeight="1" x14ac:dyDescent="0.2"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</row>
    <row r="687" spans="2:25" ht="18" customHeight="1" x14ac:dyDescent="0.2"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</row>
    <row r="688" spans="2:25" ht="18" customHeight="1" x14ac:dyDescent="0.2"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</row>
    <row r="689" spans="2:25" ht="18" customHeight="1" x14ac:dyDescent="0.2"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</row>
    <row r="690" spans="2:25" ht="18" customHeight="1" x14ac:dyDescent="0.2"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</row>
    <row r="691" spans="2:25" ht="18" customHeight="1" x14ac:dyDescent="0.2"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</row>
    <row r="692" spans="2:25" ht="18" customHeight="1" x14ac:dyDescent="0.2"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</row>
    <row r="693" spans="2:25" ht="18" customHeight="1" x14ac:dyDescent="0.2"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</row>
    <row r="694" spans="2:25" ht="18" customHeight="1" x14ac:dyDescent="0.2"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</row>
    <row r="695" spans="2:25" ht="18" customHeight="1" x14ac:dyDescent="0.2"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</row>
    <row r="696" spans="2:25" ht="18" customHeight="1" x14ac:dyDescent="0.2"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</row>
    <row r="697" spans="2:25" ht="18" customHeight="1" x14ac:dyDescent="0.2"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</row>
    <row r="698" spans="2:25" ht="18" customHeight="1" x14ac:dyDescent="0.2"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</row>
    <row r="699" spans="2:25" ht="18" customHeight="1" x14ac:dyDescent="0.2"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</row>
    <row r="700" spans="2:25" ht="18" customHeight="1" x14ac:dyDescent="0.2"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</row>
    <row r="701" spans="2:25" ht="18" customHeight="1" x14ac:dyDescent="0.2"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</row>
    <row r="702" spans="2:25" ht="18" customHeight="1" x14ac:dyDescent="0.2"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</row>
    <row r="703" spans="2:25" ht="18" customHeight="1" x14ac:dyDescent="0.2"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</row>
    <row r="704" spans="2:25" ht="18" customHeight="1" x14ac:dyDescent="0.2"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</row>
    <row r="705" spans="2:25" ht="18" customHeight="1" x14ac:dyDescent="0.2"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</row>
    <row r="706" spans="2:25" ht="18" customHeight="1" x14ac:dyDescent="0.2"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</row>
    <row r="707" spans="2:25" ht="18" customHeight="1" x14ac:dyDescent="0.2"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</row>
    <row r="708" spans="2:25" ht="18" customHeight="1" x14ac:dyDescent="0.2"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</row>
    <row r="709" spans="2:25" ht="18" customHeight="1" x14ac:dyDescent="0.2"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</row>
    <row r="710" spans="2:25" ht="18" customHeight="1" x14ac:dyDescent="0.2"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</row>
    <row r="711" spans="2:25" ht="18" customHeight="1" x14ac:dyDescent="0.2"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</row>
    <row r="712" spans="2:25" ht="18" customHeight="1" x14ac:dyDescent="0.2"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</row>
    <row r="713" spans="2:25" ht="18" customHeight="1" x14ac:dyDescent="0.2"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</row>
    <row r="714" spans="2:25" ht="18" customHeight="1" x14ac:dyDescent="0.2"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</row>
    <row r="715" spans="2:25" ht="18" customHeight="1" x14ac:dyDescent="0.2"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</row>
    <row r="716" spans="2:25" ht="18" customHeight="1" x14ac:dyDescent="0.2"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</row>
    <row r="717" spans="2:25" ht="18" customHeight="1" x14ac:dyDescent="0.2"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</row>
    <row r="718" spans="2:25" ht="18" customHeight="1" x14ac:dyDescent="0.2"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</row>
    <row r="719" spans="2:25" ht="18" customHeight="1" x14ac:dyDescent="0.2"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</row>
    <row r="720" spans="2:25" ht="18" customHeight="1" x14ac:dyDescent="0.2"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</row>
    <row r="721" spans="2:25" ht="18" customHeight="1" x14ac:dyDescent="0.2"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</row>
    <row r="722" spans="2:25" ht="18" customHeight="1" x14ac:dyDescent="0.2"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</row>
    <row r="723" spans="2:25" ht="18" customHeight="1" x14ac:dyDescent="0.2"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</row>
    <row r="724" spans="2:25" ht="18" customHeight="1" x14ac:dyDescent="0.2"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</row>
    <row r="725" spans="2:25" ht="18" customHeight="1" x14ac:dyDescent="0.2"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</row>
    <row r="726" spans="2:25" ht="18" customHeight="1" x14ac:dyDescent="0.2"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</row>
    <row r="727" spans="2:25" ht="18" customHeight="1" x14ac:dyDescent="0.2"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</row>
    <row r="728" spans="2:25" ht="18" customHeight="1" x14ac:dyDescent="0.2"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</row>
    <row r="729" spans="2:25" ht="18" customHeight="1" x14ac:dyDescent="0.2"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</row>
    <row r="730" spans="2:25" ht="18" customHeight="1" x14ac:dyDescent="0.2"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</row>
    <row r="731" spans="2:25" ht="18" customHeight="1" x14ac:dyDescent="0.2"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</row>
    <row r="732" spans="2:25" ht="18" customHeight="1" x14ac:dyDescent="0.2"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</row>
    <row r="733" spans="2:25" ht="18" customHeight="1" x14ac:dyDescent="0.2"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</row>
    <row r="734" spans="2:25" ht="18" customHeight="1" x14ac:dyDescent="0.2"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</row>
    <row r="735" spans="2:25" ht="18" customHeight="1" x14ac:dyDescent="0.2"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</row>
    <row r="736" spans="2:25" ht="18" customHeight="1" x14ac:dyDescent="0.2"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</row>
    <row r="737" spans="2:25" ht="18" customHeight="1" x14ac:dyDescent="0.2"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</row>
    <row r="738" spans="2:25" ht="18" customHeight="1" x14ac:dyDescent="0.2"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</row>
    <row r="739" spans="2:25" ht="18" customHeight="1" x14ac:dyDescent="0.2"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</row>
    <row r="740" spans="2:25" ht="18" customHeight="1" x14ac:dyDescent="0.2"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</row>
    <row r="741" spans="2:25" ht="18" customHeight="1" x14ac:dyDescent="0.2"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</row>
    <row r="742" spans="2:25" ht="18" customHeight="1" x14ac:dyDescent="0.2"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</row>
    <row r="743" spans="2:25" ht="18" customHeight="1" x14ac:dyDescent="0.2"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</row>
    <row r="744" spans="2:25" ht="18" customHeight="1" x14ac:dyDescent="0.2"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</row>
    <row r="745" spans="2:25" ht="18" customHeight="1" x14ac:dyDescent="0.2"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</row>
    <row r="746" spans="2:25" ht="18" customHeight="1" x14ac:dyDescent="0.2"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</row>
    <row r="747" spans="2:25" ht="18" customHeight="1" x14ac:dyDescent="0.2"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</row>
    <row r="748" spans="2:25" ht="18" customHeight="1" x14ac:dyDescent="0.2"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</row>
    <row r="749" spans="2:25" ht="18" customHeight="1" x14ac:dyDescent="0.2"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</row>
    <row r="750" spans="2:25" ht="18" customHeight="1" x14ac:dyDescent="0.2"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</row>
    <row r="751" spans="2:25" ht="18" customHeight="1" x14ac:dyDescent="0.2"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</row>
    <row r="752" spans="2:25" ht="18" customHeight="1" x14ac:dyDescent="0.2"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</row>
    <row r="753" spans="2:25" ht="18" customHeight="1" x14ac:dyDescent="0.2"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</row>
    <row r="754" spans="2:25" ht="18" customHeight="1" x14ac:dyDescent="0.2"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</row>
    <row r="755" spans="2:25" ht="18" customHeight="1" x14ac:dyDescent="0.2"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</row>
    <row r="756" spans="2:25" ht="18" customHeight="1" x14ac:dyDescent="0.2"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</row>
    <row r="757" spans="2:25" ht="18" customHeight="1" x14ac:dyDescent="0.2"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</row>
    <row r="758" spans="2:25" ht="18" customHeight="1" x14ac:dyDescent="0.2"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</row>
    <row r="759" spans="2:25" ht="18" customHeight="1" x14ac:dyDescent="0.2"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</row>
    <row r="760" spans="2:25" ht="18" customHeight="1" x14ac:dyDescent="0.2"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</row>
    <row r="761" spans="2:25" ht="18" customHeight="1" x14ac:dyDescent="0.2"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</row>
    <row r="762" spans="2:25" ht="18" customHeight="1" x14ac:dyDescent="0.2"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</row>
    <row r="763" spans="2:25" ht="18" customHeight="1" x14ac:dyDescent="0.2"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</row>
    <row r="764" spans="2:25" ht="18" customHeight="1" x14ac:dyDescent="0.2"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</row>
    <row r="765" spans="2:25" ht="18" customHeight="1" x14ac:dyDescent="0.2"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</row>
    <row r="766" spans="2:25" ht="18" customHeight="1" x14ac:dyDescent="0.2"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</row>
    <row r="767" spans="2:25" ht="18" customHeight="1" x14ac:dyDescent="0.2"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</row>
    <row r="768" spans="2:25" ht="18" customHeight="1" x14ac:dyDescent="0.2"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</row>
    <row r="769" spans="2:25" ht="18" customHeight="1" x14ac:dyDescent="0.2"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</row>
    <row r="770" spans="2:25" ht="18" customHeight="1" x14ac:dyDescent="0.2"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</row>
    <row r="771" spans="2:25" ht="18" customHeight="1" x14ac:dyDescent="0.2"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</row>
    <row r="772" spans="2:25" ht="18" customHeight="1" x14ac:dyDescent="0.2"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</row>
    <row r="773" spans="2:25" ht="18" customHeight="1" x14ac:dyDescent="0.2"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</row>
    <row r="774" spans="2:25" ht="18" customHeight="1" x14ac:dyDescent="0.2"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</row>
    <row r="775" spans="2:25" ht="18" customHeight="1" x14ac:dyDescent="0.2"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</row>
    <row r="776" spans="2:25" ht="18" customHeight="1" x14ac:dyDescent="0.2"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</row>
    <row r="777" spans="2:25" ht="18" customHeight="1" x14ac:dyDescent="0.2"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</row>
    <row r="778" spans="2:25" ht="18" customHeight="1" x14ac:dyDescent="0.2"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</row>
    <row r="779" spans="2:25" ht="18" customHeight="1" x14ac:dyDescent="0.2"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</row>
    <row r="780" spans="2:25" ht="18" customHeight="1" x14ac:dyDescent="0.2"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</row>
    <row r="781" spans="2:25" ht="18" customHeight="1" x14ac:dyDescent="0.2"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</row>
    <row r="782" spans="2:25" ht="18" customHeight="1" x14ac:dyDescent="0.2"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</row>
    <row r="783" spans="2:25" ht="18" customHeight="1" x14ac:dyDescent="0.2"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</row>
    <row r="784" spans="2:25" ht="18" customHeight="1" x14ac:dyDescent="0.2"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</row>
    <row r="785" spans="2:25" ht="18" customHeight="1" x14ac:dyDescent="0.2"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</row>
    <row r="786" spans="2:25" ht="18" customHeight="1" x14ac:dyDescent="0.2"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</row>
    <row r="787" spans="2:25" ht="18" customHeight="1" x14ac:dyDescent="0.2"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</row>
    <row r="788" spans="2:25" ht="18" customHeight="1" x14ac:dyDescent="0.2"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</row>
    <row r="789" spans="2:25" ht="18" customHeight="1" x14ac:dyDescent="0.2"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</row>
    <row r="790" spans="2:25" ht="18" customHeight="1" x14ac:dyDescent="0.2"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</row>
    <row r="791" spans="2:25" ht="18" customHeight="1" x14ac:dyDescent="0.2"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</row>
    <row r="792" spans="2:25" ht="18" customHeight="1" x14ac:dyDescent="0.2"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</row>
    <row r="793" spans="2:25" ht="18" customHeight="1" x14ac:dyDescent="0.2"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</row>
    <row r="794" spans="2:25" ht="18" customHeight="1" x14ac:dyDescent="0.2"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</row>
    <row r="795" spans="2:25" ht="18" customHeight="1" x14ac:dyDescent="0.2"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</row>
    <row r="796" spans="2:25" ht="18" customHeight="1" x14ac:dyDescent="0.2"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</row>
    <row r="797" spans="2:25" ht="18" customHeight="1" x14ac:dyDescent="0.2"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</row>
    <row r="798" spans="2:25" ht="18" customHeight="1" x14ac:dyDescent="0.2"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</row>
    <row r="799" spans="2:25" ht="18" customHeight="1" x14ac:dyDescent="0.2"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</row>
    <row r="800" spans="2:25" ht="18" customHeight="1" x14ac:dyDescent="0.2"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</row>
    <row r="801" spans="2:25" ht="18" customHeight="1" x14ac:dyDescent="0.2"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</row>
    <row r="802" spans="2:25" ht="18" customHeight="1" x14ac:dyDescent="0.2"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</row>
    <row r="803" spans="2:25" ht="18" customHeight="1" x14ac:dyDescent="0.2"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</row>
    <row r="804" spans="2:25" ht="18" customHeight="1" x14ac:dyDescent="0.2"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</row>
    <row r="805" spans="2:25" ht="18" customHeight="1" x14ac:dyDescent="0.2"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</row>
    <row r="806" spans="2:25" ht="18" customHeight="1" x14ac:dyDescent="0.2"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</row>
    <row r="807" spans="2:25" ht="18" customHeight="1" x14ac:dyDescent="0.2"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</row>
    <row r="808" spans="2:25" ht="18" customHeight="1" x14ac:dyDescent="0.2"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</row>
    <row r="809" spans="2:25" ht="18" customHeight="1" x14ac:dyDescent="0.2"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</row>
    <row r="810" spans="2:25" ht="18" customHeight="1" x14ac:dyDescent="0.2"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</row>
    <row r="811" spans="2:25" ht="18" customHeight="1" x14ac:dyDescent="0.2"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</row>
    <row r="812" spans="2:25" ht="18" customHeight="1" x14ac:dyDescent="0.2"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</row>
    <row r="813" spans="2:25" ht="18" customHeight="1" x14ac:dyDescent="0.2"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</row>
    <row r="814" spans="2:25" ht="18" customHeight="1" x14ac:dyDescent="0.2"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</row>
    <row r="815" spans="2:25" ht="18" customHeight="1" x14ac:dyDescent="0.2"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</row>
    <row r="816" spans="2:25" ht="18" customHeight="1" x14ac:dyDescent="0.2"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</row>
    <row r="817" spans="2:25" ht="18" customHeight="1" x14ac:dyDescent="0.2"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</row>
    <row r="818" spans="2:25" ht="18" customHeight="1" x14ac:dyDescent="0.2"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</row>
    <row r="819" spans="2:25" ht="18" customHeight="1" x14ac:dyDescent="0.2"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</row>
    <row r="820" spans="2:25" ht="18" customHeight="1" x14ac:dyDescent="0.2"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</row>
    <row r="821" spans="2:25" ht="18" customHeight="1" x14ac:dyDescent="0.2"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</row>
    <row r="822" spans="2:25" ht="18" customHeight="1" x14ac:dyDescent="0.2"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</row>
    <row r="823" spans="2:25" ht="18" customHeight="1" x14ac:dyDescent="0.2"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</row>
    <row r="824" spans="2:25" ht="18" customHeight="1" x14ac:dyDescent="0.2"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</row>
    <row r="825" spans="2:25" ht="18" customHeight="1" x14ac:dyDescent="0.2"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</row>
    <row r="826" spans="2:25" ht="18" customHeight="1" x14ac:dyDescent="0.2"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</row>
    <row r="827" spans="2:25" ht="18" customHeight="1" x14ac:dyDescent="0.2"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</row>
    <row r="828" spans="2:25" ht="18" customHeight="1" x14ac:dyDescent="0.2"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</row>
    <row r="829" spans="2:25" ht="18" customHeight="1" x14ac:dyDescent="0.2"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</row>
    <row r="830" spans="2:25" ht="18" customHeight="1" x14ac:dyDescent="0.2"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</row>
    <row r="831" spans="2:25" ht="18" customHeight="1" x14ac:dyDescent="0.2"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</row>
    <row r="832" spans="2:25" ht="18" customHeight="1" x14ac:dyDescent="0.2"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</row>
    <row r="833" spans="2:25" ht="18" customHeight="1" x14ac:dyDescent="0.2"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</row>
    <row r="834" spans="2:25" ht="18" customHeight="1" x14ac:dyDescent="0.2"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</row>
    <row r="835" spans="2:25" ht="18" customHeight="1" x14ac:dyDescent="0.2"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</row>
    <row r="836" spans="2:25" ht="18" customHeight="1" x14ac:dyDescent="0.2"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</row>
    <row r="837" spans="2:25" ht="18" customHeight="1" x14ac:dyDescent="0.2"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</row>
    <row r="838" spans="2:25" ht="18" customHeight="1" x14ac:dyDescent="0.2"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</row>
    <row r="839" spans="2:25" ht="18" customHeight="1" x14ac:dyDescent="0.2"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</row>
    <row r="840" spans="2:25" ht="18" customHeight="1" x14ac:dyDescent="0.2"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</row>
    <row r="841" spans="2:25" ht="18" customHeight="1" x14ac:dyDescent="0.2"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</row>
    <row r="842" spans="2:25" ht="18" customHeight="1" x14ac:dyDescent="0.2"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</row>
    <row r="843" spans="2:25" ht="18" customHeight="1" x14ac:dyDescent="0.2"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</row>
    <row r="844" spans="2:25" ht="18" customHeight="1" x14ac:dyDescent="0.2"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</row>
    <row r="845" spans="2:25" ht="18" customHeight="1" x14ac:dyDescent="0.2"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</row>
    <row r="846" spans="2:25" ht="18" customHeight="1" x14ac:dyDescent="0.2"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</row>
    <row r="847" spans="2:25" ht="18" customHeight="1" x14ac:dyDescent="0.2"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</row>
    <row r="848" spans="2:25" ht="18" customHeight="1" x14ac:dyDescent="0.2"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</row>
    <row r="849" spans="2:25" ht="18" customHeight="1" x14ac:dyDescent="0.2"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</row>
    <row r="850" spans="2:25" ht="18" customHeight="1" x14ac:dyDescent="0.2"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</row>
    <row r="851" spans="2:25" ht="18" customHeight="1" x14ac:dyDescent="0.2"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</row>
    <row r="852" spans="2:25" ht="18" customHeight="1" x14ac:dyDescent="0.2"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</row>
    <row r="853" spans="2:25" ht="18" customHeight="1" x14ac:dyDescent="0.2"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</row>
    <row r="854" spans="2:25" ht="18" customHeight="1" x14ac:dyDescent="0.2"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</row>
    <row r="855" spans="2:25" ht="18" customHeight="1" x14ac:dyDescent="0.2"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</row>
    <row r="856" spans="2:25" ht="18" customHeight="1" x14ac:dyDescent="0.2"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</row>
    <row r="857" spans="2:25" ht="18" customHeight="1" x14ac:dyDescent="0.2"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</row>
    <row r="858" spans="2:25" ht="18" customHeight="1" x14ac:dyDescent="0.2"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</row>
    <row r="859" spans="2:25" ht="18" customHeight="1" x14ac:dyDescent="0.2"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</row>
    <row r="860" spans="2:25" ht="18" customHeight="1" x14ac:dyDescent="0.2"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</row>
    <row r="861" spans="2:25" ht="18" customHeight="1" x14ac:dyDescent="0.2"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</row>
    <row r="862" spans="2:25" ht="18" customHeight="1" x14ac:dyDescent="0.2"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</row>
    <row r="863" spans="2:25" ht="18" customHeight="1" x14ac:dyDescent="0.2"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</row>
    <row r="864" spans="2:25" ht="18" customHeight="1" x14ac:dyDescent="0.2"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</row>
    <row r="865" spans="2:25" ht="18" customHeight="1" x14ac:dyDescent="0.2"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</row>
    <row r="866" spans="2:25" ht="18" customHeight="1" x14ac:dyDescent="0.2"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</row>
    <row r="867" spans="2:25" ht="18" customHeight="1" x14ac:dyDescent="0.2"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</row>
    <row r="868" spans="2:25" ht="18" customHeight="1" x14ac:dyDescent="0.2"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</row>
    <row r="869" spans="2:25" ht="18" customHeight="1" x14ac:dyDescent="0.2"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</row>
    <row r="870" spans="2:25" ht="18" customHeight="1" x14ac:dyDescent="0.2"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</row>
    <row r="871" spans="2:25" ht="18" customHeight="1" x14ac:dyDescent="0.2"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</row>
    <row r="872" spans="2:25" ht="18" customHeight="1" x14ac:dyDescent="0.2"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</row>
    <row r="873" spans="2:25" ht="18" customHeight="1" x14ac:dyDescent="0.2"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</row>
    <row r="874" spans="2:25" ht="18" customHeight="1" x14ac:dyDescent="0.2"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</row>
    <row r="875" spans="2:25" ht="18" customHeight="1" x14ac:dyDescent="0.2"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</row>
    <row r="876" spans="2:25" ht="18" customHeight="1" x14ac:dyDescent="0.2"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</row>
    <row r="877" spans="2:25" ht="18" customHeight="1" x14ac:dyDescent="0.2"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</row>
    <row r="878" spans="2:25" ht="18" customHeight="1" x14ac:dyDescent="0.2"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</row>
    <row r="879" spans="2:25" ht="18" customHeight="1" x14ac:dyDescent="0.2"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</row>
    <row r="880" spans="2:25" ht="18" customHeight="1" x14ac:dyDescent="0.2"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</row>
    <row r="881" spans="2:25" ht="18" customHeight="1" x14ac:dyDescent="0.2"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</row>
    <row r="882" spans="2:25" ht="18" customHeight="1" x14ac:dyDescent="0.2"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</row>
    <row r="883" spans="2:25" ht="18" customHeight="1" x14ac:dyDescent="0.2"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</row>
    <row r="884" spans="2:25" ht="18" customHeight="1" x14ac:dyDescent="0.2"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</row>
    <row r="885" spans="2:25" ht="18" customHeight="1" x14ac:dyDescent="0.2"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</row>
    <row r="886" spans="2:25" ht="18" customHeight="1" x14ac:dyDescent="0.2"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</row>
    <row r="887" spans="2:25" ht="18" customHeight="1" x14ac:dyDescent="0.2"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</row>
    <row r="888" spans="2:25" ht="18" customHeight="1" x14ac:dyDescent="0.2"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</row>
    <row r="889" spans="2:25" ht="18" customHeight="1" x14ac:dyDescent="0.2"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</row>
    <row r="890" spans="2:25" ht="18" customHeight="1" x14ac:dyDescent="0.2"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</row>
    <row r="891" spans="2:25" ht="18" customHeight="1" x14ac:dyDescent="0.2"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</row>
    <row r="892" spans="2:25" ht="18" customHeight="1" x14ac:dyDescent="0.2"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</row>
    <row r="893" spans="2:25" ht="18" customHeight="1" x14ac:dyDescent="0.2"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</row>
    <row r="894" spans="2:25" ht="18" customHeight="1" x14ac:dyDescent="0.2"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</row>
    <row r="895" spans="2:25" ht="18" customHeight="1" x14ac:dyDescent="0.2"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</row>
    <row r="896" spans="2:25" ht="18" customHeight="1" x14ac:dyDescent="0.2"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</row>
    <row r="897" spans="2:25" ht="18" customHeight="1" x14ac:dyDescent="0.2"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</row>
    <row r="898" spans="2:25" ht="18" customHeight="1" x14ac:dyDescent="0.2"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</row>
    <row r="899" spans="2:25" ht="18" customHeight="1" x14ac:dyDescent="0.2"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</row>
    <row r="900" spans="2:25" ht="18" customHeight="1" x14ac:dyDescent="0.2"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</row>
    <row r="901" spans="2:25" ht="18" customHeight="1" x14ac:dyDescent="0.2"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</row>
    <row r="902" spans="2:25" ht="18" customHeight="1" x14ac:dyDescent="0.2"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</row>
    <row r="903" spans="2:25" ht="18" customHeight="1" x14ac:dyDescent="0.2"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</row>
    <row r="904" spans="2:25" ht="18" customHeight="1" x14ac:dyDescent="0.2"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</row>
    <row r="905" spans="2:25" ht="18" customHeight="1" x14ac:dyDescent="0.2"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</row>
    <row r="906" spans="2:25" ht="18" customHeight="1" x14ac:dyDescent="0.2"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</row>
    <row r="907" spans="2:25" ht="18" customHeight="1" x14ac:dyDescent="0.2"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</row>
    <row r="908" spans="2:25" ht="18" customHeight="1" x14ac:dyDescent="0.2"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</row>
    <row r="909" spans="2:25" ht="18" customHeight="1" x14ac:dyDescent="0.2"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</row>
    <row r="910" spans="2:25" ht="18" customHeight="1" x14ac:dyDescent="0.2"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</row>
    <row r="911" spans="2:25" ht="18" customHeight="1" x14ac:dyDescent="0.2"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</row>
    <row r="912" spans="2:25" ht="18" customHeight="1" x14ac:dyDescent="0.2"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</row>
    <row r="913" spans="2:25" ht="18" customHeight="1" x14ac:dyDescent="0.2"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</row>
    <row r="914" spans="2:25" ht="18" customHeight="1" x14ac:dyDescent="0.2"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</row>
    <row r="915" spans="2:25" ht="18" customHeight="1" x14ac:dyDescent="0.2"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</row>
    <row r="916" spans="2:25" ht="18" customHeight="1" x14ac:dyDescent="0.2"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</row>
    <row r="917" spans="2:25" ht="18" customHeight="1" x14ac:dyDescent="0.2"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</row>
    <row r="918" spans="2:25" ht="18" customHeight="1" x14ac:dyDescent="0.2"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</row>
    <row r="919" spans="2:25" ht="18" customHeight="1" x14ac:dyDescent="0.2"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</row>
    <row r="920" spans="2:25" ht="18" customHeight="1" x14ac:dyDescent="0.2"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</row>
    <row r="921" spans="2:25" ht="18" customHeight="1" x14ac:dyDescent="0.2"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</row>
    <row r="922" spans="2:25" ht="18" customHeight="1" x14ac:dyDescent="0.2"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</row>
    <row r="923" spans="2:25" ht="18" customHeight="1" x14ac:dyDescent="0.2"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</row>
    <row r="924" spans="2:25" ht="18" customHeight="1" x14ac:dyDescent="0.2"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</row>
    <row r="925" spans="2:25" ht="18" customHeight="1" x14ac:dyDescent="0.2"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</row>
    <row r="926" spans="2:25" ht="18" customHeight="1" x14ac:dyDescent="0.2"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</row>
    <row r="927" spans="2:25" ht="18" customHeight="1" x14ac:dyDescent="0.2"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</row>
    <row r="928" spans="2:25" ht="18" customHeight="1" x14ac:dyDescent="0.2"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</row>
    <row r="929" spans="2:25" ht="18" customHeight="1" x14ac:dyDescent="0.2"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</row>
    <row r="930" spans="2:25" ht="18" customHeight="1" x14ac:dyDescent="0.2"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</row>
    <row r="931" spans="2:25" ht="18" customHeight="1" x14ac:dyDescent="0.2"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</row>
    <row r="932" spans="2:25" ht="18" customHeight="1" x14ac:dyDescent="0.2"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</row>
    <row r="933" spans="2:25" ht="18" customHeight="1" x14ac:dyDescent="0.2"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</row>
    <row r="934" spans="2:25" ht="18" customHeight="1" x14ac:dyDescent="0.2"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</row>
    <row r="935" spans="2:25" ht="18" customHeight="1" x14ac:dyDescent="0.2"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</row>
    <row r="936" spans="2:25" ht="18" customHeight="1" x14ac:dyDescent="0.2"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</row>
    <row r="937" spans="2:25" ht="18" customHeight="1" x14ac:dyDescent="0.2"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</row>
    <row r="938" spans="2:25" ht="18" customHeight="1" x14ac:dyDescent="0.2"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</row>
    <row r="939" spans="2:25" ht="18" customHeight="1" x14ac:dyDescent="0.2"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</row>
    <row r="940" spans="2:25" ht="18" customHeight="1" x14ac:dyDescent="0.2"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</row>
    <row r="941" spans="2:25" ht="18" customHeight="1" x14ac:dyDescent="0.2"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</row>
    <row r="942" spans="2:25" ht="18" customHeight="1" x14ac:dyDescent="0.2"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</row>
    <row r="943" spans="2:25" ht="18" customHeight="1" x14ac:dyDescent="0.2"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</row>
    <row r="944" spans="2:25" ht="18" customHeight="1" x14ac:dyDescent="0.2"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</row>
    <row r="945" spans="2:25" ht="18" customHeight="1" x14ac:dyDescent="0.2"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</row>
    <row r="946" spans="2:25" ht="18" customHeight="1" x14ac:dyDescent="0.2"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</row>
    <row r="947" spans="2:25" ht="18" customHeight="1" x14ac:dyDescent="0.2"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</row>
    <row r="948" spans="2:25" ht="18" customHeight="1" x14ac:dyDescent="0.2"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</row>
    <row r="949" spans="2:25" ht="18" customHeight="1" x14ac:dyDescent="0.2"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</row>
    <row r="950" spans="2:25" ht="18" customHeight="1" x14ac:dyDescent="0.2"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</row>
    <row r="951" spans="2:25" ht="18" customHeight="1" x14ac:dyDescent="0.2"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</row>
    <row r="952" spans="2:25" ht="18" customHeight="1" x14ac:dyDescent="0.2"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</row>
    <row r="953" spans="2:25" ht="18" customHeight="1" x14ac:dyDescent="0.2"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</row>
    <row r="954" spans="2:25" ht="18" customHeight="1" x14ac:dyDescent="0.2"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</row>
    <row r="955" spans="2:25" ht="18" customHeight="1" x14ac:dyDescent="0.2"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</row>
    <row r="956" spans="2:25" ht="18" customHeight="1" x14ac:dyDescent="0.2"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</row>
    <row r="957" spans="2:25" ht="18" customHeight="1" x14ac:dyDescent="0.2"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</row>
    <row r="958" spans="2:25" ht="18" customHeight="1" x14ac:dyDescent="0.2"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</row>
    <row r="959" spans="2:25" ht="18" customHeight="1" x14ac:dyDescent="0.2"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</row>
    <row r="960" spans="2:25" ht="18" customHeight="1" x14ac:dyDescent="0.2"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</row>
    <row r="961" spans="2:25" ht="18" customHeight="1" x14ac:dyDescent="0.2"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</row>
    <row r="962" spans="2:25" ht="18" customHeight="1" x14ac:dyDescent="0.2"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</row>
    <row r="963" spans="2:25" ht="18" customHeight="1" x14ac:dyDescent="0.2"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</row>
    <row r="964" spans="2:25" ht="18" customHeight="1" x14ac:dyDescent="0.2"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</row>
    <row r="965" spans="2:25" ht="18" customHeight="1" x14ac:dyDescent="0.2"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</row>
    <row r="966" spans="2:25" ht="18" customHeight="1" x14ac:dyDescent="0.2"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</row>
    <row r="967" spans="2:25" ht="18" customHeight="1" x14ac:dyDescent="0.2"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</row>
    <row r="968" spans="2:25" ht="18" customHeight="1" x14ac:dyDescent="0.2"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</row>
    <row r="969" spans="2:25" ht="18" customHeight="1" x14ac:dyDescent="0.2"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</row>
    <row r="970" spans="2:25" ht="18" customHeight="1" x14ac:dyDescent="0.2"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</row>
    <row r="971" spans="2:25" ht="18" customHeight="1" x14ac:dyDescent="0.2"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</row>
    <row r="972" spans="2:25" ht="18" customHeight="1" x14ac:dyDescent="0.2"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</row>
    <row r="973" spans="2:25" ht="18" customHeight="1" x14ac:dyDescent="0.2"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</row>
    <row r="974" spans="2:25" ht="18" customHeight="1" x14ac:dyDescent="0.2"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</row>
    <row r="975" spans="2:25" ht="18" customHeight="1" x14ac:dyDescent="0.2"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</row>
    <row r="976" spans="2:25" ht="18" customHeight="1" x14ac:dyDescent="0.2"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</row>
    <row r="977" spans="2:25" ht="18" customHeight="1" x14ac:dyDescent="0.2"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</row>
    <row r="978" spans="2:25" ht="18" customHeight="1" x14ac:dyDescent="0.2"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</row>
    <row r="979" spans="2:25" ht="18" customHeight="1" x14ac:dyDescent="0.2"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</row>
    <row r="980" spans="2:25" ht="18" customHeight="1" x14ac:dyDescent="0.2"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</row>
    <row r="981" spans="2:25" ht="18" customHeight="1" x14ac:dyDescent="0.2">
      <c r="B981" s="286"/>
      <c r="C981" s="286"/>
      <c r="D981" s="286"/>
      <c r="E981" s="286"/>
      <c r="F981" s="286"/>
      <c r="G981" s="286"/>
      <c r="H981" s="286"/>
      <c r="I981" s="286"/>
      <c r="J981" s="286"/>
      <c r="K981" s="286"/>
      <c r="L981" s="286"/>
      <c r="M981" s="286"/>
      <c r="N981" s="286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</row>
    <row r="982" spans="2:25" ht="18" customHeight="1" x14ac:dyDescent="0.2">
      <c r="B982" s="286"/>
      <c r="C982" s="286"/>
      <c r="D982" s="286"/>
      <c r="E982" s="286"/>
      <c r="F982" s="286"/>
      <c r="G982" s="286"/>
      <c r="H982" s="286"/>
      <c r="I982" s="286"/>
      <c r="J982" s="286"/>
      <c r="K982" s="286"/>
      <c r="L982" s="286"/>
      <c r="M982" s="286"/>
      <c r="N982" s="286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</row>
    <row r="983" spans="2:25" ht="18" customHeight="1" x14ac:dyDescent="0.2">
      <c r="B983" s="286"/>
      <c r="C983" s="286"/>
      <c r="D983" s="286"/>
      <c r="E983" s="286"/>
      <c r="F983" s="286"/>
      <c r="G983" s="286"/>
      <c r="H983" s="286"/>
      <c r="I983" s="286"/>
      <c r="J983" s="286"/>
      <c r="K983" s="286"/>
      <c r="L983" s="286"/>
      <c r="M983" s="286"/>
      <c r="N983" s="286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</row>
    <row r="984" spans="2:25" ht="18" customHeight="1" x14ac:dyDescent="0.2">
      <c r="B984" s="286"/>
      <c r="C984" s="286"/>
      <c r="D984" s="286"/>
      <c r="E984" s="286"/>
      <c r="F984" s="286"/>
      <c r="G984" s="286"/>
      <c r="H984" s="286"/>
      <c r="I984" s="286"/>
      <c r="J984" s="286"/>
      <c r="K984" s="286"/>
      <c r="L984" s="286"/>
      <c r="M984" s="286"/>
      <c r="N984" s="286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</row>
    <row r="985" spans="2:25" ht="18" customHeight="1" x14ac:dyDescent="0.2">
      <c r="B985" s="286"/>
      <c r="C985" s="286"/>
      <c r="D985" s="286"/>
      <c r="E985" s="286"/>
      <c r="F985" s="286"/>
      <c r="G985" s="286"/>
      <c r="H985" s="286"/>
      <c r="I985" s="286"/>
      <c r="J985" s="286"/>
      <c r="K985" s="286"/>
      <c r="L985" s="286"/>
      <c r="M985" s="286"/>
      <c r="N985" s="286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</row>
    <row r="986" spans="2:25" ht="18" customHeight="1" x14ac:dyDescent="0.2">
      <c r="B986" s="286"/>
      <c r="C986" s="286"/>
      <c r="D986" s="286"/>
      <c r="E986" s="286"/>
      <c r="F986" s="286"/>
      <c r="G986" s="286"/>
      <c r="H986" s="286"/>
      <c r="I986" s="286"/>
      <c r="J986" s="286"/>
      <c r="K986" s="286"/>
      <c r="L986" s="286"/>
      <c r="M986" s="286"/>
      <c r="N986" s="286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</row>
    <row r="987" spans="2:25" ht="18" customHeight="1" x14ac:dyDescent="0.2">
      <c r="B987" s="286"/>
      <c r="C987" s="286"/>
      <c r="D987" s="286"/>
      <c r="E987" s="286"/>
      <c r="F987" s="286"/>
      <c r="G987" s="286"/>
      <c r="H987" s="286"/>
      <c r="I987" s="286"/>
      <c r="J987" s="286"/>
      <c r="K987" s="286"/>
      <c r="L987" s="286"/>
      <c r="M987" s="286"/>
      <c r="N987" s="286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</row>
    <row r="988" spans="2:25" ht="18" customHeight="1" x14ac:dyDescent="0.2">
      <c r="B988" s="286"/>
      <c r="C988" s="286"/>
      <c r="D988" s="286"/>
      <c r="E988" s="286"/>
      <c r="F988" s="286"/>
      <c r="G988" s="286"/>
      <c r="H988" s="286"/>
      <c r="I988" s="286"/>
      <c r="J988" s="286"/>
      <c r="K988" s="286"/>
      <c r="L988" s="286"/>
      <c r="M988" s="286"/>
      <c r="N988" s="286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</row>
    <row r="989" spans="2:25" ht="18" customHeight="1" x14ac:dyDescent="0.2">
      <c r="B989" s="286"/>
      <c r="C989" s="286"/>
      <c r="D989" s="286"/>
      <c r="E989" s="286"/>
      <c r="F989" s="286"/>
      <c r="G989" s="286"/>
      <c r="H989" s="286"/>
      <c r="I989" s="286"/>
      <c r="J989" s="286"/>
      <c r="K989" s="286"/>
      <c r="L989" s="286"/>
      <c r="M989" s="286"/>
      <c r="N989" s="286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</row>
    <row r="990" spans="2:25" ht="18" customHeight="1" x14ac:dyDescent="0.2">
      <c r="B990" s="286"/>
      <c r="C990" s="286"/>
      <c r="D990" s="286"/>
      <c r="E990" s="286"/>
      <c r="F990" s="286"/>
      <c r="G990" s="286"/>
      <c r="H990" s="286"/>
      <c r="I990" s="286"/>
      <c r="J990" s="286"/>
      <c r="K990" s="286"/>
      <c r="L990" s="286"/>
      <c r="M990" s="286"/>
      <c r="N990" s="286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</row>
  </sheetData>
  <mergeCells count="11">
    <mergeCell ref="B2:B11"/>
    <mergeCell ref="A1:A32"/>
    <mergeCell ref="A35:A61"/>
    <mergeCell ref="B12:B27"/>
    <mergeCell ref="B56:C56"/>
    <mergeCell ref="B57:B61"/>
    <mergeCell ref="O36:O47"/>
    <mergeCell ref="N50:N51"/>
    <mergeCell ref="O53:P53"/>
    <mergeCell ref="O54:P54"/>
    <mergeCell ref="O55:P5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32</vt:i4>
      </vt:variant>
    </vt:vector>
  </HeadingPairs>
  <TitlesOfParts>
    <vt:vector size="41" baseType="lpstr">
      <vt:lpstr>Результаты</vt:lpstr>
      <vt:lpstr>Анализ результатов</vt:lpstr>
      <vt:lpstr>Внешние данные</vt:lpstr>
      <vt:lpstr>Рейсы</vt:lpstr>
      <vt:lpstr>Данные по авиапарку</vt:lpstr>
      <vt:lpstr>Оптимизация рейсов</vt:lpstr>
      <vt:lpstr>Без инициатив</vt:lpstr>
      <vt:lpstr>Циклы</vt:lpstr>
      <vt:lpstr>Изначальные данные</vt:lpstr>
      <vt:lpstr>depreciation_rate</vt:lpstr>
      <vt:lpstr>eb_mult</vt:lpstr>
      <vt:lpstr>eb_std</vt:lpstr>
      <vt:lpstr>fuel_pric</vt:lpstr>
      <vt:lpstr>fuel_price</vt:lpstr>
      <vt:lpstr>fuel_price2</vt:lpstr>
      <vt:lpstr>inf_2020</vt:lpstr>
      <vt:lpstr>inf_usa</vt:lpstr>
      <vt:lpstr>Lising_a_year</vt:lpstr>
      <vt:lpstr>Lising_pay</vt:lpstr>
      <vt:lpstr>maintanance_hour320</vt:lpstr>
      <vt:lpstr>maintanance_hour330</vt:lpstr>
      <vt:lpstr>maintanance_hour330neo</vt:lpstr>
      <vt:lpstr>mult_19_21</vt:lpstr>
      <vt:lpstr>mult_1921</vt:lpstr>
      <vt:lpstr>plane_tax</vt:lpstr>
      <vt:lpstr>price_2021</vt:lpstr>
      <vt:lpstr>tax</vt:lpstr>
      <vt:lpstr>usd</vt:lpstr>
      <vt:lpstr>usd_dynamics</vt:lpstr>
      <vt:lpstr>usd_inf</vt:lpstr>
      <vt:lpstr>'Без инициатив'!внутр_рейсы</vt:lpstr>
      <vt:lpstr>'Изначальные данные'!внутр_рейсы</vt:lpstr>
      <vt:lpstr>внутр_рейсы</vt:lpstr>
      <vt:lpstr>изм_рынка</vt:lpstr>
      <vt:lpstr>'Без инициатив'!международ_рейсы</vt:lpstr>
      <vt:lpstr>'Изначальные данные'!международ_рейсы</vt:lpstr>
      <vt:lpstr>международ_рейсы</vt:lpstr>
      <vt:lpstr>'Без инициатив'!новые_рейсы</vt:lpstr>
      <vt:lpstr>'Изначальные данные'!новые_рейсы</vt:lpstr>
      <vt:lpstr>новые_рейсы</vt:lpstr>
      <vt:lpstr>прогноз_рост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2022-11-21T14:17:28Z</dcterms:created>
  <dcterms:modified xsi:type="dcterms:W3CDTF">2022-12-11T21:01:37Z</dcterms:modified>
</cp:coreProperties>
</file>