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kudrasov/Desktop/Drive/СБЕР КЕЙС/"/>
    </mc:Choice>
  </mc:AlternateContent>
  <xr:revisionPtr revIDLastSave="0" documentId="13_ncr:1_{36A42ABF-16A7-604D-90D6-F6709FDD14D5}" xr6:coauthVersionLast="47" xr6:coauthVersionMax="47" xr10:uidLastSave="{00000000-0000-0000-0000-000000000000}"/>
  <bookViews>
    <workbookView xWindow="-20" yWindow="500" windowWidth="28800" windowHeight="17500" xr2:uid="{DF53930C-32E9-E348-BD86-DB0976DA215E}"/>
  </bookViews>
  <sheets>
    <sheet name="Sheet1" sheetId="1" r:id="rId1"/>
    <sheet name="Данные по авиапарку" sheetId="2" r:id="rId2"/>
    <sheet name="Рейсы" sheetId="3" r:id="rId3"/>
    <sheet name="Оптимизация рейсов" sheetId="7" r:id="rId4"/>
    <sheet name="Initial data" sheetId="9" r:id="rId5"/>
    <sheet name="Cycles added" sheetId="10" r:id="rId6"/>
    <sheet name="New data" sheetId="11" r:id="rId7"/>
  </sheets>
  <definedNames>
    <definedName name="depreciation_rate">'Данные по авиапарку'!$P$19</definedName>
    <definedName name="fuel_pric">'Данные по авиапарку'!$I$19</definedName>
    <definedName name="fuel_price">'Данные по авиапарку'!$I$19</definedName>
    <definedName name="fuel_price2">'Данные по авиапарку'!$I$19</definedName>
    <definedName name="inf_usa">'Данные по авиапарку'!$O$19</definedName>
    <definedName name="Lising_pay">'Данные по авиапарку'!$G$14</definedName>
    <definedName name="Loss_flights">Рейсы!#REF!</definedName>
    <definedName name="Loss_int">Рейсы!#REF!</definedName>
    <definedName name="loss_ru">Рейсы!#REF!</definedName>
    <definedName name="maintanance_hour320">Sheet1!$H$30</definedName>
    <definedName name="maintanance_hour330">Sheet1!$H$31</definedName>
    <definedName name="maintanance_hour330neo">Sheet1!$H$32</definedName>
    <definedName name="profit_flights">Рейсы!#REF!</definedName>
    <definedName name="profit_int">Рейсы!#REF!</definedName>
    <definedName name="profit_inter">Рейсы!#REF!</definedName>
    <definedName name="profit_ru">Рейсы!#REF!</definedName>
    <definedName name="solver_adj" localSheetId="0" hidden="1">Sheet1!$M$2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Sheet1!$M$33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  <definedName name="spend_intrnational">#REF!</definedName>
    <definedName name="spend_rus">#REF!</definedName>
    <definedName name="usd">Sheet1!$B$15</definedName>
    <definedName name="usd_dynamics">Sheet1!$E$1</definedName>
    <definedName name="внутр_рейсы">Рейсы!$B$41</definedName>
    <definedName name="зп">Рейсы!#REF!</definedName>
    <definedName name="зп_int">Рейсы!#REF!</definedName>
    <definedName name="зп_ru">Рейсы!#REF!</definedName>
    <definedName name="международ_рейсы">Рейсы!$B$42</definedName>
    <definedName name="новые_рейсы">Рейсы!$B$43</definedName>
    <definedName name="расход_топлива">Рейсы!#REF!</definedName>
    <definedName name="цена_топлива">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  <c r="H31" i="1"/>
  <c r="G32" i="1"/>
  <c r="F32" i="1"/>
  <c r="E32" i="1"/>
  <c r="D32" i="1"/>
  <c r="C32" i="1"/>
  <c r="B32" i="1"/>
  <c r="G31" i="1"/>
  <c r="F31" i="1"/>
  <c r="F30" i="1"/>
  <c r="E31" i="1"/>
  <c r="D31" i="1"/>
  <c r="C31" i="1"/>
  <c r="B31" i="1"/>
  <c r="G30" i="1"/>
  <c r="E30" i="1"/>
  <c r="D30" i="1"/>
  <c r="C30" i="1"/>
  <c r="B30" i="1"/>
  <c r="E41" i="3"/>
  <c r="D41" i="3"/>
  <c r="C41" i="3"/>
  <c r="B41" i="3"/>
  <c r="W15" i="3"/>
  <c r="W16" i="3"/>
  <c r="W17" i="3"/>
  <c r="W18" i="3"/>
  <c r="V15" i="3"/>
  <c r="V16" i="3"/>
  <c r="V17" i="3"/>
  <c r="V18" i="3"/>
  <c r="U15" i="3"/>
  <c r="U16" i="3"/>
  <c r="U17" i="3"/>
  <c r="U18" i="3"/>
  <c r="N15" i="3"/>
  <c r="N16" i="3"/>
  <c r="N17" i="3"/>
  <c r="N18" i="3"/>
  <c r="F19" i="3"/>
  <c r="U19" i="3" s="1"/>
  <c r="K19" i="3"/>
  <c r="L19" i="3"/>
  <c r="N19" i="3" s="1"/>
  <c r="C33" i="1" l="1"/>
  <c r="B33" i="1"/>
  <c r="B34" i="1" s="1"/>
  <c r="B35" i="1" s="1"/>
  <c r="D33" i="1"/>
  <c r="E33" i="1"/>
  <c r="G33" i="1"/>
  <c r="F33" i="1"/>
  <c r="W19" i="3"/>
  <c r="V19" i="3"/>
  <c r="D18" i="1" l="1"/>
  <c r="E18" i="1"/>
  <c r="F18" i="1"/>
  <c r="G18" i="1"/>
  <c r="C18" i="1"/>
  <c r="U35" i="3"/>
  <c r="B2" i="11"/>
  <c r="B3" i="11"/>
  <c r="B4" i="11"/>
  <c r="B6" i="11"/>
  <c r="B14" i="11" s="1"/>
  <c r="B7" i="11"/>
  <c r="B21" i="11" s="1"/>
  <c r="B9" i="11"/>
  <c r="B22" i="11" s="1"/>
  <c r="B11" i="11"/>
  <c r="B13" i="11" s="1"/>
  <c r="B12" i="11"/>
  <c r="B17" i="11" s="1"/>
  <c r="B15" i="11"/>
  <c r="B16" i="11"/>
  <c r="B18" i="11"/>
  <c r="B19" i="11"/>
  <c r="B20" i="11"/>
  <c r="B2" i="10"/>
  <c r="C2" i="10"/>
  <c r="D2" i="10"/>
  <c r="E2" i="10"/>
  <c r="G2" i="10"/>
  <c r="G3" i="10" s="1"/>
  <c r="B3" i="10"/>
  <c r="C3" i="10"/>
  <c r="D3" i="10"/>
  <c r="E3" i="10"/>
  <c r="B4" i="10"/>
  <c r="C4" i="10"/>
  <c r="D4" i="10"/>
  <c r="E4" i="10"/>
  <c r="G4" i="10"/>
  <c r="B5" i="10"/>
  <c r="C5" i="10"/>
  <c r="G5" i="10" s="1"/>
  <c r="D5" i="10"/>
  <c r="E5" i="10"/>
  <c r="K2" i="9"/>
  <c r="K3" i="9"/>
  <c r="K4" i="9"/>
  <c r="K5" i="9"/>
  <c r="K6" i="9"/>
  <c r="K7" i="9"/>
  <c r="K8" i="9"/>
  <c r="K9" i="9"/>
  <c r="K10" i="9"/>
  <c r="K11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W35" i="3"/>
  <c r="W36" i="3"/>
  <c r="W37" i="3"/>
  <c r="V35" i="3"/>
  <c r="V36" i="3"/>
  <c r="V37" i="3"/>
  <c r="U36" i="3"/>
  <c r="U37" i="3"/>
  <c r="N36" i="3"/>
  <c r="N35" i="3"/>
  <c r="N37" i="3"/>
  <c r="C10" i="1"/>
  <c r="D10" i="1"/>
  <c r="E10" i="1"/>
  <c r="F10" i="1"/>
  <c r="G10" i="1"/>
  <c r="C15" i="1"/>
  <c r="C16" i="1" s="1"/>
  <c r="D15" i="1"/>
  <c r="D16" i="1" s="1"/>
  <c r="E15" i="1"/>
  <c r="E16" i="1" s="1"/>
  <c r="F15" i="1"/>
  <c r="F16" i="1" s="1"/>
  <c r="G15" i="1"/>
  <c r="G16" i="1" s="1"/>
  <c r="H3" i="2"/>
  <c r="H8" i="2"/>
  <c r="H9" i="2"/>
  <c r="H10" i="2"/>
  <c r="H11" i="2"/>
  <c r="H2" i="2"/>
  <c r="G14" i="2"/>
  <c r="M5" i="2"/>
  <c r="M6" i="2"/>
  <c r="O6" i="2" s="1"/>
  <c r="P6" i="2" s="1"/>
  <c r="Q6" i="2" s="1"/>
  <c r="R6" i="2" s="1"/>
  <c r="S6" i="2" s="1"/>
  <c r="T6" i="2" s="1"/>
  <c r="M7" i="2"/>
  <c r="O7" i="2" s="1"/>
  <c r="P7" i="2" s="1"/>
  <c r="Q7" i="2" s="1"/>
  <c r="R7" i="2" s="1"/>
  <c r="S7" i="2" s="1"/>
  <c r="M12" i="2"/>
  <c r="O12" i="2" s="1"/>
  <c r="P12" i="2" s="1"/>
  <c r="M13" i="2"/>
  <c r="O13" i="2" s="1"/>
  <c r="P13" i="2" s="1"/>
  <c r="Q13" i="2" s="1"/>
  <c r="R13" i="2" s="1"/>
  <c r="S13" i="2" s="1"/>
  <c r="T13" i="2" s="1"/>
  <c r="M4" i="2"/>
  <c r="F20" i="3"/>
  <c r="U20" i="3" s="1"/>
  <c r="K20" i="3"/>
  <c r="L20" i="3"/>
  <c r="F21" i="3"/>
  <c r="W21" i="3" s="1"/>
  <c r="K21" i="3"/>
  <c r="L21" i="3"/>
  <c r="F22" i="3"/>
  <c r="W22" i="3" s="1"/>
  <c r="K22" i="3"/>
  <c r="L22" i="3"/>
  <c r="F23" i="3"/>
  <c r="W23" i="3" s="1"/>
  <c r="K23" i="3"/>
  <c r="L23" i="3"/>
  <c r="F24" i="3"/>
  <c r="W24" i="3" s="1"/>
  <c r="K24" i="3"/>
  <c r="L24" i="3"/>
  <c r="F25" i="3"/>
  <c r="W25" i="3" s="1"/>
  <c r="K25" i="3"/>
  <c r="L25" i="3"/>
  <c r="F26" i="3"/>
  <c r="W26" i="3" s="1"/>
  <c r="K26" i="3"/>
  <c r="L26" i="3"/>
  <c r="F27" i="3"/>
  <c r="W27" i="3" s="1"/>
  <c r="K27" i="3"/>
  <c r="L27" i="3"/>
  <c r="F28" i="3"/>
  <c r="W28" i="3" s="1"/>
  <c r="K28" i="3"/>
  <c r="L28" i="3"/>
  <c r="F29" i="3"/>
  <c r="W29" i="3" s="1"/>
  <c r="K29" i="3"/>
  <c r="L29" i="3"/>
  <c r="F30" i="3"/>
  <c r="W30" i="3" s="1"/>
  <c r="K30" i="3"/>
  <c r="L30" i="3"/>
  <c r="F31" i="3"/>
  <c r="W31" i="3" s="1"/>
  <c r="K31" i="3"/>
  <c r="L31" i="3"/>
  <c r="F32" i="3"/>
  <c r="V32" i="3" s="1"/>
  <c r="K32" i="3"/>
  <c r="L32" i="3"/>
  <c r="F33" i="3"/>
  <c r="W33" i="3" s="1"/>
  <c r="K33" i="3"/>
  <c r="L33" i="3"/>
  <c r="F34" i="3"/>
  <c r="W34" i="3" s="1"/>
  <c r="K34" i="3"/>
  <c r="L34" i="3"/>
  <c r="T7" i="2" l="1"/>
  <c r="G34" i="1"/>
  <c r="G35" i="1" s="1"/>
  <c r="D34" i="1"/>
  <c r="D35" i="1" s="1"/>
  <c r="F34" i="1"/>
  <c r="F35" i="1" s="1"/>
  <c r="C34" i="1"/>
  <c r="C35" i="1" s="1"/>
  <c r="E34" i="1"/>
  <c r="E35" i="1" s="1"/>
  <c r="Q12" i="2"/>
  <c r="R12" i="2" s="1"/>
  <c r="S12" i="2" s="1"/>
  <c r="T12" i="2" s="1"/>
  <c r="P5" i="2"/>
  <c r="O5" i="2"/>
  <c r="Q5" i="2"/>
  <c r="R5" i="2" s="1"/>
  <c r="S5" i="2" s="1"/>
  <c r="T5" i="2" s="1"/>
  <c r="O4" i="2"/>
  <c r="P4" i="2"/>
  <c r="Q4" i="2"/>
  <c r="R4" i="2" s="1"/>
  <c r="S4" i="2" s="1"/>
  <c r="D43" i="3"/>
  <c r="C43" i="3"/>
  <c r="E43" i="3"/>
  <c r="V29" i="3"/>
  <c r="U31" i="3"/>
  <c r="V21" i="3"/>
  <c r="V20" i="3"/>
  <c r="N38" i="3"/>
  <c r="V27" i="3"/>
  <c r="W32" i="3"/>
  <c r="V34" i="3"/>
  <c r="V26" i="3"/>
  <c r="V25" i="3"/>
  <c r="V28" i="3"/>
  <c r="V33" i="3"/>
  <c r="V24" i="3"/>
  <c r="V31" i="3"/>
  <c r="V23" i="3"/>
  <c r="V30" i="3"/>
  <c r="V22" i="3"/>
  <c r="B23" i="11"/>
  <c r="H14" i="2"/>
  <c r="B43" i="3"/>
  <c r="U23" i="3"/>
  <c r="W20" i="3"/>
  <c r="U27" i="3"/>
  <c r="U30" i="3"/>
  <c r="U22" i="3"/>
  <c r="U21" i="3"/>
  <c r="U28" i="3"/>
  <c r="U32" i="3"/>
  <c r="U24" i="3"/>
  <c r="U29" i="3"/>
  <c r="U34" i="3"/>
  <c r="U26" i="3"/>
  <c r="U33" i="3"/>
  <c r="U25" i="3"/>
  <c r="N31" i="3"/>
  <c r="N23" i="3"/>
  <c r="N33" i="3"/>
  <c r="N25" i="3"/>
  <c r="N26" i="3"/>
  <c r="N22" i="3"/>
  <c r="N34" i="3"/>
  <c r="N27" i="3"/>
  <c r="N29" i="3"/>
  <c r="N21" i="3"/>
  <c r="N30" i="3"/>
  <c r="N32" i="3"/>
  <c r="N28" i="3"/>
  <c r="N24" i="3"/>
  <c r="N20" i="3"/>
  <c r="K17" i="2"/>
  <c r="P14" i="2" l="1"/>
  <c r="T4" i="2"/>
  <c r="S14" i="2"/>
  <c r="F27" i="1"/>
  <c r="F41" i="1" s="1"/>
  <c r="C27" i="1"/>
  <c r="C41" i="1" s="1"/>
  <c r="C42" i="3"/>
  <c r="D42" i="3"/>
  <c r="E42" i="3"/>
  <c r="F22" i="1"/>
  <c r="G22" i="1"/>
  <c r="E22" i="1"/>
  <c r="E27" i="1"/>
  <c r="E41" i="1" s="1"/>
  <c r="D27" i="1"/>
  <c r="D41" i="1" s="1"/>
  <c r="B27" i="1"/>
  <c r="B41" i="1" s="1"/>
  <c r="G27" i="1"/>
  <c r="G41" i="1" s="1"/>
  <c r="B42" i="3"/>
  <c r="O14" i="2"/>
  <c r="T14" i="2"/>
  <c r="R14" i="2"/>
  <c r="P15" i="2"/>
  <c r="S15" i="2"/>
  <c r="Q14" i="2"/>
  <c r="L14" i="3"/>
  <c r="L13" i="3"/>
  <c r="L12" i="3"/>
  <c r="L11" i="3"/>
  <c r="L10" i="3"/>
  <c r="L9" i="3"/>
  <c r="L8" i="3"/>
  <c r="L7" i="3"/>
  <c r="L6" i="3"/>
  <c r="L5" i="3"/>
  <c r="K14" i="3"/>
  <c r="K13" i="3"/>
  <c r="K12" i="3"/>
  <c r="K11" i="3"/>
  <c r="K10" i="3"/>
  <c r="K9" i="3"/>
  <c r="K8" i="3"/>
  <c r="K7" i="3"/>
  <c r="K6" i="3"/>
  <c r="K5" i="3"/>
  <c r="F14" i="3"/>
  <c r="F18" i="3" s="1"/>
  <c r="F13" i="3"/>
  <c r="F12" i="3"/>
  <c r="F11" i="3"/>
  <c r="K48" i="7"/>
  <c r="K46" i="7"/>
  <c r="K44" i="7"/>
  <c r="K42" i="7"/>
  <c r="K40" i="7"/>
  <c r="K38" i="7"/>
  <c r="K36" i="7"/>
  <c r="K34" i="7"/>
  <c r="K32" i="7"/>
  <c r="K30" i="7"/>
  <c r="K28" i="7"/>
  <c r="K26" i="7"/>
  <c r="K24" i="7"/>
  <c r="K22" i="7"/>
  <c r="K20" i="7"/>
  <c r="K18" i="7"/>
  <c r="K11" i="7"/>
  <c r="K10" i="7"/>
  <c r="K9" i="7"/>
  <c r="K8" i="7"/>
  <c r="K7" i="7"/>
  <c r="F10" i="3" s="1"/>
  <c r="K6" i="7"/>
  <c r="F9" i="3" s="1"/>
  <c r="F15" i="3" s="1"/>
  <c r="K5" i="7"/>
  <c r="F8" i="3" s="1"/>
  <c r="K4" i="7"/>
  <c r="F7" i="3" s="1"/>
  <c r="K3" i="7"/>
  <c r="F6" i="3" s="1"/>
  <c r="K2" i="7"/>
  <c r="F5" i="3" s="1"/>
  <c r="R15" i="2" l="1"/>
  <c r="T15" i="2"/>
  <c r="T16" i="2" s="1"/>
  <c r="G43" i="1" s="1"/>
  <c r="O15" i="2"/>
  <c r="Q15" i="2"/>
  <c r="Q16" i="2" s="1"/>
  <c r="D43" i="1" s="1"/>
  <c r="F17" i="3"/>
  <c r="F16" i="3"/>
  <c r="D22" i="1"/>
  <c r="B22" i="1"/>
  <c r="C22" i="1"/>
  <c r="N5" i="3"/>
  <c r="W12" i="3"/>
  <c r="V12" i="3"/>
  <c r="W13" i="3"/>
  <c r="V13" i="3"/>
  <c r="W8" i="3"/>
  <c r="V8" i="3"/>
  <c r="W9" i="3"/>
  <c r="V9" i="3"/>
  <c r="V10" i="3"/>
  <c r="W10" i="3"/>
  <c r="V14" i="3"/>
  <c r="W14" i="3"/>
  <c r="V5" i="3"/>
  <c r="W5" i="3"/>
  <c r="V6" i="3"/>
  <c r="W6" i="3"/>
  <c r="V7" i="3"/>
  <c r="W7" i="3"/>
  <c r="V11" i="3"/>
  <c r="W11" i="3"/>
  <c r="U10" i="3"/>
  <c r="U12" i="3"/>
  <c r="K13" i="2"/>
  <c r="U13" i="3"/>
  <c r="U14" i="3"/>
  <c r="U5" i="3"/>
  <c r="K9" i="2"/>
  <c r="U8" i="3"/>
  <c r="U9" i="3"/>
  <c r="U6" i="3"/>
  <c r="U7" i="3"/>
  <c r="U11" i="3"/>
  <c r="K10" i="2"/>
  <c r="K12" i="2"/>
  <c r="K8" i="2"/>
  <c r="N14" i="3"/>
  <c r="N11" i="3"/>
  <c r="K11" i="2"/>
  <c r="K3" i="2"/>
  <c r="K6" i="2"/>
  <c r="N48" i="1"/>
  <c r="K2" i="2"/>
  <c r="K7" i="2"/>
  <c r="N9" i="3"/>
  <c r="N10" i="3"/>
  <c r="N13" i="3"/>
  <c r="N7" i="3"/>
  <c r="N6" i="3"/>
  <c r="N8" i="3"/>
  <c r="N12" i="3"/>
  <c r="P16" i="2" l="1"/>
  <c r="R16" i="2"/>
  <c r="E43" i="1" s="1"/>
  <c r="S16" i="2"/>
  <c r="F43" i="1" s="1"/>
  <c r="D25" i="1"/>
  <c r="E25" i="1"/>
  <c r="C25" i="1"/>
  <c r="B25" i="1"/>
  <c r="G25" i="1"/>
  <c r="M48" i="1"/>
  <c r="N50" i="1"/>
  <c r="N52" i="1" s="1"/>
  <c r="P18" i="2" l="1"/>
  <c r="C43" i="1"/>
  <c r="F25" i="1"/>
  <c r="B26" i="1"/>
  <c r="F26" i="1"/>
  <c r="E26" i="1"/>
  <c r="C26" i="1"/>
  <c r="G26" i="1"/>
  <c r="D26" i="1"/>
  <c r="B24" i="1"/>
  <c r="F24" i="1"/>
  <c r="G24" i="1"/>
  <c r="E24" i="1"/>
  <c r="C24" i="1"/>
  <c r="D24" i="1"/>
  <c r="D21" i="1"/>
  <c r="D20" i="1" s="1"/>
  <c r="D37" i="1" s="1"/>
  <c r="E21" i="1"/>
  <c r="E20" i="1" s="1"/>
  <c r="E37" i="1" s="1"/>
  <c r="B21" i="1"/>
  <c r="B20" i="1" s="1"/>
  <c r="B37" i="1" s="1"/>
  <c r="F21" i="1"/>
  <c r="F20" i="1" s="1"/>
  <c r="F37" i="1" s="1"/>
  <c r="G21" i="1"/>
  <c r="G20" i="1" s="1"/>
  <c r="G37" i="1" s="1"/>
  <c r="C21" i="1"/>
  <c r="C20" i="1" s="1"/>
  <c r="C37" i="1" s="1"/>
  <c r="M50" i="1"/>
  <c r="M52" i="1" s="1"/>
  <c r="B23" i="1" l="1"/>
  <c r="B38" i="1" s="1"/>
  <c r="B39" i="1" s="1"/>
  <c r="F23" i="1"/>
  <c r="F38" i="1" s="1"/>
  <c r="F39" i="1" s="1"/>
  <c r="D23" i="1"/>
  <c r="D38" i="1" s="1"/>
  <c r="D44" i="1" s="1"/>
  <c r="E23" i="1"/>
  <c r="E38" i="1" s="1"/>
  <c r="E44" i="1" s="1"/>
  <c r="C23" i="1"/>
  <c r="C38" i="1" s="1"/>
  <c r="C44" i="1" s="1"/>
  <c r="G23" i="1"/>
  <c r="G38" i="1" s="1"/>
  <c r="G39" i="1" s="1"/>
  <c r="G44" i="1" l="1"/>
  <c r="F44" i="1"/>
  <c r="B40" i="1"/>
  <c r="B45" i="1"/>
  <c r="D39" i="1"/>
  <c r="D48" i="1" s="1"/>
  <c r="C39" i="1"/>
  <c r="C40" i="1" s="1"/>
  <c r="E39" i="1"/>
  <c r="E40" i="1" s="1"/>
  <c r="B48" i="1"/>
  <c r="B49" i="1" s="1"/>
  <c r="F48" i="1"/>
  <c r="F45" i="1"/>
  <c r="F40" i="1"/>
  <c r="G45" i="1"/>
  <c r="G48" i="1"/>
  <c r="G40" i="1"/>
  <c r="C45" i="1" l="1"/>
  <c r="C48" i="1"/>
  <c r="D40" i="1"/>
  <c r="D45" i="1"/>
  <c r="D49" i="1" s="1"/>
  <c r="B50" i="1"/>
  <c r="E48" i="1"/>
  <c r="E45" i="1"/>
  <c r="G49" i="1"/>
  <c r="F49" i="1"/>
  <c r="C49" i="1"/>
  <c r="E49" i="1" l="1"/>
</calcChain>
</file>

<file path=xl/sharedStrings.xml><?xml version="1.0" encoding="utf-8"?>
<sst xmlns="http://schemas.openxmlformats.org/spreadsheetml/2006/main" count="373" uniqueCount="185">
  <si>
    <t xml:space="preserve">Aerobus 330neo </t>
  </si>
  <si>
    <t xml:space="preserve">ШФ </t>
  </si>
  <si>
    <t xml:space="preserve">Лизинг </t>
  </si>
  <si>
    <t xml:space="preserve">ожидаются в 2023 </t>
  </si>
  <si>
    <t xml:space="preserve">- </t>
  </si>
  <si>
    <t xml:space="preserve">Aerobus 330 </t>
  </si>
  <si>
    <t xml:space="preserve">В собственности </t>
  </si>
  <si>
    <t xml:space="preserve">Aerobus 320 </t>
  </si>
  <si>
    <t xml:space="preserve">УФ </t>
  </si>
  <si>
    <t xml:space="preserve">Условный # ВС </t>
  </si>
  <si>
    <t xml:space="preserve">Кол-во кресел эконом класса </t>
  </si>
  <si>
    <t xml:space="preserve">Кол-во кресел бизнес класса </t>
  </si>
  <si>
    <t>Марка</t>
  </si>
  <si>
    <t>Фюзеляж</t>
  </si>
  <si>
    <t>№</t>
  </si>
  <si>
    <t>Возраст</t>
  </si>
  <si>
    <t xml:space="preserve">Форма владени </t>
  </si>
  <si>
    <t>Суммарная стоимость лизинга</t>
  </si>
  <si>
    <t xml:space="preserve">Направление </t>
  </si>
  <si>
    <t xml:space="preserve">ВС </t>
  </si>
  <si>
    <t xml:space="preserve">Средняя длительно сть рейса, часов </t>
  </si>
  <si>
    <t xml:space="preserve">Кол-во рейсов в год (в одну сторону) </t>
  </si>
  <si>
    <t xml:space="preserve">Ср. стоимость билета эконом </t>
  </si>
  <si>
    <t xml:space="preserve">Ср. стоимость билета БК </t>
  </si>
  <si>
    <t xml:space="preserve">Кол-во кресел эконом </t>
  </si>
  <si>
    <t xml:space="preserve">Кол-во кресел БК </t>
  </si>
  <si>
    <t xml:space="preserve">Загрузка эконом </t>
  </si>
  <si>
    <t xml:space="preserve">Загрузка БК </t>
  </si>
  <si>
    <t xml:space="preserve">Доп. выручка, руб </t>
  </si>
  <si>
    <t xml:space="preserve">Москва - Санкт-Петербург </t>
  </si>
  <si>
    <t xml:space="preserve">А320 </t>
  </si>
  <si>
    <t xml:space="preserve">Москва- Минеральные воды </t>
  </si>
  <si>
    <t xml:space="preserve">Москва - Сочи </t>
  </si>
  <si>
    <t xml:space="preserve">Москва - Краснодар </t>
  </si>
  <si>
    <t xml:space="preserve">Москва - Новосибирск </t>
  </si>
  <si>
    <t xml:space="preserve">Москва - Красноярск </t>
  </si>
  <si>
    <t xml:space="preserve">Москва- Уфа </t>
  </si>
  <si>
    <t xml:space="preserve">Москва - Екатеринбург </t>
  </si>
  <si>
    <t xml:space="preserve">Москва - Саратов </t>
  </si>
  <si>
    <t xml:space="preserve">Москва - Калиниград </t>
  </si>
  <si>
    <t xml:space="preserve">Москва - Варадеро </t>
  </si>
  <si>
    <t xml:space="preserve">Москва - Пунтакана </t>
  </si>
  <si>
    <t xml:space="preserve">Москва - Гавана </t>
  </si>
  <si>
    <t xml:space="preserve">Москва - Мале </t>
  </si>
  <si>
    <t xml:space="preserve">Москва - Сингапур </t>
  </si>
  <si>
    <t xml:space="preserve">Моска - Дубай </t>
  </si>
  <si>
    <t xml:space="preserve">Моска - Доха </t>
  </si>
  <si>
    <t xml:space="preserve">Москва - Шри-Ланка </t>
  </si>
  <si>
    <t xml:space="preserve">Москва - Паттайя </t>
  </si>
  <si>
    <t xml:space="preserve">Моква - Пхукет </t>
  </si>
  <si>
    <t xml:space="preserve">Москва - Хургада </t>
  </si>
  <si>
    <t xml:space="preserve">Москва - Шарм эль Шейх </t>
  </si>
  <si>
    <t xml:space="preserve">Москва - Анталья </t>
  </si>
  <si>
    <t xml:space="preserve">Москва - Белек </t>
  </si>
  <si>
    <t xml:space="preserve">Москва - Кемер </t>
  </si>
  <si>
    <t xml:space="preserve">Москва - Бодрум </t>
  </si>
  <si>
    <t xml:space="preserve">Аэропортовые сборы за рейс </t>
  </si>
  <si>
    <t xml:space="preserve">Средняя ставка пилота в час </t>
  </si>
  <si>
    <t xml:space="preserve">Количество пилотов на рейс </t>
  </si>
  <si>
    <t xml:space="preserve">Средняя ставка стюардов в час </t>
  </si>
  <si>
    <t xml:space="preserve">Количество стюардов на рейс </t>
  </si>
  <si>
    <t>Год</t>
  </si>
  <si>
    <t>PV</t>
  </si>
  <si>
    <t>Цена топлива за кг</t>
  </si>
  <si>
    <t>Расход керосина, кг/час</t>
  </si>
  <si>
    <t>Profits</t>
  </si>
  <si>
    <t>Losses</t>
  </si>
  <si>
    <t>Международные авиаперевозки</t>
  </si>
  <si>
    <t>Сумма по направлениям</t>
  </si>
  <si>
    <t>Внутренние рейсы</t>
  </si>
  <si>
    <t>В воздухе в год, часов</t>
  </si>
  <si>
    <t>(Всего в году 8760 часов)</t>
  </si>
  <si>
    <t>Маршрут</t>
  </si>
  <si>
    <t>кол-ов рейсов(в одну сторону)</t>
  </si>
  <si>
    <t>кол-во мест эконом</t>
  </si>
  <si>
    <t>кол-во мест бизнес</t>
  </si>
  <si>
    <t>цена эконом</t>
  </si>
  <si>
    <t>цена бизнес</t>
  </si>
  <si>
    <t>загруженность эконома старая</t>
  </si>
  <si>
    <t>загруженность бизнес старая</t>
  </si>
  <si>
    <t>новая загруженность эконома</t>
  </si>
  <si>
    <t>новая загруженность бизнес</t>
  </si>
  <si>
    <t>оптимальное количество рейсов</t>
  </si>
  <si>
    <t>Москва - Санкт-Петербург</t>
  </si>
  <si>
    <t>Москва- Минеральные воды</t>
  </si>
  <si>
    <t>Москва - Сочи</t>
  </si>
  <si>
    <t>Москва - Краснодар</t>
  </si>
  <si>
    <t>Москва - Новосибирск</t>
  </si>
  <si>
    <t>Москва - Красноярск</t>
  </si>
  <si>
    <t>Москва- Уфа</t>
  </si>
  <si>
    <t>Москва - Екатеринбург</t>
  </si>
  <si>
    <t>Москва - Саратов</t>
  </si>
  <si>
    <t>Москва - Калиниград</t>
  </si>
  <si>
    <t>Международные рейсы</t>
  </si>
  <si>
    <t>Москва - Варадеро</t>
  </si>
  <si>
    <t>Москва - Пунтакана</t>
  </si>
  <si>
    <t>Москва - Гавана</t>
  </si>
  <si>
    <t>Москва - Мале</t>
  </si>
  <si>
    <t>Москва - Сингапур</t>
  </si>
  <si>
    <t>Моска - Дубай</t>
  </si>
  <si>
    <t>Моска - Доха</t>
  </si>
  <si>
    <t>Москва - Шри-Ланка</t>
  </si>
  <si>
    <t>Москва - Паттайя</t>
  </si>
  <si>
    <t>Моква - Пхукет</t>
  </si>
  <si>
    <t>Москва - Хургада</t>
  </si>
  <si>
    <t>Москва - Анталья</t>
  </si>
  <si>
    <t>Москва - Белек</t>
  </si>
  <si>
    <t>Москва - Кемер</t>
  </si>
  <si>
    <t>Москва - Бодрум</t>
  </si>
  <si>
    <t>Чисто зп</t>
  </si>
  <si>
    <t>a320</t>
  </si>
  <si>
    <t>a330</t>
  </si>
  <si>
    <t>ФОТ</t>
  </si>
  <si>
    <t>Выручка</t>
  </si>
  <si>
    <t>Отношение ФОТа к выручке, %</t>
  </si>
  <si>
    <t>Не больше чем</t>
  </si>
  <si>
    <t>Курс доллара</t>
  </si>
  <si>
    <t>Укрепление доллара к рублю</t>
  </si>
  <si>
    <t>Sum</t>
  </si>
  <si>
    <t>Изменение</t>
  </si>
  <si>
    <t>инфляция США</t>
  </si>
  <si>
    <t>Мультипликатор цены компании</t>
  </si>
  <si>
    <t>Цена в долларах (с учетом обесценивания)</t>
  </si>
  <si>
    <t>Срок до погашения, лет</t>
  </si>
  <si>
    <t>Доходность, % годовых</t>
  </si>
  <si>
    <t>Посчитать норм для 4 лет</t>
  </si>
  <si>
    <t>Данные на 27.12.2021</t>
  </si>
  <si>
    <t>https://www.cbr.ru/currency_base/daily/?UniDbQuery.Posted=True&amp;UniDbQuery.To=27.12.2021</t>
  </si>
  <si>
    <t>Из облигаций</t>
  </si>
  <si>
    <t>Цена нового в рублях на 27.12.21</t>
  </si>
  <si>
    <t>Цена нового в $</t>
  </si>
  <si>
    <t>Обесценивание за 5 лет</t>
  </si>
  <si>
    <t>Прибыль</t>
  </si>
  <si>
    <t>Убытки</t>
  </si>
  <si>
    <t>Налоги</t>
  </si>
  <si>
    <t>Обесценивание активов</t>
  </si>
  <si>
    <t>EBITDA</t>
  </si>
  <si>
    <t xml:space="preserve">тоимость лизинга в год, млн руб на 27.12.2021 </t>
  </si>
  <si>
    <t>Cтоимость лизинга в год, $</t>
  </si>
  <si>
    <t>Цена компании через EBITDA</t>
  </si>
  <si>
    <t>TV</t>
  </si>
  <si>
    <t>Форвардные ставки</t>
  </si>
  <si>
    <t>Прогнозируемый рост компании</t>
  </si>
  <si>
    <t>Лизинг</t>
  </si>
  <si>
    <t>Прибыль от полетов</t>
  </si>
  <si>
    <t>Траты на полеты</t>
  </si>
  <si>
    <t>wacc</t>
  </si>
  <si>
    <t>-</t>
  </si>
  <si>
    <t>EBITDA Margin</t>
  </si>
  <si>
    <t>EBITDA Multiple</t>
  </si>
  <si>
    <t>TV/Company price</t>
  </si>
  <si>
    <t>Npv</t>
  </si>
  <si>
    <t>Топливо</t>
  </si>
  <si>
    <t>Зп</t>
  </si>
  <si>
    <t>Итого топлива</t>
  </si>
  <si>
    <t>Цена топлива</t>
  </si>
  <si>
    <t>Год владения</t>
  </si>
  <si>
    <t>Aerobus 330neo</t>
  </si>
  <si>
    <t>Москва - Паттайя</t>
  </si>
  <si>
    <t>С 2023</t>
  </si>
  <si>
    <t>Сборы</t>
  </si>
  <si>
    <t>Выручка за билеты</t>
  </si>
  <si>
    <t>Минеральные воды - Екатеринбург</t>
  </si>
  <si>
    <t>Москва - 
Минеральные воды -
Екатеринбург</t>
  </si>
  <si>
    <t>Новосибирск - Красноярск</t>
  </si>
  <si>
    <t>Москва - 
Новосибирск -
Красноярск</t>
  </si>
  <si>
    <t>Калининград - Санкт-Петербург</t>
  </si>
  <si>
    <t>Москва -
Калининград -
Санкт-Петербург</t>
  </si>
  <si>
    <t>Санкт-Петербург - Сочи</t>
  </si>
  <si>
    <t>Москва -
Санкт-Петербург -
Сочи</t>
  </si>
  <si>
    <t>Ребро 3, рейсы</t>
  </si>
  <si>
    <t>Ребро 3, маршрут</t>
  </si>
  <si>
    <t>Ребро 2, рейсы</t>
  </si>
  <si>
    <t>Ребро 2, маршрут</t>
  </si>
  <si>
    <t>Ребро 1, рейсы</t>
  </si>
  <si>
    <t>Ребро 1, маршрут</t>
  </si>
  <si>
    <t>В цикле</t>
  </si>
  <si>
    <t>Взято по средней цене из гугла</t>
  </si>
  <si>
    <t>Израсходовано керосина</t>
  </si>
  <si>
    <t>ЗП</t>
  </si>
  <si>
    <t>A320</t>
  </si>
  <si>
    <t>Depreciation rate</t>
  </si>
  <si>
    <t>a330neo</t>
  </si>
  <si>
    <t>$</t>
  </si>
  <si>
    <t>Рубли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</si>
</sst>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RUB&quot;_-;\-* #,##0.00\ &quot;RUB&quot;_-;_-* &quot;-&quot;??\ &quot;RUB&quot;_-;_-@_-"/>
    <numFmt numFmtId="164" formatCode="#,##0.00\ &quot;RUB&quot;"/>
    <numFmt numFmtId="165" formatCode="_-[$$-C09]* #,##0.00_-;\-[$$-C09]* #,##0.00_-;_-[$$-C09]* &quot;-&quot;??_-;_-@_-"/>
    <numFmt numFmtId="166" formatCode="_-[$$-C09]* #,##0_-;\-[$$-C09]* #,##0_-;_-[$$-C09]* &quot;-&quot;??_-;_-@_-"/>
    <numFmt numFmtId="167" formatCode="#,##0\ &quot;RUB&quot;"/>
    <numFmt numFmtId="170" formatCode="_-[$$-2809]* #,##0.00_-;\-[$$-2809]* #,##0.00_-;_-[$$-2809]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D47"/>
      <name val="Times New Roman"/>
      <family val="1"/>
    </font>
    <font>
      <b/>
      <sz val="12"/>
      <color rgb="FF000000"/>
      <name val="Calibri"/>
      <family val="2"/>
    </font>
    <font>
      <sz val="16"/>
      <color rgb="FF444444"/>
      <name val="Arial"/>
      <family val="2"/>
    </font>
    <font>
      <b/>
      <sz val="16"/>
      <color rgb="FF444444"/>
      <name val="Arial"/>
      <family val="2"/>
    </font>
    <font>
      <sz val="16"/>
      <color rgb="FF202124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12"/>
      <color rgb="FF2B2E33"/>
      <name val="Arial"/>
      <family val="2"/>
    </font>
    <font>
      <sz val="12"/>
      <color rgb="FF2B2E33"/>
      <name val="Arial"/>
      <family val="2"/>
    </font>
    <font>
      <sz val="12.6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</cellStyleXfs>
  <cellXfs count="155">
    <xf numFmtId="0" fontId="0" fillId="0" borderId="0" xfId="0"/>
    <xf numFmtId="0" fontId="2" fillId="0" borderId="0" xfId="0" applyFont="1"/>
    <xf numFmtId="164" fontId="2" fillId="0" borderId="0" xfId="0" applyNumberFormat="1" applyFont="1"/>
    <xf numFmtId="9" fontId="2" fillId="0" borderId="0" xfId="0" applyNumberFormat="1" applyFont="1"/>
    <xf numFmtId="164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2" fontId="2" fillId="0" borderId="1" xfId="0" applyNumberFormat="1" applyFont="1" applyBorder="1"/>
    <xf numFmtId="2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3" fontId="3" fillId="0" borderId="1" xfId="0" applyNumberFormat="1" applyFont="1" applyBorder="1" applyAlignment="1"/>
    <xf numFmtId="0" fontId="3" fillId="0" borderId="1" xfId="0" applyFont="1" applyBorder="1" applyAlignment="1"/>
    <xf numFmtId="9" fontId="3" fillId="0" borderId="1" xfId="0" applyNumberFormat="1" applyFont="1" applyBorder="1" applyAlignment="1"/>
    <xf numFmtId="2" fontId="3" fillId="0" borderId="1" xfId="0" applyNumberFormat="1" applyFont="1" applyBorder="1" applyAlignment="1"/>
    <xf numFmtId="164" fontId="2" fillId="2" borderId="1" xfId="0" applyNumberFormat="1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164" fontId="2" fillId="2" borderId="1" xfId="1" applyNumberFormat="1" applyFont="1" applyFill="1" applyBorder="1" applyAlignment="1"/>
    <xf numFmtId="164" fontId="3" fillId="0" borderId="1" xfId="0" applyNumberFormat="1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164" fontId="2" fillId="0" borderId="0" xfId="0" applyNumberFormat="1" applyFont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165" fontId="2" fillId="0" borderId="1" xfId="0" applyNumberFormat="1" applyFont="1" applyBorder="1" applyAlignment="1"/>
    <xf numFmtId="0" fontId="0" fillId="0" borderId="1" xfId="0" applyBorder="1"/>
    <xf numFmtId="10" fontId="11" fillId="0" borderId="1" xfId="2" applyNumberFormat="1" applyFont="1" applyBorder="1"/>
    <xf numFmtId="10" fontId="0" fillId="0" borderId="1" xfId="2" applyNumberFormat="1" applyFont="1" applyBorder="1"/>
    <xf numFmtId="164" fontId="2" fillId="0" borderId="1" xfId="0" applyNumberFormat="1" applyFont="1" applyBorder="1" applyAlignment="1"/>
    <xf numFmtId="2" fontId="2" fillId="0" borderId="0" xfId="0" applyNumberFormat="1" applyFont="1" applyBorder="1"/>
    <xf numFmtId="0" fontId="3" fillId="0" borderId="0" xfId="0" applyFont="1" applyAlignment="1"/>
    <xf numFmtId="10" fontId="3" fillId="0" borderId="1" xfId="0" applyNumberFormat="1" applyFont="1" applyBorder="1" applyAlignment="1"/>
    <xf numFmtId="0" fontId="3" fillId="0" borderId="3" xfId="0" applyFont="1" applyBorder="1" applyAlignment="1"/>
    <xf numFmtId="10" fontId="2" fillId="0" borderId="1" xfId="2" applyNumberFormat="1" applyFont="1" applyBorder="1"/>
    <xf numFmtId="0" fontId="10" fillId="0" borderId="1" xfId="0" applyFont="1" applyBorder="1" applyAlignment="1"/>
    <xf numFmtId="0" fontId="11" fillId="0" borderId="1" xfId="0" applyFont="1" applyBorder="1" applyAlignment="1"/>
    <xf numFmtId="9" fontId="11" fillId="0" borderId="1" xfId="2" applyFont="1" applyBorder="1" applyAlignment="1"/>
    <xf numFmtId="166" fontId="3" fillId="0" borderId="1" xfId="0" applyNumberFormat="1" applyFont="1" applyBorder="1" applyAlignment="1"/>
    <xf numFmtId="166" fontId="2" fillId="0" borderId="1" xfId="0" applyNumberFormat="1" applyFont="1" applyBorder="1"/>
    <xf numFmtId="167" fontId="2" fillId="0" borderId="1" xfId="0" applyNumberFormat="1" applyFont="1" applyBorder="1"/>
    <xf numFmtId="167" fontId="2" fillId="0" borderId="1" xfId="0" applyNumberFormat="1" applyFont="1" applyBorder="1" applyAlignment="1"/>
    <xf numFmtId="166" fontId="2" fillId="0" borderId="1" xfId="0" applyNumberFormat="1" applyFont="1" applyBorder="1" applyAlignment="1"/>
    <xf numFmtId="1" fontId="2" fillId="0" borderId="1" xfId="0" applyNumberFormat="1" applyFont="1" applyBorder="1" applyAlignment="1"/>
    <xf numFmtId="167" fontId="3" fillId="0" borderId="1" xfId="0" applyNumberFormat="1" applyFont="1" applyBorder="1" applyAlignment="1"/>
    <xf numFmtId="9" fontId="0" fillId="0" borderId="1" xfId="0" applyNumberFormat="1" applyBorder="1"/>
    <xf numFmtId="0" fontId="2" fillId="0" borderId="2" xfId="0" applyFont="1" applyBorder="1"/>
    <xf numFmtId="9" fontId="2" fillId="0" borderId="2" xfId="0" applyNumberFormat="1" applyFont="1" applyBorder="1"/>
    <xf numFmtId="0" fontId="3" fillId="0" borderId="0" xfId="0" applyFont="1" applyBorder="1" applyAlignment="1"/>
    <xf numFmtId="9" fontId="2" fillId="0" borderId="1" xfId="0" applyNumberFormat="1" applyFont="1" applyBorder="1" applyAlignment="1"/>
    <xf numFmtId="9" fontId="2" fillId="0" borderId="1" xfId="2" applyFont="1" applyBorder="1" applyAlignment="1"/>
    <xf numFmtId="9" fontId="8" fillId="0" borderId="0" xfId="2" applyFont="1"/>
    <xf numFmtId="0" fontId="2" fillId="0" borderId="3" xfId="0" applyFont="1" applyBorder="1" applyAlignment="1"/>
    <xf numFmtId="164" fontId="2" fillId="0" borderId="2" xfId="0" applyNumberFormat="1" applyFont="1" applyBorder="1" applyAlignment="1"/>
    <xf numFmtId="0" fontId="2" fillId="0" borderId="7" xfId="0" applyFont="1" applyBorder="1" applyAlignment="1"/>
    <xf numFmtId="164" fontId="2" fillId="0" borderId="8" xfId="0" applyNumberFormat="1" applyFont="1" applyBorder="1" applyAlignment="1"/>
    <xf numFmtId="164" fontId="2" fillId="0" borderId="9" xfId="0" applyNumberFormat="1" applyFont="1" applyBorder="1" applyAlignment="1"/>
    <xf numFmtId="0" fontId="2" fillId="0" borderId="10" xfId="0" applyFont="1" applyBorder="1" applyAlignment="1"/>
    <xf numFmtId="164" fontId="2" fillId="0" borderId="11" xfId="0" applyNumberFormat="1" applyFont="1" applyBorder="1" applyAlignment="1"/>
    <xf numFmtId="0" fontId="2" fillId="0" borderId="12" xfId="0" applyFont="1" applyBorder="1" applyAlignment="1"/>
    <xf numFmtId="164" fontId="2" fillId="0" borderId="14" xfId="0" applyNumberFormat="1" applyFont="1" applyBorder="1" applyAlignment="1"/>
    <xf numFmtId="0" fontId="3" fillId="0" borderId="15" xfId="0" applyFont="1" applyBorder="1" applyAlignment="1">
      <alignment horizontal="left"/>
    </xf>
    <xf numFmtId="0" fontId="3" fillId="0" borderId="15" xfId="0" applyFont="1" applyBorder="1" applyAlignment="1">
      <alignment horizontal="right"/>
    </xf>
    <xf numFmtId="9" fontId="3" fillId="0" borderId="15" xfId="0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0" fontId="12" fillId="0" borderId="0" xfId="0" applyFont="1"/>
    <xf numFmtId="164" fontId="2" fillId="0" borderId="1" xfId="0" applyNumberFormat="1" applyFont="1" applyFill="1" applyBorder="1" applyAlignment="1"/>
    <xf numFmtId="2" fontId="3" fillId="0" borderId="2" xfId="0" applyNumberFormat="1" applyFont="1" applyBorder="1" applyAlignment="1"/>
    <xf numFmtId="0" fontId="2" fillId="0" borderId="6" xfId="0" applyFont="1" applyBorder="1" applyAlignment="1"/>
    <xf numFmtId="3" fontId="3" fillId="0" borderId="2" xfId="0" applyNumberFormat="1" applyFont="1" applyBorder="1" applyAlignment="1"/>
    <xf numFmtId="9" fontId="3" fillId="0" borderId="2" xfId="0" applyNumberFormat="1" applyFont="1" applyBorder="1" applyAlignment="1"/>
    <xf numFmtId="164" fontId="2" fillId="2" borderId="2" xfId="0" applyNumberFormat="1" applyFont="1" applyFill="1" applyBorder="1" applyAlignment="1"/>
    <xf numFmtId="0" fontId="2" fillId="0" borderId="0" xfId="0" applyFont="1" applyAlignment="1">
      <alignment textRotation="90"/>
    </xf>
    <xf numFmtId="0" fontId="3" fillId="0" borderId="6" xfId="0" applyFont="1" applyBorder="1" applyAlignment="1"/>
    <xf numFmtId="0" fontId="2" fillId="0" borderId="5" xfId="0" applyFont="1" applyBorder="1" applyAlignment="1"/>
    <xf numFmtId="0" fontId="3" fillId="0" borderId="8" xfId="0" applyFont="1" applyBorder="1" applyAlignment="1"/>
    <xf numFmtId="164" fontId="3" fillId="0" borderId="8" xfId="0" applyNumberFormat="1" applyFont="1" applyBorder="1" applyAlignment="1"/>
    <xf numFmtId="0" fontId="2" fillId="0" borderId="8" xfId="0" applyFont="1" applyBorder="1" applyAlignment="1"/>
    <xf numFmtId="9" fontId="3" fillId="0" borderId="8" xfId="0" applyNumberFormat="1" applyFont="1" applyBorder="1" applyAlignment="1"/>
    <xf numFmtId="164" fontId="2" fillId="2" borderId="8" xfId="0" applyNumberFormat="1" applyFont="1" applyFill="1" applyBorder="1" applyAlignment="1"/>
    <xf numFmtId="3" fontId="3" fillId="0" borderId="8" xfId="0" applyNumberFormat="1" applyFont="1" applyBorder="1" applyAlignment="1"/>
    <xf numFmtId="164" fontId="2" fillId="0" borderId="8" xfId="0" applyNumberFormat="1" applyFont="1" applyFill="1" applyBorder="1" applyAlignment="1"/>
    <xf numFmtId="164" fontId="2" fillId="0" borderId="18" xfId="0" applyNumberFormat="1" applyFont="1" applyBorder="1" applyAlignment="1"/>
    <xf numFmtId="0" fontId="3" fillId="0" borderId="13" xfId="0" applyFont="1" applyBorder="1" applyAlignment="1"/>
    <xf numFmtId="2" fontId="3" fillId="0" borderId="13" xfId="0" applyNumberFormat="1" applyFont="1" applyBorder="1" applyAlignment="1"/>
    <xf numFmtId="0" fontId="2" fillId="0" borderId="13" xfId="0" applyFont="1" applyBorder="1" applyAlignment="1"/>
    <xf numFmtId="9" fontId="3" fillId="0" borderId="13" xfId="0" applyNumberFormat="1" applyFont="1" applyBorder="1" applyAlignment="1"/>
    <xf numFmtId="3" fontId="3" fillId="0" borderId="13" xfId="0" applyNumberFormat="1" applyFont="1" applyBorder="1" applyAlignment="1"/>
    <xf numFmtId="164" fontId="2" fillId="0" borderId="13" xfId="0" applyNumberFormat="1" applyFont="1" applyFill="1" applyBorder="1" applyAlignment="1"/>
    <xf numFmtId="2" fontId="3" fillId="0" borderId="8" xfId="0" applyNumberFormat="1" applyFont="1" applyBorder="1" applyAlignment="1"/>
    <xf numFmtId="164" fontId="2" fillId="2" borderId="13" xfId="1" applyNumberFormat="1" applyFont="1" applyFill="1" applyBorder="1" applyAlignment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9" fontId="3" fillId="0" borderId="21" xfId="0" applyNumberFormat="1" applyFont="1" applyBorder="1" applyAlignment="1">
      <alignment horizontal="right"/>
    </xf>
    <xf numFmtId="164" fontId="2" fillId="2" borderId="8" xfId="1" applyNumberFormat="1" applyFont="1" applyFill="1" applyBorder="1" applyAlignment="1"/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right"/>
    </xf>
    <xf numFmtId="9" fontId="3" fillId="0" borderId="24" xfId="0" applyNumberFormat="1" applyFont="1" applyBorder="1" applyAlignment="1">
      <alignment horizontal="right"/>
    </xf>
    <xf numFmtId="0" fontId="13" fillId="0" borderId="0" xfId="3"/>
    <xf numFmtId="2" fontId="14" fillId="0" borderId="0" xfId="3" applyNumberFormat="1" applyFont="1" applyAlignment="1">
      <alignment horizontal="right"/>
    </xf>
    <xf numFmtId="0" fontId="14" fillId="0" borderId="0" xfId="3" applyFont="1" applyAlignment="1">
      <alignment horizontal="right"/>
    </xf>
    <xf numFmtId="0" fontId="14" fillId="0" borderId="0" xfId="3" applyFont="1"/>
    <xf numFmtId="0" fontId="15" fillId="0" borderId="0" xfId="3" applyFont="1"/>
    <xf numFmtId="0" fontId="14" fillId="3" borderId="0" xfId="3" applyFont="1" applyFill="1"/>
    <xf numFmtId="0" fontId="14" fillId="4" borderId="0" xfId="3" applyFont="1" applyFill="1"/>
    <xf numFmtId="0" fontId="14" fillId="5" borderId="0" xfId="3" applyFont="1" applyFill="1"/>
    <xf numFmtId="0" fontId="14" fillId="6" borderId="0" xfId="3" applyFont="1" applyFill="1"/>
    <xf numFmtId="0" fontId="14" fillId="7" borderId="0" xfId="3" applyFont="1" applyFill="1"/>
    <xf numFmtId="0" fontId="16" fillId="0" borderId="0" xfId="3" applyFont="1"/>
    <xf numFmtId="0" fontId="17" fillId="0" borderId="0" xfId="3" applyFont="1"/>
    <xf numFmtId="0" fontId="16" fillId="6" borderId="0" xfId="3" applyFont="1" applyFill="1"/>
    <xf numFmtId="0" fontId="16" fillId="5" borderId="0" xfId="3" applyFont="1" applyFill="1"/>
    <xf numFmtId="0" fontId="16" fillId="4" borderId="0" xfId="3" applyFont="1" applyFill="1"/>
    <xf numFmtId="0" fontId="16" fillId="8" borderId="0" xfId="3" applyFont="1" applyFill="1"/>
    <xf numFmtId="0" fontId="14" fillId="0" borderId="25" xfId="3" applyFont="1" applyBorder="1" applyAlignment="1">
      <alignment horizontal="right"/>
    </xf>
    <xf numFmtId="0" fontId="14" fillId="0" borderId="25" xfId="3" applyFont="1" applyBorder="1"/>
    <xf numFmtId="0" fontId="14" fillId="0" borderId="26" xfId="3" applyFont="1" applyBorder="1" applyAlignment="1">
      <alignment horizontal="right"/>
    </xf>
    <xf numFmtId="0" fontId="14" fillId="0" borderId="26" xfId="3" applyFont="1" applyBorder="1"/>
    <xf numFmtId="0" fontId="14" fillId="8" borderId="0" xfId="3" applyFont="1" applyFill="1"/>
    <xf numFmtId="0" fontId="14" fillId="3" borderId="25" xfId="3" applyFont="1" applyFill="1" applyBorder="1"/>
    <xf numFmtId="164" fontId="2" fillId="0" borderId="27" xfId="0" applyNumberFormat="1" applyFont="1" applyBorder="1" applyAlignment="1"/>
    <xf numFmtId="164" fontId="2" fillId="0" borderId="28" xfId="0" applyNumberFormat="1" applyFont="1" applyFill="1" applyBorder="1" applyAlignment="1"/>
    <xf numFmtId="0" fontId="9" fillId="0" borderId="1" xfId="3" applyFont="1" applyBorder="1"/>
    <xf numFmtId="2" fontId="3" fillId="0" borderId="1" xfId="0" applyNumberFormat="1" applyFont="1" applyBorder="1"/>
    <xf numFmtId="164" fontId="3" fillId="0" borderId="1" xfId="0" applyNumberFormat="1" applyFont="1" applyBorder="1"/>
    <xf numFmtId="0" fontId="9" fillId="0" borderId="1" xfId="0" applyFont="1" applyBorder="1"/>
    <xf numFmtId="9" fontId="3" fillId="0" borderId="1" xfId="0" applyNumberFormat="1" applyFont="1" applyBorder="1"/>
    <xf numFmtId="0" fontId="9" fillId="0" borderId="13" xfId="3" applyFont="1" applyBorder="1"/>
    <xf numFmtId="0" fontId="3" fillId="0" borderId="13" xfId="0" applyFont="1" applyBorder="1"/>
    <xf numFmtId="2" fontId="3" fillId="0" borderId="13" xfId="0" applyNumberFormat="1" applyFont="1" applyBorder="1"/>
    <xf numFmtId="164" fontId="3" fillId="0" borderId="13" xfId="0" applyNumberFormat="1" applyFont="1" applyBorder="1"/>
    <xf numFmtId="0" fontId="9" fillId="0" borderId="13" xfId="0" applyFont="1" applyBorder="1"/>
    <xf numFmtId="9" fontId="3" fillId="0" borderId="13" xfId="0" applyNumberFormat="1" applyFont="1" applyBorder="1"/>
    <xf numFmtId="164" fontId="3" fillId="9" borderId="1" xfId="0" applyNumberFormat="1" applyFont="1" applyFill="1" applyBorder="1" applyAlignment="1"/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textRotation="90"/>
    </xf>
    <xf numFmtId="0" fontId="2" fillId="0" borderId="22" xfId="0" applyFont="1" applyBorder="1" applyAlignment="1">
      <alignment horizontal="center" textRotation="90"/>
    </xf>
    <xf numFmtId="0" fontId="2" fillId="0" borderId="23" xfId="0" applyFont="1" applyBorder="1" applyAlignment="1">
      <alignment horizontal="center" textRotation="90"/>
    </xf>
    <xf numFmtId="0" fontId="2" fillId="0" borderId="16" xfId="0" applyFont="1" applyBorder="1" applyAlignment="1">
      <alignment horizontal="center" vertical="center" textRotation="90"/>
    </xf>
    <xf numFmtId="170" fontId="2" fillId="0" borderId="0" xfId="0" applyNumberFormat="1" applyFont="1"/>
  </cellXfs>
  <cellStyles count="4">
    <cellStyle name="Currency" xfId="1" builtinId="4"/>
    <cellStyle name="Normal" xfId="0" builtinId="0"/>
    <cellStyle name="Normal 2" xfId="3" xr:uid="{36994AED-76EC-EB4D-BFF5-7973DF23DAD7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Sheet1!$C$44:$G$44</c:f>
              <c:numCache>
                <c:formatCode>#\ ##0.00\ "RUB"</c:formatCode>
                <c:ptCount val="5"/>
                <c:pt idx="0">
                  <c:v>-1156017688.2731862</c:v>
                </c:pt>
                <c:pt idx="1">
                  <c:v>-607897268.94604659</c:v>
                </c:pt>
                <c:pt idx="2">
                  <c:v>-1300015882.4910994</c:v>
                </c:pt>
                <c:pt idx="3">
                  <c:v>-472476525.29209113</c:v>
                </c:pt>
                <c:pt idx="4">
                  <c:v>1605644189.3322153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C-1E41-8873-959600845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89776"/>
        <c:axId val="1664653072"/>
      </c:lineChart>
      <c:catAx>
        <c:axId val="28488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64653072"/>
        <c:crosses val="autoZero"/>
        <c:auto val="1"/>
        <c:lblAlgn val="ctr"/>
        <c:lblOffset val="100"/>
        <c:noMultiLvlLbl val="0"/>
      </c:catAx>
      <c:valAx>
        <c:axId val="16646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RU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8488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811389</xdr:colOff>
      <xdr:row>12</xdr:row>
      <xdr:rowOff>39512</xdr:rowOff>
    </xdr:from>
    <xdr:to>
      <xdr:col>11</xdr:col>
      <xdr:colOff>1262944</xdr:colOff>
      <xdr:row>26</xdr:row>
      <xdr:rowOff>2823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F63A2-F173-FF42-5693-EF9D53DB0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B1E-0982-0048-972E-665677B7F0DC}">
  <dimension ref="A1:R90"/>
  <sheetViews>
    <sheetView tabSelected="1" topLeftCell="A13" zoomScaleNormal="75" workbookViewId="0">
      <selection activeCell="H44" sqref="H44"/>
    </sheetView>
  </sheetViews>
  <sheetFormatPr baseColWidth="10" defaultRowHeight="16" x14ac:dyDescent="0.2"/>
  <cols>
    <col min="1" max="1" width="17.1640625" style="1" customWidth="1"/>
    <col min="2" max="2" width="22" style="1" bestFit="1" customWidth="1"/>
    <col min="3" max="4" width="21.5" style="1" bestFit="1" customWidth="1"/>
    <col min="5" max="5" width="21.83203125" style="1" bestFit="1" customWidth="1"/>
    <col min="6" max="6" width="21.5" style="1" bestFit="1" customWidth="1"/>
    <col min="7" max="7" width="21.83203125" style="1" bestFit="1" customWidth="1"/>
    <col min="8" max="8" width="21.33203125" style="1" bestFit="1" customWidth="1"/>
    <col min="9" max="9" width="11" style="1" bestFit="1" customWidth="1"/>
    <col min="10" max="10" width="10.83203125" style="1"/>
    <col min="11" max="11" width="11" style="1" bestFit="1" customWidth="1"/>
    <col min="12" max="12" width="21.1640625" style="1" bestFit="1" customWidth="1"/>
    <col min="13" max="13" width="10.83203125" style="1"/>
    <col min="14" max="14" width="11" style="1" bestFit="1" customWidth="1"/>
    <col min="15" max="15" width="21.1640625" style="1" bestFit="1" customWidth="1"/>
    <col min="16" max="16" width="10.83203125" style="1"/>
    <col min="17" max="17" width="11.83203125" style="1" bestFit="1" customWidth="1"/>
    <col min="18" max="18" width="21.1640625" style="1" bestFit="1" customWidth="1"/>
    <col min="19" max="16384" width="10.83203125" style="1"/>
  </cols>
  <sheetData>
    <row r="1" spans="1:18" x14ac:dyDescent="0.2">
      <c r="A1" s="55" t="s">
        <v>142</v>
      </c>
      <c r="B1" s="56">
        <v>0.02</v>
      </c>
      <c r="D1" s="1" t="s">
        <v>117</v>
      </c>
      <c r="E1" s="3">
        <v>0.05</v>
      </c>
    </row>
    <row r="2" spans="1:18" ht="16" customHeight="1" x14ac:dyDescent="0.2">
      <c r="A2" s="74" t="s">
        <v>149</v>
      </c>
      <c r="B2" s="60">
        <v>0.53</v>
      </c>
      <c r="D2" t="s">
        <v>155</v>
      </c>
      <c r="E2">
        <v>64</v>
      </c>
    </row>
    <row r="5" spans="1:18" x14ac:dyDescent="0.2">
      <c r="A5" s="40" t="s">
        <v>61</v>
      </c>
      <c r="B5" s="40">
        <v>2019</v>
      </c>
      <c r="C5" s="40">
        <v>2022</v>
      </c>
      <c r="D5" s="40">
        <v>2023</v>
      </c>
      <c r="E5" s="40">
        <v>2024</v>
      </c>
      <c r="F5" s="40">
        <v>2025</v>
      </c>
      <c r="G5" s="40">
        <v>2026</v>
      </c>
    </row>
    <row r="6" spans="1:18" x14ac:dyDescent="0.2">
      <c r="A6" s="61" t="s">
        <v>156</v>
      </c>
      <c r="B6" s="61" t="s">
        <v>147</v>
      </c>
      <c r="C6" s="61">
        <v>1</v>
      </c>
      <c r="D6" s="42">
        <v>2</v>
      </c>
      <c r="E6" s="42">
        <v>3</v>
      </c>
      <c r="F6" s="42">
        <v>4</v>
      </c>
      <c r="G6" s="42">
        <v>5</v>
      </c>
    </row>
    <row r="7" spans="1:18" x14ac:dyDescent="0.2">
      <c r="A7" t="s">
        <v>126</v>
      </c>
      <c r="B7"/>
      <c r="C7" t="s">
        <v>127</v>
      </c>
      <c r="D7"/>
      <c r="E7"/>
      <c r="F7"/>
      <c r="G7"/>
      <c r="Q7" s="39"/>
    </row>
    <row r="8" spans="1:18" x14ac:dyDescent="0.2">
      <c r="A8" s="44" t="s">
        <v>123</v>
      </c>
      <c r="B8" s="44">
        <v>0</v>
      </c>
      <c r="C8" s="35">
        <v>1</v>
      </c>
      <c r="D8" s="35">
        <v>2</v>
      </c>
      <c r="E8" s="35">
        <v>3</v>
      </c>
      <c r="F8" s="35">
        <v>4</v>
      </c>
      <c r="G8" s="35">
        <v>5</v>
      </c>
    </row>
    <row r="9" spans="1:18" x14ac:dyDescent="0.2">
      <c r="A9" s="45" t="s">
        <v>124</v>
      </c>
      <c r="B9" s="46">
        <v>0</v>
      </c>
      <c r="C9" s="36">
        <v>8.1500000000000003E-2</v>
      </c>
      <c r="D9" s="37">
        <v>8.4099999999999994E-2</v>
      </c>
      <c r="E9" s="37">
        <v>8.4599999999999995E-2</v>
      </c>
      <c r="F9" s="37">
        <v>8.4699999999999998E-2</v>
      </c>
      <c r="G9" s="37">
        <v>8.48E-2</v>
      </c>
    </row>
    <row r="10" spans="1:18" x14ac:dyDescent="0.2">
      <c r="A10" s="35" t="s">
        <v>141</v>
      </c>
      <c r="B10" s="54">
        <v>0</v>
      </c>
      <c r="C10" s="37">
        <f>C9</f>
        <v>8.1500000000000003E-2</v>
      </c>
      <c r="D10" s="37">
        <f>(1+D9)^D8/(1+C9)^C8-1</f>
        <v>8.6706250577901267E-2</v>
      </c>
      <c r="E10" s="37">
        <f>(1+E9)^E8/(1+D9)^D8-1</f>
        <v>8.5600691924456296E-2</v>
      </c>
      <c r="F10" s="37">
        <f>(1+F9)^F8/(1+E9)^E8-1</f>
        <v>8.5000055323333878E-2</v>
      </c>
      <c r="G10" s="37">
        <f>(1+G9)^G8/(1+F9)^F8-1</f>
        <v>8.5200092199888999E-2</v>
      </c>
    </row>
    <row r="11" spans="1:18" x14ac:dyDescent="0.2">
      <c r="A11"/>
      <c r="B11"/>
      <c r="C11"/>
      <c r="D11"/>
      <c r="E11"/>
      <c r="F11"/>
      <c r="G11"/>
      <c r="H11" s="57"/>
      <c r="I11" s="40"/>
      <c r="L11" s="2"/>
      <c r="O11" s="2"/>
      <c r="R11" s="2"/>
    </row>
    <row r="12" spans="1:18" x14ac:dyDescent="0.2">
      <c r="A12"/>
      <c r="B12"/>
      <c r="C12"/>
      <c r="D12" t="s">
        <v>128</v>
      </c>
      <c r="E12"/>
      <c r="F12" t="s">
        <v>125</v>
      </c>
      <c r="G12"/>
      <c r="H12" s="57"/>
      <c r="I12" s="40"/>
      <c r="K12" s="3"/>
      <c r="N12" s="3"/>
    </row>
    <row r="13" spans="1:18" x14ac:dyDescent="0.2">
      <c r="A13"/>
      <c r="B13"/>
      <c r="C13"/>
      <c r="D13"/>
      <c r="E13"/>
      <c r="F13"/>
      <c r="G13"/>
      <c r="H13" s="73"/>
      <c r="I13" s="40"/>
      <c r="K13" s="3"/>
      <c r="N13" s="3"/>
    </row>
    <row r="14" spans="1:18" x14ac:dyDescent="0.2">
      <c r="A14" s="24" t="s">
        <v>61</v>
      </c>
      <c r="B14" s="24">
        <v>0</v>
      </c>
      <c r="C14" s="12">
        <v>1</v>
      </c>
      <c r="D14" s="12">
        <v>2</v>
      </c>
      <c r="E14" s="12">
        <v>3</v>
      </c>
      <c r="F14" s="12">
        <v>4</v>
      </c>
      <c r="G14" s="12">
        <v>5</v>
      </c>
      <c r="H14" s="57"/>
      <c r="I14" s="40"/>
      <c r="K14" s="3"/>
      <c r="N14" s="3"/>
    </row>
    <row r="15" spans="1:18" x14ac:dyDescent="0.2">
      <c r="A15" s="24" t="s">
        <v>116</v>
      </c>
      <c r="B15" s="8">
        <v>73.2</v>
      </c>
      <c r="C15" s="8">
        <f>usd*(1+usd_dynamics)^C14</f>
        <v>76.86</v>
      </c>
      <c r="D15" s="8">
        <f>usd*(1+usd_dynamics)^D14</f>
        <v>80.703000000000003</v>
      </c>
      <c r="E15" s="8">
        <f>usd*(1+usd_dynamics)^E14</f>
        <v>84.738150000000019</v>
      </c>
      <c r="F15" s="8">
        <f>usd*(1+usd_dynamics)^F14</f>
        <v>88.975057500000005</v>
      </c>
      <c r="G15" s="8">
        <f>usd*(1+usd_dynamics)^G14</f>
        <v>93.423810375000016</v>
      </c>
      <c r="H15" s="73"/>
      <c r="I15" s="40"/>
      <c r="K15" s="3"/>
      <c r="N15" s="3"/>
    </row>
    <row r="16" spans="1:18" x14ac:dyDescent="0.2">
      <c r="A16" s="24" t="s">
        <v>120</v>
      </c>
      <c r="B16" s="24"/>
      <c r="C16" s="43">
        <f>(1+C9)*(C15/usd)^(-1/C14)-1</f>
        <v>2.9999999999999805E-2</v>
      </c>
      <c r="D16" s="43">
        <f>(1+D9)*(D15/usd)^(-1/D14)-1</f>
        <v>3.2476190476190547E-2</v>
      </c>
      <c r="E16" s="43">
        <f>(1+E9)*(E15/usd)^(-1/E14)-1</f>
        <v>3.2952380952380844E-2</v>
      </c>
      <c r="F16" s="43">
        <f>(1+F9)*(F15/usd)^(-1/F14)-1</f>
        <v>3.3047619047618992E-2</v>
      </c>
      <c r="G16" s="43">
        <f>(1+G9)*(G15/usd)^(-1/G14)-1</f>
        <v>3.3142857142857141E-2</v>
      </c>
      <c r="H16" s="73"/>
      <c r="I16" s="40"/>
      <c r="K16" s="3"/>
      <c r="N16" s="3"/>
    </row>
    <row r="17" spans="1:14" x14ac:dyDescent="0.2">
      <c r="A17" s="40"/>
      <c r="B17" s="40"/>
      <c r="C17" s="40"/>
      <c r="D17" s="40"/>
      <c r="E17" s="40"/>
      <c r="F17" s="40"/>
      <c r="G17" s="40"/>
      <c r="H17" s="40"/>
      <c r="I17" s="40"/>
      <c r="K17" s="3"/>
      <c r="N17" s="3"/>
    </row>
    <row r="18" spans="1:14" x14ac:dyDescent="0.2">
      <c r="A18" s="1" t="s">
        <v>155</v>
      </c>
      <c r="B18" s="1">
        <v>64</v>
      </c>
      <c r="C18" s="1">
        <f>цена_топлива*(1+C9)^C6</f>
        <v>69.215999999999994</v>
      </c>
      <c r="D18" s="1">
        <f>цена_топлива*(1+D9)^D6</f>
        <v>75.217459840000004</v>
      </c>
      <c r="E18" s="1">
        <f>цена_топлива*(1+E9)^E6</f>
        <v>81.656126447104</v>
      </c>
      <c r="F18" s="1">
        <f>цена_топлива*(1+F9)^F6</f>
        <v>88.596901712596988</v>
      </c>
      <c r="G18" s="1">
        <f>цена_топлива*(1+G9)^G6</f>
        <v>96.145365907134746</v>
      </c>
      <c r="I18" s="40"/>
      <c r="K18" s="3"/>
      <c r="N18" s="3"/>
    </row>
    <row r="19" spans="1:14" ht="16" customHeight="1" thickBot="1" x14ac:dyDescent="0.25">
      <c r="I19" s="40"/>
      <c r="K19" s="3"/>
      <c r="N19" s="3"/>
    </row>
    <row r="20" spans="1:14" x14ac:dyDescent="0.2">
      <c r="A20" s="63" t="s">
        <v>144</v>
      </c>
      <c r="B20" s="64">
        <f>SUM(B21:B22)</f>
        <v>22792390266.988487</v>
      </c>
      <c r="C20" s="64">
        <f t="shared" ref="C20:G20" si="0">SUM(C21:C22)</f>
        <v>24649970073.748047</v>
      </c>
      <c r="D20" s="64">
        <f t="shared" si="0"/>
        <v>26787276555.700211</v>
      </c>
      <c r="E20" s="64">
        <f t="shared" si="0"/>
        <v>33855523479.496799</v>
      </c>
      <c r="F20" s="64">
        <f t="shared" si="0"/>
        <v>36733244848.254456</v>
      </c>
      <c r="G20" s="64">
        <f t="shared" si="0"/>
        <v>39862920696.126831</v>
      </c>
      <c r="I20" s="40"/>
      <c r="K20" s="3"/>
      <c r="N20" s="3"/>
    </row>
    <row r="21" spans="1:14" x14ac:dyDescent="0.2">
      <c r="A21" s="66" t="s">
        <v>69</v>
      </c>
      <c r="B21" s="38">
        <f t="shared" ref="B21:G21" si="1">внутр_рейсы*(1+B9)^B8</f>
        <v>9691678241.0619469</v>
      </c>
      <c r="C21" s="38">
        <f t="shared" si="1"/>
        <v>10481550017.708494</v>
      </c>
      <c r="D21" s="38">
        <f t="shared" si="1"/>
        <v>11390365919.988731</v>
      </c>
      <c r="E21" s="38">
        <f t="shared" si="1"/>
        <v>12365389124.012512</v>
      </c>
      <c r="F21" s="38">
        <f t="shared" si="1"/>
        <v>13416447883.648129</v>
      </c>
      <c r="G21" s="38">
        <f t="shared" si="1"/>
        <v>14559530480.329952</v>
      </c>
      <c r="I21" s="40"/>
      <c r="K21" s="3"/>
      <c r="N21" s="3"/>
    </row>
    <row r="22" spans="1:14" ht="17" thickBot="1" x14ac:dyDescent="0.25">
      <c r="A22" s="68" t="s">
        <v>93</v>
      </c>
      <c r="B22" s="38">
        <f>международ_рейсы*(1+B9)^B8</f>
        <v>13100712025.926542</v>
      </c>
      <c r="C22" s="38">
        <f>международ_рейсы*(1+C9)^C8</f>
        <v>14168420056.039555</v>
      </c>
      <c r="D22" s="38">
        <f>международ_рейсы*(1+D9)^D8</f>
        <v>15396910635.711481</v>
      </c>
      <c r="E22" s="38">
        <f>(новые_рейсы+ международ_рейсы)*(1+E9)^E8</f>
        <v>21490134355.484287</v>
      </c>
      <c r="F22" s="38">
        <f>(новые_рейсы+ международ_рейсы)*(1+F9)^F8</f>
        <v>23316796964.606331</v>
      </c>
      <c r="G22" s="38">
        <f>(новые_рейсы+ международ_рейсы)*(1+G9)^G8</f>
        <v>25303390215.796879</v>
      </c>
      <c r="I22" s="40"/>
      <c r="K22" s="3"/>
      <c r="N22" s="3"/>
    </row>
    <row r="23" spans="1:14" x14ac:dyDescent="0.2">
      <c r="A23" s="29" t="s">
        <v>145</v>
      </c>
      <c r="B23" s="62">
        <f>SUM(B24:B27)</f>
        <v>16843093025.464031</v>
      </c>
      <c r="C23" s="62">
        <f t="shared" ref="C23:G23" si="2">SUM(C24:C27)</f>
        <v>17909070701.834602</v>
      </c>
      <c r="D23" s="62">
        <f t="shared" si="2"/>
        <v>19107406104.417908</v>
      </c>
      <c r="E23" s="62">
        <f t="shared" si="2"/>
        <v>22300340806.453865</v>
      </c>
      <c r="F23" s="62">
        <f>SUM(F24:F27)</f>
        <v>23816275662.449722</v>
      </c>
      <c r="G23" s="62">
        <f t="shared" si="2"/>
        <v>25452763476.242645</v>
      </c>
      <c r="I23" s="40"/>
      <c r="K23" s="3"/>
      <c r="N23" s="3"/>
    </row>
    <row r="24" spans="1:14" x14ac:dyDescent="0.2">
      <c r="A24" s="29" t="s">
        <v>152</v>
      </c>
      <c r="B24" s="62">
        <f>SUM(Рейсы!C41:C42)*Sheet1!B18</f>
        <v>9643897869.5775833</v>
      </c>
      <c r="C24" s="62">
        <f>SUM(Рейсы!C41:C42)*Sheet1!C18</f>
        <v>10429875545.948156</v>
      </c>
      <c r="D24" s="62">
        <f>SUM(Рейсы!C41:C42)*Sheet1!D18</f>
        <v>11334210948.53146</v>
      </c>
      <c r="E24" s="62">
        <f>SUM(Рейсы!C41:C43)*Sheet1!E18</f>
        <v>14021165650.567415</v>
      </c>
      <c r="F24" s="62">
        <f>SUM(Рейсы!C41:C43)*Sheet1!F18</f>
        <v>15212965506.563274</v>
      </c>
      <c r="G24" s="62">
        <f>SUM(Рейсы!C41:C43)*Sheet1!G18</f>
        <v>16509111570.356194</v>
      </c>
      <c r="I24" s="40"/>
      <c r="K24" s="3"/>
      <c r="N24" s="3"/>
    </row>
    <row r="25" spans="1:14" x14ac:dyDescent="0.2">
      <c r="A25" s="29" t="s">
        <v>153</v>
      </c>
      <c r="B25" s="62">
        <f>SUM(Рейсы!D41:D42)</f>
        <v>1099233775.9561481</v>
      </c>
      <c r="C25" s="62">
        <f>SUM(Рейсы!D41:D42)</f>
        <v>1099233775.9561481</v>
      </c>
      <c r="D25" s="62">
        <f>SUM(Рейсы!D41:D42)</f>
        <v>1099233775.9561481</v>
      </c>
      <c r="E25" s="62">
        <f>SUM(Рейсы!D41:D43)</f>
        <v>1256913775.9561481</v>
      </c>
      <c r="F25" s="62">
        <f>SUM(Рейсы!D41:D43)</f>
        <v>1256913775.9561481</v>
      </c>
      <c r="G25" s="62">
        <f>SUM(Рейсы!D41:D43)</f>
        <v>1256913775.9561481</v>
      </c>
      <c r="I25" s="40"/>
      <c r="K25" s="3"/>
      <c r="N25" s="3"/>
    </row>
    <row r="26" spans="1:14" x14ac:dyDescent="0.2">
      <c r="A26" s="29" t="s">
        <v>160</v>
      </c>
      <c r="B26" s="62">
        <f>SUM(Рейсы!E41:E42)</f>
        <v>499961379.93030035</v>
      </c>
      <c r="C26" s="62">
        <f>SUM(Рейсы!E41:E42)</f>
        <v>499961379.93030035</v>
      </c>
      <c r="D26" s="62">
        <f>SUM(Рейсы!E41:E42)</f>
        <v>499961379.93030035</v>
      </c>
      <c r="E26" s="62">
        <f>SUM(Рейсы!E41:E43)</f>
        <v>539561379.93030035</v>
      </c>
      <c r="F26" s="62">
        <f>SUM(Рейсы!E41:E43)</f>
        <v>539561379.93030035</v>
      </c>
      <c r="G26" s="62">
        <f>SUM(Рейсы!E41:E43)</f>
        <v>539561379.93030035</v>
      </c>
      <c r="I26" s="40"/>
      <c r="K26" s="3"/>
      <c r="N26" s="3"/>
    </row>
    <row r="27" spans="1:14" x14ac:dyDescent="0.2">
      <c r="A27" s="24" t="s">
        <v>143</v>
      </c>
      <c r="B27" s="38">
        <f>'Данные по авиапарку'!H14*usd</f>
        <v>5600000000.000001</v>
      </c>
      <c r="C27" s="38">
        <f>'Данные по авиапарку'!H14*Sheet1!C15</f>
        <v>5880000000</v>
      </c>
      <c r="D27" s="38">
        <f>'Данные по авиапарку'!H14*Sheet1!D15</f>
        <v>6174000000.000001</v>
      </c>
      <c r="E27" s="38">
        <f>'Данные по авиапарку'!H14*Sheet1!E15</f>
        <v>6482700000.0000019</v>
      </c>
      <c r="F27" s="38">
        <f>'Данные по авиапарку'!H14*Sheet1!F15</f>
        <v>6806835000.000001</v>
      </c>
      <c r="G27" s="38">
        <f>'Данные по авиапарку'!H14*Sheet1!G15</f>
        <v>7147176750.0000019</v>
      </c>
      <c r="I27" s="40"/>
      <c r="K27" s="3"/>
      <c r="N27" s="3"/>
    </row>
    <row r="28" spans="1:14" x14ac:dyDescent="0.2">
      <c r="A28" s="24" t="s">
        <v>134</v>
      </c>
      <c r="B28" s="32"/>
      <c r="C28" s="32"/>
      <c r="D28" s="57"/>
      <c r="E28" s="57"/>
      <c r="F28" s="57"/>
      <c r="G28" s="57"/>
      <c r="I28" s="40"/>
      <c r="K28" s="3"/>
      <c r="N28" s="3"/>
    </row>
    <row r="29" spans="1:14" x14ac:dyDescent="0.2">
      <c r="A29" s="32"/>
      <c r="B29" s="32"/>
      <c r="C29" s="32"/>
      <c r="D29" s="57"/>
      <c r="E29" s="57"/>
      <c r="F29" s="57"/>
      <c r="G29" s="57"/>
      <c r="I29" s="40"/>
      <c r="K29" s="3"/>
      <c r="N29" s="3"/>
    </row>
    <row r="30" spans="1:14" x14ac:dyDescent="0.2">
      <c r="A30" s="32" t="s">
        <v>110</v>
      </c>
      <c r="B30" s="32">
        <f>SUMPRODUCT(Рейсы!E5:E18,Рейсы!F5:F18)</f>
        <v>27265.142576204522</v>
      </c>
      <c r="C30" s="32">
        <f>SUMPRODUCT(Рейсы!E5:E18,Рейсы!F5:F18)</f>
        <v>27265.142576204522</v>
      </c>
      <c r="D30" s="57">
        <f>SUMPRODUCT(Рейсы!E5:E18,Рейсы!F5:F18)</f>
        <v>27265.142576204522</v>
      </c>
      <c r="E30" s="57">
        <f>SUMPRODUCT(Рейсы!E5:E18,Рейсы!F5:F18)</f>
        <v>27265.142576204522</v>
      </c>
      <c r="F30" s="57">
        <f>SUMPRODUCT(Рейсы!E5:E18,Рейсы!F5:F18)</f>
        <v>27265.142576204522</v>
      </c>
      <c r="G30" s="57">
        <f>SUMPRODUCT(Рейсы!E5:E18,Рейсы!F5:F18)</f>
        <v>27265.142576204522</v>
      </c>
      <c r="H30" s="1">
        <v>374.50628015346047</v>
      </c>
      <c r="I30" s="40"/>
      <c r="K30" s="3"/>
      <c r="N30" s="3"/>
    </row>
    <row r="31" spans="1:14" x14ac:dyDescent="0.2">
      <c r="A31" s="32" t="s">
        <v>111</v>
      </c>
      <c r="B31" s="32">
        <f>SUMPRODUCT(Рейсы!E25:E34,Рейсы!F25:F34)</f>
        <v>7423.8461538461524</v>
      </c>
      <c r="C31" s="32">
        <f>SUMPRODUCT(Рейсы!E25:E34,Рейсы!F25:F34)</f>
        <v>7423.8461538461524</v>
      </c>
      <c r="D31" s="57">
        <f>SUMPRODUCT(Рейсы!E25:E34,Рейсы!F25:F34)</f>
        <v>7423.8461538461524</v>
      </c>
      <c r="E31" s="57">
        <f>SUMPRODUCT(Рейсы!E25:E34,Рейсы!F25:F34)</f>
        <v>7423.8461538461524</v>
      </c>
      <c r="F31" s="57">
        <f>SUMPRODUCT(Рейсы!E25:E34,Рейсы!F25:F34)</f>
        <v>7423.8461538461524</v>
      </c>
      <c r="G31" s="57">
        <f>SUMPRODUCT(Рейсы!E25:E34,Рейсы!F25:F34)</f>
        <v>7423.8461538461524</v>
      </c>
      <c r="H31" s="1">
        <f>maintanance_hour320</f>
        <v>374.50628015346047</v>
      </c>
      <c r="I31" s="40"/>
      <c r="K31" s="3"/>
      <c r="N31" s="3"/>
    </row>
    <row r="32" spans="1:14" x14ac:dyDescent="0.2">
      <c r="A32" s="32" t="s">
        <v>182</v>
      </c>
      <c r="B32" s="32">
        <f>SUMPRODUCT(Рейсы!E19:E24,Рейсы!F19:F24)</f>
        <v>7963.123969266564</v>
      </c>
      <c r="C32" s="32">
        <f>SUMPRODUCT(Рейсы!E19:E24,Рейсы!F19:F24)</f>
        <v>7963.123969266564</v>
      </c>
      <c r="D32" s="57">
        <f>SUMPRODUCT(Рейсы!E19:E24,Рейсы!F19:F24)</f>
        <v>7963.123969266564</v>
      </c>
      <c r="E32" s="57">
        <f>SUMPRODUCT(Рейсы!E19:E24,Рейсы!F19:F24)+SUMPRODUCT(Рейсы!E35:E37,Рейсы!F35:F37)</f>
        <v>12343.123969266564</v>
      </c>
      <c r="F32" s="57">
        <f>SUMPRODUCT(Рейсы!E19:E24,Рейсы!F19:F24)+SUMPRODUCT(Рейсы!E35:E37,Рейсы!F35:F37)</f>
        <v>12343.123969266564</v>
      </c>
      <c r="G32" s="57">
        <f>SUMPRODUCT(Рейсы!E19:E24,Рейсы!F19:F24)+SUMPRODUCT(Рейсы!E35:E37,Рейсы!F35:F37)</f>
        <v>12343.123969266564</v>
      </c>
      <c r="H32" s="1">
        <f>maintanance_hour320</f>
        <v>374.50628015346047</v>
      </c>
      <c r="I32" s="40"/>
      <c r="K32" s="3"/>
      <c r="N32" s="3"/>
    </row>
    <row r="33" spans="1:14" x14ac:dyDescent="0.2">
      <c r="A33" s="1" t="s">
        <v>183</v>
      </c>
      <c r="B33" s="154">
        <f>B30*maintanance_hour320+B31*maintanance_hour330+B32*maintanance_hour330neo</f>
        <v>15973484.067707472</v>
      </c>
      <c r="C33" s="154">
        <f>C30*maintanance_hour320+C31*maintanance_hour330+C32*maintanance_hour330neo</f>
        <v>15973484.067707472</v>
      </c>
      <c r="D33" s="154">
        <f>D30*maintanance_hour320+D31*maintanance_hour330+D32*maintanance_hour330neo</f>
        <v>15973484.067707472</v>
      </c>
      <c r="E33" s="154">
        <f>E30*maintanance_hour320+E31*maintanance_hour330+E32*maintanance_hour330neo</f>
        <v>17613821.57477963</v>
      </c>
      <c r="F33" s="154">
        <f>F30*maintanance_hour320+F31*maintanance_hour330+F32*maintanance_hour330neo</f>
        <v>17613821.57477963</v>
      </c>
      <c r="G33" s="154">
        <f>G30*maintanance_hour320+G31*maintanance_hour330+G32*maintanance_hour330neo</f>
        <v>17613821.57477963</v>
      </c>
      <c r="I33" s="40"/>
      <c r="K33" s="3"/>
      <c r="L33" s="20"/>
      <c r="M33" s="27"/>
      <c r="N33" s="40"/>
    </row>
    <row r="34" spans="1:14" x14ac:dyDescent="0.2">
      <c r="A34" s="1" t="s">
        <v>184</v>
      </c>
      <c r="B34" s="2">
        <f>B33*usd</f>
        <v>1169259033.756187</v>
      </c>
      <c r="C34" s="2">
        <f>C33*C15</f>
        <v>1227721985.4439962</v>
      </c>
      <c r="D34" s="2">
        <f t="shared" ref="D34:G34" si="3">D33*D15</f>
        <v>1289108084.7161961</v>
      </c>
      <c r="E34" s="2">
        <f t="shared" si="3"/>
        <v>1492562654.6769128</v>
      </c>
      <c r="F34" s="2">
        <f t="shared" si="3"/>
        <v>1567190787.4107583</v>
      </c>
      <c r="G34" s="2">
        <f t="shared" si="3"/>
        <v>1645550326.7812963</v>
      </c>
      <c r="I34" s="40"/>
      <c r="K34" s="3"/>
      <c r="L34" s="20"/>
      <c r="M34" s="27"/>
      <c r="N34" s="40"/>
    </row>
    <row r="35" spans="1:14" x14ac:dyDescent="0.2">
      <c r="A35" s="1" t="s">
        <v>62</v>
      </c>
      <c r="B35" s="2">
        <f>B34/(1+B9)^B8</f>
        <v>1169259033.756187</v>
      </c>
      <c r="C35" s="2">
        <f t="shared" ref="C35:G35" si="4">C34/(1+C9)^C8</f>
        <v>1135202945.3943563</v>
      </c>
      <c r="D35" s="2">
        <f t="shared" si="4"/>
        <v>1096858596.3595941</v>
      </c>
      <c r="E35" s="2">
        <f t="shared" si="4"/>
        <v>1169832737.0598688</v>
      </c>
      <c r="F35" s="2">
        <f t="shared" si="4"/>
        <v>1132096139.429981</v>
      </c>
      <c r="G35" s="2">
        <f t="shared" si="4"/>
        <v>1095374903.6196423</v>
      </c>
      <c r="I35" s="40"/>
      <c r="K35" s="3"/>
      <c r="L35" s="20"/>
      <c r="M35" s="27"/>
      <c r="N35" s="40"/>
    </row>
    <row r="36" spans="1:14" x14ac:dyDescent="0.2">
      <c r="B36" s="2"/>
      <c r="C36" s="2"/>
      <c r="D36" s="2"/>
      <c r="E36" s="2"/>
      <c r="F36" s="2"/>
      <c r="G36" s="2"/>
      <c r="I36" s="40"/>
      <c r="K36" s="3"/>
      <c r="L36" s="20"/>
      <c r="M36" s="27"/>
      <c r="N36" s="40"/>
    </row>
    <row r="37" spans="1:14" x14ac:dyDescent="0.2">
      <c r="A37" s="24" t="s">
        <v>132</v>
      </c>
      <c r="B37" s="38">
        <f>B20/(1+Sheet1!B9)^Sheet1!B8</f>
        <v>22792390266.988487</v>
      </c>
      <c r="C37" s="38">
        <f>C20/(1+Sheet1!C9)^Sheet1!C8</f>
        <v>22792390266.988487</v>
      </c>
      <c r="D37" s="38">
        <f>D20/(1+Sheet1!D9)^Sheet1!D8</f>
        <v>22792390266.988487</v>
      </c>
      <c r="E37" s="38">
        <f>E20/(1+Sheet1!E9)^Sheet1!E8</f>
        <v>26535100266.988487</v>
      </c>
      <c r="F37" s="38">
        <f>F20/(1+Sheet1!F9)^Sheet1!F8</f>
        <v>26535100266.988487</v>
      </c>
      <c r="G37" s="38">
        <f>G20/(1+Sheet1!G9)^Sheet1!G8</f>
        <v>26535100266.988491</v>
      </c>
      <c r="I37" s="40"/>
      <c r="K37" s="3"/>
      <c r="L37" s="20"/>
      <c r="M37" s="27"/>
      <c r="N37" s="40"/>
    </row>
    <row r="38" spans="1:14" x14ac:dyDescent="0.2">
      <c r="A38" s="24" t="s">
        <v>133</v>
      </c>
      <c r="B38" s="38">
        <f>B23/(1+Sheet1!B9)^Sheet1!B8</f>
        <v>16843093025.464031</v>
      </c>
      <c r="C38" s="38">
        <f>C23/(1+Sheet1!C9)^Sheet1!C8</f>
        <v>16559473603.175777</v>
      </c>
      <c r="D38" s="38">
        <f>D23/(1+Sheet1!D9)^Sheet1!D8</f>
        <v>16257847490.25029</v>
      </c>
      <c r="E38" s="38">
        <f>E23/(1+Sheet1!E9)^Sheet1!E8</f>
        <v>17478441284.348541</v>
      </c>
      <c r="F38" s="38">
        <f>F23/(1+Sheet1!F9)^Sheet1!F8</f>
        <v>17204231896.746574</v>
      </c>
      <c r="G38" s="38">
        <f>G23/(1+Sheet1!G9)^Sheet1!G8</f>
        <v>16942853637.407045</v>
      </c>
      <c r="I38" s="40"/>
      <c r="K38" s="3"/>
      <c r="L38" s="20"/>
      <c r="M38" s="27"/>
      <c r="N38" s="40"/>
    </row>
    <row r="39" spans="1:14" x14ac:dyDescent="0.2">
      <c r="A39" s="24" t="s">
        <v>136</v>
      </c>
      <c r="B39" s="38">
        <f>B37-B38</f>
        <v>5949297241.524456</v>
      </c>
      <c r="C39" s="38">
        <f t="shared" ref="C39:G39" si="5">C37-C38</f>
        <v>6232916663.8127098</v>
      </c>
      <c r="D39" s="38">
        <f t="shared" si="5"/>
        <v>6534542776.7381973</v>
      </c>
      <c r="E39" s="38">
        <f t="shared" si="5"/>
        <v>9056658982.639946</v>
      </c>
      <c r="F39" s="38">
        <f t="shared" si="5"/>
        <v>9330868370.2419128</v>
      </c>
      <c r="G39" s="38">
        <f t="shared" si="5"/>
        <v>9592246629.5814457</v>
      </c>
      <c r="I39" s="40"/>
      <c r="K39" s="3"/>
      <c r="L39" s="20"/>
      <c r="M39" s="27"/>
      <c r="N39" s="40"/>
    </row>
    <row r="40" spans="1:14" x14ac:dyDescent="0.2">
      <c r="A40" s="24" t="s">
        <v>148</v>
      </c>
      <c r="B40" s="59">
        <f>B39/B37</f>
        <v>0.26102120803631379</v>
      </c>
      <c r="C40" s="59">
        <f t="shared" ref="C40:G40" si="6">C39/C37</f>
        <v>0.27346480956147001</v>
      </c>
      <c r="D40" s="59">
        <f t="shared" si="6"/>
        <v>0.28669844190069643</v>
      </c>
      <c r="E40" s="59">
        <f t="shared" si="6"/>
        <v>0.34130863993406729</v>
      </c>
      <c r="F40" s="59">
        <f t="shared" si="6"/>
        <v>0.35164247643149715</v>
      </c>
      <c r="G40" s="59">
        <f t="shared" si="6"/>
        <v>0.3614927598941417</v>
      </c>
      <c r="I40" s="40"/>
      <c r="K40" s="3"/>
      <c r="L40" s="20"/>
      <c r="M40" s="27"/>
      <c r="N40" s="40"/>
    </row>
    <row r="41" spans="1:14" x14ac:dyDescent="0.2">
      <c r="A41" s="1" t="s">
        <v>143</v>
      </c>
      <c r="B41" s="38">
        <f>B27/(1+Sheet1!B9)^Sheet1!B8</f>
        <v>5600000000.000001</v>
      </c>
      <c r="C41" s="38">
        <f>C27/(1+Sheet1!C9)^Sheet1!C8</f>
        <v>5436893203.8834953</v>
      </c>
      <c r="D41" s="38">
        <f>D27/(1+Sheet1!D9)^Sheet1!D8</f>
        <v>5253248392.6008644</v>
      </c>
      <c r="E41" s="38">
        <f>E27/(1+Sheet1!E9)^Sheet1!E8</f>
        <v>5080975770.6148777</v>
      </c>
      <c r="F41" s="38">
        <f>F27/(1+Sheet1!F9)^Sheet1!F8</f>
        <v>4917073075.6836357</v>
      </c>
      <c r="G41" s="38">
        <f>G27/(1+Sheet1!G9)^Sheet1!G8</f>
        <v>4757580437.5409422</v>
      </c>
      <c r="I41" s="40"/>
      <c r="K41" s="3"/>
      <c r="L41" s="20"/>
      <c r="M41" s="27"/>
      <c r="N41" s="40"/>
    </row>
    <row r="42" spans="1:14" x14ac:dyDescent="0.2">
      <c r="A42" s="24" t="s">
        <v>134</v>
      </c>
      <c r="C42" s="24"/>
      <c r="D42" s="20"/>
      <c r="E42" s="20"/>
      <c r="F42" s="20"/>
      <c r="G42" s="20"/>
      <c r="I42" s="40"/>
      <c r="K42" s="3"/>
      <c r="L42" s="40"/>
      <c r="M42" s="40"/>
      <c r="N42" s="40"/>
    </row>
    <row r="43" spans="1:14" x14ac:dyDescent="0.2">
      <c r="A43" s="24" t="s">
        <v>135</v>
      </c>
      <c r="B43" s="24" t="s">
        <v>147</v>
      </c>
      <c r="C43" s="38">
        <f>'Данные по авиапарку'!P16</f>
        <v>-816838202.80804443</v>
      </c>
      <c r="D43" s="38">
        <f>'Данные по авиапарку'!Q16</f>
        <v>-792333056.7237854</v>
      </c>
      <c r="E43" s="38">
        <f>'Данные по авиапарку'!R16</f>
        <v>-4105866357.4562988</v>
      </c>
      <c r="F43" s="38">
        <f>'Данные по авиапарку'!S16</f>
        <v>-3754175680.4203873</v>
      </c>
      <c r="G43" s="38">
        <f>'Данные по авиапарку'!T16</f>
        <v>-2133647099.0886459</v>
      </c>
      <c r="I43" s="25"/>
      <c r="K43" s="3"/>
      <c r="L43" s="40"/>
      <c r="M43" s="40"/>
      <c r="N43" s="40"/>
    </row>
    <row r="44" spans="1:14" x14ac:dyDescent="0.2">
      <c r="A44" s="24" t="s">
        <v>113</v>
      </c>
      <c r="B44" s="24" t="s">
        <v>147</v>
      </c>
      <c r="C44" s="38">
        <f>C37-C38+C43-C41-C35</f>
        <v>-1156017688.2731862</v>
      </c>
      <c r="D44" s="38">
        <f>D37-D38+D43-D41-D35</f>
        <v>-607897268.94604659</v>
      </c>
      <c r="E44" s="38">
        <f>E37-E38+E43-E41-E35</f>
        <v>-1300015882.4910994</v>
      </c>
      <c r="F44" s="38">
        <f>F37-F38+F43-F41-F35</f>
        <v>-472476525.29209113</v>
      </c>
      <c r="G44" s="38">
        <f>G37-G38+G43-G41-G35</f>
        <v>1605644189.3322153</v>
      </c>
      <c r="I44" s="25"/>
      <c r="K44" s="3"/>
      <c r="L44" s="40"/>
      <c r="M44" s="40"/>
      <c r="N44" s="40"/>
    </row>
    <row r="45" spans="1:14" x14ac:dyDescent="0.2">
      <c r="A45" s="24" t="s">
        <v>139</v>
      </c>
      <c r="B45" s="38">
        <f>B39*B2</f>
        <v>3153127538.0079618</v>
      </c>
      <c r="C45" s="38">
        <f>C39*B2</f>
        <v>3303445831.8207364</v>
      </c>
      <c r="D45" s="38">
        <f>D39*B2</f>
        <v>3463307671.6712446</v>
      </c>
      <c r="E45" s="38">
        <f>E39*B2</f>
        <v>4800029260.7991714</v>
      </c>
      <c r="F45" s="38">
        <f>F39*B2</f>
        <v>4945360236.2282143</v>
      </c>
      <c r="G45" s="38">
        <f>G39*B2</f>
        <v>5083890713.6781664</v>
      </c>
      <c r="I45" s="25"/>
      <c r="K45" s="3"/>
      <c r="L45" s="40"/>
      <c r="M45" s="40"/>
      <c r="N45" s="40"/>
    </row>
    <row r="46" spans="1:14" x14ac:dyDescent="0.2">
      <c r="A46" s="24"/>
      <c r="B46" s="24"/>
      <c r="C46" s="24"/>
      <c r="D46" s="20"/>
      <c r="E46" s="20"/>
      <c r="F46" s="20"/>
      <c r="G46" s="24"/>
      <c r="I46" s="25"/>
      <c r="K46" s="3"/>
      <c r="L46" s="20"/>
      <c r="M46" s="20" t="s">
        <v>110</v>
      </c>
      <c r="N46" s="20" t="s">
        <v>111</v>
      </c>
    </row>
    <row r="47" spans="1:14" x14ac:dyDescent="0.2">
      <c r="A47" s="24" t="s">
        <v>146</v>
      </c>
      <c r="B47" s="58">
        <v>0.25</v>
      </c>
      <c r="C47" s="58">
        <v>0.25</v>
      </c>
      <c r="D47" s="58">
        <v>0.25</v>
      </c>
      <c r="E47" s="58">
        <v>0.25</v>
      </c>
      <c r="F47" s="58">
        <v>0.25</v>
      </c>
      <c r="G47" s="58">
        <v>0.25</v>
      </c>
      <c r="I47" s="25"/>
      <c r="K47" s="3"/>
      <c r="L47" s="20"/>
      <c r="M47" s="20"/>
      <c r="N47" s="20"/>
    </row>
    <row r="48" spans="1:14" x14ac:dyDescent="0.2">
      <c r="A48" s="24" t="s">
        <v>140</v>
      </c>
      <c r="B48" s="38">
        <f>B39*(1+B1)/(B47-B1)</f>
        <v>26383839940.673672</v>
      </c>
      <c r="C48" s="38">
        <f>C39*(1+B1)/(C47-B1)</f>
        <v>27641630422.125931</v>
      </c>
      <c r="D48" s="38">
        <f>D39*(1+B1)/(D47-B1)</f>
        <v>28979276662.056355</v>
      </c>
      <c r="E48" s="38">
        <f>E39*(1+B1)/(E47-B1)</f>
        <v>40164313749.098892</v>
      </c>
      <c r="F48" s="38">
        <f>F39*(1+B1)/(F47-B1)</f>
        <v>41380372772.377182</v>
      </c>
      <c r="G48" s="38">
        <f>G39*(1+B1)/(G47-B1)</f>
        <v>42539528531.187279</v>
      </c>
      <c r="I48" s="25"/>
      <c r="K48" s="3"/>
      <c r="L48" s="20" t="s">
        <v>112</v>
      </c>
      <c r="M48" s="20" t="e">
        <f>зп_ru</f>
        <v>#REF!</v>
      </c>
      <c r="N48" s="20" t="e">
        <f>зп_int</f>
        <v>#REF!</v>
      </c>
    </row>
    <row r="49" spans="1:14" x14ac:dyDescent="0.2">
      <c r="A49" s="24" t="s">
        <v>150</v>
      </c>
      <c r="B49" s="59">
        <f>B48/B45</f>
        <v>8.3675143560295311</v>
      </c>
      <c r="C49" s="59">
        <f>C48/C45</f>
        <v>8.3675143560295311</v>
      </c>
      <c r="D49" s="59">
        <f t="shared" ref="D49:G49" si="7">D48/D45</f>
        <v>8.3675143560295329</v>
      </c>
      <c r="E49" s="59">
        <f t="shared" si="7"/>
        <v>8.3675143560295329</v>
      </c>
      <c r="F49" s="59">
        <f t="shared" si="7"/>
        <v>8.3675143560295329</v>
      </c>
      <c r="G49" s="59">
        <f t="shared" si="7"/>
        <v>8.3675143560295311</v>
      </c>
      <c r="I49" s="25"/>
      <c r="K49" s="3"/>
      <c r="L49" s="20"/>
      <c r="M49" s="20"/>
      <c r="N49" s="20"/>
    </row>
    <row r="50" spans="1:14" x14ac:dyDescent="0.2">
      <c r="A50" s="25" t="s">
        <v>151</v>
      </c>
      <c r="B50" s="30">
        <f>SUM(C44:G44)-B45+G45</f>
        <v>0</v>
      </c>
      <c r="C50" s="40"/>
      <c r="D50" s="40"/>
      <c r="E50" s="40"/>
      <c r="F50" s="25"/>
      <c r="G50" s="25"/>
      <c r="I50" s="25"/>
      <c r="K50" s="3"/>
      <c r="L50" s="20" t="s">
        <v>113</v>
      </c>
      <c r="M50" s="20" t="e">
        <f>Рейсы!#REF!</f>
        <v>#REF!</v>
      </c>
      <c r="N50" s="20" t="e">
        <f>profit_int</f>
        <v>#REF!</v>
      </c>
    </row>
    <row r="51" spans="1:14" x14ac:dyDescent="0.2">
      <c r="A51" s="25"/>
      <c r="B51" s="25"/>
      <c r="C51" s="25"/>
      <c r="D51" s="40"/>
      <c r="E51" s="40"/>
      <c r="F51" s="40"/>
      <c r="G51" s="25"/>
      <c r="H51" s="25"/>
      <c r="I51" s="25"/>
      <c r="K51" s="3"/>
      <c r="L51" s="20"/>
      <c r="M51" s="20"/>
      <c r="N51" s="20"/>
    </row>
    <row r="52" spans="1:14" x14ac:dyDescent="0.2">
      <c r="A52" s="25"/>
      <c r="B52" s="25"/>
      <c r="C52" s="25"/>
      <c r="D52" s="40"/>
      <c r="E52" s="40"/>
      <c r="F52" s="40"/>
      <c r="G52" s="25"/>
      <c r="H52" s="25"/>
      <c r="I52" s="25"/>
      <c r="K52" s="3"/>
      <c r="L52" s="20" t="s">
        <v>114</v>
      </c>
      <c r="M52" s="41" t="e">
        <f>M48/M50</f>
        <v>#REF!</v>
      </c>
      <c r="N52" s="41" t="e">
        <f>N48/N50</f>
        <v>#REF!</v>
      </c>
    </row>
    <row r="53" spans="1:14" x14ac:dyDescent="0.2">
      <c r="K53" s="3"/>
      <c r="L53" s="20"/>
      <c r="M53" s="41"/>
      <c r="N53" s="41"/>
    </row>
    <row r="54" spans="1:14" x14ac:dyDescent="0.2">
      <c r="K54" s="3"/>
      <c r="L54" s="40"/>
      <c r="M54" s="40"/>
      <c r="N54" s="40"/>
    </row>
    <row r="55" spans="1:14" x14ac:dyDescent="0.2">
      <c r="K55" s="3"/>
      <c r="L55" s="40"/>
      <c r="M55" s="40"/>
      <c r="N55" s="40"/>
    </row>
    <row r="56" spans="1:14" x14ac:dyDescent="0.2">
      <c r="K56" s="3"/>
    </row>
    <row r="57" spans="1:14" x14ac:dyDescent="0.2">
      <c r="K57" s="3"/>
      <c r="L57" s="1" t="s">
        <v>121</v>
      </c>
    </row>
    <row r="58" spans="1:14" x14ac:dyDescent="0.2">
      <c r="K58" s="3"/>
      <c r="L58" s="18">
        <v>0.87</v>
      </c>
    </row>
    <row r="59" spans="1:14" x14ac:dyDescent="0.2">
      <c r="K59" s="3"/>
      <c r="N59" s="3"/>
    </row>
    <row r="60" spans="1:14" x14ac:dyDescent="0.2">
      <c r="K60" s="3"/>
      <c r="N60" s="3"/>
    </row>
    <row r="61" spans="1:14" x14ac:dyDescent="0.2">
      <c r="K61" s="3"/>
      <c r="N61" s="3"/>
    </row>
    <row r="62" spans="1:14" x14ac:dyDescent="0.2">
      <c r="K62" s="3"/>
      <c r="N62" s="3"/>
    </row>
    <row r="63" spans="1:14" x14ac:dyDescent="0.2">
      <c r="K63" s="3"/>
      <c r="N63" s="3"/>
    </row>
    <row r="64" spans="1:14" x14ac:dyDescent="0.2">
      <c r="K64" s="3"/>
      <c r="N64" s="3"/>
    </row>
    <row r="65" spans="11:14" x14ac:dyDescent="0.2">
      <c r="K65" s="3"/>
      <c r="N65" s="3"/>
    </row>
    <row r="66" spans="11:14" x14ac:dyDescent="0.2">
      <c r="K66" s="3"/>
      <c r="N66" s="3"/>
    </row>
    <row r="67" spans="11:14" x14ac:dyDescent="0.2">
      <c r="K67" s="3"/>
      <c r="N67" s="3"/>
    </row>
    <row r="68" spans="11:14" x14ac:dyDescent="0.2">
      <c r="K68" s="3"/>
      <c r="N68" s="3"/>
    </row>
    <row r="69" spans="11:14" x14ac:dyDescent="0.2">
      <c r="K69" s="3"/>
      <c r="N69" s="3"/>
    </row>
    <row r="70" spans="11:14" x14ac:dyDescent="0.2">
      <c r="K70" s="3"/>
      <c r="N70" s="3"/>
    </row>
    <row r="71" spans="11:14" x14ac:dyDescent="0.2">
      <c r="K71" s="3"/>
      <c r="N71" s="3"/>
    </row>
    <row r="72" spans="11:14" x14ac:dyDescent="0.2">
      <c r="K72" s="3"/>
      <c r="N72" s="3"/>
    </row>
    <row r="73" spans="11:14" x14ac:dyDescent="0.2">
      <c r="K73" s="3"/>
      <c r="N73" s="3"/>
    </row>
    <row r="74" spans="11:14" x14ac:dyDescent="0.2">
      <c r="K74" s="3"/>
      <c r="N74" s="3"/>
    </row>
    <row r="75" spans="11:14" x14ac:dyDescent="0.2">
      <c r="K75" s="3"/>
      <c r="N75" s="3"/>
    </row>
    <row r="76" spans="11:14" x14ac:dyDescent="0.2">
      <c r="K76" s="3"/>
      <c r="N76" s="3"/>
    </row>
    <row r="77" spans="11:14" x14ac:dyDescent="0.2">
      <c r="K77" s="3"/>
      <c r="N77" s="3"/>
    </row>
    <row r="78" spans="11:14" x14ac:dyDescent="0.2">
      <c r="K78" s="3"/>
      <c r="N78" s="3"/>
    </row>
    <row r="79" spans="11:14" x14ac:dyDescent="0.2">
      <c r="K79" s="3"/>
      <c r="N79" s="3"/>
    </row>
    <row r="80" spans="11:14" x14ac:dyDescent="0.2">
      <c r="K80" s="3"/>
      <c r="N80" s="3"/>
    </row>
    <row r="81" spans="11:14" x14ac:dyDescent="0.2">
      <c r="K81" s="3"/>
      <c r="N81" s="3"/>
    </row>
    <row r="82" spans="11:14" x14ac:dyDescent="0.2">
      <c r="K82" s="3"/>
      <c r="N82" s="3"/>
    </row>
    <row r="83" spans="11:14" x14ac:dyDescent="0.2">
      <c r="K83" s="3"/>
      <c r="N83" s="3"/>
    </row>
    <row r="84" spans="11:14" x14ac:dyDescent="0.2">
      <c r="K84" s="3"/>
      <c r="N84" s="3"/>
    </row>
    <row r="85" spans="11:14" x14ac:dyDescent="0.2">
      <c r="K85" s="3"/>
      <c r="N85" s="3"/>
    </row>
    <row r="86" spans="11:14" x14ac:dyDescent="0.2">
      <c r="K86" s="3"/>
      <c r="N86" s="3"/>
    </row>
    <row r="87" spans="11:14" x14ac:dyDescent="0.2">
      <c r="K87" s="3"/>
      <c r="N87" s="3"/>
    </row>
    <row r="88" spans="11:14" x14ac:dyDescent="0.2">
      <c r="K88" s="3"/>
      <c r="N88" s="3"/>
    </row>
    <row r="89" spans="11:14" x14ac:dyDescent="0.2">
      <c r="K89" s="3"/>
      <c r="N89" s="3"/>
    </row>
    <row r="90" spans="11:14" x14ac:dyDescent="0.2">
      <c r="K90" s="3"/>
      <c r="N90" s="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F3C4-A63F-2C4F-A25E-052F0524BBC6}">
  <dimension ref="A1:T57"/>
  <sheetViews>
    <sheetView topLeftCell="G1" workbookViewId="0">
      <selection activeCell="P20" sqref="P20"/>
    </sheetView>
  </sheetViews>
  <sheetFormatPr baseColWidth="10" defaultRowHeight="16" x14ac:dyDescent="0.2"/>
  <cols>
    <col min="1" max="1" width="3.33203125" style="1" bestFit="1" customWidth="1"/>
    <col min="2" max="2" width="12.33203125" style="1" bestFit="1" customWidth="1"/>
    <col min="3" max="3" width="9.1640625" style="1" bestFit="1" customWidth="1"/>
    <col min="4" max="4" width="14.6640625" style="1" bestFit="1" customWidth="1"/>
    <col min="5" max="5" width="12.33203125" style="1" bestFit="1" customWidth="1"/>
    <col min="6" max="6" width="27.6640625" style="1" bestFit="1" customWidth="1"/>
    <col min="7" max="7" width="25.5" style="1" bestFit="1" customWidth="1"/>
    <col min="8" max="8" width="25.5" style="1" customWidth="1"/>
    <col min="9" max="9" width="23.1640625" style="1" bestFit="1" customWidth="1"/>
    <col min="10" max="10" width="22.83203125" style="1" bestFit="1" customWidth="1"/>
    <col min="11" max="11" width="11" style="1" bestFit="1" customWidth="1"/>
    <col min="12" max="12" width="17.6640625" style="1" bestFit="1" customWidth="1"/>
    <col min="13" max="13" width="21.5" style="1" bestFit="1" customWidth="1"/>
    <col min="14" max="14" width="10.33203125" style="1" bestFit="1" customWidth="1"/>
    <col min="15" max="20" width="23.6640625" style="1" bestFit="1" customWidth="1"/>
    <col min="21" max="16384" width="10.83203125" style="1"/>
  </cols>
  <sheetData>
    <row r="1" spans="1:20" ht="41" customHeight="1" x14ac:dyDescent="0.2">
      <c r="A1" s="6" t="s">
        <v>14</v>
      </c>
      <c r="B1" s="6" t="s">
        <v>12</v>
      </c>
      <c r="C1" s="6" t="s">
        <v>13</v>
      </c>
      <c r="D1" s="6" t="s">
        <v>15</v>
      </c>
      <c r="E1" s="7" t="s">
        <v>9</v>
      </c>
      <c r="F1" s="7" t="s">
        <v>16</v>
      </c>
      <c r="G1" s="7" t="s">
        <v>137</v>
      </c>
      <c r="H1" s="7" t="s">
        <v>138</v>
      </c>
      <c r="I1" s="7" t="s">
        <v>10</v>
      </c>
      <c r="J1" s="7" t="s">
        <v>11</v>
      </c>
      <c r="K1" s="14" t="s">
        <v>70</v>
      </c>
      <c r="L1" s="1" t="s">
        <v>130</v>
      </c>
      <c r="M1" s="1" t="s">
        <v>129</v>
      </c>
      <c r="N1" s="15" t="s">
        <v>61</v>
      </c>
      <c r="O1" s="15">
        <v>0</v>
      </c>
      <c r="P1" s="15">
        <v>1</v>
      </c>
      <c r="Q1" s="15">
        <v>2</v>
      </c>
      <c r="R1" s="15">
        <v>3</v>
      </c>
      <c r="S1" s="15">
        <v>4</v>
      </c>
      <c r="T1" s="15">
        <v>5</v>
      </c>
    </row>
    <row r="2" spans="1:20" ht="16" customHeight="1" x14ac:dyDescent="0.2">
      <c r="A2" s="20">
        <v>1</v>
      </c>
      <c r="B2" s="20" t="s">
        <v>0</v>
      </c>
      <c r="C2" s="20" t="s">
        <v>1</v>
      </c>
      <c r="D2" s="20">
        <v>5</v>
      </c>
      <c r="E2" s="20">
        <v>1</v>
      </c>
      <c r="F2" s="20" t="s">
        <v>2</v>
      </c>
      <c r="G2" s="53">
        <v>1800000000</v>
      </c>
      <c r="H2" s="47">
        <f>G2/usd</f>
        <v>24590163.934426229</v>
      </c>
      <c r="I2" s="20">
        <v>220</v>
      </c>
      <c r="J2" s="20">
        <v>26</v>
      </c>
      <c r="K2" s="52">
        <f>SUMPRODUCT(Рейсы!E19:E21,Рейсы!F19:F21)</f>
        <v>4323.8025594149904</v>
      </c>
      <c r="L2" s="24"/>
      <c r="M2" s="24"/>
      <c r="N2" s="144" t="s">
        <v>122</v>
      </c>
      <c r="O2" s="24"/>
      <c r="P2" s="24"/>
      <c r="Q2" s="24"/>
      <c r="R2" s="24"/>
      <c r="S2" s="24"/>
      <c r="T2" s="24"/>
    </row>
    <row r="3" spans="1:20" x14ac:dyDescent="0.2">
      <c r="A3" s="20">
        <v>2</v>
      </c>
      <c r="B3" s="20" t="s">
        <v>0</v>
      </c>
      <c r="C3" s="20" t="s">
        <v>1</v>
      </c>
      <c r="D3" s="20">
        <v>5</v>
      </c>
      <c r="E3" s="20">
        <v>2</v>
      </c>
      <c r="F3" s="20" t="s">
        <v>2</v>
      </c>
      <c r="G3" s="53">
        <v>1800000000</v>
      </c>
      <c r="H3" s="47">
        <f>G3/usd</f>
        <v>24590163.934426229</v>
      </c>
      <c r="I3" s="20">
        <v>220</v>
      </c>
      <c r="J3" s="20">
        <v>26</v>
      </c>
      <c r="K3" s="52">
        <f>SUMPRODUCT(Рейсы!E22:E24,Рейсы!F22:F24)</f>
        <v>3639.3214098515741</v>
      </c>
      <c r="L3" s="24"/>
      <c r="M3" s="38"/>
      <c r="N3" s="145"/>
      <c r="O3" s="24"/>
      <c r="P3" s="24"/>
      <c r="Q3" s="24"/>
      <c r="R3" s="24"/>
      <c r="S3" s="24"/>
      <c r="T3" s="24"/>
    </row>
    <row r="4" spans="1:20" x14ac:dyDescent="0.2">
      <c r="A4" s="20">
        <v>3</v>
      </c>
      <c r="B4" s="20" t="s">
        <v>0</v>
      </c>
      <c r="C4" s="20" t="s">
        <v>1</v>
      </c>
      <c r="D4" s="20" t="s">
        <v>3</v>
      </c>
      <c r="E4" s="20" t="s">
        <v>4</v>
      </c>
      <c r="F4" s="20" t="s">
        <v>4</v>
      </c>
      <c r="G4" s="27" t="s">
        <v>4</v>
      </c>
      <c r="H4" s="47"/>
      <c r="I4" s="20" t="s">
        <v>4</v>
      </c>
      <c r="J4" s="20" t="s">
        <v>4</v>
      </c>
      <c r="K4" s="52"/>
      <c r="L4" s="51">
        <v>296400000</v>
      </c>
      <c r="M4" s="38">
        <f>L4*usd</f>
        <v>21696480000</v>
      </c>
      <c r="N4" s="145"/>
      <c r="O4" s="50">
        <f>M4*(1+Sheet1!B9)^Sheet1!B8</f>
        <v>21696480000</v>
      </c>
      <c r="P4" s="50">
        <f>M4*(1+Sheet1!C9)^Sheet1!C8</f>
        <v>23464743119.999996</v>
      </c>
      <c r="Q4" s="50">
        <f>M4*(1+Sheet1!D9)^Sheet1!D8</f>
        <v>25499283016.708801</v>
      </c>
      <c r="R4" s="50">
        <f>Q4*(1-depreciation_rate)*(1+Sheet1!E10)</f>
        <v>26851578107.921112</v>
      </c>
      <c r="S4" s="50">
        <f>R4*(1-depreciation_rate)*(1+Sheet1!F10)</f>
        <v>28259944820.63483</v>
      </c>
      <c r="T4" s="50">
        <f>S4*(1-depreciation_rate)*(1+Sheet1!G10)</f>
        <v>29747663883.169193</v>
      </c>
    </row>
    <row r="5" spans="1:20" x14ac:dyDescent="0.2">
      <c r="A5" s="20">
        <v>4</v>
      </c>
      <c r="B5" s="20" t="s">
        <v>0</v>
      </c>
      <c r="C5" s="20" t="s">
        <v>1</v>
      </c>
      <c r="D5" s="20" t="s">
        <v>3</v>
      </c>
      <c r="E5" s="20" t="s">
        <v>4</v>
      </c>
      <c r="F5" s="20" t="s">
        <v>4</v>
      </c>
      <c r="G5" s="27" t="s">
        <v>4</v>
      </c>
      <c r="H5" s="47"/>
      <c r="I5" s="20" t="s">
        <v>4</v>
      </c>
      <c r="J5" s="20" t="s">
        <v>4</v>
      </c>
      <c r="K5" s="52"/>
      <c r="L5" s="51">
        <v>296400000</v>
      </c>
      <c r="M5" s="38">
        <f>L5*usd</f>
        <v>21696480000</v>
      </c>
      <c r="N5" s="145"/>
      <c r="O5" s="50">
        <f>M5*(1+Sheet1!B9)^Sheet1!B8</f>
        <v>21696480000</v>
      </c>
      <c r="P5" s="50">
        <f>M5*(1+Sheet1!C9)^Sheet1!C8</f>
        <v>23464743119.999996</v>
      </c>
      <c r="Q5" s="50">
        <f>M5*(1+Sheet1!D9)^Sheet1!D8</f>
        <v>25499283016.708801</v>
      </c>
      <c r="R5" s="50">
        <f>Q5*(1-depreciation_rate)</f>
        <v>24734304526.207535</v>
      </c>
      <c r="S5" s="50">
        <f>R5*(1-depreciation_rate)</f>
        <v>23992275390.421307</v>
      </c>
      <c r="T5" s="50">
        <f>S5*(1-depreciation_rate)*(1+Sheet1!G10)</f>
        <v>25255326881.797222</v>
      </c>
    </row>
    <row r="6" spans="1:20" x14ac:dyDescent="0.2">
      <c r="A6" s="20">
        <v>5</v>
      </c>
      <c r="B6" s="20" t="s">
        <v>5</v>
      </c>
      <c r="C6" s="20" t="s">
        <v>1</v>
      </c>
      <c r="D6" s="20">
        <v>20</v>
      </c>
      <c r="E6" s="20">
        <v>3</v>
      </c>
      <c r="F6" s="20" t="s">
        <v>6</v>
      </c>
      <c r="G6" s="27" t="s">
        <v>4</v>
      </c>
      <c r="H6" s="47"/>
      <c r="I6" s="20">
        <v>240</v>
      </c>
      <c r="J6" s="20">
        <v>16</v>
      </c>
      <c r="K6" s="52">
        <f>SUMPRODUCT(Рейсы!E25:E28,Рейсы!F25:F28)</f>
        <v>3967.4125874125871</v>
      </c>
      <c r="L6" s="51">
        <v>221700000</v>
      </c>
      <c r="M6" s="38">
        <f>L6*usd</f>
        <v>16228440000</v>
      </c>
      <c r="N6" s="145"/>
      <c r="O6" s="50">
        <f>M6*(1-depreciation_rate)^D6</f>
        <v>8824933866.5261402</v>
      </c>
      <c r="P6" s="50">
        <f>O6*(1-depreciation_rate)*(1+Sheet1!C10)</f>
        <v>9257840997.3485794</v>
      </c>
      <c r="Q6" s="50">
        <f>P6*(1-depreciation_rate)*(1+Sheet1!D10)</f>
        <v>9758737068.3148003</v>
      </c>
      <c r="R6" s="50">
        <f>Q6*(1-depreciation_rate)*(1+Sheet1!E10)</f>
        <v>10276268962.261246</v>
      </c>
      <c r="S6" s="50">
        <f>R6*(1-depreciation_rate)*(1+Sheet1!F10)</f>
        <v>10815259820.793783</v>
      </c>
      <c r="T6" s="50">
        <f>S6*(1-depreciation_rate)*(1+Sheet1!G10)</f>
        <v>11384619326.050434</v>
      </c>
    </row>
    <row r="7" spans="1:20" x14ac:dyDescent="0.2">
      <c r="A7" s="20">
        <v>6</v>
      </c>
      <c r="B7" s="20" t="s">
        <v>5</v>
      </c>
      <c r="C7" s="20" t="s">
        <v>1</v>
      </c>
      <c r="D7" s="20">
        <v>20</v>
      </c>
      <c r="E7" s="20">
        <v>4</v>
      </c>
      <c r="F7" s="20" t="s">
        <v>6</v>
      </c>
      <c r="G7" s="27" t="s">
        <v>4</v>
      </c>
      <c r="H7" s="47"/>
      <c r="I7" s="20">
        <v>240</v>
      </c>
      <c r="J7" s="20">
        <v>16</v>
      </c>
      <c r="K7" s="52">
        <f>SUMPRODUCT(Рейсы!E29:E34,Рейсы!F29:F34)</f>
        <v>3456.4335664335663</v>
      </c>
      <c r="L7" s="51">
        <v>221700000</v>
      </c>
      <c r="M7" s="38">
        <f>L7*usd</f>
        <v>16228440000</v>
      </c>
      <c r="N7" s="145"/>
      <c r="O7" s="50">
        <f>M7*(1-depreciation_rate)^D7</f>
        <v>8824933866.5261402</v>
      </c>
      <c r="P7" s="50">
        <f>O7*(1-depreciation_rate)*(1+Sheet1!C10)</f>
        <v>9257840997.3485794</v>
      </c>
      <c r="Q7" s="50">
        <f>P7*(1-depreciation_rate)*(1+Sheet1!D10)</f>
        <v>9758737068.3148003</v>
      </c>
      <c r="R7" s="50">
        <f>Q7*(1-depreciation_rate)*(1+Sheet1!E10)</f>
        <v>10276268962.261246</v>
      </c>
      <c r="S7" s="50">
        <f>R7*(1-depreciation_rate)*(1+Sheet1!F10)</f>
        <v>10815259820.793783</v>
      </c>
      <c r="T7" s="50">
        <f>S7*(1-depreciation_rate)*(1+Sheet1!G10)</f>
        <v>11384619326.050434</v>
      </c>
    </row>
    <row r="8" spans="1:20" x14ac:dyDescent="0.2">
      <c r="A8" s="20">
        <v>7</v>
      </c>
      <c r="B8" s="20" t="s">
        <v>7</v>
      </c>
      <c r="C8" s="20" t="s">
        <v>8</v>
      </c>
      <c r="D8" s="20">
        <v>17</v>
      </c>
      <c r="E8" s="20">
        <v>5</v>
      </c>
      <c r="F8" s="20" t="s">
        <v>2</v>
      </c>
      <c r="G8" s="53">
        <v>500000000</v>
      </c>
      <c r="H8" s="47">
        <f>G8/usd</f>
        <v>6830601.0928961746</v>
      </c>
      <c r="I8" s="20">
        <v>164</v>
      </c>
      <c r="J8" s="20">
        <v>0</v>
      </c>
      <c r="K8" s="52">
        <f>SUMPRODUCT(Рейсы!E5:E6,Рейсы!F5:F6)</f>
        <v>3280</v>
      </c>
      <c r="L8" s="34"/>
      <c r="M8" s="38"/>
      <c r="N8" s="145"/>
      <c r="O8" s="50"/>
      <c r="P8" s="50"/>
      <c r="Q8" s="50"/>
      <c r="R8" s="50"/>
      <c r="S8" s="50"/>
      <c r="T8" s="50"/>
    </row>
    <row r="9" spans="1:20" x14ac:dyDescent="0.2">
      <c r="A9" s="20">
        <v>8</v>
      </c>
      <c r="B9" s="20" t="s">
        <v>7</v>
      </c>
      <c r="C9" s="20" t="s">
        <v>8</v>
      </c>
      <c r="D9" s="20">
        <v>17</v>
      </c>
      <c r="E9" s="20">
        <v>6</v>
      </c>
      <c r="F9" s="20" t="s">
        <v>2</v>
      </c>
      <c r="G9" s="53">
        <v>500000000</v>
      </c>
      <c r="H9" s="47">
        <f>G9/usd</f>
        <v>6830601.0928961746</v>
      </c>
      <c r="I9" s="20">
        <v>164</v>
      </c>
      <c r="J9" s="20">
        <v>0</v>
      </c>
      <c r="K9" s="52">
        <f>SUMPRODUCT(Рейсы!E7:E8,Рейсы!F8:F9)</f>
        <v>4754.142084562438</v>
      </c>
      <c r="L9" s="34"/>
      <c r="M9" s="38"/>
      <c r="N9" s="145"/>
      <c r="O9" s="50"/>
      <c r="P9" s="50"/>
      <c r="Q9" s="50"/>
      <c r="R9" s="50"/>
      <c r="S9" s="50"/>
      <c r="T9" s="50"/>
    </row>
    <row r="10" spans="1:20" x14ac:dyDescent="0.2">
      <c r="A10" s="20">
        <v>9</v>
      </c>
      <c r="B10" s="20" t="s">
        <v>7</v>
      </c>
      <c r="C10" s="20" t="s">
        <v>8</v>
      </c>
      <c r="D10" s="20">
        <v>8</v>
      </c>
      <c r="E10" s="20">
        <v>7</v>
      </c>
      <c r="F10" s="20" t="s">
        <v>2</v>
      </c>
      <c r="G10" s="53">
        <v>500000000</v>
      </c>
      <c r="H10" s="47">
        <f>G10/usd</f>
        <v>6830601.0928961746</v>
      </c>
      <c r="I10" s="20">
        <v>140</v>
      </c>
      <c r="J10" s="20">
        <v>12</v>
      </c>
      <c r="K10" s="52">
        <f>SUMPRODUCT(Рейсы!E9:E9,Рейсы!F9:F9)</f>
        <v>3908.8495575221241</v>
      </c>
      <c r="L10" s="34"/>
      <c r="M10" s="38"/>
      <c r="N10" s="145"/>
      <c r="O10" s="50"/>
      <c r="P10" s="50"/>
      <c r="Q10" s="50"/>
      <c r="R10" s="50"/>
      <c r="S10" s="50"/>
      <c r="T10" s="50"/>
    </row>
    <row r="11" spans="1:20" x14ac:dyDescent="0.2">
      <c r="A11" s="20">
        <v>10</v>
      </c>
      <c r="B11" s="20" t="s">
        <v>7</v>
      </c>
      <c r="C11" s="20" t="s">
        <v>8</v>
      </c>
      <c r="D11" s="20">
        <v>7</v>
      </c>
      <c r="E11" s="20">
        <v>8</v>
      </c>
      <c r="F11" s="20" t="s">
        <v>2</v>
      </c>
      <c r="G11" s="53">
        <v>500000000</v>
      </c>
      <c r="H11" s="47">
        <f>G11/usd</f>
        <v>6830601.0928961746</v>
      </c>
      <c r="I11" s="20">
        <v>140</v>
      </c>
      <c r="J11" s="20">
        <v>12</v>
      </c>
      <c r="K11" s="52">
        <f>SUMPRODUCT(Рейсы!E10:E10,Рейсы!F10:F10)</f>
        <v>3944.070796460177</v>
      </c>
      <c r="L11" s="34"/>
      <c r="M11" s="38"/>
      <c r="N11" s="145"/>
      <c r="O11" s="50"/>
      <c r="P11" s="50"/>
      <c r="Q11" s="50"/>
      <c r="R11" s="50"/>
      <c r="S11" s="50"/>
      <c r="T11" s="50"/>
    </row>
    <row r="12" spans="1:20" x14ac:dyDescent="0.2">
      <c r="A12" s="20">
        <v>11</v>
      </c>
      <c r="B12" s="20" t="s">
        <v>7</v>
      </c>
      <c r="C12" s="20" t="s">
        <v>8</v>
      </c>
      <c r="D12" s="20">
        <v>15</v>
      </c>
      <c r="E12" s="20">
        <v>9</v>
      </c>
      <c r="F12" s="20" t="s">
        <v>6</v>
      </c>
      <c r="G12" s="27" t="s">
        <v>4</v>
      </c>
      <c r="H12" s="47"/>
      <c r="I12" s="20">
        <v>164</v>
      </c>
      <c r="J12" s="20">
        <v>0</v>
      </c>
      <c r="K12" s="52">
        <f>SUMPRODUCT(Рейсы!E11:E12,Рейсы!F11:F12)</f>
        <v>3297.2222222222222</v>
      </c>
      <c r="L12" s="51">
        <v>93900000</v>
      </c>
      <c r="M12" s="50">
        <f>L12*usd</f>
        <v>6873480000</v>
      </c>
      <c r="N12" s="145"/>
      <c r="O12" s="50">
        <f>M12*(1-depreciation_rate)^D12</f>
        <v>4352639383.5079384</v>
      </c>
      <c r="P12" s="50">
        <f>O12*(1-depreciation_rate)*(1+Sheet1!C9)^Sheet1!C8</f>
        <v>4566158108.4659204</v>
      </c>
      <c r="Q12" s="50">
        <f>P12*(1-depreciation_rate)*(1+Sheet1!D10)</f>
        <v>4813210380.8689756</v>
      </c>
      <c r="R12" s="50">
        <f>Q12*(1-depreciation_rate)*(1+Sheet1!E10)</f>
        <v>5068467784.2538557</v>
      </c>
      <c r="S12" s="50">
        <f>R12*(1-depreciation_rate)*(1+Sheet1!F10)</f>
        <v>5334309191.5303698</v>
      </c>
      <c r="T12" s="50">
        <f>S12*(1-depreciation_rate)*(1+Sheet1!G10)</f>
        <v>5615129041.6773281</v>
      </c>
    </row>
    <row r="13" spans="1:20" x14ac:dyDescent="0.2">
      <c r="A13" s="20">
        <v>12</v>
      </c>
      <c r="B13" s="20" t="s">
        <v>7</v>
      </c>
      <c r="C13" s="20" t="s">
        <v>8</v>
      </c>
      <c r="D13" s="20">
        <v>9</v>
      </c>
      <c r="E13" s="20">
        <v>10</v>
      </c>
      <c r="F13" s="20" t="s">
        <v>6</v>
      </c>
      <c r="G13" s="27" t="s">
        <v>4</v>
      </c>
      <c r="H13" s="47"/>
      <c r="I13" s="20">
        <v>164</v>
      </c>
      <c r="J13" s="20">
        <v>0</v>
      </c>
      <c r="K13" s="52">
        <f>SUMPRODUCT(Рейсы!E13:E14,Рейсы!F13:F14)</f>
        <v>2807.2222222222222</v>
      </c>
      <c r="L13" s="51">
        <v>93900000</v>
      </c>
      <c r="M13" s="50">
        <f>L13*usd</f>
        <v>6873480000</v>
      </c>
      <c r="N13" s="146"/>
      <c r="O13" s="50">
        <f>M13*(1-depreciation_rate)^D13</f>
        <v>5225432977.0409803</v>
      </c>
      <c r="P13" s="50">
        <f>O13*(1-depreciation_rate)*(1+Sheet1!C9)^Sheet1!C8</f>
        <v>5481766591.7297249</v>
      </c>
      <c r="Q13" s="50">
        <f>P13*(1-depreciation_rate)*(1+Sheet1!D10)</f>
        <v>5778357918.8585558</v>
      </c>
      <c r="R13" s="50">
        <f>Q13*(1-depreciation_rate)</f>
        <v>5605007181.292799</v>
      </c>
      <c r="S13" s="50">
        <f>R13*(1-depreciation_rate)</f>
        <v>5436856965.8540154</v>
      </c>
      <c r="T13" s="50">
        <f>S13*(1-depreciation_rate)</f>
        <v>5273751256.8783951</v>
      </c>
    </row>
    <row r="14" spans="1:20" x14ac:dyDescent="0.2">
      <c r="F14" s="5" t="s">
        <v>17</v>
      </c>
      <c r="G14" s="49">
        <f>SUM(G2:G13)</f>
        <v>5600000000</v>
      </c>
      <c r="H14" s="48">
        <f>SUM(H2:H13)</f>
        <v>76502732.240437165</v>
      </c>
      <c r="N14" s="12" t="s">
        <v>118</v>
      </c>
      <c r="O14" s="49">
        <f t="shared" ref="O14:T14" si="0">SUM(O2:O13)</f>
        <v>70620900093.601196</v>
      </c>
      <c r="P14" s="49">
        <f t="shared" si="0"/>
        <v>75493092934.892792</v>
      </c>
      <c r="Q14" s="49">
        <f t="shared" si="0"/>
        <v>81107608469.774734</v>
      </c>
      <c r="R14" s="49">
        <f t="shared" si="0"/>
        <v>82811895524.1978</v>
      </c>
      <c r="S14" s="49">
        <f>SUM(S2:S13)</f>
        <v>84653906010.028091</v>
      </c>
      <c r="T14" s="49">
        <f t="shared" si="0"/>
        <v>88661109715.622986</v>
      </c>
    </row>
    <row r="15" spans="1:20" x14ac:dyDescent="0.2">
      <c r="N15" s="12" t="s">
        <v>62</v>
      </c>
      <c r="O15" s="49">
        <f>O14</f>
        <v>70620900093.601196</v>
      </c>
      <c r="P15" s="49">
        <f>P14/(1+Sheet1!C9)^Sheet1!C8</f>
        <v>69804061890.793152</v>
      </c>
      <c r="Q15" s="49">
        <f>Q14/(1+Sheet1!D9)^Sheet1!D8</f>
        <v>69011728834.069366</v>
      </c>
      <c r="R15" s="49">
        <f>R14/(1+Sheet1!E9)^Sheet1!E8</f>
        <v>64905862476.613068</v>
      </c>
      <c r="S15" s="49">
        <f>S14/(1+Sheet1!F9)^Sheet1!F8</f>
        <v>61151686796.19268</v>
      </c>
      <c r="T15" s="49">
        <f>T14/(1+Sheet1!G9)^Sheet1!G8</f>
        <v>59018039697.104034</v>
      </c>
    </row>
    <row r="16" spans="1:20" x14ac:dyDescent="0.2">
      <c r="J16" s="1" t="s">
        <v>71</v>
      </c>
      <c r="N16" s="12" t="s">
        <v>119</v>
      </c>
      <c r="O16" s="49">
        <v>0</v>
      </c>
      <c r="P16" s="49">
        <f>P15-O15</f>
        <v>-816838202.80804443</v>
      </c>
      <c r="Q16" s="49">
        <f t="shared" ref="Q16:T16" si="1">Q15-P15</f>
        <v>-792333056.7237854</v>
      </c>
      <c r="R16" s="49">
        <f t="shared" si="1"/>
        <v>-4105866357.4562988</v>
      </c>
      <c r="S16" s="49">
        <f t="shared" si="1"/>
        <v>-3754175680.4203873</v>
      </c>
      <c r="T16" s="49">
        <f t="shared" si="1"/>
        <v>-2133647099.0886459</v>
      </c>
    </row>
    <row r="17" spans="2:16" x14ac:dyDescent="0.2">
      <c r="J17" s="1" t="s">
        <v>115</v>
      </c>
      <c r="K17" s="1">
        <f>16*365</f>
        <v>5840</v>
      </c>
    </row>
    <row r="18" spans="2:16" x14ac:dyDescent="0.2">
      <c r="N18" s="147" t="s">
        <v>131</v>
      </c>
      <c r="O18" s="147"/>
      <c r="P18" s="2">
        <f>SUM(O16:T16)</f>
        <v>-11602860396.497162</v>
      </c>
    </row>
    <row r="19" spans="2:16" x14ac:dyDescent="0.2">
      <c r="G19" s="5" t="s">
        <v>63</v>
      </c>
      <c r="H19" s="15"/>
      <c r="I19" s="4">
        <v>64</v>
      </c>
      <c r="O19" s="3" t="s">
        <v>181</v>
      </c>
      <c r="P19" s="3">
        <v>0.03</v>
      </c>
    </row>
    <row r="23" spans="2:16" ht="20" x14ac:dyDescent="0.2">
      <c r="F23" s="143"/>
      <c r="G23" s="143"/>
      <c r="H23" s="143"/>
      <c r="I23" s="143"/>
      <c r="J23" s="143"/>
      <c r="K23" s="143"/>
    </row>
    <row r="25" spans="2:16" ht="20" x14ac:dyDescent="0.2">
      <c r="B25" s="17"/>
    </row>
    <row r="26" spans="2:16" ht="20" x14ac:dyDescent="0.2">
      <c r="B26" s="16"/>
    </row>
    <row r="27" spans="2:16" ht="20" x14ac:dyDescent="0.2">
      <c r="B27" s="16"/>
    </row>
    <row r="28" spans="2:16" ht="20" x14ac:dyDescent="0.2">
      <c r="B28" s="16"/>
    </row>
    <row r="29" spans="2:16" ht="20" x14ac:dyDescent="0.2">
      <c r="B29" s="16"/>
    </row>
    <row r="30" spans="2:16" ht="20" x14ac:dyDescent="0.2">
      <c r="B30" s="16"/>
    </row>
    <row r="31" spans="2:16" ht="20" x14ac:dyDescent="0.2">
      <c r="B31" s="16"/>
    </row>
    <row r="32" spans="2:16" ht="20" x14ac:dyDescent="0.2">
      <c r="B32" s="16"/>
    </row>
    <row r="33" spans="2:2" ht="20" x14ac:dyDescent="0.2">
      <c r="B33" s="16"/>
    </row>
    <row r="34" spans="2:2" ht="20" x14ac:dyDescent="0.2">
      <c r="B34" s="16"/>
    </row>
    <row r="35" spans="2:2" ht="20" x14ac:dyDescent="0.2">
      <c r="B35" s="16"/>
    </row>
    <row r="36" spans="2:2" ht="20" x14ac:dyDescent="0.2">
      <c r="B36" s="16"/>
    </row>
    <row r="37" spans="2:2" ht="20" x14ac:dyDescent="0.2">
      <c r="B37" s="16"/>
    </row>
    <row r="38" spans="2:2" ht="20" x14ac:dyDescent="0.2">
      <c r="B38" s="16"/>
    </row>
    <row r="39" spans="2:2" ht="20" x14ac:dyDescent="0.2">
      <c r="B39" s="16"/>
    </row>
    <row r="40" spans="2:2" ht="20" x14ac:dyDescent="0.2">
      <c r="B40" s="16"/>
    </row>
    <row r="41" spans="2:2" ht="20" x14ac:dyDescent="0.2">
      <c r="B41" s="16"/>
    </row>
    <row r="42" spans="2:2" ht="20" x14ac:dyDescent="0.2">
      <c r="B42" s="16"/>
    </row>
    <row r="43" spans="2:2" ht="20" x14ac:dyDescent="0.2">
      <c r="B43" s="16"/>
    </row>
    <row r="44" spans="2:2" ht="20" x14ac:dyDescent="0.2">
      <c r="B44" s="16"/>
    </row>
    <row r="45" spans="2:2" ht="20" x14ac:dyDescent="0.2">
      <c r="B45" s="16"/>
    </row>
    <row r="46" spans="2:2" ht="20" x14ac:dyDescent="0.2">
      <c r="B46" s="16"/>
    </row>
    <row r="47" spans="2:2" ht="20" x14ac:dyDescent="0.2">
      <c r="B47" s="16"/>
    </row>
    <row r="48" spans="2:2" ht="20" x14ac:dyDescent="0.2">
      <c r="B48" s="16"/>
    </row>
    <row r="49" spans="2:2" ht="20" x14ac:dyDescent="0.2">
      <c r="B49" s="16"/>
    </row>
    <row r="50" spans="2:2" ht="20" x14ac:dyDescent="0.2">
      <c r="B50" s="16"/>
    </row>
    <row r="51" spans="2:2" ht="20" x14ac:dyDescent="0.2">
      <c r="B51" s="16"/>
    </row>
    <row r="52" spans="2:2" ht="20" x14ac:dyDescent="0.2">
      <c r="B52" s="16"/>
    </row>
    <row r="53" spans="2:2" ht="20" x14ac:dyDescent="0.2">
      <c r="B53" s="16"/>
    </row>
    <row r="54" spans="2:2" ht="20" x14ac:dyDescent="0.2">
      <c r="B54" s="16"/>
    </row>
    <row r="55" spans="2:2" ht="20" x14ac:dyDescent="0.2">
      <c r="B55" s="16"/>
    </row>
    <row r="56" spans="2:2" ht="20" x14ac:dyDescent="0.2">
      <c r="B56" s="16"/>
    </row>
    <row r="57" spans="2:2" ht="20" x14ac:dyDescent="0.2">
      <c r="B57" s="16"/>
    </row>
  </sheetData>
  <mergeCells count="3">
    <mergeCell ref="F23:K23"/>
    <mergeCell ref="N2:N13"/>
    <mergeCell ref="N18:O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CC8-5E66-484E-A1B7-B84851F82C75}">
  <dimension ref="A1:X43"/>
  <sheetViews>
    <sheetView topLeftCell="A9" zoomScale="110" zoomScaleNormal="80" workbookViewId="0">
      <selection activeCell="A46" sqref="A46"/>
    </sheetView>
  </sheetViews>
  <sheetFormatPr baseColWidth="10" defaultRowHeight="16" x14ac:dyDescent="0.2"/>
  <cols>
    <col min="1" max="1" width="10.83203125" style="1"/>
    <col min="2" max="2" width="22.33203125" style="1" bestFit="1" customWidth="1"/>
    <col min="3" max="3" width="12.6640625" style="1" bestFit="1" customWidth="1"/>
    <col min="4" max="4" width="18.83203125" style="1" bestFit="1" customWidth="1"/>
    <col min="5" max="5" width="28.5" style="1" bestFit="1" customWidth="1"/>
    <col min="6" max="6" width="29" style="1" bestFit="1" customWidth="1"/>
    <col min="7" max="7" width="23.5" style="1" bestFit="1" customWidth="1"/>
    <col min="8" max="8" width="20" style="1" bestFit="1" customWidth="1"/>
    <col min="9" max="9" width="18.1640625" style="1" bestFit="1" customWidth="1"/>
    <col min="10" max="10" width="14.6640625" style="1" bestFit="1" customWidth="1"/>
    <col min="11" max="11" width="14" style="1" bestFit="1" customWidth="1"/>
    <col min="12" max="12" width="10.6640625" style="1" bestFit="1" customWidth="1"/>
    <col min="13" max="13" width="18.33203125" style="1" bestFit="1" customWidth="1"/>
    <col min="14" max="14" width="22.5" style="1" bestFit="1" customWidth="1"/>
    <col min="15" max="15" width="24.5" style="1" bestFit="1" customWidth="1"/>
    <col min="16" max="16" width="22.1640625" style="1" bestFit="1" customWidth="1"/>
    <col min="17" max="17" width="23.33203125" style="1" bestFit="1" customWidth="1"/>
    <col min="18" max="18" width="24.1640625" style="1" bestFit="1" customWidth="1"/>
    <col min="19" max="19" width="23" style="1" bestFit="1" customWidth="1"/>
    <col min="20" max="20" width="25.1640625" style="1" bestFit="1" customWidth="1"/>
    <col min="21" max="21" width="25.1640625" style="1" customWidth="1"/>
    <col min="22" max="22" width="24.1640625" style="1" bestFit="1" customWidth="1"/>
    <col min="23" max="23" width="23.83203125" style="1" bestFit="1" customWidth="1"/>
    <col min="24" max="24" width="24.6640625" style="1" bestFit="1" customWidth="1"/>
    <col min="25" max="25" width="19.1640625" style="1" bestFit="1" customWidth="1"/>
    <col min="26" max="26" width="21" style="1" bestFit="1" customWidth="1"/>
    <col min="27" max="27" width="11" style="1" bestFit="1" customWidth="1"/>
    <col min="28" max="28" width="18.5" style="1" bestFit="1" customWidth="1"/>
    <col min="29" max="29" width="17.5" style="1" bestFit="1" customWidth="1"/>
    <col min="30" max="16384" width="10.83203125" style="1"/>
  </cols>
  <sheetData>
    <row r="1" spans="1:24" x14ac:dyDescent="0.2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31"/>
      <c r="X1" s="32"/>
    </row>
    <row r="2" spans="1:24" ht="16" customHeight="1" x14ac:dyDescent="0.2">
      <c r="A2" s="8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31"/>
      <c r="X2" s="32"/>
    </row>
    <row r="3" spans="1:24" x14ac:dyDescent="0.2">
      <c r="A3" s="81"/>
      <c r="B3" s="25"/>
      <c r="C3" s="25"/>
      <c r="D3" s="25"/>
      <c r="E3" s="25"/>
      <c r="F3" s="25"/>
      <c r="G3" s="24" t="s">
        <v>65</v>
      </c>
      <c r="H3" s="24"/>
      <c r="I3" s="24"/>
      <c r="J3" s="24"/>
      <c r="K3" s="24"/>
      <c r="L3" s="24"/>
      <c r="M3" s="24"/>
      <c r="N3" s="24"/>
      <c r="O3" s="24" t="s">
        <v>66</v>
      </c>
      <c r="P3" s="24"/>
      <c r="Q3" s="24"/>
      <c r="R3" s="24"/>
      <c r="S3" s="24"/>
      <c r="T3" s="24"/>
      <c r="U3" s="24"/>
      <c r="V3" s="24"/>
      <c r="X3" s="33"/>
    </row>
    <row r="4" spans="1:24" ht="17" thickBot="1" x14ac:dyDescent="0.25">
      <c r="A4" s="81"/>
      <c r="B4" s="42" t="s">
        <v>18</v>
      </c>
      <c r="C4" s="42" t="s">
        <v>9</v>
      </c>
      <c r="D4" s="42" t="s">
        <v>19</v>
      </c>
      <c r="E4" s="42" t="s">
        <v>20</v>
      </c>
      <c r="F4" s="42" t="s">
        <v>21</v>
      </c>
      <c r="G4" s="82" t="s">
        <v>22</v>
      </c>
      <c r="H4" s="82" t="s">
        <v>23</v>
      </c>
      <c r="I4" s="82" t="s">
        <v>24</v>
      </c>
      <c r="J4" s="82" t="s">
        <v>25</v>
      </c>
      <c r="K4" s="82" t="s">
        <v>26</v>
      </c>
      <c r="L4" s="82" t="s">
        <v>27</v>
      </c>
      <c r="M4" s="82" t="s">
        <v>28</v>
      </c>
      <c r="N4" s="77" t="s">
        <v>68</v>
      </c>
      <c r="O4" s="42" t="s">
        <v>56</v>
      </c>
      <c r="P4" s="42" t="s">
        <v>57</v>
      </c>
      <c r="Q4" s="42" t="s">
        <v>58</v>
      </c>
      <c r="R4" s="42" t="s">
        <v>59</v>
      </c>
      <c r="S4" s="42" t="s">
        <v>60</v>
      </c>
      <c r="T4" s="61" t="s">
        <v>64</v>
      </c>
      <c r="U4" s="61" t="s">
        <v>154</v>
      </c>
      <c r="V4" s="61" t="s">
        <v>160</v>
      </c>
      <c r="W4" s="83" t="s">
        <v>109</v>
      </c>
      <c r="X4" s="33"/>
    </row>
    <row r="5" spans="1:24" ht="16" customHeight="1" x14ac:dyDescent="0.2">
      <c r="A5" s="153" t="s">
        <v>69</v>
      </c>
      <c r="B5" s="84" t="s">
        <v>29</v>
      </c>
      <c r="C5" s="84">
        <v>5</v>
      </c>
      <c r="D5" s="84" t="s">
        <v>30</v>
      </c>
      <c r="E5" s="84">
        <v>1</v>
      </c>
      <c r="F5" s="98">
        <f>'Оптимизация рейсов'!K2</f>
        <v>1013.3333333333333</v>
      </c>
      <c r="G5" s="85">
        <v>2000</v>
      </c>
      <c r="H5" s="86"/>
      <c r="I5" s="84">
        <v>164</v>
      </c>
      <c r="J5" s="86"/>
      <c r="K5" s="87">
        <f>'Оптимизация рейсов'!I2</f>
        <v>0.9</v>
      </c>
      <c r="L5" s="86">
        <f>'Оптимизация рейсов'!J2</f>
        <v>0</v>
      </c>
      <c r="M5" s="85">
        <v>17100000</v>
      </c>
      <c r="N5" s="88">
        <f>M5+(L5*J5*H5+K5*I5*G5)*F5</f>
        <v>316236000</v>
      </c>
      <c r="O5" s="89">
        <v>42000</v>
      </c>
      <c r="P5" s="89">
        <v>6000</v>
      </c>
      <c r="Q5" s="84">
        <v>2</v>
      </c>
      <c r="R5" s="89">
        <v>2000</v>
      </c>
      <c r="S5" s="84">
        <v>4</v>
      </c>
      <c r="T5" s="86">
        <v>2600</v>
      </c>
      <c r="U5" s="86">
        <f>T5*F5*E5</f>
        <v>2634666.6666666665</v>
      </c>
      <c r="V5" s="90">
        <f>O5*F5</f>
        <v>42560000</v>
      </c>
      <c r="W5" s="65">
        <f>(R5*S5+P5*Q5)*F5*E5</f>
        <v>20266666.666666664</v>
      </c>
      <c r="X5" s="33"/>
    </row>
    <row r="6" spans="1:24" x14ac:dyDescent="0.2">
      <c r="A6" s="148"/>
      <c r="B6" s="20" t="s">
        <v>31</v>
      </c>
      <c r="C6" s="20">
        <v>5</v>
      </c>
      <c r="D6" s="20" t="s">
        <v>30</v>
      </c>
      <c r="E6" s="20">
        <v>4</v>
      </c>
      <c r="F6" s="22">
        <f>'Оптимизация рейсов'!K3</f>
        <v>566.66666666666663</v>
      </c>
      <c r="G6" s="27">
        <v>4000</v>
      </c>
      <c r="H6" s="24"/>
      <c r="I6" s="20">
        <v>164</v>
      </c>
      <c r="J6" s="24"/>
      <c r="K6" s="21">
        <f>'Оптимизация рейсов'!I3</f>
        <v>0.9</v>
      </c>
      <c r="L6" s="24">
        <f>'Оптимизация рейсов'!J3</f>
        <v>0</v>
      </c>
      <c r="M6" s="27">
        <v>9000000</v>
      </c>
      <c r="N6" s="23">
        <f t="shared" ref="N6:N18" si="0">M6+(L6*J6*H6+K6*I6*G6)*F6</f>
        <v>343560000</v>
      </c>
      <c r="O6" s="19">
        <v>42000</v>
      </c>
      <c r="P6" s="19">
        <v>6000</v>
      </c>
      <c r="Q6" s="20">
        <v>2</v>
      </c>
      <c r="R6" s="19">
        <v>2000</v>
      </c>
      <c r="S6" s="20">
        <v>4</v>
      </c>
      <c r="T6" s="24">
        <v>2600</v>
      </c>
      <c r="U6" s="24">
        <f t="shared" ref="U6:U37" si="1">T6*F6*E6</f>
        <v>5893333.333333333</v>
      </c>
      <c r="V6" s="75">
        <f t="shared" ref="V6:V37" si="2">O6*F6</f>
        <v>23800000</v>
      </c>
      <c r="W6" s="67">
        <f t="shared" ref="W6:W18" si="3">(R6*S6+P6*Q6)*F6*E6</f>
        <v>45333333.333333328</v>
      </c>
      <c r="X6" s="33"/>
    </row>
    <row r="7" spans="1:24" x14ac:dyDescent="0.2">
      <c r="A7" s="148"/>
      <c r="B7" s="20" t="s">
        <v>32</v>
      </c>
      <c r="C7" s="20">
        <v>6</v>
      </c>
      <c r="D7" s="20" t="s">
        <v>30</v>
      </c>
      <c r="E7" s="20">
        <v>4</v>
      </c>
      <c r="F7" s="22">
        <f>'Оптимизация рейсов'!K4</f>
        <v>566.66666666666663</v>
      </c>
      <c r="G7" s="27">
        <v>4500</v>
      </c>
      <c r="H7" s="24"/>
      <c r="I7" s="20">
        <v>164</v>
      </c>
      <c r="J7" s="24"/>
      <c r="K7" s="21">
        <f>'Оптимизация рейсов'!I4</f>
        <v>0.9</v>
      </c>
      <c r="L7" s="24">
        <f>'Оптимизация рейсов'!J4</f>
        <v>0</v>
      </c>
      <c r="M7" s="27">
        <v>9000000</v>
      </c>
      <c r="N7" s="23">
        <f t="shared" si="0"/>
        <v>385380000</v>
      </c>
      <c r="O7" s="19">
        <v>42000</v>
      </c>
      <c r="P7" s="19">
        <v>6000</v>
      </c>
      <c r="Q7" s="20">
        <v>2</v>
      </c>
      <c r="R7" s="19">
        <v>2000</v>
      </c>
      <c r="S7" s="20">
        <v>4</v>
      </c>
      <c r="T7" s="24">
        <v>2600</v>
      </c>
      <c r="U7" s="24">
        <f t="shared" si="1"/>
        <v>5893333.333333333</v>
      </c>
      <c r="V7" s="75">
        <f t="shared" si="2"/>
        <v>23800000</v>
      </c>
      <c r="W7" s="67">
        <f t="shared" si="3"/>
        <v>45333333.333333328</v>
      </c>
      <c r="X7" s="33"/>
    </row>
    <row r="8" spans="1:24" x14ac:dyDescent="0.2">
      <c r="A8" s="148"/>
      <c r="B8" s="20" t="s">
        <v>33</v>
      </c>
      <c r="C8" s="20">
        <v>6</v>
      </c>
      <c r="D8" s="20" t="s">
        <v>30</v>
      </c>
      <c r="E8" s="20">
        <v>2.5</v>
      </c>
      <c r="F8" s="22">
        <f>'Оптимизация рейсов'!K5</f>
        <v>577.77777777777771</v>
      </c>
      <c r="G8" s="27">
        <v>5000</v>
      </c>
      <c r="H8" s="24"/>
      <c r="I8" s="20">
        <v>164</v>
      </c>
      <c r="J8" s="24"/>
      <c r="K8" s="21">
        <f>'Оптимизация рейсов'!I5</f>
        <v>0.9</v>
      </c>
      <c r="L8" s="24">
        <f>'Оптимизация рейсов'!J5</f>
        <v>0</v>
      </c>
      <c r="M8" s="27">
        <v>9750000</v>
      </c>
      <c r="N8" s="23">
        <f t="shared" si="0"/>
        <v>436149999.99999994</v>
      </c>
      <c r="O8" s="19">
        <v>42000</v>
      </c>
      <c r="P8" s="19">
        <v>6000</v>
      </c>
      <c r="Q8" s="20">
        <v>2</v>
      </c>
      <c r="R8" s="19">
        <v>2000</v>
      </c>
      <c r="S8" s="20">
        <v>4</v>
      </c>
      <c r="T8" s="24">
        <v>2600</v>
      </c>
      <c r="U8" s="24">
        <f t="shared" si="1"/>
        <v>3755555.555555555</v>
      </c>
      <c r="V8" s="75">
        <f t="shared" si="2"/>
        <v>24266666.666666664</v>
      </c>
      <c r="W8" s="67">
        <f t="shared" si="3"/>
        <v>28888888.888888884</v>
      </c>
      <c r="X8" s="33"/>
    </row>
    <row r="9" spans="1:24" x14ac:dyDescent="0.2">
      <c r="A9" s="148"/>
      <c r="B9" s="20" t="s">
        <v>34</v>
      </c>
      <c r="C9" s="20">
        <v>7</v>
      </c>
      <c r="D9" s="20" t="s">
        <v>30</v>
      </c>
      <c r="E9" s="20">
        <v>4</v>
      </c>
      <c r="F9" s="22">
        <f>'Оптимизация рейсов'!K6</f>
        <v>977.21238938053102</v>
      </c>
      <c r="G9" s="27">
        <v>11000</v>
      </c>
      <c r="H9" s="19">
        <v>70000</v>
      </c>
      <c r="I9" s="20">
        <v>140</v>
      </c>
      <c r="J9" s="20">
        <v>12</v>
      </c>
      <c r="K9" s="21">
        <f>'Оптимизация рейсов'!I6</f>
        <v>0.9</v>
      </c>
      <c r="L9" s="24">
        <f>'Оптимизация рейсов'!J6</f>
        <v>0.8</v>
      </c>
      <c r="M9" s="27">
        <v>15750000</v>
      </c>
      <c r="N9" s="23">
        <f t="shared" si="0"/>
        <v>2026853097.3451328</v>
      </c>
      <c r="O9" s="19">
        <v>42000</v>
      </c>
      <c r="P9" s="19">
        <v>6000</v>
      </c>
      <c r="Q9" s="20">
        <v>2</v>
      </c>
      <c r="R9" s="19">
        <v>2000</v>
      </c>
      <c r="S9" s="20">
        <v>4</v>
      </c>
      <c r="T9" s="24">
        <v>2600</v>
      </c>
      <c r="U9" s="24">
        <f t="shared" si="1"/>
        <v>10163008.849557523</v>
      </c>
      <c r="V9" s="75">
        <f t="shared" si="2"/>
        <v>41042920.3539823</v>
      </c>
      <c r="W9" s="67">
        <f t="shared" si="3"/>
        <v>78176991.150442481</v>
      </c>
      <c r="X9" s="33"/>
    </row>
    <row r="10" spans="1:24" x14ac:dyDescent="0.2">
      <c r="A10" s="148"/>
      <c r="B10" s="20" t="s">
        <v>35</v>
      </c>
      <c r="C10" s="20">
        <v>8</v>
      </c>
      <c r="D10" s="20" t="s">
        <v>30</v>
      </c>
      <c r="E10" s="20">
        <v>4.5</v>
      </c>
      <c r="F10" s="22">
        <f>'Оптимизация рейсов'!K7</f>
        <v>876.46017699115043</v>
      </c>
      <c r="G10" s="27">
        <v>7500</v>
      </c>
      <c r="H10" s="19">
        <v>45000</v>
      </c>
      <c r="I10" s="20">
        <v>140</v>
      </c>
      <c r="J10" s="20">
        <v>12</v>
      </c>
      <c r="K10" s="21">
        <f>'Оптимизация рейсов'!I7</f>
        <v>0.9</v>
      </c>
      <c r="L10" s="24">
        <f>'Оптимизация рейсов'!J7</f>
        <v>0.8</v>
      </c>
      <c r="M10" s="27">
        <v>14400000</v>
      </c>
      <c r="N10" s="23">
        <f t="shared" si="0"/>
        <v>1221285663.716814</v>
      </c>
      <c r="O10" s="19">
        <v>42000</v>
      </c>
      <c r="P10" s="19">
        <v>6000</v>
      </c>
      <c r="Q10" s="20">
        <v>2</v>
      </c>
      <c r="R10" s="19">
        <v>2000</v>
      </c>
      <c r="S10" s="20">
        <v>4</v>
      </c>
      <c r="T10" s="24">
        <v>2600</v>
      </c>
      <c r="U10" s="24">
        <f t="shared" si="1"/>
        <v>10254584.07079646</v>
      </c>
      <c r="V10" s="75">
        <f t="shared" si="2"/>
        <v>36811327.433628321</v>
      </c>
      <c r="W10" s="67">
        <f t="shared" si="3"/>
        <v>78881415.929203525</v>
      </c>
      <c r="X10" s="33"/>
    </row>
    <row r="11" spans="1:24" x14ac:dyDescent="0.2">
      <c r="A11" s="148"/>
      <c r="B11" s="20" t="s">
        <v>36</v>
      </c>
      <c r="C11" s="20">
        <v>9</v>
      </c>
      <c r="D11" s="20" t="s">
        <v>30</v>
      </c>
      <c r="E11" s="20">
        <v>2</v>
      </c>
      <c r="F11" s="22">
        <f>'Оптимизация рейсов'!K8</f>
        <v>633.33333333333337</v>
      </c>
      <c r="G11" s="27">
        <v>5500</v>
      </c>
      <c r="H11" s="24"/>
      <c r="I11" s="20">
        <v>164</v>
      </c>
      <c r="J11" s="24"/>
      <c r="K11" s="21">
        <f>'Оптимизация рейсов'!I8</f>
        <v>0.9</v>
      </c>
      <c r="L11" s="24">
        <f>'Оптимизация рейсов'!J8</f>
        <v>0</v>
      </c>
      <c r="M11" s="27">
        <v>11400000</v>
      </c>
      <c r="N11" s="23">
        <f t="shared" si="0"/>
        <v>525540000.00000006</v>
      </c>
      <c r="O11" s="19">
        <v>42000</v>
      </c>
      <c r="P11" s="19">
        <v>6000</v>
      </c>
      <c r="Q11" s="20">
        <v>2</v>
      </c>
      <c r="R11" s="19">
        <v>2000</v>
      </c>
      <c r="S11" s="20">
        <v>4</v>
      </c>
      <c r="T11" s="24">
        <v>2600</v>
      </c>
      <c r="U11" s="24">
        <f t="shared" si="1"/>
        <v>3293333.3333333335</v>
      </c>
      <c r="V11" s="75">
        <f t="shared" si="2"/>
        <v>26600000</v>
      </c>
      <c r="W11" s="67">
        <f t="shared" si="3"/>
        <v>25333333.333333336</v>
      </c>
      <c r="X11" s="33"/>
    </row>
    <row r="12" spans="1:24" x14ac:dyDescent="0.2">
      <c r="A12" s="148"/>
      <c r="B12" s="20" t="s">
        <v>37</v>
      </c>
      <c r="C12" s="20">
        <v>9</v>
      </c>
      <c r="D12" s="20" t="s">
        <v>30</v>
      </c>
      <c r="E12" s="20">
        <v>2.5</v>
      </c>
      <c r="F12" s="22">
        <f>'Оптимизация рейсов'!K9</f>
        <v>812.22222222222217</v>
      </c>
      <c r="G12" s="27">
        <v>4000</v>
      </c>
      <c r="H12" s="24"/>
      <c r="I12" s="20">
        <v>164</v>
      </c>
      <c r="J12" s="24"/>
      <c r="K12" s="21">
        <f>'Оптимизация рейсов'!I9</f>
        <v>0.9</v>
      </c>
      <c r="L12" s="24">
        <f>'Оптимизация рейсов'!J9</f>
        <v>0</v>
      </c>
      <c r="M12" s="27">
        <v>12900000</v>
      </c>
      <c r="N12" s="23">
        <f t="shared" si="0"/>
        <v>492435999.99999994</v>
      </c>
      <c r="O12" s="19">
        <v>42000</v>
      </c>
      <c r="P12" s="19">
        <v>6000</v>
      </c>
      <c r="Q12" s="20">
        <v>2</v>
      </c>
      <c r="R12" s="19">
        <v>2000</v>
      </c>
      <c r="S12" s="20">
        <v>4</v>
      </c>
      <c r="T12" s="24">
        <v>2600</v>
      </c>
      <c r="U12" s="24">
        <f t="shared" si="1"/>
        <v>5279444.444444444</v>
      </c>
      <c r="V12" s="75">
        <f t="shared" si="2"/>
        <v>34113333.333333328</v>
      </c>
      <c r="W12" s="67">
        <f t="shared" si="3"/>
        <v>40611111.111111112</v>
      </c>
      <c r="X12" s="33"/>
    </row>
    <row r="13" spans="1:24" x14ac:dyDescent="0.2">
      <c r="A13" s="148"/>
      <c r="B13" s="20" t="s">
        <v>38</v>
      </c>
      <c r="C13" s="20">
        <v>10</v>
      </c>
      <c r="D13" s="20" t="s">
        <v>30</v>
      </c>
      <c r="E13" s="20">
        <v>2</v>
      </c>
      <c r="F13" s="22">
        <f>'Оптимизация рейсов'!K10</f>
        <v>591.11111111111109</v>
      </c>
      <c r="G13" s="27">
        <v>4500</v>
      </c>
      <c r="H13" s="24"/>
      <c r="I13" s="20">
        <v>164</v>
      </c>
      <c r="J13" s="24"/>
      <c r="K13" s="21">
        <f>'Оптимизация рейсов'!I10</f>
        <v>0.9</v>
      </c>
      <c r="L13" s="24">
        <f>'Оптимизация рейсов'!J10</f>
        <v>0</v>
      </c>
      <c r="M13" s="27">
        <v>11400000</v>
      </c>
      <c r="N13" s="23">
        <f t="shared" si="0"/>
        <v>404016000</v>
      </c>
      <c r="O13" s="19">
        <v>42000</v>
      </c>
      <c r="P13" s="19">
        <v>6000</v>
      </c>
      <c r="Q13" s="20">
        <v>2</v>
      </c>
      <c r="R13" s="19">
        <v>2000</v>
      </c>
      <c r="S13" s="20">
        <v>4</v>
      </c>
      <c r="T13" s="24">
        <v>2600</v>
      </c>
      <c r="U13" s="24">
        <f t="shared" si="1"/>
        <v>3073777.7777777775</v>
      </c>
      <c r="V13" s="75">
        <f t="shared" si="2"/>
        <v>24826666.666666664</v>
      </c>
      <c r="W13" s="67">
        <f t="shared" si="3"/>
        <v>23644444.444444444</v>
      </c>
      <c r="X13" s="33"/>
    </row>
    <row r="14" spans="1:24" x14ac:dyDescent="0.2">
      <c r="A14" s="148"/>
      <c r="B14" s="20" t="s">
        <v>39</v>
      </c>
      <c r="C14" s="20">
        <v>10</v>
      </c>
      <c r="D14" s="20" t="s">
        <v>30</v>
      </c>
      <c r="E14" s="20">
        <v>3</v>
      </c>
      <c r="F14" s="22">
        <f>'Оптимизация рейсов'!K11</f>
        <v>541.66666666666663</v>
      </c>
      <c r="G14" s="27">
        <v>5000</v>
      </c>
      <c r="H14" s="24"/>
      <c r="I14" s="20">
        <v>164</v>
      </c>
      <c r="J14" s="24"/>
      <c r="K14" s="21">
        <f>'Оптимизация рейсов'!I11</f>
        <v>0.9</v>
      </c>
      <c r="L14" s="24">
        <f>'Оптимизация рейсов'!J11</f>
        <v>0</v>
      </c>
      <c r="M14" s="27">
        <v>11250000</v>
      </c>
      <c r="N14" s="23">
        <f t="shared" si="0"/>
        <v>411000000</v>
      </c>
      <c r="O14" s="19">
        <v>42000</v>
      </c>
      <c r="P14" s="19">
        <v>6000</v>
      </c>
      <c r="Q14" s="20">
        <v>2</v>
      </c>
      <c r="R14" s="19">
        <v>2000</v>
      </c>
      <c r="S14" s="20">
        <v>4</v>
      </c>
      <c r="T14" s="24">
        <v>2600</v>
      </c>
      <c r="U14" s="24">
        <f t="shared" si="1"/>
        <v>4225000</v>
      </c>
      <c r="V14" s="75">
        <f t="shared" si="2"/>
        <v>22750000</v>
      </c>
      <c r="W14" s="67">
        <f t="shared" si="3"/>
        <v>32499999.999999996</v>
      </c>
      <c r="X14" s="33"/>
    </row>
    <row r="15" spans="1:24" x14ac:dyDescent="0.2">
      <c r="A15" s="148"/>
      <c r="B15" s="131" t="s">
        <v>164</v>
      </c>
      <c r="C15" s="13"/>
      <c r="D15" s="13" t="s">
        <v>180</v>
      </c>
      <c r="E15" s="13">
        <v>2</v>
      </c>
      <c r="F15" s="132">
        <f>MIN(F9,F11)</f>
        <v>633.33333333333337</v>
      </c>
      <c r="G15" s="133">
        <v>5760</v>
      </c>
      <c r="H15" s="134">
        <v>40000</v>
      </c>
      <c r="I15" s="13">
        <v>140</v>
      </c>
      <c r="J15" s="134">
        <v>12</v>
      </c>
      <c r="K15" s="135">
        <v>0.9</v>
      </c>
      <c r="L15" s="134">
        <v>0.8</v>
      </c>
      <c r="M15" s="142">
        <v>11250000</v>
      </c>
      <c r="N15" s="23">
        <f t="shared" si="0"/>
        <v>714098000</v>
      </c>
      <c r="O15" s="19">
        <v>42000</v>
      </c>
      <c r="P15" s="19">
        <v>6000</v>
      </c>
      <c r="Q15" s="20">
        <v>2</v>
      </c>
      <c r="R15" s="19">
        <v>2000</v>
      </c>
      <c r="S15" s="20">
        <v>4</v>
      </c>
      <c r="T15" s="24">
        <v>2600</v>
      </c>
      <c r="U15" s="24">
        <f t="shared" si="1"/>
        <v>3293333.3333333335</v>
      </c>
      <c r="V15" s="75">
        <f t="shared" si="2"/>
        <v>26600000</v>
      </c>
      <c r="W15" s="67">
        <f t="shared" si="3"/>
        <v>25333333.333333336</v>
      </c>
      <c r="X15" s="33"/>
    </row>
    <row r="16" spans="1:24" x14ac:dyDescent="0.2">
      <c r="A16" s="148"/>
      <c r="B16" s="131" t="s">
        <v>162</v>
      </c>
      <c r="C16" s="13"/>
      <c r="D16" s="13" t="s">
        <v>180</v>
      </c>
      <c r="E16" s="13">
        <v>3</v>
      </c>
      <c r="F16" s="132">
        <f>MIN(F6,F12)</f>
        <v>566.66666666666663</v>
      </c>
      <c r="G16" s="133">
        <v>6332</v>
      </c>
      <c r="H16" s="134"/>
      <c r="I16" s="13">
        <v>164</v>
      </c>
      <c r="J16" s="134"/>
      <c r="K16" s="135">
        <v>0.9</v>
      </c>
      <c r="L16" s="134">
        <v>0</v>
      </c>
      <c r="M16" s="142">
        <v>11250000</v>
      </c>
      <c r="N16" s="23">
        <f t="shared" si="0"/>
        <v>540858480</v>
      </c>
      <c r="O16" s="19">
        <v>42000</v>
      </c>
      <c r="P16" s="19">
        <v>6000</v>
      </c>
      <c r="Q16" s="20">
        <v>2</v>
      </c>
      <c r="R16" s="19">
        <v>2000</v>
      </c>
      <c r="S16" s="20">
        <v>4</v>
      </c>
      <c r="T16" s="24">
        <v>2600</v>
      </c>
      <c r="U16" s="24">
        <f t="shared" si="1"/>
        <v>4420000</v>
      </c>
      <c r="V16" s="75">
        <f t="shared" si="2"/>
        <v>23800000</v>
      </c>
      <c r="W16" s="67">
        <f t="shared" si="3"/>
        <v>34000000</v>
      </c>
      <c r="X16" s="33"/>
    </row>
    <row r="17" spans="1:23" x14ac:dyDescent="0.2">
      <c r="A17" s="148"/>
      <c r="B17" s="131" t="s">
        <v>168</v>
      </c>
      <c r="C17" s="13"/>
      <c r="D17" s="13" t="s">
        <v>180</v>
      </c>
      <c r="E17" s="13">
        <v>4</v>
      </c>
      <c r="F17" s="132">
        <f>MIN(F5,F7)</f>
        <v>566.66666666666663</v>
      </c>
      <c r="G17" s="133">
        <v>12990</v>
      </c>
      <c r="H17" s="134"/>
      <c r="I17" s="13">
        <v>164</v>
      </c>
      <c r="J17" s="134"/>
      <c r="K17" s="135">
        <v>0.9</v>
      </c>
      <c r="L17" s="134">
        <v>0</v>
      </c>
      <c r="M17" s="142">
        <v>11250000</v>
      </c>
      <c r="N17" s="23">
        <f t="shared" si="0"/>
        <v>1097733600</v>
      </c>
      <c r="O17" s="19">
        <v>42000</v>
      </c>
      <c r="P17" s="19">
        <v>6000</v>
      </c>
      <c r="Q17" s="20">
        <v>2</v>
      </c>
      <c r="R17" s="19">
        <v>2000</v>
      </c>
      <c r="S17" s="20">
        <v>4</v>
      </c>
      <c r="T17" s="24">
        <v>2600</v>
      </c>
      <c r="U17" s="24">
        <f t="shared" si="1"/>
        <v>5893333.333333333</v>
      </c>
      <c r="V17" s="75">
        <f t="shared" si="2"/>
        <v>23800000</v>
      </c>
      <c r="W17" s="67">
        <f t="shared" si="3"/>
        <v>45333333.333333328</v>
      </c>
    </row>
    <row r="18" spans="1:23" ht="17" thickBot="1" x14ac:dyDescent="0.25">
      <c r="A18" s="149"/>
      <c r="B18" s="136" t="s">
        <v>166</v>
      </c>
      <c r="C18" s="137"/>
      <c r="D18" s="137" t="s">
        <v>180</v>
      </c>
      <c r="E18" s="137">
        <v>2</v>
      </c>
      <c r="F18" s="138">
        <f>MIN(F14,F5)</f>
        <v>541.66666666666663</v>
      </c>
      <c r="G18" s="139">
        <v>9572</v>
      </c>
      <c r="H18" s="140"/>
      <c r="I18" s="137">
        <v>164</v>
      </c>
      <c r="J18" s="140"/>
      <c r="K18" s="141">
        <v>0.9</v>
      </c>
      <c r="L18" s="140">
        <v>0</v>
      </c>
      <c r="M18" s="142">
        <v>11250000</v>
      </c>
      <c r="N18" s="23">
        <f t="shared" si="0"/>
        <v>776531399.99999988</v>
      </c>
      <c r="O18" s="19">
        <v>42000</v>
      </c>
      <c r="P18" s="19">
        <v>6000</v>
      </c>
      <c r="Q18" s="20">
        <v>2</v>
      </c>
      <c r="R18" s="19">
        <v>2000</v>
      </c>
      <c r="S18" s="20">
        <v>4</v>
      </c>
      <c r="T18" s="24">
        <v>2600</v>
      </c>
      <c r="U18" s="24">
        <f t="shared" si="1"/>
        <v>2816666.6666666665</v>
      </c>
      <c r="V18" s="75">
        <f t="shared" si="2"/>
        <v>22750000</v>
      </c>
      <c r="W18" s="67">
        <f t="shared" si="3"/>
        <v>21666666.666666664</v>
      </c>
    </row>
    <row r="19" spans="1:23" ht="17" thickBot="1" x14ac:dyDescent="0.25">
      <c r="A19" s="148" t="s">
        <v>67</v>
      </c>
      <c r="B19" s="28" t="s">
        <v>40</v>
      </c>
      <c r="C19" s="28">
        <v>1</v>
      </c>
      <c r="D19" s="28" t="s">
        <v>0</v>
      </c>
      <c r="E19" s="28">
        <v>14</v>
      </c>
      <c r="F19" s="76">
        <f>'Оптимизация рейсов'!K18</f>
        <v>130.46617915904935</v>
      </c>
      <c r="G19" s="78">
        <v>35000</v>
      </c>
      <c r="H19" s="78">
        <v>80000</v>
      </c>
      <c r="I19" s="28">
        <v>220</v>
      </c>
      <c r="J19" s="28">
        <v>26</v>
      </c>
      <c r="K19" s="79">
        <f>'Оптимизация рейсов'!I18</f>
        <v>0.9</v>
      </c>
      <c r="L19" s="79">
        <f>'Оптимизация рейсов'!J18</f>
        <v>0.8</v>
      </c>
      <c r="M19" s="78">
        <v>3500000</v>
      </c>
      <c r="N19" s="80">
        <f t="shared" ref="N19:N37" si="4">M19+(L19*J19*H19+K19*I19*G19)*F19</f>
        <v>1124726343.6928701</v>
      </c>
      <c r="O19" s="76">
        <v>55000</v>
      </c>
      <c r="P19" s="76">
        <v>8000</v>
      </c>
      <c r="Q19" s="76">
        <v>2</v>
      </c>
      <c r="R19" s="76">
        <v>2500</v>
      </c>
      <c r="S19" s="76">
        <v>8</v>
      </c>
      <c r="T19" s="29">
        <v>4800</v>
      </c>
      <c r="U19" s="29">
        <f t="shared" si="1"/>
        <v>8767327.2394881174</v>
      </c>
      <c r="V19" s="130">
        <f t="shared" si="2"/>
        <v>7175639.8537477143</v>
      </c>
      <c r="W19" s="129">
        <f>F19*(Q19*P19+R19*S19)*E19</f>
        <v>65754954.296160877</v>
      </c>
    </row>
    <row r="20" spans="1:23" ht="17" thickBot="1" x14ac:dyDescent="0.25">
      <c r="A20" s="148"/>
      <c r="B20" s="20" t="s">
        <v>41</v>
      </c>
      <c r="C20" s="20">
        <v>1</v>
      </c>
      <c r="D20" s="20" t="s">
        <v>0</v>
      </c>
      <c r="E20" s="20">
        <v>12</v>
      </c>
      <c r="F20" s="22">
        <f>'Оптимизация рейсов'!K20</f>
        <v>111.11517367458866</v>
      </c>
      <c r="G20" s="19">
        <v>40000</v>
      </c>
      <c r="H20" s="19">
        <v>90000</v>
      </c>
      <c r="I20" s="20">
        <v>220</v>
      </c>
      <c r="J20" s="20">
        <v>26</v>
      </c>
      <c r="K20" s="21">
        <f>'Оптимизация рейсов'!I20</f>
        <v>0.9</v>
      </c>
      <c r="L20" s="21">
        <f>'Оптимизация рейсов'!J20</f>
        <v>0.8</v>
      </c>
      <c r="M20" s="19">
        <v>3000000</v>
      </c>
      <c r="N20" s="26">
        <f t="shared" si="4"/>
        <v>1091039780.6215723</v>
      </c>
      <c r="O20" s="22">
        <v>55000</v>
      </c>
      <c r="P20" s="22">
        <v>8000</v>
      </c>
      <c r="Q20" s="22">
        <v>2</v>
      </c>
      <c r="R20" s="22">
        <v>2500</v>
      </c>
      <c r="S20" s="22">
        <v>8</v>
      </c>
      <c r="T20" s="24">
        <v>4800</v>
      </c>
      <c r="U20" s="24">
        <f t="shared" si="1"/>
        <v>6400234.0036563072</v>
      </c>
      <c r="V20" s="97">
        <f t="shared" si="2"/>
        <v>6111334.5521023767</v>
      </c>
      <c r="W20" s="91">
        <f t="shared" ref="W20:W33" si="5">F20*(Q20*P20+R20*S20)*E20</f>
        <v>48001755.027422301</v>
      </c>
    </row>
    <row r="21" spans="1:23" ht="17" thickBot="1" x14ac:dyDescent="0.25">
      <c r="A21" s="148"/>
      <c r="B21" s="20" t="s">
        <v>42</v>
      </c>
      <c r="C21" s="20">
        <v>1</v>
      </c>
      <c r="D21" s="20" t="s">
        <v>0</v>
      </c>
      <c r="E21" s="20">
        <v>14</v>
      </c>
      <c r="F21" s="22">
        <f>'Оптимизация рейсов'!K22</f>
        <v>83.135283363802557</v>
      </c>
      <c r="G21" s="19">
        <v>35000</v>
      </c>
      <c r="H21" s="19">
        <v>85000</v>
      </c>
      <c r="I21" s="20">
        <v>220</v>
      </c>
      <c r="J21" s="20">
        <v>26</v>
      </c>
      <c r="K21" s="21">
        <f>'Оптимизация рейсов'!I22</f>
        <v>0.9</v>
      </c>
      <c r="L21" s="21">
        <f>'Оптимизация рейсов'!J22</f>
        <v>0.8</v>
      </c>
      <c r="M21" s="19">
        <v>2500000</v>
      </c>
      <c r="N21" s="26">
        <f t="shared" si="4"/>
        <v>725610694.6983546</v>
      </c>
      <c r="O21" s="22">
        <v>55000</v>
      </c>
      <c r="P21" s="22">
        <v>8000</v>
      </c>
      <c r="Q21" s="22">
        <v>2</v>
      </c>
      <c r="R21" s="22">
        <v>2500</v>
      </c>
      <c r="S21" s="22">
        <v>8</v>
      </c>
      <c r="T21" s="24">
        <v>4800</v>
      </c>
      <c r="U21" s="24">
        <f t="shared" si="1"/>
        <v>5586691.0420475313</v>
      </c>
      <c r="V21" s="97">
        <f t="shared" si="2"/>
        <v>4572440.5850091409</v>
      </c>
      <c r="W21" s="91">
        <f t="shared" si="5"/>
        <v>41900182.815356486</v>
      </c>
    </row>
    <row r="22" spans="1:23" ht="17" thickBot="1" x14ac:dyDescent="0.25">
      <c r="A22" s="148"/>
      <c r="B22" s="20" t="s">
        <v>43</v>
      </c>
      <c r="C22" s="20">
        <v>2</v>
      </c>
      <c r="D22" s="20" t="s">
        <v>0</v>
      </c>
      <c r="E22" s="20">
        <v>9</v>
      </c>
      <c r="F22" s="22">
        <f>'Оптимизация рейсов'!K24</f>
        <v>131.3528336380256</v>
      </c>
      <c r="G22" s="19">
        <v>40000</v>
      </c>
      <c r="H22" s="19">
        <v>110000</v>
      </c>
      <c r="I22" s="20">
        <v>220</v>
      </c>
      <c r="J22" s="20">
        <v>26</v>
      </c>
      <c r="K22" s="21">
        <f>'Оптимизация рейсов'!I24</f>
        <v>0.9</v>
      </c>
      <c r="L22" s="21">
        <f>'Оптимизация рейсов'!J24</f>
        <v>0.8</v>
      </c>
      <c r="M22" s="19">
        <v>3750000</v>
      </c>
      <c r="N22" s="26">
        <f t="shared" si="4"/>
        <v>1344599725.7769654</v>
      </c>
      <c r="O22" s="22">
        <v>55000</v>
      </c>
      <c r="P22" s="22">
        <v>8000</v>
      </c>
      <c r="Q22" s="22">
        <v>2</v>
      </c>
      <c r="R22" s="22">
        <v>2500</v>
      </c>
      <c r="S22" s="22">
        <v>8</v>
      </c>
      <c r="T22" s="24">
        <v>4800</v>
      </c>
      <c r="U22" s="24">
        <f t="shared" si="1"/>
        <v>5674442.4131627055</v>
      </c>
      <c r="V22" s="97">
        <f t="shared" si="2"/>
        <v>7224405.850091408</v>
      </c>
      <c r="W22" s="91">
        <f t="shared" si="5"/>
        <v>42558318.098720297</v>
      </c>
    </row>
    <row r="23" spans="1:23" ht="17" thickBot="1" x14ac:dyDescent="0.25">
      <c r="A23" s="148"/>
      <c r="B23" s="20" t="s">
        <v>44</v>
      </c>
      <c r="C23" s="20">
        <v>2</v>
      </c>
      <c r="D23" s="20" t="s">
        <v>0</v>
      </c>
      <c r="E23" s="20">
        <v>14</v>
      </c>
      <c r="F23" s="22">
        <f>'Оптимизация рейсов'!K26</f>
        <v>121.76416819012796</v>
      </c>
      <c r="G23" s="19">
        <v>35000</v>
      </c>
      <c r="H23" s="19">
        <v>90000</v>
      </c>
      <c r="I23" s="20">
        <v>220</v>
      </c>
      <c r="J23" s="20">
        <v>26</v>
      </c>
      <c r="K23" s="21">
        <f>'Оптимизация рейсов'!I26</f>
        <v>0.9</v>
      </c>
      <c r="L23" s="21">
        <f>'Оптимизация рейсов'!J26</f>
        <v>0.8</v>
      </c>
      <c r="M23" s="19">
        <v>3500000</v>
      </c>
      <c r="N23" s="26">
        <f t="shared" si="4"/>
        <v>1075268208.4095063</v>
      </c>
      <c r="O23" s="22">
        <v>55000</v>
      </c>
      <c r="P23" s="22">
        <v>8000</v>
      </c>
      <c r="Q23" s="22">
        <v>2</v>
      </c>
      <c r="R23" s="22">
        <v>2500</v>
      </c>
      <c r="S23" s="22">
        <v>8</v>
      </c>
      <c r="T23" s="24">
        <v>4800</v>
      </c>
      <c r="U23" s="24">
        <f t="shared" si="1"/>
        <v>8182552.1023765989</v>
      </c>
      <c r="V23" s="97">
        <f t="shared" si="2"/>
        <v>6697029.2504570382</v>
      </c>
      <c r="W23" s="91">
        <f t="shared" si="5"/>
        <v>61369140.767824493</v>
      </c>
    </row>
    <row r="24" spans="1:23" ht="17" thickBot="1" x14ac:dyDescent="0.25">
      <c r="A24" s="148"/>
      <c r="B24" s="20" t="s">
        <v>45</v>
      </c>
      <c r="C24" s="20">
        <v>2</v>
      </c>
      <c r="D24" s="20" t="s">
        <v>0</v>
      </c>
      <c r="E24" s="20">
        <v>5</v>
      </c>
      <c r="F24" s="22">
        <f>'Оптимизация рейсов'!K28</f>
        <v>150.48951048951048</v>
      </c>
      <c r="G24" s="19">
        <v>30000</v>
      </c>
      <c r="H24" s="19">
        <v>100000</v>
      </c>
      <c r="I24" s="20">
        <v>240</v>
      </c>
      <c r="J24" s="20">
        <v>16</v>
      </c>
      <c r="K24" s="21">
        <f>'Оптимизация рейсов'!I28</f>
        <v>0.9</v>
      </c>
      <c r="L24" s="21">
        <f>'Оптимизация рейсов'!J28</f>
        <v>0.8</v>
      </c>
      <c r="M24" s="19">
        <v>4000000</v>
      </c>
      <c r="N24" s="26">
        <f t="shared" si="4"/>
        <v>1171798601.3986013</v>
      </c>
      <c r="O24" s="22">
        <v>55000</v>
      </c>
      <c r="P24" s="22">
        <v>8000</v>
      </c>
      <c r="Q24" s="22">
        <v>2</v>
      </c>
      <c r="R24" s="22">
        <v>2500</v>
      </c>
      <c r="S24" s="22">
        <v>8</v>
      </c>
      <c r="T24" s="24">
        <v>4800</v>
      </c>
      <c r="U24" s="24">
        <f t="shared" si="1"/>
        <v>3611748.2517482517</v>
      </c>
      <c r="V24" s="97">
        <f t="shared" si="2"/>
        <v>8276923.0769230761</v>
      </c>
      <c r="W24" s="91">
        <f t="shared" si="5"/>
        <v>27088111.888111886</v>
      </c>
    </row>
    <row r="25" spans="1:23" ht="17" thickBot="1" x14ac:dyDescent="0.25">
      <c r="A25" s="148"/>
      <c r="B25" s="20" t="s">
        <v>46</v>
      </c>
      <c r="C25" s="20">
        <v>3</v>
      </c>
      <c r="D25" s="20" t="s">
        <v>5</v>
      </c>
      <c r="E25" s="20">
        <v>6</v>
      </c>
      <c r="F25" s="22">
        <f>'Оптимизация рейсов'!K30</f>
        <v>74.68531468531468</v>
      </c>
      <c r="G25" s="19">
        <v>45000</v>
      </c>
      <c r="H25" s="19">
        <v>120000</v>
      </c>
      <c r="I25" s="20">
        <v>240</v>
      </c>
      <c r="J25" s="20">
        <v>16</v>
      </c>
      <c r="K25" s="21">
        <f>'Оптимизация рейсов'!I30</f>
        <v>0.9</v>
      </c>
      <c r="L25" s="21">
        <f>'Оптимизация рейсов'!J30</f>
        <v>0.8</v>
      </c>
      <c r="M25" s="19">
        <v>2000000</v>
      </c>
      <c r="N25" s="26">
        <f t="shared" si="4"/>
        <v>842657902.09790206</v>
      </c>
      <c r="O25" s="22">
        <v>55000</v>
      </c>
      <c r="P25" s="22">
        <v>8000</v>
      </c>
      <c r="Q25" s="22">
        <v>2</v>
      </c>
      <c r="R25" s="22">
        <v>2500</v>
      </c>
      <c r="S25" s="22">
        <v>8</v>
      </c>
      <c r="T25" s="24">
        <v>5600</v>
      </c>
      <c r="U25" s="24">
        <f t="shared" si="1"/>
        <v>2509426.5734265735</v>
      </c>
      <c r="V25" s="97">
        <f t="shared" si="2"/>
        <v>4107692.3076923075</v>
      </c>
      <c r="W25" s="91">
        <f t="shared" si="5"/>
        <v>16132027.972027969</v>
      </c>
    </row>
    <row r="26" spans="1:23" ht="17" thickBot="1" x14ac:dyDescent="0.25">
      <c r="A26" s="148"/>
      <c r="B26" s="20" t="s">
        <v>47</v>
      </c>
      <c r="C26" s="20">
        <v>3</v>
      </c>
      <c r="D26" s="20" t="s">
        <v>5</v>
      </c>
      <c r="E26" s="20">
        <v>10</v>
      </c>
      <c r="F26" s="22">
        <f>'Оптимизация рейсов'!K32</f>
        <v>83.56643356643356</v>
      </c>
      <c r="G26" s="19">
        <v>35000</v>
      </c>
      <c r="H26" s="19">
        <v>75000</v>
      </c>
      <c r="I26" s="20">
        <v>240</v>
      </c>
      <c r="J26" s="20">
        <v>16</v>
      </c>
      <c r="K26" s="21">
        <f>'Оптимизация рейсов'!I32</f>
        <v>0.9</v>
      </c>
      <c r="L26" s="21">
        <f>'Оптимизация рейсов'!J32</f>
        <v>0.8</v>
      </c>
      <c r="M26" s="19">
        <v>2500000</v>
      </c>
      <c r="N26" s="26">
        <f t="shared" si="4"/>
        <v>714486013.98601389</v>
      </c>
      <c r="O26" s="22">
        <v>55000</v>
      </c>
      <c r="P26" s="22">
        <v>8000</v>
      </c>
      <c r="Q26" s="22">
        <v>2</v>
      </c>
      <c r="R26" s="22">
        <v>2500</v>
      </c>
      <c r="S26" s="22">
        <v>8</v>
      </c>
      <c r="T26" s="24">
        <v>5600</v>
      </c>
      <c r="U26" s="24">
        <f t="shared" si="1"/>
        <v>4679720.2797202794</v>
      </c>
      <c r="V26" s="97">
        <f t="shared" si="2"/>
        <v>4596153.846153846</v>
      </c>
      <c r="W26" s="91">
        <f t="shared" si="5"/>
        <v>30083916.083916083</v>
      </c>
    </row>
    <row r="27" spans="1:23" ht="17" thickBot="1" x14ac:dyDescent="0.25">
      <c r="A27" s="148"/>
      <c r="B27" s="20" t="s">
        <v>48</v>
      </c>
      <c r="C27" s="20">
        <v>3</v>
      </c>
      <c r="D27" s="20" t="s">
        <v>5</v>
      </c>
      <c r="E27" s="20">
        <v>9</v>
      </c>
      <c r="F27" s="22">
        <f>'Оптимизация рейсов'!K34</f>
        <v>149.37062937062936</v>
      </c>
      <c r="G27" s="19">
        <v>30000</v>
      </c>
      <c r="H27" s="19">
        <v>80000</v>
      </c>
      <c r="I27" s="20">
        <v>240</v>
      </c>
      <c r="J27" s="20">
        <v>16</v>
      </c>
      <c r="K27" s="21">
        <f>'Оптимизация рейсов'!I34</f>
        <v>0.9</v>
      </c>
      <c r="L27" s="21">
        <f>'Оптимизация рейсов'!J34</f>
        <v>0.8</v>
      </c>
      <c r="M27" s="19">
        <v>4000000</v>
      </c>
      <c r="N27" s="26">
        <f t="shared" si="4"/>
        <v>1124877202.7972028</v>
      </c>
      <c r="O27" s="22">
        <v>55000</v>
      </c>
      <c r="P27" s="22">
        <v>8000</v>
      </c>
      <c r="Q27" s="22">
        <v>2</v>
      </c>
      <c r="R27" s="22">
        <v>2500</v>
      </c>
      <c r="S27" s="22">
        <v>8</v>
      </c>
      <c r="T27" s="24">
        <v>5600</v>
      </c>
      <c r="U27" s="24">
        <f t="shared" si="1"/>
        <v>7528279.7202797197</v>
      </c>
      <c r="V27" s="97">
        <f t="shared" si="2"/>
        <v>8215384.615384615</v>
      </c>
      <c r="W27" s="91">
        <f t="shared" si="5"/>
        <v>48396083.91608391</v>
      </c>
    </row>
    <row r="28" spans="1:23" ht="17" thickBot="1" x14ac:dyDescent="0.25">
      <c r="A28" s="148"/>
      <c r="B28" s="20" t="s">
        <v>49</v>
      </c>
      <c r="C28" s="20">
        <v>3</v>
      </c>
      <c r="D28" s="20" t="s">
        <v>5</v>
      </c>
      <c r="E28" s="20">
        <v>9</v>
      </c>
      <c r="F28" s="22">
        <f>'Оптимизация рейсов'!K36</f>
        <v>148.8111888111888</v>
      </c>
      <c r="G28" s="19">
        <v>25000</v>
      </c>
      <c r="H28" s="19">
        <v>70000</v>
      </c>
      <c r="I28" s="20">
        <v>240</v>
      </c>
      <c r="J28" s="20">
        <v>16</v>
      </c>
      <c r="K28" s="21">
        <f>'Оптимизация рейсов'!I36</f>
        <v>0.9</v>
      </c>
      <c r="L28" s="21">
        <f>'Оптимизация рейсов'!J36</f>
        <v>0.8</v>
      </c>
      <c r="M28" s="19">
        <v>4000000</v>
      </c>
      <c r="N28" s="26">
        <f t="shared" si="4"/>
        <v>940915244.75524473</v>
      </c>
      <c r="O28" s="22">
        <v>55000</v>
      </c>
      <c r="P28" s="22">
        <v>8000</v>
      </c>
      <c r="Q28" s="22">
        <v>2</v>
      </c>
      <c r="R28" s="22">
        <v>2500</v>
      </c>
      <c r="S28" s="22">
        <v>8</v>
      </c>
      <c r="T28" s="24">
        <v>5600</v>
      </c>
      <c r="U28" s="24">
        <f t="shared" si="1"/>
        <v>7500083.9160839161</v>
      </c>
      <c r="V28" s="97">
        <f t="shared" si="2"/>
        <v>8184615.384615384</v>
      </c>
      <c r="W28" s="91">
        <f t="shared" si="5"/>
        <v>48214825.174825169</v>
      </c>
    </row>
    <row r="29" spans="1:23" ht="17" thickBot="1" x14ac:dyDescent="0.25">
      <c r="A29" s="148"/>
      <c r="B29" s="20" t="s">
        <v>50</v>
      </c>
      <c r="C29" s="20">
        <v>4</v>
      </c>
      <c r="D29" s="20" t="s">
        <v>5</v>
      </c>
      <c r="E29" s="20">
        <v>4.5</v>
      </c>
      <c r="F29" s="22">
        <f>'Оптимизация рейсов'!K38</f>
        <v>132.16783216783216</v>
      </c>
      <c r="G29" s="19">
        <v>15000</v>
      </c>
      <c r="H29" s="19">
        <v>75000</v>
      </c>
      <c r="I29" s="20">
        <v>240</v>
      </c>
      <c r="J29" s="20">
        <v>16</v>
      </c>
      <c r="K29" s="21">
        <f>'Оптимизация рейсов'!I38</f>
        <v>0.9</v>
      </c>
      <c r="L29" s="21">
        <f>'Оптимизация рейсов'!J38</f>
        <v>0.8</v>
      </c>
      <c r="M29" s="19">
        <v>3750000</v>
      </c>
      <c r="N29" s="26">
        <f t="shared" si="4"/>
        <v>558854895.10489511</v>
      </c>
      <c r="O29" s="22">
        <v>55000</v>
      </c>
      <c r="P29" s="22">
        <v>8000</v>
      </c>
      <c r="Q29" s="22">
        <v>2</v>
      </c>
      <c r="R29" s="22">
        <v>2500</v>
      </c>
      <c r="S29" s="22">
        <v>8</v>
      </c>
      <c r="T29" s="24">
        <v>5600</v>
      </c>
      <c r="U29" s="24">
        <f t="shared" si="1"/>
        <v>3330629.3706293702</v>
      </c>
      <c r="V29" s="97">
        <f t="shared" si="2"/>
        <v>7269230.769230769</v>
      </c>
      <c r="W29" s="91">
        <f t="shared" si="5"/>
        <v>21411188.81118881</v>
      </c>
    </row>
    <row r="30" spans="1:23" ht="17" thickBot="1" x14ac:dyDescent="0.25">
      <c r="A30" s="148"/>
      <c r="B30" s="20" t="s">
        <v>51</v>
      </c>
      <c r="C30" s="20">
        <v>4</v>
      </c>
      <c r="D30" s="20" t="s">
        <v>5</v>
      </c>
      <c r="E30" s="20">
        <v>4.5</v>
      </c>
      <c r="F30" s="22">
        <f>'Оптимизация рейсов'!K40</f>
        <v>130.69930069930069</v>
      </c>
      <c r="G30" s="19">
        <v>15000</v>
      </c>
      <c r="H30" s="19">
        <v>75000</v>
      </c>
      <c r="I30" s="20">
        <v>240</v>
      </c>
      <c r="J30" s="20">
        <v>16</v>
      </c>
      <c r="K30" s="21">
        <f>'Оптимизация рейсов'!I40</f>
        <v>0.9</v>
      </c>
      <c r="L30" s="21">
        <f>'Оптимизация рейсов'!J40</f>
        <v>0.8</v>
      </c>
      <c r="M30" s="19">
        <v>3500000</v>
      </c>
      <c r="N30" s="26">
        <f t="shared" si="4"/>
        <v>552437062.93706286</v>
      </c>
      <c r="O30" s="22">
        <v>55000</v>
      </c>
      <c r="P30" s="22">
        <v>8000</v>
      </c>
      <c r="Q30" s="22">
        <v>2</v>
      </c>
      <c r="R30" s="22">
        <v>2500</v>
      </c>
      <c r="S30" s="22">
        <v>8</v>
      </c>
      <c r="T30" s="24">
        <v>5600</v>
      </c>
      <c r="U30" s="24">
        <f t="shared" si="1"/>
        <v>3293622.3776223776</v>
      </c>
      <c r="V30" s="97">
        <f t="shared" si="2"/>
        <v>7188461.538461538</v>
      </c>
      <c r="W30" s="91">
        <f t="shared" si="5"/>
        <v>21173286.713286713</v>
      </c>
    </row>
    <row r="31" spans="1:23" ht="17" thickBot="1" x14ac:dyDescent="0.25">
      <c r="A31" s="148"/>
      <c r="B31" s="20" t="s">
        <v>52</v>
      </c>
      <c r="C31" s="20">
        <v>4</v>
      </c>
      <c r="D31" s="20" t="s">
        <v>5</v>
      </c>
      <c r="E31" s="20">
        <v>5</v>
      </c>
      <c r="F31" s="22">
        <f>'Оптимизация рейсов'!K42</f>
        <v>120.45454545454545</v>
      </c>
      <c r="G31" s="19">
        <v>15000</v>
      </c>
      <c r="H31" s="19">
        <v>70000</v>
      </c>
      <c r="I31" s="20">
        <v>240</v>
      </c>
      <c r="J31" s="20">
        <v>16</v>
      </c>
      <c r="K31" s="21">
        <f>'Оптимизация рейсов'!I42</f>
        <v>0.9</v>
      </c>
      <c r="L31" s="21">
        <f>'Оптимизация рейсов'!J42</f>
        <v>0.8</v>
      </c>
      <c r="M31" s="19">
        <v>3250000</v>
      </c>
      <c r="N31" s="26">
        <f t="shared" si="4"/>
        <v>501450000</v>
      </c>
      <c r="O31" s="22">
        <v>55000</v>
      </c>
      <c r="P31" s="22">
        <v>8000</v>
      </c>
      <c r="Q31" s="22">
        <v>2</v>
      </c>
      <c r="R31" s="22">
        <v>2500</v>
      </c>
      <c r="S31" s="22">
        <v>8</v>
      </c>
      <c r="T31" s="24">
        <v>5600</v>
      </c>
      <c r="U31" s="24">
        <f>T31*F31*E31</f>
        <v>3372727.2727272729</v>
      </c>
      <c r="V31" s="97">
        <f t="shared" si="2"/>
        <v>6625000</v>
      </c>
      <c r="W31" s="91">
        <f t="shared" si="5"/>
        <v>21681818.181818184</v>
      </c>
    </row>
    <row r="32" spans="1:23" ht="17" thickBot="1" x14ac:dyDescent="0.25">
      <c r="A32" s="148"/>
      <c r="B32" s="20" t="s">
        <v>53</v>
      </c>
      <c r="C32" s="20">
        <v>4</v>
      </c>
      <c r="D32" s="20" t="s">
        <v>5</v>
      </c>
      <c r="E32" s="20">
        <v>5</v>
      </c>
      <c r="F32" s="22">
        <f>'Оптимизация рейсов'!K44</f>
        <v>114.09090909090908</v>
      </c>
      <c r="G32" s="19">
        <v>15000</v>
      </c>
      <c r="H32" s="19">
        <v>70000</v>
      </c>
      <c r="I32" s="20">
        <v>240</v>
      </c>
      <c r="J32" s="20">
        <v>16</v>
      </c>
      <c r="K32" s="21">
        <f>'Оптимизация рейсов'!I44</f>
        <v>0.9</v>
      </c>
      <c r="L32" s="21">
        <f>'Оптимизация рейсов'!J44</f>
        <v>0.8</v>
      </c>
      <c r="M32" s="19">
        <v>3250000</v>
      </c>
      <c r="N32" s="26">
        <f t="shared" si="4"/>
        <v>475129999.99999994</v>
      </c>
      <c r="O32" s="22">
        <v>55000</v>
      </c>
      <c r="P32" s="22">
        <v>8000</v>
      </c>
      <c r="Q32" s="22">
        <v>2</v>
      </c>
      <c r="R32" s="22">
        <v>2500</v>
      </c>
      <c r="S32" s="22">
        <v>8</v>
      </c>
      <c r="T32" s="24">
        <v>5600</v>
      </c>
      <c r="U32" s="24">
        <f t="shared" si="1"/>
        <v>3194545.4545454541</v>
      </c>
      <c r="V32" s="97">
        <f t="shared" si="2"/>
        <v>6274999.9999999991</v>
      </c>
      <c r="W32" s="91">
        <f t="shared" si="5"/>
        <v>20536363.636363637</v>
      </c>
    </row>
    <row r="33" spans="1:23" ht="17" thickBot="1" x14ac:dyDescent="0.25">
      <c r="A33" s="148"/>
      <c r="B33" s="20" t="s">
        <v>54</v>
      </c>
      <c r="C33" s="20">
        <v>4</v>
      </c>
      <c r="D33" s="20" t="s">
        <v>5</v>
      </c>
      <c r="E33" s="20">
        <v>5</v>
      </c>
      <c r="F33" s="22">
        <f>'Оптимизация рейсов'!K46</f>
        <v>114.09090909090908</v>
      </c>
      <c r="G33" s="19">
        <v>15000</v>
      </c>
      <c r="H33" s="19">
        <v>70000</v>
      </c>
      <c r="I33" s="20">
        <v>240</v>
      </c>
      <c r="J33" s="20">
        <v>16</v>
      </c>
      <c r="K33" s="21">
        <f>'Оптимизация рейсов'!I46</f>
        <v>0.9</v>
      </c>
      <c r="L33" s="21">
        <f>'Оптимизация рейсов'!J46</f>
        <v>0.8</v>
      </c>
      <c r="M33" s="19">
        <v>3250000</v>
      </c>
      <c r="N33" s="26">
        <f t="shared" si="4"/>
        <v>475129999.99999994</v>
      </c>
      <c r="O33" s="22">
        <v>55000</v>
      </c>
      <c r="P33" s="22">
        <v>8000</v>
      </c>
      <c r="Q33" s="22">
        <v>2</v>
      </c>
      <c r="R33" s="22">
        <v>2500</v>
      </c>
      <c r="S33" s="22">
        <v>8</v>
      </c>
      <c r="T33" s="24">
        <v>5600</v>
      </c>
      <c r="U33" s="24">
        <f t="shared" si="1"/>
        <v>3194545.4545454541</v>
      </c>
      <c r="V33" s="97">
        <f t="shared" si="2"/>
        <v>6274999.9999999991</v>
      </c>
      <c r="W33" s="91">
        <f t="shared" si="5"/>
        <v>20536363.636363637</v>
      </c>
    </row>
    <row r="34" spans="1:23" ht="17" thickBot="1" x14ac:dyDescent="0.25">
      <c r="A34" s="149"/>
      <c r="B34" s="92" t="s">
        <v>55</v>
      </c>
      <c r="C34" s="92">
        <v>4</v>
      </c>
      <c r="D34" s="92" t="s">
        <v>5</v>
      </c>
      <c r="E34" s="92">
        <v>8</v>
      </c>
      <c r="F34" s="93">
        <f>'Оптимизация рейсов'!K48</f>
        <v>66.293706293706293</v>
      </c>
      <c r="G34" s="96">
        <v>20000</v>
      </c>
      <c r="H34" s="96">
        <v>110000</v>
      </c>
      <c r="I34" s="92">
        <v>240</v>
      </c>
      <c r="J34" s="92">
        <v>16</v>
      </c>
      <c r="K34" s="95">
        <f>'Оптимизация рейсов'!I48</f>
        <v>0.9</v>
      </c>
      <c r="L34" s="95">
        <f>'Оптимизация рейсов'!J48</f>
        <v>0.8</v>
      </c>
      <c r="M34" s="96">
        <v>2000000</v>
      </c>
      <c r="N34" s="99">
        <f t="shared" si="4"/>
        <v>381730349.65034968</v>
      </c>
      <c r="O34" s="93">
        <v>55000</v>
      </c>
      <c r="P34" s="93">
        <v>8000</v>
      </c>
      <c r="Q34" s="93">
        <v>2</v>
      </c>
      <c r="R34" s="93">
        <v>2500</v>
      </c>
      <c r="S34" s="93">
        <v>8</v>
      </c>
      <c r="T34" s="94">
        <v>5600</v>
      </c>
      <c r="U34" s="94">
        <f t="shared" si="1"/>
        <v>2969958.041958042</v>
      </c>
      <c r="V34" s="97">
        <f t="shared" si="2"/>
        <v>3646153.846153846</v>
      </c>
      <c r="W34" s="69">
        <f>F34*(Q34*P34+R34*S34)*E34</f>
        <v>19092587.412587412</v>
      </c>
    </row>
    <row r="35" spans="1:23" ht="17" thickBot="1" x14ac:dyDescent="0.25">
      <c r="A35" s="150" t="s">
        <v>159</v>
      </c>
      <c r="B35" s="100" t="s">
        <v>105</v>
      </c>
      <c r="C35" s="101">
        <v>4</v>
      </c>
      <c r="D35" s="100" t="s">
        <v>157</v>
      </c>
      <c r="E35" s="101">
        <v>4</v>
      </c>
      <c r="F35" s="101">
        <v>420</v>
      </c>
      <c r="G35" s="101">
        <v>13000</v>
      </c>
      <c r="H35" s="101">
        <v>60000</v>
      </c>
      <c r="I35" s="101">
        <v>220</v>
      </c>
      <c r="J35" s="101">
        <v>26</v>
      </c>
      <c r="K35" s="102">
        <v>1</v>
      </c>
      <c r="L35" s="102">
        <v>0.8</v>
      </c>
      <c r="M35" s="101">
        <v>3250000</v>
      </c>
      <c r="N35" s="103">
        <f t="shared" si="4"/>
        <v>1728610000</v>
      </c>
      <c r="O35" s="98">
        <v>55000</v>
      </c>
      <c r="P35" s="98">
        <v>8000</v>
      </c>
      <c r="Q35" s="98">
        <v>2</v>
      </c>
      <c r="R35" s="98">
        <v>2500</v>
      </c>
      <c r="S35" s="98">
        <v>8</v>
      </c>
      <c r="T35" s="86">
        <v>4800</v>
      </c>
      <c r="U35" s="94">
        <f>T35*F35*E35</f>
        <v>8064000</v>
      </c>
      <c r="V35" s="97">
        <f t="shared" si="2"/>
        <v>23100000</v>
      </c>
      <c r="W35" s="69">
        <f t="shared" ref="W35:W37" si="6">F35*(Q35*P35+R35*S35)*E35</f>
        <v>60480000</v>
      </c>
    </row>
    <row r="36" spans="1:23" ht="17" thickBot="1" x14ac:dyDescent="0.25">
      <c r="A36" s="151"/>
      <c r="B36" s="70" t="s">
        <v>158</v>
      </c>
      <c r="C36" s="71">
        <v>3</v>
      </c>
      <c r="D36" s="70" t="s">
        <v>157</v>
      </c>
      <c r="E36" s="71">
        <v>9</v>
      </c>
      <c r="F36" s="71">
        <v>150</v>
      </c>
      <c r="G36" s="71">
        <v>26500</v>
      </c>
      <c r="H36" s="71">
        <v>70000</v>
      </c>
      <c r="I36" s="71">
        <v>220</v>
      </c>
      <c r="J36" s="71">
        <v>26</v>
      </c>
      <c r="K36" s="72">
        <v>1</v>
      </c>
      <c r="L36" s="72">
        <v>0.8</v>
      </c>
      <c r="M36" s="71">
        <v>4000000</v>
      </c>
      <c r="N36" s="26">
        <f>M36+(L36*J36*H36+K36*I36*G36)*F36</f>
        <v>1096900000</v>
      </c>
      <c r="O36" s="22">
        <v>55000</v>
      </c>
      <c r="P36" s="22">
        <v>8000</v>
      </c>
      <c r="Q36" s="22">
        <v>2</v>
      </c>
      <c r="R36" s="22">
        <v>2500</v>
      </c>
      <c r="S36" s="22">
        <v>8</v>
      </c>
      <c r="T36" s="24">
        <v>4800</v>
      </c>
      <c r="U36" s="94">
        <f t="shared" si="1"/>
        <v>6480000</v>
      </c>
      <c r="V36" s="97">
        <f t="shared" si="2"/>
        <v>8250000</v>
      </c>
      <c r="W36" s="69">
        <f t="shared" si="6"/>
        <v>48600000</v>
      </c>
    </row>
    <row r="37" spans="1:23" ht="17" thickBot="1" x14ac:dyDescent="0.25">
      <c r="A37" s="152"/>
      <c r="B37" s="104" t="s">
        <v>103</v>
      </c>
      <c r="C37" s="105">
        <v>3</v>
      </c>
      <c r="D37" s="104" t="s">
        <v>157</v>
      </c>
      <c r="E37" s="105">
        <v>9</v>
      </c>
      <c r="F37" s="105">
        <v>150</v>
      </c>
      <c r="G37" s="105">
        <v>22000</v>
      </c>
      <c r="H37" s="105">
        <v>60000</v>
      </c>
      <c r="I37" s="105">
        <v>220</v>
      </c>
      <c r="J37" s="105">
        <v>26</v>
      </c>
      <c r="K37" s="106">
        <v>1</v>
      </c>
      <c r="L37" s="106">
        <v>0.8</v>
      </c>
      <c r="M37" s="105">
        <v>4000000</v>
      </c>
      <c r="N37" s="99">
        <f t="shared" si="4"/>
        <v>917200000</v>
      </c>
      <c r="O37" s="93">
        <v>55000</v>
      </c>
      <c r="P37" s="93">
        <v>8000</v>
      </c>
      <c r="Q37" s="93">
        <v>2</v>
      </c>
      <c r="R37" s="93">
        <v>2500</v>
      </c>
      <c r="S37" s="93">
        <v>8</v>
      </c>
      <c r="T37" s="94">
        <v>4800</v>
      </c>
      <c r="U37" s="94">
        <f t="shared" si="1"/>
        <v>6480000</v>
      </c>
      <c r="V37" s="97">
        <f t="shared" si="2"/>
        <v>8250000</v>
      </c>
      <c r="W37" s="69">
        <f t="shared" si="6"/>
        <v>48600000</v>
      </c>
    </row>
    <row r="38" spans="1:23" x14ac:dyDescent="0.2">
      <c r="N38" s="2">
        <f>SUM(N35:N37)</f>
        <v>3742710000</v>
      </c>
    </row>
    <row r="40" spans="1:23" x14ac:dyDescent="0.2">
      <c r="B40" s="1" t="s">
        <v>161</v>
      </c>
      <c r="C40" s="1" t="s">
        <v>178</v>
      </c>
      <c r="D40" s="1" t="s">
        <v>179</v>
      </c>
      <c r="E40" s="1" t="s">
        <v>160</v>
      </c>
    </row>
    <row r="41" spans="1:23" x14ac:dyDescent="0.2">
      <c r="A41" s="1" t="s">
        <v>69</v>
      </c>
      <c r="B41" s="2">
        <f>SUM(N5:N18)</f>
        <v>9691678241.0619469</v>
      </c>
      <c r="C41" s="1">
        <f>SUM(U5:U18)</f>
        <v>70889370.69813177</v>
      </c>
      <c r="D41" s="2">
        <f>SUM(W5:W18)</f>
        <v>545302851.52409029</v>
      </c>
      <c r="E41" s="2">
        <f>SUM(V5:V18)</f>
        <v>397520914.45427728</v>
      </c>
    </row>
    <row r="42" spans="1:23" x14ac:dyDescent="0.2">
      <c r="A42" s="1" t="s">
        <v>93</v>
      </c>
      <c r="B42" s="2">
        <f>SUM(N19:N34)</f>
        <v>13100712025.926542</v>
      </c>
      <c r="C42" s="1">
        <f>SUM(U19:U34)</f>
        <v>79796533.514017969</v>
      </c>
      <c r="D42" s="2">
        <f>SUM(W19:W34)</f>
        <v>553930924.43205786</v>
      </c>
      <c r="E42" s="2">
        <f>SUM(V19:V34)</f>
        <v>102440465.47602306</v>
      </c>
    </row>
    <row r="43" spans="1:23" x14ac:dyDescent="0.2">
      <c r="A43" s="1" t="s">
        <v>159</v>
      </c>
      <c r="B43" s="2">
        <f>SUM(N35:N37)</f>
        <v>3742710000</v>
      </c>
      <c r="C43" s="1">
        <f>SUM(U35:U37)</f>
        <v>21024000</v>
      </c>
      <c r="D43" s="2">
        <f>SUM(W35:W37)</f>
        <v>157680000</v>
      </c>
      <c r="E43" s="2">
        <f>SUM(V35:V37)</f>
        <v>39600000</v>
      </c>
    </row>
  </sheetData>
  <mergeCells count="3">
    <mergeCell ref="A19:A34"/>
    <mergeCell ref="A35:A37"/>
    <mergeCell ref="A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B27E-44FE-654F-90D6-DFF932441E54}">
  <dimension ref="A1:K48"/>
  <sheetViews>
    <sheetView zoomScale="63" workbookViewId="0">
      <selection activeCell="D26" sqref="D26"/>
    </sheetView>
  </sheetViews>
  <sheetFormatPr baseColWidth="10" defaultColWidth="8.83203125" defaultRowHeight="16" x14ac:dyDescent="0.2"/>
  <cols>
    <col min="1" max="1" width="28.6640625" customWidth="1"/>
    <col min="2" max="2" width="28.5" customWidth="1"/>
    <col min="3" max="3" width="19.5" customWidth="1"/>
    <col min="4" max="4" width="18.5" customWidth="1"/>
    <col min="5" max="5" width="15.1640625" customWidth="1"/>
    <col min="6" max="6" width="12.33203125" customWidth="1"/>
    <col min="7" max="7" width="28.83203125" customWidth="1"/>
    <col min="8" max="8" width="26.6640625" customWidth="1"/>
    <col min="9" max="10" width="28" customWidth="1"/>
    <col min="11" max="11" width="32.33203125" customWidth="1"/>
  </cols>
  <sheetData>
    <row r="1" spans="1:11" ht="13.5" customHeight="1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">
      <c r="A2" t="s">
        <v>83</v>
      </c>
      <c r="B2">
        <v>1140</v>
      </c>
      <c r="C2">
        <v>164</v>
      </c>
      <c r="D2">
        <v>0</v>
      </c>
      <c r="E2">
        <v>2000</v>
      </c>
      <c r="G2" s="10">
        <v>0.8</v>
      </c>
      <c r="H2" s="10"/>
      <c r="I2" s="10">
        <v>0.9</v>
      </c>
      <c r="J2" s="10"/>
      <c r="K2" s="9">
        <f xml:space="preserve"> (B2 * G2) / I2</f>
        <v>1013.3333333333333</v>
      </c>
    </row>
    <row r="3" spans="1:11" x14ac:dyDescent="0.2">
      <c r="A3" t="s">
        <v>84</v>
      </c>
      <c r="B3">
        <v>600</v>
      </c>
      <c r="C3">
        <v>164</v>
      </c>
      <c r="D3">
        <v>0</v>
      </c>
      <c r="E3">
        <v>4000</v>
      </c>
      <c r="G3" s="10">
        <v>0.85</v>
      </c>
      <c r="H3" s="10"/>
      <c r="I3" s="10">
        <v>0.9</v>
      </c>
      <c r="J3" s="10"/>
      <c r="K3" s="9">
        <f xml:space="preserve"> (B3 * G3) / I3</f>
        <v>566.66666666666663</v>
      </c>
    </row>
    <row r="4" spans="1:11" x14ac:dyDescent="0.2">
      <c r="A4" t="s">
        <v>85</v>
      </c>
      <c r="B4">
        <v>600</v>
      </c>
      <c r="C4">
        <v>164</v>
      </c>
      <c r="D4">
        <v>0</v>
      </c>
      <c r="E4">
        <v>4500</v>
      </c>
      <c r="G4" s="10">
        <v>0.85</v>
      </c>
      <c r="H4" s="10"/>
      <c r="I4" s="10">
        <v>0.9</v>
      </c>
      <c r="J4" s="10"/>
      <c r="K4" s="9">
        <f xml:space="preserve"> (B4 * G4) / I4</f>
        <v>566.66666666666663</v>
      </c>
    </row>
    <row r="5" spans="1:11" x14ac:dyDescent="0.2">
      <c r="A5" t="s">
        <v>86</v>
      </c>
      <c r="B5">
        <v>650</v>
      </c>
      <c r="C5">
        <v>164</v>
      </c>
      <c r="D5">
        <v>0</v>
      </c>
      <c r="E5">
        <v>5000</v>
      </c>
      <c r="G5" s="10">
        <v>0.8</v>
      </c>
      <c r="H5" s="10"/>
      <c r="I5" s="10">
        <v>0.9</v>
      </c>
      <c r="J5" s="10"/>
      <c r="K5" s="9">
        <f xml:space="preserve"> (B5 * G5) / I5</f>
        <v>577.77777777777771</v>
      </c>
    </row>
    <row r="6" spans="1:11" x14ac:dyDescent="0.2">
      <c r="A6" t="s">
        <v>87</v>
      </c>
      <c r="B6">
        <v>1050</v>
      </c>
      <c r="C6">
        <v>140</v>
      </c>
      <c r="D6">
        <v>12</v>
      </c>
      <c r="E6">
        <v>11000</v>
      </c>
      <c r="F6">
        <v>70000</v>
      </c>
      <c r="G6" s="10">
        <v>0.85</v>
      </c>
      <c r="H6" s="10">
        <v>0.6</v>
      </c>
      <c r="I6" s="10">
        <v>0.9</v>
      </c>
      <c r="J6" s="10">
        <v>0.8</v>
      </c>
      <c r="K6" s="9">
        <f xml:space="preserve"> B6 * (C6 * G6 + D6 * H6) / (C6 * I6 + D6 * J6)</f>
        <v>977.21238938053102</v>
      </c>
    </row>
    <row r="7" spans="1:11" x14ac:dyDescent="0.2">
      <c r="A7" t="s">
        <v>88</v>
      </c>
      <c r="B7">
        <v>960</v>
      </c>
      <c r="C7">
        <v>140</v>
      </c>
      <c r="D7">
        <v>12</v>
      </c>
      <c r="E7">
        <v>7500</v>
      </c>
      <c r="F7">
        <v>45000</v>
      </c>
      <c r="G7" s="10">
        <v>0.85</v>
      </c>
      <c r="H7" s="10">
        <v>0.4</v>
      </c>
      <c r="I7" s="10">
        <v>0.9</v>
      </c>
      <c r="J7" s="10">
        <v>0.8</v>
      </c>
      <c r="K7" s="9">
        <f xml:space="preserve"> B7 * (C7 * G7 + D7 * H7) / (C7 * I7 + D7 * J7)</f>
        <v>876.46017699115043</v>
      </c>
    </row>
    <row r="8" spans="1:11" x14ac:dyDescent="0.2">
      <c r="A8" t="s">
        <v>89</v>
      </c>
      <c r="B8">
        <v>760</v>
      </c>
      <c r="C8">
        <v>164</v>
      </c>
      <c r="D8">
        <v>0</v>
      </c>
      <c r="E8">
        <v>5500</v>
      </c>
      <c r="G8" s="10">
        <v>0.75</v>
      </c>
      <c r="H8" s="10"/>
      <c r="I8" s="10">
        <v>0.9</v>
      </c>
      <c r="J8" s="10"/>
      <c r="K8" s="9">
        <f xml:space="preserve"> (B8 * G8) / I8</f>
        <v>633.33333333333337</v>
      </c>
    </row>
    <row r="9" spans="1:11" x14ac:dyDescent="0.2">
      <c r="A9" t="s">
        <v>90</v>
      </c>
      <c r="B9">
        <v>860</v>
      </c>
      <c r="C9">
        <v>164</v>
      </c>
      <c r="D9">
        <v>0</v>
      </c>
      <c r="E9">
        <v>4000</v>
      </c>
      <c r="G9" s="10">
        <v>0.85</v>
      </c>
      <c r="H9" s="10"/>
      <c r="I9" s="10">
        <v>0.9</v>
      </c>
      <c r="J9" s="10"/>
      <c r="K9" s="9">
        <f xml:space="preserve"> (B9 * G9) / I9</f>
        <v>812.22222222222217</v>
      </c>
    </row>
    <row r="10" spans="1:11" x14ac:dyDescent="0.2">
      <c r="A10" t="s">
        <v>91</v>
      </c>
      <c r="B10">
        <v>760</v>
      </c>
      <c r="C10">
        <v>164</v>
      </c>
      <c r="D10">
        <v>0</v>
      </c>
      <c r="E10">
        <v>4500</v>
      </c>
      <c r="G10" s="10">
        <v>0.7</v>
      </c>
      <c r="H10" s="10"/>
      <c r="I10" s="10">
        <v>0.9</v>
      </c>
      <c r="J10" s="10"/>
      <c r="K10" s="9">
        <f xml:space="preserve"> (B10 * G10) / I10</f>
        <v>591.11111111111109</v>
      </c>
    </row>
    <row r="11" spans="1:11" x14ac:dyDescent="0.2">
      <c r="A11" t="s">
        <v>92</v>
      </c>
      <c r="B11">
        <v>750</v>
      </c>
      <c r="C11">
        <v>164</v>
      </c>
      <c r="D11">
        <v>0</v>
      </c>
      <c r="E11">
        <v>5000</v>
      </c>
      <c r="G11" s="10">
        <v>0.65</v>
      </c>
      <c r="H11" s="10"/>
      <c r="I11" s="10">
        <v>0.9</v>
      </c>
      <c r="J11" s="10"/>
      <c r="K11" s="9">
        <f xml:space="preserve"> (B11 * G11) / I11</f>
        <v>541.66666666666663</v>
      </c>
    </row>
    <row r="15" spans="1:11" x14ac:dyDescent="0.2">
      <c r="D15" s="11" t="s">
        <v>93</v>
      </c>
    </row>
    <row r="16" spans="1:11" x14ac:dyDescent="0.2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</row>
    <row r="18" spans="1:11" x14ac:dyDescent="0.2">
      <c r="A18" t="s">
        <v>94</v>
      </c>
      <c r="B18">
        <v>140</v>
      </c>
      <c r="C18">
        <v>220</v>
      </c>
      <c r="D18">
        <v>26</v>
      </c>
      <c r="E18">
        <v>35000</v>
      </c>
      <c r="F18">
        <v>80000</v>
      </c>
      <c r="G18">
        <v>0.85</v>
      </c>
      <c r="H18">
        <v>0.65</v>
      </c>
      <c r="I18">
        <v>0.9</v>
      </c>
      <c r="J18">
        <v>0.8</v>
      </c>
      <c r="K18" s="9">
        <f xml:space="preserve"> B18 * (C18 * G18 + D18 *H18) / (C18 * I18 + D18 * J18)</f>
        <v>130.46617915904935</v>
      </c>
    </row>
    <row r="19" spans="1:11" x14ac:dyDescent="0.2">
      <c r="K19" s="9"/>
    </row>
    <row r="20" spans="1:11" x14ac:dyDescent="0.2">
      <c r="A20" t="s">
        <v>95</v>
      </c>
      <c r="B20">
        <v>120</v>
      </c>
      <c r="C20">
        <v>220</v>
      </c>
      <c r="D20">
        <v>26</v>
      </c>
      <c r="E20">
        <v>40000</v>
      </c>
      <c r="F20">
        <v>90000</v>
      </c>
      <c r="G20">
        <v>0.85</v>
      </c>
      <c r="H20">
        <v>0.6</v>
      </c>
      <c r="I20">
        <v>0.9</v>
      </c>
      <c r="J20">
        <v>0.8</v>
      </c>
      <c r="K20" s="9">
        <f t="shared" ref="K20:K48" si="0" xml:space="preserve"> B20 * (C20 * G20 + D20 *H20) / (C20 * I20 + D20 * J20)</f>
        <v>111.11517367458866</v>
      </c>
    </row>
    <row r="21" spans="1:11" x14ac:dyDescent="0.2">
      <c r="K21" s="9"/>
    </row>
    <row r="22" spans="1:11" x14ac:dyDescent="0.2">
      <c r="A22" t="s">
        <v>96</v>
      </c>
      <c r="B22">
        <v>100</v>
      </c>
      <c r="C22">
        <v>220</v>
      </c>
      <c r="D22">
        <v>26</v>
      </c>
      <c r="E22">
        <v>35000</v>
      </c>
      <c r="F22">
        <v>85000</v>
      </c>
      <c r="G22">
        <v>0.75</v>
      </c>
      <c r="H22">
        <v>0.65</v>
      </c>
      <c r="I22">
        <v>0.9</v>
      </c>
      <c r="J22">
        <v>0.8</v>
      </c>
      <c r="K22" s="9">
        <f t="shared" si="0"/>
        <v>83.135283363802557</v>
      </c>
    </row>
    <row r="23" spans="1:11" x14ac:dyDescent="0.2">
      <c r="K23" s="9"/>
    </row>
    <row r="24" spans="1:11" x14ac:dyDescent="0.2">
      <c r="A24" t="s">
        <v>97</v>
      </c>
      <c r="B24">
        <v>150</v>
      </c>
      <c r="C24">
        <v>220</v>
      </c>
      <c r="D24">
        <v>26</v>
      </c>
      <c r="E24">
        <v>40000</v>
      </c>
      <c r="F24">
        <v>110000</v>
      </c>
      <c r="G24">
        <v>0.8</v>
      </c>
      <c r="H24">
        <v>0.6</v>
      </c>
      <c r="I24">
        <v>0.9</v>
      </c>
      <c r="J24">
        <v>0.8</v>
      </c>
      <c r="K24" s="9">
        <f t="shared" si="0"/>
        <v>131.3528336380256</v>
      </c>
    </row>
    <row r="25" spans="1:11" x14ac:dyDescent="0.2">
      <c r="K25" s="9"/>
    </row>
    <row r="26" spans="1:11" x14ac:dyDescent="0.2">
      <c r="A26" t="s">
        <v>98</v>
      </c>
      <c r="B26">
        <v>140</v>
      </c>
      <c r="C26">
        <v>220</v>
      </c>
      <c r="D26">
        <v>26</v>
      </c>
      <c r="E26">
        <v>35000</v>
      </c>
      <c r="F26">
        <v>90000</v>
      </c>
      <c r="G26">
        <v>0.8</v>
      </c>
      <c r="H26">
        <v>0.55000000000000004</v>
      </c>
      <c r="I26">
        <v>0.9</v>
      </c>
      <c r="J26">
        <v>0.8</v>
      </c>
      <c r="K26" s="9">
        <f t="shared" si="0"/>
        <v>121.76416819012796</v>
      </c>
    </row>
    <row r="27" spans="1:11" x14ac:dyDescent="0.2">
      <c r="K27" s="9"/>
    </row>
    <row r="28" spans="1:11" x14ac:dyDescent="0.2">
      <c r="A28" t="s">
        <v>99</v>
      </c>
      <c r="B28">
        <v>160</v>
      </c>
      <c r="C28">
        <v>240</v>
      </c>
      <c r="D28">
        <v>16</v>
      </c>
      <c r="E28">
        <v>30000</v>
      </c>
      <c r="F28">
        <v>100000</v>
      </c>
      <c r="G28">
        <v>0.85</v>
      </c>
      <c r="H28">
        <v>0.7</v>
      </c>
      <c r="I28">
        <v>0.9</v>
      </c>
      <c r="J28">
        <v>0.8</v>
      </c>
      <c r="K28" s="9">
        <f t="shared" si="0"/>
        <v>150.48951048951048</v>
      </c>
    </row>
    <row r="29" spans="1:11" x14ac:dyDescent="0.2">
      <c r="K29" s="9"/>
    </row>
    <row r="30" spans="1:11" x14ac:dyDescent="0.2">
      <c r="A30" t="s">
        <v>100</v>
      </c>
      <c r="B30">
        <v>80</v>
      </c>
      <c r="C30">
        <v>240</v>
      </c>
      <c r="D30">
        <v>16</v>
      </c>
      <c r="E30">
        <v>45000</v>
      </c>
      <c r="F30">
        <v>120000</v>
      </c>
      <c r="G30">
        <v>0.85</v>
      </c>
      <c r="H30">
        <v>0.6</v>
      </c>
      <c r="I30">
        <v>0.9</v>
      </c>
      <c r="J30">
        <v>0.8</v>
      </c>
      <c r="K30" s="9">
        <f t="shared" si="0"/>
        <v>74.68531468531468</v>
      </c>
    </row>
    <row r="31" spans="1:11" x14ac:dyDescent="0.2">
      <c r="K31" s="9"/>
    </row>
    <row r="32" spans="1:11" x14ac:dyDescent="0.2">
      <c r="A32" t="s">
        <v>101</v>
      </c>
      <c r="B32">
        <v>100</v>
      </c>
      <c r="C32">
        <v>240</v>
      </c>
      <c r="D32">
        <v>16</v>
      </c>
      <c r="E32">
        <v>35000</v>
      </c>
      <c r="F32">
        <v>75000</v>
      </c>
      <c r="G32">
        <v>0.75</v>
      </c>
      <c r="H32">
        <v>0.7</v>
      </c>
      <c r="I32">
        <v>0.9</v>
      </c>
      <c r="J32">
        <v>0.8</v>
      </c>
      <c r="K32" s="9">
        <f t="shared" si="0"/>
        <v>83.56643356643356</v>
      </c>
    </row>
    <row r="33" spans="1:11" x14ac:dyDescent="0.2">
      <c r="K33" s="9"/>
    </row>
    <row r="34" spans="1:11" x14ac:dyDescent="0.2">
      <c r="A34" t="s">
        <v>102</v>
      </c>
      <c r="B34">
        <v>160</v>
      </c>
      <c r="C34">
        <v>240</v>
      </c>
      <c r="D34">
        <v>16</v>
      </c>
      <c r="E34">
        <v>30000</v>
      </c>
      <c r="F34">
        <v>80000</v>
      </c>
      <c r="G34">
        <v>0.85</v>
      </c>
      <c r="H34">
        <v>0.6</v>
      </c>
      <c r="I34">
        <v>0.9</v>
      </c>
      <c r="J34">
        <v>0.8</v>
      </c>
      <c r="K34" s="9">
        <f t="shared" si="0"/>
        <v>149.37062937062936</v>
      </c>
    </row>
    <row r="35" spans="1:11" x14ac:dyDescent="0.2">
      <c r="K35" s="9"/>
    </row>
    <row r="36" spans="1:11" x14ac:dyDescent="0.2">
      <c r="A36" t="s">
        <v>103</v>
      </c>
      <c r="B36">
        <v>160</v>
      </c>
      <c r="C36">
        <v>240</v>
      </c>
      <c r="D36">
        <v>16</v>
      </c>
      <c r="E36">
        <v>25000</v>
      </c>
      <c r="F36">
        <v>70000</v>
      </c>
      <c r="G36">
        <v>0.85</v>
      </c>
      <c r="H36">
        <v>0.55000000000000004</v>
      </c>
      <c r="I36">
        <v>0.9</v>
      </c>
      <c r="J36">
        <v>0.8</v>
      </c>
      <c r="K36" s="9">
        <f t="shared" si="0"/>
        <v>148.8111888111888</v>
      </c>
    </row>
    <row r="37" spans="1:11" x14ac:dyDescent="0.2">
      <c r="K37" s="9"/>
    </row>
    <row r="38" spans="1:11" x14ac:dyDescent="0.2">
      <c r="A38" t="s">
        <v>104</v>
      </c>
      <c r="B38">
        <v>150</v>
      </c>
      <c r="C38">
        <v>240</v>
      </c>
      <c r="D38">
        <v>16</v>
      </c>
      <c r="E38">
        <v>15000</v>
      </c>
      <c r="F38">
        <v>75000</v>
      </c>
      <c r="G38">
        <v>0.8</v>
      </c>
      <c r="H38">
        <v>0.6</v>
      </c>
      <c r="I38">
        <v>0.9</v>
      </c>
      <c r="J38">
        <v>0.8</v>
      </c>
      <c r="K38" s="9">
        <f t="shared" si="0"/>
        <v>132.16783216783216</v>
      </c>
    </row>
    <row r="39" spans="1:11" x14ac:dyDescent="0.2">
      <c r="K39" s="9"/>
    </row>
    <row r="40" spans="1:11" x14ac:dyDescent="0.2">
      <c r="A40" t="s">
        <v>104</v>
      </c>
      <c r="B40">
        <v>140</v>
      </c>
      <c r="C40">
        <v>240</v>
      </c>
      <c r="D40">
        <v>16</v>
      </c>
      <c r="E40">
        <v>15000</v>
      </c>
      <c r="F40">
        <v>75000</v>
      </c>
      <c r="G40">
        <v>0.85</v>
      </c>
      <c r="H40">
        <v>0.6</v>
      </c>
      <c r="I40">
        <v>0.9</v>
      </c>
      <c r="J40">
        <v>0.8</v>
      </c>
      <c r="K40" s="9">
        <f t="shared" si="0"/>
        <v>130.69930069930069</v>
      </c>
    </row>
    <row r="41" spans="1:11" x14ac:dyDescent="0.2">
      <c r="K41" s="9"/>
    </row>
    <row r="42" spans="1:11" x14ac:dyDescent="0.2">
      <c r="A42" t="s">
        <v>105</v>
      </c>
      <c r="B42">
        <v>130</v>
      </c>
      <c r="C42">
        <v>240</v>
      </c>
      <c r="D42">
        <v>16</v>
      </c>
      <c r="E42">
        <v>15000</v>
      </c>
      <c r="F42">
        <v>70000</v>
      </c>
      <c r="G42">
        <v>0.85</v>
      </c>
      <c r="H42">
        <v>0.5</v>
      </c>
      <c r="I42">
        <v>0.9</v>
      </c>
      <c r="J42">
        <v>0.8</v>
      </c>
      <c r="K42" s="9">
        <f t="shared" si="0"/>
        <v>120.45454545454545</v>
      </c>
    </row>
    <row r="43" spans="1:11" x14ac:dyDescent="0.2">
      <c r="K43" s="9"/>
    </row>
    <row r="44" spans="1:11" x14ac:dyDescent="0.2">
      <c r="A44" t="s">
        <v>106</v>
      </c>
      <c r="B44">
        <v>130</v>
      </c>
      <c r="C44">
        <v>240</v>
      </c>
      <c r="D44">
        <v>16</v>
      </c>
      <c r="E44">
        <v>15000</v>
      </c>
      <c r="F44">
        <v>70000</v>
      </c>
      <c r="G44">
        <v>0.8</v>
      </c>
      <c r="H44">
        <v>0.55000000000000004</v>
      </c>
      <c r="I44">
        <v>0.9</v>
      </c>
      <c r="J44">
        <v>0.8</v>
      </c>
      <c r="K44" s="9">
        <f t="shared" si="0"/>
        <v>114.09090909090908</v>
      </c>
    </row>
    <row r="45" spans="1:11" x14ac:dyDescent="0.2">
      <c r="K45" s="9"/>
    </row>
    <row r="46" spans="1:11" x14ac:dyDescent="0.2">
      <c r="A46" t="s">
        <v>107</v>
      </c>
      <c r="B46">
        <v>130</v>
      </c>
      <c r="C46">
        <v>240</v>
      </c>
      <c r="D46">
        <v>16</v>
      </c>
      <c r="E46">
        <v>15000</v>
      </c>
      <c r="F46">
        <v>70000</v>
      </c>
      <c r="G46">
        <v>0.8</v>
      </c>
      <c r="H46">
        <v>0.55000000000000004</v>
      </c>
      <c r="I46">
        <v>0.9</v>
      </c>
      <c r="J46">
        <v>0.8</v>
      </c>
      <c r="K46" s="9">
        <f t="shared" si="0"/>
        <v>114.09090909090908</v>
      </c>
    </row>
    <row r="47" spans="1:11" x14ac:dyDescent="0.2">
      <c r="K47" s="9"/>
    </row>
    <row r="48" spans="1:11" x14ac:dyDescent="0.2">
      <c r="A48" t="s">
        <v>108</v>
      </c>
      <c r="B48">
        <v>80</v>
      </c>
      <c r="C48">
        <v>240</v>
      </c>
      <c r="D48">
        <v>16</v>
      </c>
      <c r="E48">
        <v>20000</v>
      </c>
      <c r="F48">
        <v>110000</v>
      </c>
      <c r="G48">
        <v>0.75</v>
      </c>
      <c r="H48">
        <v>0.6</v>
      </c>
      <c r="I48">
        <v>0.9</v>
      </c>
      <c r="J48">
        <v>0.8</v>
      </c>
      <c r="K48" s="9">
        <f t="shared" si="0"/>
        <v>66.293706293706293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3016-D5EA-3A47-9E9A-53917B73ADB1}">
  <sheetPr>
    <outlinePr summaryBelow="0" summaryRight="0"/>
  </sheetPr>
  <dimension ref="A1:K32"/>
  <sheetViews>
    <sheetView zoomScale="65" workbookViewId="0">
      <selection activeCell="B9" sqref="B9"/>
    </sheetView>
  </sheetViews>
  <sheetFormatPr baseColWidth="10" defaultColWidth="12.6640625" defaultRowHeight="15.75" customHeight="1" x14ac:dyDescent="0.2"/>
  <cols>
    <col min="1" max="1" width="26.83203125" style="107" customWidth="1"/>
    <col min="2" max="2" width="28.6640625" style="107" customWidth="1"/>
    <col min="3" max="3" width="21.6640625" style="107" customWidth="1"/>
    <col min="4" max="4" width="19.6640625" style="107" customWidth="1"/>
    <col min="5" max="5" width="14.1640625" style="107" customWidth="1"/>
    <col min="6" max="6" width="12.6640625" style="107"/>
    <col min="7" max="7" width="34.5" style="107" customWidth="1"/>
    <col min="8" max="8" width="28.33203125" style="107" customWidth="1"/>
    <col min="9" max="9" width="29.6640625" style="107" customWidth="1"/>
    <col min="10" max="10" width="26.6640625" style="107" customWidth="1"/>
    <col min="11" max="11" width="13.83203125" style="107" customWidth="1"/>
    <col min="12" max="16384" width="12.6640625" style="107"/>
  </cols>
  <sheetData>
    <row r="1" spans="1:11" ht="15" x14ac:dyDescent="0.2">
      <c r="A1" s="110" t="s">
        <v>72</v>
      </c>
      <c r="B1" s="110" t="s">
        <v>73</v>
      </c>
      <c r="C1" s="110" t="s">
        <v>74</v>
      </c>
      <c r="D1" s="110" t="s">
        <v>75</v>
      </c>
      <c r="E1" s="110" t="s">
        <v>76</v>
      </c>
      <c r="F1" s="110" t="s">
        <v>77</v>
      </c>
      <c r="G1" s="110" t="s">
        <v>78</v>
      </c>
      <c r="H1" s="110" t="s">
        <v>79</v>
      </c>
      <c r="I1" s="110" t="s">
        <v>80</v>
      </c>
      <c r="J1" s="110" t="s">
        <v>81</v>
      </c>
      <c r="K1" s="110" t="s">
        <v>82</v>
      </c>
    </row>
    <row r="2" spans="1:11" ht="15" x14ac:dyDescent="0.2">
      <c r="A2" s="116" t="s">
        <v>83</v>
      </c>
      <c r="B2" s="109">
        <v>1140</v>
      </c>
      <c r="C2" s="109">
        <v>164</v>
      </c>
      <c r="D2" s="109">
        <v>0</v>
      </c>
      <c r="E2" s="109">
        <v>2000</v>
      </c>
      <c r="F2" s="110"/>
      <c r="G2" s="109">
        <v>0.8</v>
      </c>
      <c r="H2" s="109"/>
      <c r="I2" s="109">
        <v>0.9</v>
      </c>
      <c r="J2" s="109"/>
      <c r="K2" s="108">
        <f>(B2 * G2) / I2</f>
        <v>1013.3333333333333</v>
      </c>
    </row>
    <row r="3" spans="1:11" ht="15" x14ac:dyDescent="0.2">
      <c r="A3" s="113" t="s">
        <v>84</v>
      </c>
      <c r="B3" s="109">
        <v>600</v>
      </c>
      <c r="C3" s="109">
        <v>164</v>
      </c>
      <c r="D3" s="109">
        <v>0</v>
      </c>
      <c r="E3" s="109">
        <v>4000</v>
      </c>
      <c r="F3" s="110"/>
      <c r="G3" s="109">
        <v>0.85</v>
      </c>
      <c r="H3" s="109"/>
      <c r="I3" s="109">
        <v>0.9</v>
      </c>
      <c r="J3" s="109"/>
      <c r="K3" s="108">
        <f>(B3 * G3) / I3</f>
        <v>566.66666666666663</v>
      </c>
    </row>
    <row r="4" spans="1:11" ht="15" x14ac:dyDescent="0.2">
      <c r="A4" s="115" t="s">
        <v>85</v>
      </c>
      <c r="B4" s="109">
        <v>600</v>
      </c>
      <c r="C4" s="109">
        <v>164</v>
      </c>
      <c r="D4" s="109">
        <v>0</v>
      </c>
      <c r="E4" s="109">
        <v>4500</v>
      </c>
      <c r="F4" s="110"/>
      <c r="G4" s="109">
        <v>0.85</v>
      </c>
      <c r="H4" s="109"/>
      <c r="I4" s="109">
        <v>0.9</v>
      </c>
      <c r="J4" s="109"/>
      <c r="K4" s="108">
        <f>(B4 * G4) / I4</f>
        <v>566.66666666666663</v>
      </c>
    </row>
    <row r="5" spans="1:11" ht="15" x14ac:dyDescent="0.2">
      <c r="A5" s="110" t="s">
        <v>86</v>
      </c>
      <c r="B5" s="109">
        <v>650</v>
      </c>
      <c r="C5" s="109">
        <v>164</v>
      </c>
      <c r="D5" s="109">
        <v>0</v>
      </c>
      <c r="E5" s="109">
        <v>5000</v>
      </c>
      <c r="F5" s="110"/>
      <c r="G5" s="109">
        <v>0.8</v>
      </c>
      <c r="H5" s="109"/>
      <c r="I5" s="109">
        <v>0.9</v>
      </c>
      <c r="J5" s="109"/>
      <c r="K5" s="108">
        <f>(B5 * G5) / I5</f>
        <v>577.77777777777771</v>
      </c>
    </row>
    <row r="6" spans="1:11" ht="15" x14ac:dyDescent="0.2">
      <c r="A6" s="114" t="s">
        <v>87</v>
      </c>
      <c r="B6" s="109">
        <v>1050</v>
      </c>
      <c r="C6" s="109">
        <v>140</v>
      </c>
      <c r="D6" s="109">
        <v>12</v>
      </c>
      <c r="E6" s="109">
        <v>11000</v>
      </c>
      <c r="F6" s="109">
        <v>70000</v>
      </c>
      <c r="G6" s="109">
        <v>0.85</v>
      </c>
      <c r="H6" s="109">
        <v>0.6</v>
      </c>
      <c r="I6" s="109">
        <v>0.9</v>
      </c>
      <c r="J6" s="109">
        <v>0.8</v>
      </c>
      <c r="K6" s="108">
        <f>B6 * (C6 * G6 + D6 * H6) / (C6 * I6 + D6 * J6)</f>
        <v>977.21238938053102</v>
      </c>
    </row>
    <row r="7" spans="1:11" ht="15" x14ac:dyDescent="0.2">
      <c r="A7" s="114" t="s">
        <v>88</v>
      </c>
      <c r="B7" s="109">
        <v>960</v>
      </c>
      <c r="C7" s="109">
        <v>140</v>
      </c>
      <c r="D7" s="109">
        <v>12</v>
      </c>
      <c r="E7" s="109">
        <v>7500</v>
      </c>
      <c r="F7" s="109">
        <v>45000</v>
      </c>
      <c r="G7" s="109">
        <v>0.85</v>
      </c>
      <c r="H7" s="109">
        <v>0.4</v>
      </c>
      <c r="I7" s="109">
        <v>0.9</v>
      </c>
      <c r="J7" s="109">
        <v>0.8</v>
      </c>
      <c r="K7" s="108">
        <f>B7 * (C7 * G7 + D7 * H7) / (C7 * I7 + D7 * J7)</f>
        <v>876.46017699115043</v>
      </c>
    </row>
    <row r="8" spans="1:11" ht="15" x14ac:dyDescent="0.2">
      <c r="A8" s="110" t="s">
        <v>89</v>
      </c>
      <c r="B8" s="109">
        <v>760</v>
      </c>
      <c r="C8" s="109">
        <v>164</v>
      </c>
      <c r="D8" s="109">
        <v>0</v>
      </c>
      <c r="E8" s="109">
        <v>5500</v>
      </c>
      <c r="F8" s="110"/>
      <c r="G8" s="109">
        <v>0.75</v>
      </c>
      <c r="H8" s="109"/>
      <c r="I8" s="109">
        <v>0.9</v>
      </c>
      <c r="J8" s="109"/>
      <c r="K8" s="108">
        <f>(B8 * G8) / I8</f>
        <v>633.33333333333337</v>
      </c>
    </row>
    <row r="9" spans="1:11" ht="15" x14ac:dyDescent="0.2">
      <c r="A9" s="113" t="s">
        <v>90</v>
      </c>
      <c r="B9" s="109">
        <v>860</v>
      </c>
      <c r="C9" s="109">
        <v>164</v>
      </c>
      <c r="D9" s="109">
        <v>0</v>
      </c>
      <c r="E9" s="109">
        <v>4000</v>
      </c>
      <c r="F9" s="110"/>
      <c r="G9" s="109">
        <v>0.85</v>
      </c>
      <c r="H9" s="109"/>
      <c r="I9" s="109">
        <v>0.9</v>
      </c>
      <c r="J9" s="109"/>
      <c r="K9" s="108">
        <f>(B9 * G9) / I9</f>
        <v>812.22222222222217</v>
      </c>
    </row>
    <row r="10" spans="1:11" ht="15" x14ac:dyDescent="0.2">
      <c r="A10" s="110" t="s">
        <v>91</v>
      </c>
      <c r="B10" s="109">
        <v>760</v>
      </c>
      <c r="C10" s="109">
        <v>164</v>
      </c>
      <c r="D10" s="109">
        <v>0</v>
      </c>
      <c r="E10" s="109">
        <v>4500</v>
      </c>
      <c r="F10" s="110"/>
      <c r="G10" s="109">
        <v>0.7</v>
      </c>
      <c r="H10" s="109"/>
      <c r="I10" s="109">
        <v>0.9</v>
      </c>
      <c r="J10" s="109"/>
      <c r="K10" s="108">
        <f>(B10 * G10) / I10</f>
        <v>591.11111111111109</v>
      </c>
    </row>
    <row r="11" spans="1:11" ht="15" x14ac:dyDescent="0.2">
      <c r="A11" s="112" t="s">
        <v>92</v>
      </c>
      <c r="B11" s="109">
        <v>750</v>
      </c>
      <c r="C11" s="109">
        <v>164</v>
      </c>
      <c r="D11" s="109">
        <v>0</v>
      </c>
      <c r="E11" s="109">
        <v>5000</v>
      </c>
      <c r="F11" s="110"/>
      <c r="G11" s="109">
        <v>0.65</v>
      </c>
      <c r="H11" s="109"/>
      <c r="I11" s="109">
        <v>0.9</v>
      </c>
      <c r="J11" s="109"/>
      <c r="K11" s="108">
        <f>(B11 * G11) / I11</f>
        <v>541.66666666666663</v>
      </c>
    </row>
    <row r="12" spans="1:11" ht="15" x14ac:dyDescent="0.2">
      <c r="A12" s="110"/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 ht="15" x14ac:dyDescent="0.2">
      <c r="A13" s="110"/>
      <c r="B13" s="110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1" ht="15" x14ac:dyDescent="0.2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 ht="16" x14ac:dyDescent="0.2">
      <c r="A15" s="110"/>
      <c r="B15" s="110"/>
      <c r="C15" s="110"/>
      <c r="D15" s="111" t="s">
        <v>93</v>
      </c>
      <c r="E15" s="110"/>
      <c r="F15" s="110"/>
      <c r="G15" s="110"/>
      <c r="H15" s="110"/>
      <c r="I15" s="110"/>
      <c r="J15" s="110"/>
      <c r="K15" s="110"/>
    </row>
    <row r="16" spans="1:11" ht="15" x14ac:dyDescent="0.2">
      <c r="A16" s="110" t="s">
        <v>72</v>
      </c>
      <c r="B16" s="110" t="s">
        <v>73</v>
      </c>
      <c r="C16" s="110" t="s">
        <v>74</v>
      </c>
      <c r="D16" s="110" t="s">
        <v>75</v>
      </c>
      <c r="E16" s="110" t="s">
        <v>76</v>
      </c>
      <c r="F16" s="110" t="s">
        <v>77</v>
      </c>
      <c r="G16" s="110" t="s">
        <v>78</v>
      </c>
      <c r="H16" s="110" t="s">
        <v>79</v>
      </c>
      <c r="I16" s="110" t="s">
        <v>80</v>
      </c>
      <c r="J16" s="110" t="s">
        <v>81</v>
      </c>
      <c r="K16" s="110" t="s">
        <v>82</v>
      </c>
    </row>
    <row r="17" spans="1:11" ht="15" x14ac:dyDescent="0.2">
      <c r="A17" s="110" t="s">
        <v>94</v>
      </c>
      <c r="B17" s="109">
        <v>140</v>
      </c>
      <c r="C17" s="109">
        <v>220</v>
      </c>
      <c r="D17" s="109">
        <v>26</v>
      </c>
      <c r="E17" s="109">
        <v>35000</v>
      </c>
      <c r="F17" s="109">
        <v>80000</v>
      </c>
      <c r="G17" s="109">
        <v>0.85</v>
      </c>
      <c r="H17" s="109">
        <v>0.65</v>
      </c>
      <c r="I17" s="109">
        <v>0.9</v>
      </c>
      <c r="J17" s="109">
        <v>0.8</v>
      </c>
      <c r="K17" s="108">
        <f t="shared" ref="K17:K32" si="0">B17 * (C17 * G17 + D17 *H17) / (C17 * I17 + D17 * J17)</f>
        <v>130.46617915904935</v>
      </c>
    </row>
    <row r="18" spans="1:11" ht="15" x14ac:dyDescent="0.2">
      <c r="A18" s="110" t="s">
        <v>95</v>
      </c>
      <c r="B18" s="109">
        <v>120</v>
      </c>
      <c r="C18" s="109">
        <v>220</v>
      </c>
      <c r="D18" s="109">
        <v>26</v>
      </c>
      <c r="E18" s="109">
        <v>40000</v>
      </c>
      <c r="F18" s="109">
        <v>90000</v>
      </c>
      <c r="G18" s="109">
        <v>0.85</v>
      </c>
      <c r="H18" s="109">
        <v>0.6</v>
      </c>
      <c r="I18" s="109">
        <v>0.9</v>
      </c>
      <c r="J18" s="109">
        <v>0.8</v>
      </c>
      <c r="K18" s="108">
        <f t="shared" si="0"/>
        <v>111.11517367458866</v>
      </c>
    </row>
    <row r="19" spans="1:11" ht="15" x14ac:dyDescent="0.2">
      <c r="A19" s="110" t="s">
        <v>96</v>
      </c>
      <c r="B19" s="109">
        <v>100</v>
      </c>
      <c r="C19" s="109">
        <v>220</v>
      </c>
      <c r="D19" s="109">
        <v>26</v>
      </c>
      <c r="E19" s="109">
        <v>35000</v>
      </c>
      <c r="F19" s="109">
        <v>85000</v>
      </c>
      <c r="G19" s="109">
        <v>0.75</v>
      </c>
      <c r="H19" s="109">
        <v>0.65</v>
      </c>
      <c r="I19" s="109">
        <v>0.9</v>
      </c>
      <c r="J19" s="109">
        <v>0.8</v>
      </c>
      <c r="K19" s="108">
        <f t="shared" si="0"/>
        <v>83.135283363802557</v>
      </c>
    </row>
    <row r="20" spans="1:11" ht="15" x14ac:dyDescent="0.2">
      <c r="A20" s="110" t="s">
        <v>97</v>
      </c>
      <c r="B20" s="109">
        <v>150</v>
      </c>
      <c r="C20" s="109">
        <v>220</v>
      </c>
      <c r="D20" s="109">
        <v>26</v>
      </c>
      <c r="E20" s="109">
        <v>40000</v>
      </c>
      <c r="F20" s="109">
        <v>110000</v>
      </c>
      <c r="G20" s="109">
        <v>0.8</v>
      </c>
      <c r="H20" s="109">
        <v>0.6</v>
      </c>
      <c r="I20" s="109">
        <v>0.9</v>
      </c>
      <c r="J20" s="109">
        <v>0.8</v>
      </c>
      <c r="K20" s="108">
        <f t="shared" si="0"/>
        <v>131.3528336380256</v>
      </c>
    </row>
    <row r="21" spans="1:11" ht="15" x14ac:dyDescent="0.2">
      <c r="A21" s="110" t="s">
        <v>98</v>
      </c>
      <c r="B21" s="109">
        <v>140</v>
      </c>
      <c r="C21" s="109">
        <v>220</v>
      </c>
      <c r="D21" s="109">
        <v>26</v>
      </c>
      <c r="E21" s="109">
        <v>35000</v>
      </c>
      <c r="F21" s="109">
        <v>90000</v>
      </c>
      <c r="G21" s="109">
        <v>0.8</v>
      </c>
      <c r="H21" s="109">
        <v>0.55000000000000004</v>
      </c>
      <c r="I21" s="109">
        <v>0.9</v>
      </c>
      <c r="J21" s="109">
        <v>0.8</v>
      </c>
      <c r="K21" s="108">
        <f t="shared" si="0"/>
        <v>121.76416819012796</v>
      </c>
    </row>
    <row r="22" spans="1:11" ht="15" x14ac:dyDescent="0.2">
      <c r="A22" s="110" t="s">
        <v>99</v>
      </c>
      <c r="B22" s="109">
        <v>160</v>
      </c>
      <c r="C22" s="109">
        <v>240</v>
      </c>
      <c r="D22" s="109">
        <v>16</v>
      </c>
      <c r="E22" s="109">
        <v>30000</v>
      </c>
      <c r="F22" s="109">
        <v>100000</v>
      </c>
      <c r="G22" s="109">
        <v>0.85</v>
      </c>
      <c r="H22" s="109">
        <v>0.7</v>
      </c>
      <c r="I22" s="109">
        <v>0.9</v>
      </c>
      <c r="J22" s="109">
        <v>0.8</v>
      </c>
      <c r="K22" s="108">
        <f t="shared" si="0"/>
        <v>150.48951048951048</v>
      </c>
    </row>
    <row r="23" spans="1:11" ht="15" x14ac:dyDescent="0.2">
      <c r="A23" s="110" t="s">
        <v>100</v>
      </c>
      <c r="B23" s="109">
        <v>80</v>
      </c>
      <c r="C23" s="109">
        <v>240</v>
      </c>
      <c r="D23" s="109">
        <v>16</v>
      </c>
      <c r="E23" s="109">
        <v>45000</v>
      </c>
      <c r="F23" s="109">
        <v>120000</v>
      </c>
      <c r="G23" s="109">
        <v>0.85</v>
      </c>
      <c r="H23" s="109">
        <v>0.6</v>
      </c>
      <c r="I23" s="109">
        <v>0.9</v>
      </c>
      <c r="J23" s="109">
        <v>0.8</v>
      </c>
      <c r="K23" s="108">
        <f t="shared" si="0"/>
        <v>74.68531468531468</v>
      </c>
    </row>
    <row r="24" spans="1:11" ht="15" x14ac:dyDescent="0.2">
      <c r="A24" s="110" t="s">
        <v>101</v>
      </c>
      <c r="B24" s="109">
        <v>100</v>
      </c>
      <c r="C24" s="109">
        <v>240</v>
      </c>
      <c r="D24" s="109">
        <v>16</v>
      </c>
      <c r="E24" s="109">
        <v>35000</v>
      </c>
      <c r="F24" s="109">
        <v>75000</v>
      </c>
      <c r="G24" s="109">
        <v>0.75</v>
      </c>
      <c r="H24" s="109">
        <v>0.7</v>
      </c>
      <c r="I24" s="109">
        <v>0.9</v>
      </c>
      <c r="J24" s="109">
        <v>0.8</v>
      </c>
      <c r="K24" s="108">
        <f t="shared" si="0"/>
        <v>83.56643356643356</v>
      </c>
    </row>
    <row r="25" spans="1:11" ht="15" x14ac:dyDescent="0.2">
      <c r="A25" s="110" t="s">
        <v>102</v>
      </c>
      <c r="B25" s="109">
        <v>160</v>
      </c>
      <c r="C25" s="109">
        <v>240</v>
      </c>
      <c r="D25" s="109">
        <v>16</v>
      </c>
      <c r="E25" s="109">
        <v>30000</v>
      </c>
      <c r="F25" s="109">
        <v>80000</v>
      </c>
      <c r="G25" s="109">
        <v>0.85</v>
      </c>
      <c r="H25" s="109">
        <v>0.6</v>
      </c>
      <c r="I25" s="109">
        <v>0.9</v>
      </c>
      <c r="J25" s="109">
        <v>0.8</v>
      </c>
      <c r="K25" s="108">
        <f t="shared" si="0"/>
        <v>149.37062937062936</v>
      </c>
    </row>
    <row r="26" spans="1:11" ht="15" x14ac:dyDescent="0.2">
      <c r="A26" s="110" t="s">
        <v>103</v>
      </c>
      <c r="B26" s="109">
        <v>160</v>
      </c>
      <c r="C26" s="109">
        <v>240</v>
      </c>
      <c r="D26" s="109">
        <v>16</v>
      </c>
      <c r="E26" s="109">
        <v>25000</v>
      </c>
      <c r="F26" s="109">
        <v>70000</v>
      </c>
      <c r="G26" s="109">
        <v>0.85</v>
      </c>
      <c r="H26" s="109">
        <v>0.55000000000000004</v>
      </c>
      <c r="I26" s="109">
        <v>0.9</v>
      </c>
      <c r="J26" s="109">
        <v>0.8</v>
      </c>
      <c r="K26" s="108">
        <f t="shared" si="0"/>
        <v>148.8111888111888</v>
      </c>
    </row>
    <row r="27" spans="1:11" ht="15" x14ac:dyDescent="0.2">
      <c r="A27" s="110" t="s">
        <v>104</v>
      </c>
      <c r="B27" s="109">
        <v>150</v>
      </c>
      <c r="C27" s="109">
        <v>240</v>
      </c>
      <c r="D27" s="109">
        <v>16</v>
      </c>
      <c r="E27" s="109">
        <v>15000</v>
      </c>
      <c r="F27" s="109">
        <v>75000</v>
      </c>
      <c r="G27" s="109">
        <v>0.8</v>
      </c>
      <c r="H27" s="109">
        <v>0.6</v>
      </c>
      <c r="I27" s="109">
        <v>0.9</v>
      </c>
      <c r="J27" s="109">
        <v>0.8</v>
      </c>
      <c r="K27" s="108">
        <f t="shared" si="0"/>
        <v>132.16783216783216</v>
      </c>
    </row>
    <row r="28" spans="1:11" ht="15" x14ac:dyDescent="0.2">
      <c r="A28" s="110" t="s">
        <v>104</v>
      </c>
      <c r="B28" s="109">
        <v>140</v>
      </c>
      <c r="C28" s="109">
        <v>240</v>
      </c>
      <c r="D28" s="109">
        <v>16</v>
      </c>
      <c r="E28" s="109">
        <v>15000</v>
      </c>
      <c r="F28" s="109">
        <v>75000</v>
      </c>
      <c r="G28" s="109">
        <v>0.85</v>
      </c>
      <c r="H28" s="109">
        <v>0.6</v>
      </c>
      <c r="I28" s="109">
        <v>0.9</v>
      </c>
      <c r="J28" s="109">
        <v>0.8</v>
      </c>
      <c r="K28" s="108">
        <f t="shared" si="0"/>
        <v>130.69930069930069</v>
      </c>
    </row>
    <row r="29" spans="1:11" ht="15" x14ac:dyDescent="0.2">
      <c r="A29" s="110" t="s">
        <v>105</v>
      </c>
      <c r="B29" s="109">
        <v>130</v>
      </c>
      <c r="C29" s="109">
        <v>240</v>
      </c>
      <c r="D29" s="109">
        <v>16</v>
      </c>
      <c r="E29" s="109">
        <v>15000</v>
      </c>
      <c r="F29" s="109">
        <v>70000</v>
      </c>
      <c r="G29" s="109">
        <v>0.85</v>
      </c>
      <c r="H29" s="109">
        <v>0.5</v>
      </c>
      <c r="I29" s="109">
        <v>0.9</v>
      </c>
      <c r="J29" s="109">
        <v>0.8</v>
      </c>
      <c r="K29" s="108">
        <f t="shared" si="0"/>
        <v>120.45454545454545</v>
      </c>
    </row>
    <row r="30" spans="1:11" ht="15" x14ac:dyDescent="0.2">
      <c r="A30" s="110" t="s">
        <v>106</v>
      </c>
      <c r="B30" s="109">
        <v>130</v>
      </c>
      <c r="C30" s="109">
        <v>240</v>
      </c>
      <c r="D30" s="109">
        <v>16</v>
      </c>
      <c r="E30" s="109">
        <v>15000</v>
      </c>
      <c r="F30" s="109">
        <v>70000</v>
      </c>
      <c r="G30" s="109">
        <v>0.8</v>
      </c>
      <c r="H30" s="109">
        <v>0.55000000000000004</v>
      </c>
      <c r="I30" s="109">
        <v>0.9</v>
      </c>
      <c r="J30" s="109">
        <v>0.8</v>
      </c>
      <c r="K30" s="108">
        <f t="shared" si="0"/>
        <v>114.09090909090908</v>
      </c>
    </row>
    <row r="31" spans="1:11" ht="15" x14ac:dyDescent="0.2">
      <c r="A31" s="110" t="s">
        <v>107</v>
      </c>
      <c r="B31" s="109">
        <v>130</v>
      </c>
      <c r="C31" s="109">
        <v>240</v>
      </c>
      <c r="D31" s="109">
        <v>16</v>
      </c>
      <c r="E31" s="109">
        <v>15000</v>
      </c>
      <c r="F31" s="109">
        <v>70000</v>
      </c>
      <c r="G31" s="109">
        <v>0.8</v>
      </c>
      <c r="H31" s="109">
        <v>0.55000000000000004</v>
      </c>
      <c r="I31" s="109">
        <v>0.9</v>
      </c>
      <c r="J31" s="109">
        <v>0.8</v>
      </c>
      <c r="K31" s="108">
        <f t="shared" si="0"/>
        <v>114.09090909090908</v>
      </c>
    </row>
    <row r="32" spans="1:11" ht="15" x14ac:dyDescent="0.2">
      <c r="A32" s="110" t="s">
        <v>108</v>
      </c>
      <c r="B32" s="109">
        <v>80</v>
      </c>
      <c r="C32" s="109">
        <v>240</v>
      </c>
      <c r="D32" s="109">
        <v>16</v>
      </c>
      <c r="E32" s="109">
        <v>20000</v>
      </c>
      <c r="F32" s="109">
        <v>110000</v>
      </c>
      <c r="G32" s="109">
        <v>0.75</v>
      </c>
      <c r="H32" s="109">
        <v>0.6</v>
      </c>
      <c r="I32" s="109">
        <v>0.9</v>
      </c>
      <c r="J32" s="109">
        <v>0.8</v>
      </c>
      <c r="K32" s="108">
        <f t="shared" si="0"/>
        <v>66.293706293706293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1AE4-A00C-DD4C-B05A-2C5791D488D4}">
  <sheetPr>
    <outlinePr summaryBelow="0" summaryRight="0"/>
  </sheetPr>
  <dimension ref="A1:G6"/>
  <sheetViews>
    <sheetView workbookViewId="0">
      <selection activeCell="I9" sqref="I9"/>
    </sheetView>
  </sheetViews>
  <sheetFormatPr baseColWidth="10" defaultColWidth="12.6640625" defaultRowHeight="15.75" customHeight="1" x14ac:dyDescent="0.2"/>
  <cols>
    <col min="1" max="1" width="23.5" style="107" customWidth="1"/>
    <col min="2" max="2" width="22.83203125" style="107" customWidth="1"/>
    <col min="3" max="3" width="12.6640625" style="107"/>
    <col min="4" max="4" width="24.1640625" style="107" customWidth="1"/>
    <col min="5" max="5" width="12.6640625" style="107"/>
    <col min="6" max="6" width="28.5" style="107" customWidth="1"/>
    <col min="7" max="16384" width="12.6640625" style="107"/>
  </cols>
  <sheetData>
    <row r="1" spans="1:7" ht="15" x14ac:dyDescent="0.2">
      <c r="A1" s="110" t="s">
        <v>72</v>
      </c>
      <c r="B1" s="110" t="s">
        <v>175</v>
      </c>
      <c r="C1" s="110" t="s">
        <v>174</v>
      </c>
      <c r="D1" s="110" t="s">
        <v>173</v>
      </c>
      <c r="E1" s="110" t="s">
        <v>172</v>
      </c>
      <c r="F1" s="110" t="s">
        <v>171</v>
      </c>
      <c r="G1" s="110" t="s">
        <v>170</v>
      </c>
    </row>
    <row r="2" spans="1:7" ht="15" x14ac:dyDescent="0.2">
      <c r="A2" s="110" t="s">
        <v>169</v>
      </c>
      <c r="B2" s="110" t="str">
        <f>'Initial data'!A2</f>
        <v>Москва - Санкт-Петербург</v>
      </c>
      <c r="C2" s="109">
        <f>'Initial data'!B2</f>
        <v>1140</v>
      </c>
      <c r="D2" s="110" t="str">
        <f>'Initial data'!A4</f>
        <v>Москва - Сочи</v>
      </c>
      <c r="E2" s="110">
        <f>'Initial data'!B4</f>
        <v>600</v>
      </c>
      <c r="F2" s="110" t="s">
        <v>168</v>
      </c>
      <c r="G2" s="110">
        <f>MIN(C2,E2)</f>
        <v>600</v>
      </c>
    </row>
    <row r="3" spans="1:7" ht="15" x14ac:dyDescent="0.2">
      <c r="A3" s="110" t="s">
        <v>167</v>
      </c>
      <c r="B3" s="110" t="str">
        <f>'Initial data'!A11</f>
        <v>Москва - Калиниград</v>
      </c>
      <c r="C3" s="110">
        <f>'Initial data'!B11</f>
        <v>750</v>
      </c>
      <c r="D3" s="110" t="str">
        <f>'Initial data'!A2</f>
        <v>Москва - Санкт-Петербург</v>
      </c>
      <c r="E3" s="110">
        <f>'Initial data'!B2</f>
        <v>1140</v>
      </c>
      <c r="F3" s="110" t="s">
        <v>166</v>
      </c>
      <c r="G3" s="110">
        <f>MIN(C3,E3,C2-G2)</f>
        <v>540</v>
      </c>
    </row>
    <row r="4" spans="1:7" ht="15" x14ac:dyDescent="0.2">
      <c r="A4" s="110" t="s">
        <v>165</v>
      </c>
      <c r="B4" s="118" t="str">
        <f>'Initial data'!A6</f>
        <v>Москва - Новосибирск</v>
      </c>
      <c r="C4" s="118">
        <f>'Initial data'!B6</f>
        <v>1050</v>
      </c>
      <c r="D4" s="118" t="str">
        <f>'Initial data'!A7</f>
        <v>Москва - Красноярск</v>
      </c>
      <c r="E4" s="118">
        <f>'Initial data'!B7</f>
        <v>960</v>
      </c>
      <c r="F4" s="118" t="s">
        <v>164</v>
      </c>
      <c r="G4" s="118">
        <f>MIN(C4,E4)</f>
        <v>960</v>
      </c>
    </row>
    <row r="5" spans="1:7" ht="14" x14ac:dyDescent="0.2">
      <c r="A5" s="118" t="s">
        <v>163</v>
      </c>
      <c r="B5" s="118" t="str">
        <f>'Initial data'!A3</f>
        <v>Москва- Минеральные воды</v>
      </c>
      <c r="C5" s="118">
        <f>'Initial data'!B3</f>
        <v>600</v>
      </c>
      <c r="D5" s="118" t="str">
        <f>'Initial data'!A9</f>
        <v>Москва - Екатеринбург</v>
      </c>
      <c r="E5" s="118">
        <f>'Initial data'!B9</f>
        <v>860</v>
      </c>
      <c r="F5" s="118" t="s">
        <v>162</v>
      </c>
      <c r="G5" s="118">
        <f>MIN(C5,E5)</f>
        <v>600</v>
      </c>
    </row>
    <row r="6" spans="1:7" ht="15.75" customHeight="1" x14ac:dyDescent="0.2">
      <c r="A6" s="1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58C8-E798-C44A-8060-1CB4551276D9}">
  <sheetPr>
    <outlinePr summaryBelow="0" summaryRight="0"/>
  </sheetPr>
  <dimension ref="A1:H28"/>
  <sheetViews>
    <sheetView zoomScale="86" workbookViewId="0">
      <selection activeCell="A22" sqref="A22:XFD22"/>
    </sheetView>
  </sheetViews>
  <sheetFormatPr baseColWidth="10" defaultColWidth="12.6640625" defaultRowHeight="15.75" customHeight="1" x14ac:dyDescent="0.2"/>
  <cols>
    <col min="1" max="1" width="26.1640625" style="107" customWidth="1"/>
    <col min="2" max="2" width="25.1640625" style="107" customWidth="1"/>
    <col min="3" max="3" width="19.6640625" style="107" customWidth="1"/>
    <col min="4" max="4" width="20.1640625" style="107" customWidth="1"/>
    <col min="5" max="5" width="17.1640625" style="107" customWidth="1"/>
    <col min="6" max="6" width="14.6640625" style="107" customWidth="1"/>
    <col min="7" max="7" width="24.33203125" style="107" customWidth="1"/>
    <col min="8" max="8" width="22.33203125" style="107" customWidth="1"/>
    <col min="9" max="16384" width="12.6640625" style="107"/>
  </cols>
  <sheetData>
    <row r="1" spans="1:8" ht="15" x14ac:dyDescent="0.2">
      <c r="A1" s="110" t="s">
        <v>72</v>
      </c>
      <c r="B1" s="110" t="s">
        <v>73</v>
      </c>
      <c r="C1" s="110" t="s">
        <v>74</v>
      </c>
      <c r="D1" s="110" t="s">
        <v>75</v>
      </c>
      <c r="E1" s="110" t="s">
        <v>76</v>
      </c>
      <c r="F1" s="110" t="s">
        <v>77</v>
      </c>
      <c r="G1" s="110" t="s">
        <v>80</v>
      </c>
      <c r="H1" s="110" t="s">
        <v>81</v>
      </c>
    </row>
    <row r="2" spans="1:8" ht="15" x14ac:dyDescent="0.2">
      <c r="A2" s="115" t="s">
        <v>83</v>
      </c>
      <c r="B2" s="109">
        <f>'Cycles added'!G2</f>
        <v>600</v>
      </c>
      <c r="C2" s="109">
        <v>164</v>
      </c>
      <c r="D2" s="109">
        <v>0</v>
      </c>
      <c r="E2" s="109">
        <v>2000</v>
      </c>
      <c r="F2" s="110"/>
      <c r="G2" s="109">
        <v>0.9</v>
      </c>
      <c r="H2" s="109"/>
    </row>
    <row r="3" spans="1:8" ht="15" x14ac:dyDescent="0.2">
      <c r="A3" s="113" t="s">
        <v>84</v>
      </c>
      <c r="B3" s="109">
        <f>'Cycles added'!G5</f>
        <v>600</v>
      </c>
      <c r="C3" s="109">
        <v>164</v>
      </c>
      <c r="D3" s="109">
        <v>0</v>
      </c>
      <c r="E3" s="109">
        <v>4000</v>
      </c>
      <c r="F3" s="110"/>
      <c r="G3" s="109">
        <v>0.9</v>
      </c>
      <c r="H3" s="109"/>
    </row>
    <row r="4" spans="1:8" ht="15" x14ac:dyDescent="0.2">
      <c r="A4" s="115" t="s">
        <v>85</v>
      </c>
      <c r="B4" s="109">
        <f>'Initial data'!B4</f>
        <v>600</v>
      </c>
      <c r="C4" s="109">
        <v>164</v>
      </c>
      <c r="D4" s="109">
        <v>0</v>
      </c>
      <c r="E4" s="109">
        <v>4500</v>
      </c>
      <c r="F4" s="110"/>
      <c r="G4" s="109">
        <v>0.9</v>
      </c>
      <c r="H4" s="109"/>
    </row>
    <row r="5" spans="1:8" ht="15" x14ac:dyDescent="0.2">
      <c r="A5" s="110" t="s">
        <v>86</v>
      </c>
      <c r="B5" s="109">
        <v>650</v>
      </c>
      <c r="C5" s="109">
        <v>164</v>
      </c>
      <c r="D5" s="109">
        <v>0</v>
      </c>
      <c r="E5" s="109">
        <v>5000</v>
      </c>
      <c r="F5" s="110"/>
      <c r="G5" s="109">
        <v>0.9</v>
      </c>
      <c r="H5" s="109"/>
    </row>
    <row r="6" spans="1:8" ht="15" x14ac:dyDescent="0.2">
      <c r="A6" s="114" t="s">
        <v>87</v>
      </c>
      <c r="B6" s="109">
        <f>'Cycles added'!G4</f>
        <v>960</v>
      </c>
      <c r="C6" s="109">
        <v>140</v>
      </c>
      <c r="D6" s="109">
        <v>12</v>
      </c>
      <c r="E6" s="109">
        <v>11000</v>
      </c>
      <c r="F6" s="109">
        <v>70000</v>
      </c>
      <c r="G6" s="109">
        <v>0.9</v>
      </c>
      <c r="H6" s="109">
        <v>0.8</v>
      </c>
    </row>
    <row r="7" spans="1:8" ht="15" x14ac:dyDescent="0.2">
      <c r="A7" s="114" t="s">
        <v>88</v>
      </c>
      <c r="B7" s="109">
        <f>B6</f>
        <v>960</v>
      </c>
      <c r="C7" s="109">
        <v>140</v>
      </c>
      <c r="D7" s="109">
        <v>12</v>
      </c>
      <c r="E7" s="109">
        <v>7500</v>
      </c>
      <c r="F7" s="109">
        <v>45000</v>
      </c>
      <c r="G7" s="109">
        <v>0.9</v>
      </c>
      <c r="H7" s="109">
        <v>0.8</v>
      </c>
    </row>
    <row r="8" spans="1:8" ht="15" x14ac:dyDescent="0.2">
      <c r="A8" s="110" t="s">
        <v>89</v>
      </c>
      <c r="B8" s="109">
        <v>760</v>
      </c>
      <c r="C8" s="109">
        <v>164</v>
      </c>
      <c r="D8" s="109">
        <v>0</v>
      </c>
      <c r="E8" s="109">
        <v>5500</v>
      </c>
      <c r="F8" s="110"/>
      <c r="G8" s="109">
        <v>0.9</v>
      </c>
      <c r="H8" s="109"/>
    </row>
    <row r="9" spans="1:8" ht="15" x14ac:dyDescent="0.2">
      <c r="A9" s="113" t="s">
        <v>90</v>
      </c>
      <c r="B9" s="109">
        <f>B3</f>
        <v>600</v>
      </c>
      <c r="C9" s="109">
        <v>164</v>
      </c>
      <c r="D9" s="109">
        <v>0</v>
      </c>
      <c r="E9" s="109">
        <v>4000</v>
      </c>
      <c r="F9" s="110"/>
      <c r="G9" s="109">
        <v>0.9</v>
      </c>
      <c r="H9" s="109"/>
    </row>
    <row r="10" spans="1:8" ht="15" x14ac:dyDescent="0.2">
      <c r="A10" s="110" t="s">
        <v>91</v>
      </c>
      <c r="B10" s="109">
        <v>760</v>
      </c>
      <c r="C10" s="109">
        <v>164</v>
      </c>
      <c r="D10" s="109">
        <v>0</v>
      </c>
      <c r="E10" s="109">
        <v>4500</v>
      </c>
      <c r="F10" s="110"/>
      <c r="G10" s="109">
        <v>0.9</v>
      </c>
      <c r="H10" s="109"/>
    </row>
    <row r="11" spans="1:8" ht="15" x14ac:dyDescent="0.2">
      <c r="A11" s="112" t="s">
        <v>92</v>
      </c>
      <c r="B11" s="109">
        <f>'Cycles added'!G3</f>
        <v>540</v>
      </c>
      <c r="C11" s="109">
        <v>164</v>
      </c>
      <c r="D11" s="109">
        <v>0</v>
      </c>
      <c r="E11" s="109">
        <v>5000</v>
      </c>
      <c r="F11" s="110"/>
      <c r="G11" s="109">
        <v>0.9</v>
      </c>
      <c r="H11" s="109"/>
    </row>
    <row r="12" spans="1:8" ht="15" x14ac:dyDescent="0.2">
      <c r="A12" s="128" t="s">
        <v>83</v>
      </c>
      <c r="B12" s="123">
        <f>B11</f>
        <v>540</v>
      </c>
      <c r="C12" s="123">
        <v>164</v>
      </c>
      <c r="D12" s="123">
        <v>0</v>
      </c>
      <c r="E12" s="123">
        <v>2000</v>
      </c>
      <c r="F12" s="124"/>
      <c r="G12" s="123">
        <v>0.9</v>
      </c>
      <c r="H12" s="123"/>
    </row>
    <row r="13" spans="1:8" ht="15" x14ac:dyDescent="0.2">
      <c r="A13" s="110" t="s">
        <v>166</v>
      </c>
      <c r="B13" s="110">
        <f>B11</f>
        <v>540</v>
      </c>
      <c r="C13" s="110">
        <v>164</v>
      </c>
      <c r="D13" s="110">
        <v>0</v>
      </c>
      <c r="E13" s="127">
        <v>9572</v>
      </c>
      <c r="F13" s="110"/>
      <c r="G13" s="110"/>
      <c r="H13" s="110"/>
    </row>
    <row r="14" spans="1:8" ht="15" x14ac:dyDescent="0.2">
      <c r="A14" s="110" t="s">
        <v>164</v>
      </c>
      <c r="B14" s="110">
        <f>B6</f>
        <v>960</v>
      </c>
      <c r="C14" s="110">
        <v>164</v>
      </c>
      <c r="D14" s="109">
        <v>12</v>
      </c>
      <c r="E14" s="127">
        <v>5760</v>
      </c>
      <c r="F14" s="110"/>
      <c r="G14" s="110"/>
      <c r="H14" s="110"/>
    </row>
    <row r="15" spans="1:8" ht="15" x14ac:dyDescent="0.2">
      <c r="A15" s="110" t="s">
        <v>162</v>
      </c>
      <c r="B15" s="110">
        <f>B3</f>
        <v>600</v>
      </c>
      <c r="C15" s="110">
        <v>164</v>
      </c>
      <c r="D15" s="110">
        <v>0</v>
      </c>
      <c r="E15" s="127">
        <v>6332</v>
      </c>
      <c r="F15" s="110"/>
      <c r="G15" s="110"/>
      <c r="H15" s="110"/>
    </row>
    <row r="16" spans="1:8" ht="15" x14ac:dyDescent="0.2">
      <c r="A16" s="110" t="s">
        <v>168</v>
      </c>
      <c r="B16" s="110">
        <f>B2</f>
        <v>600</v>
      </c>
      <c r="C16" s="110">
        <v>164</v>
      </c>
      <c r="D16" s="110">
        <v>0</v>
      </c>
      <c r="E16" s="127">
        <v>12990</v>
      </c>
      <c r="F16" s="110"/>
      <c r="G16" s="110"/>
      <c r="H16" s="110"/>
    </row>
    <row r="17" spans="1:8" ht="15" x14ac:dyDescent="0.2">
      <c r="A17" s="126" t="s">
        <v>83</v>
      </c>
      <c r="B17" s="125">
        <f>'Initial data'!B2-B2-B12</f>
        <v>0</v>
      </c>
      <c r="C17" s="125">
        <v>164</v>
      </c>
      <c r="D17" s="125">
        <v>0</v>
      </c>
      <c r="E17" s="125">
        <v>2000</v>
      </c>
      <c r="F17" s="126"/>
      <c r="G17" s="125">
        <v>0.9</v>
      </c>
      <c r="H17" s="125"/>
    </row>
    <row r="18" spans="1:8" ht="15" x14ac:dyDescent="0.2">
      <c r="A18" s="110" t="s">
        <v>84</v>
      </c>
      <c r="B18" s="109">
        <f>'Initial data'!B3-B3</f>
        <v>0</v>
      </c>
      <c r="C18" s="109">
        <v>164</v>
      </c>
      <c r="D18" s="109">
        <v>0</v>
      </c>
      <c r="E18" s="109">
        <v>4000</v>
      </c>
      <c r="F18" s="110"/>
      <c r="G18" s="109">
        <v>0.9</v>
      </c>
      <c r="H18" s="109"/>
    </row>
    <row r="19" spans="1:8" ht="15" x14ac:dyDescent="0.2">
      <c r="A19" s="110" t="s">
        <v>85</v>
      </c>
      <c r="B19" s="109">
        <f>'Initial data'!B4-B4</f>
        <v>0</v>
      </c>
      <c r="C19" s="109">
        <v>164</v>
      </c>
      <c r="D19" s="109">
        <v>0</v>
      </c>
      <c r="E19" s="109">
        <v>4500</v>
      </c>
      <c r="F19" s="110"/>
      <c r="G19" s="109">
        <v>0.9</v>
      </c>
      <c r="H19" s="109"/>
    </row>
    <row r="20" spans="1:8" ht="15" x14ac:dyDescent="0.2">
      <c r="A20" s="110" t="s">
        <v>87</v>
      </c>
      <c r="B20" s="109">
        <f>'Initial data'!B6-B6</f>
        <v>90</v>
      </c>
      <c r="C20" s="109">
        <v>140</v>
      </c>
      <c r="D20" s="109">
        <v>12</v>
      </c>
      <c r="E20" s="109">
        <v>11000</v>
      </c>
      <c r="F20" s="109">
        <v>70000</v>
      </c>
      <c r="G20" s="109">
        <v>0.9</v>
      </c>
      <c r="H20" s="109">
        <v>0.8</v>
      </c>
    </row>
    <row r="21" spans="1:8" ht="15" x14ac:dyDescent="0.2">
      <c r="A21" s="110" t="s">
        <v>88</v>
      </c>
      <c r="B21" s="109">
        <f>'Initial data'!B7-B7</f>
        <v>0</v>
      </c>
      <c r="C21" s="109">
        <v>140</v>
      </c>
      <c r="D21" s="109">
        <v>12</v>
      </c>
      <c r="E21" s="109">
        <v>7500</v>
      </c>
      <c r="F21" s="109">
        <v>45000</v>
      </c>
      <c r="G21" s="109">
        <v>0.9</v>
      </c>
      <c r="H21" s="109">
        <v>0.8</v>
      </c>
    </row>
    <row r="22" spans="1:8" ht="15" x14ac:dyDescent="0.2">
      <c r="A22" s="110" t="s">
        <v>90</v>
      </c>
      <c r="B22" s="109">
        <f>'Initial data'!B9-B9</f>
        <v>260</v>
      </c>
      <c r="C22" s="109">
        <v>164</v>
      </c>
      <c r="D22" s="109">
        <v>0</v>
      </c>
      <c r="E22" s="109">
        <v>4000</v>
      </c>
      <c r="F22" s="110"/>
      <c r="G22" s="109">
        <v>0.9</v>
      </c>
      <c r="H22" s="109"/>
    </row>
    <row r="23" spans="1:8" ht="15" x14ac:dyDescent="0.2">
      <c r="A23" s="110" t="s">
        <v>92</v>
      </c>
      <c r="B23" s="109">
        <f>'Initial data'!B11-B11</f>
        <v>210</v>
      </c>
      <c r="C23" s="109">
        <v>164</v>
      </c>
      <c r="D23" s="109">
        <v>0</v>
      </c>
      <c r="E23" s="109">
        <v>5000</v>
      </c>
      <c r="F23" s="110"/>
      <c r="G23" s="109">
        <v>0.9</v>
      </c>
      <c r="H23" s="109"/>
    </row>
    <row r="24" spans="1:8" ht="15" x14ac:dyDescent="0.2">
      <c r="A24" s="110"/>
      <c r="B24" s="109"/>
      <c r="C24" s="109"/>
      <c r="D24" s="109"/>
      <c r="E24" s="109"/>
      <c r="F24" s="110"/>
      <c r="G24" s="109"/>
      <c r="H24" s="109"/>
    </row>
    <row r="25" spans="1:8" ht="15" x14ac:dyDescent="0.2">
      <c r="A25" s="124"/>
      <c r="B25" s="123"/>
      <c r="C25" s="123"/>
      <c r="D25" s="123"/>
      <c r="E25" s="123"/>
      <c r="F25" s="124"/>
      <c r="G25" s="123"/>
      <c r="H25" s="123"/>
    </row>
    <row r="26" spans="1:8" ht="15.75" customHeight="1" x14ac:dyDescent="0.2">
      <c r="A26" s="122"/>
      <c r="B26" s="117" t="s">
        <v>177</v>
      </c>
    </row>
    <row r="28" spans="1:8" ht="15.75" customHeight="1" x14ac:dyDescent="0.2">
      <c r="A28" s="121"/>
      <c r="B28" s="120"/>
      <c r="C28" s="119"/>
      <c r="D28" s="11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Sheet1</vt:lpstr>
      <vt:lpstr>Данные по авиапарку</vt:lpstr>
      <vt:lpstr>Рейсы</vt:lpstr>
      <vt:lpstr>Оптимизация рейсов</vt:lpstr>
      <vt:lpstr>Initial data</vt:lpstr>
      <vt:lpstr>Cycles added</vt:lpstr>
      <vt:lpstr>New data</vt:lpstr>
      <vt:lpstr>depreciation_rate</vt:lpstr>
      <vt:lpstr>fuel_pric</vt:lpstr>
      <vt:lpstr>fuel_price</vt:lpstr>
      <vt:lpstr>fuel_price2</vt:lpstr>
      <vt:lpstr>inf_usa</vt:lpstr>
      <vt:lpstr>Lising_pay</vt:lpstr>
      <vt:lpstr>maintanance_hour320</vt:lpstr>
      <vt:lpstr>maintanance_hour330</vt:lpstr>
      <vt:lpstr>maintanance_hour330neo</vt:lpstr>
      <vt:lpstr>usd</vt:lpstr>
      <vt:lpstr>usd_dynamics</vt:lpstr>
      <vt:lpstr>внутр_рейсы</vt:lpstr>
      <vt:lpstr>международ_рейсы</vt:lpstr>
      <vt:lpstr>новые_рейсы</vt:lpstr>
      <vt:lpstr>цена_топлива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2022-11-21T14:17:28Z</dcterms:created>
  <dcterms:modified xsi:type="dcterms:W3CDTF">2022-11-24T10:10:39Z</dcterms:modified>
</cp:coreProperties>
</file>